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>
    <definedName hidden="1" localSheetId="0" name="_xlnm._FilterDatabase">'シート1'!$A$5:$BE$126</definedName>
  </definedNames>
  <calcPr/>
</workbook>
</file>

<file path=xl/sharedStrings.xml><?xml version="1.0" encoding="utf-8"?>
<sst xmlns="http://schemas.openxmlformats.org/spreadsheetml/2006/main" count="606" uniqueCount="600">
  <si>
    <t>銘柄</t>
  </si>
  <si>
    <t>前日比</t>
  </si>
  <si>
    <t>前日終値</t>
  </si>
  <si>
    <t>高値</t>
  </si>
  <si>
    <t>安値</t>
  </si>
  <si>
    <t>陽線 or</t>
  </si>
  <si>
    <t>赤三兵</t>
  </si>
  <si>
    <t>移動平均線</t>
  </si>
  <si>
    <t>移動平均</t>
  </si>
  <si>
    <t>ボリンジャーバンド</t>
  </si>
  <si>
    <t>WS/BS</t>
  </si>
  <si>
    <t>RCI</t>
  </si>
  <si>
    <t>RSI</t>
  </si>
  <si>
    <t>ID</t>
  </si>
  <si>
    <t>日付</t>
  </si>
  <si>
    <t>(数値)</t>
  </si>
  <si>
    <t>(%)</t>
  </si>
  <si>
    <t>始値</t>
  </si>
  <si>
    <t>-始値</t>
  </si>
  <si>
    <t>(時刻)</t>
  </si>
  <si>
    <t>終値</t>
  </si>
  <si>
    <t>出来高</t>
  </si>
  <si>
    <t>売買代金</t>
  </si>
  <si>
    <t>約定回数</t>
  </si>
  <si>
    <t>時価総額</t>
  </si>
  <si>
    <t>陰線</t>
  </si>
  <si>
    <t>黒三兵</t>
  </si>
  <si>
    <t>乖離率</t>
  </si>
  <si>
    <t>位置</t>
  </si>
  <si>
    <t>クロス</t>
  </si>
  <si>
    <t>C1</t>
  </si>
  <si>
    <t>C2</t>
  </si>
  <si>
    <t>C3</t>
  </si>
  <si>
    <t>0000,1RvuOpadOVhX2bPWadSLTo1Z-ewb1kWXfhURvsqCLHMM</t>
  </si>
  <si>
    <t>2002,1rqQKGfa1RnF84Zhs3y_AScmpfJktvJvcDXP-SaKtGWc</t>
  </si>
  <si>
    <t>2269,1kYL0Ll9-PzBywfHn2FSPCQwNUxn4rlHIgm7IMckOnHw</t>
  </si>
  <si>
    <t>2282,1oT9vwsd__jWmFxvT285kOvJcxvOm_BwDFJkqdhETNts</t>
  </si>
  <si>
    <t>2501,1Nqb2ZGUic7TcrxRWyq2KuyCNX-wnA7RglxaAEMXG1LI</t>
  </si>
  <si>
    <t>2502,1HsX009_AnVJ6zgbJDDGFRyzhunSMqsCvQ9vTLf-FWeo</t>
  </si>
  <si>
    <t>2503,181sANX709GT-gX10Ime4-ACHIQqp21vgxcCKgtcm0mg</t>
  </si>
  <si>
    <t>2531,1fJtKd3gr_5AVC0JhwpriQOCZw8mW8nWamRsQQKLjI48</t>
  </si>
  <si>
    <t>2801,1FL4B4hTZZer4scGkOj-6SbGskQ0ofY6SbZ2RuC37G88</t>
  </si>
  <si>
    <t>2802,1FLPlrW8cc7bpbPKtqSq_6-_VOVYcxJBbuLJLccm3RUI</t>
  </si>
  <si>
    <t>2871,1T45cy6nJIhSWWfhFv92TgMQ-Gu2lC_2QHVWhU88VWXw</t>
  </si>
  <si>
    <t>2914,1yZMgkatdfzuixwHIQI4P_PZkVWEhAD0wJIdzKT684Dg</t>
  </si>
  <si>
    <t>3101,12ADoR0esp99gjuKEYEMaVGbJYPsPYem37P7CjRP-yC8</t>
  </si>
  <si>
    <t>3103,1i2sioxKAhTYiLmm-ni7ReyDafsLRpYNH_2A7iW86H44</t>
  </si>
  <si>
    <t>3401,1l-iXrfWc3DvWlCLRYg1T6Zgqeg4YQe1ST6_6taDgy_0</t>
  </si>
  <si>
    <t>3402,17EEonMER4lspFVckVjthHtyQFUI_y-E00fV5l_CFiwM</t>
  </si>
  <si>
    <t>3861,123nok1_4UI_mU_Gk_kubThb1NkxWK99HNPYnj8v5JcM</t>
  </si>
  <si>
    <t>3863,18_tWRZzvPPknWIGeD4xH1F6oAAHn82sYMKhFedKSgEU</t>
  </si>
  <si>
    <t>3405,1GUtdn0mf52UjEi4Dc6qQOLZ6Q96gA0tpsfq2_nVNlmM</t>
  </si>
  <si>
    <t>3407,1s_Tzt9HvQk8or7jqJbmWyuB1FQ_pdeLOvSVAfaDY1vA</t>
  </si>
  <si>
    <t>4004,1HXQoRL02YTEqQYj96nU1fyjiwSOdkL73sAI0FEEOFAg</t>
  </si>
  <si>
    <t>4005,1-xhPQWacXKOfHL9GGofHERGf6fZQTjI7ZRAG20ma8gM</t>
  </si>
  <si>
    <t>4021,1ynqvqvM_opuxRe9ICSY57HX3SWMrJB9CsmMF4ukjuyk</t>
  </si>
  <si>
    <t>4042,1n3---c17ausgaktaCWxuKYWC0LwGlNxKrgcuX2g5faA</t>
  </si>
  <si>
    <t>4043,1AfHOtQE1vSHmNFCfaaai5tgJrM7zmpqBS6F8Svlyxmk</t>
  </si>
  <si>
    <t>4061,1vYVjHxaKoZ3Glu-SUyaWmRMDUqRAcvCgZFUbfMsJR3g</t>
  </si>
  <si>
    <t>4063,14d8xNQD_CmJotk2wmTyEK4BFBov7FMqhaFJTKUKp5U0</t>
  </si>
  <si>
    <t>4183,1fmSr2yZCfO865fXPJb0FALA2Q9a6Cs0ozeapKG0njIY</t>
  </si>
  <si>
    <t>4188,1RfcLIec0UKKNYDp-SFr4Rl873D9MvMOBR05kt29wvFU</t>
  </si>
  <si>
    <t>4208,17mEEtaYPGGd_pYtnoZQzGnVhIdVjI73sxIVhPAG_L2E</t>
  </si>
  <si>
    <t>4272,1NP9u749DcDIcD0gfGtY6Q22v8GfNC2olARc5x6PGfEA</t>
  </si>
  <si>
    <t>4452,1W5Xi79pTKSHa64hynqrj4N0bI7jab8HcYYCsZZ6WW9o</t>
  </si>
  <si>
    <t>4631,1oePM108J0A0oNvfJRkKMCEbtjsIBXaH7SWmFOF23pM4</t>
  </si>
  <si>
    <t>4901,1ojPpi17c8L5wHYVub9CTti6rnC_bJhceCTnGRUb1PPA</t>
  </si>
  <si>
    <t>4911,1eQPlVfaD7IT5rBOQZevKy6dL-6z1IL7X4uRHyd7Yu10</t>
  </si>
  <si>
    <t>4151,1ueC2FVRGc9knvyX5ns68qFy52nLg3cHeYclfnFWgwhM</t>
  </si>
  <si>
    <t>4502,1VFYDn2HIuGD8Mybk8wE6pZHKj-YPgfl9F7DHXqcKy_w</t>
  </si>
  <si>
    <t>4503,1Ba8KO2OwJaBNhwHSyQ53QiJnojB-bhdvXIPPSd0DSsw</t>
  </si>
  <si>
    <t>4506,1CyLyLzvLhlIvkZq93oaC6WZKn1z-6jqQKIWn2ir-D8I</t>
  </si>
  <si>
    <t>4507,1l_NDYNXKMHjlUUFMQa871s07zZKCu5KgfpyfBHIZlOo</t>
  </si>
  <si>
    <t>4519,1U2-p14HLpcXG9_NvsvEbeG4W00PbuRNQOzKuiIFXEMU</t>
  </si>
  <si>
    <t>4523,1PhtR_SxrBhphsPIkmdz6XshXILARw_VpNZw_jXpfexI</t>
  </si>
  <si>
    <t>4568,1WQZ6DY7O_jISUlDzn44G5XJIpPwpU8uq_GeywzR3BMo</t>
  </si>
  <si>
    <t>4578,1mev6My-S7MaTy3Sd7u7ZGXF0VVppv6e-kcZJbPua7Rg</t>
  </si>
  <si>
    <t>5019,1i0_gVQt1ysW6jYZeNGahiysqgfoSnhHL8xnTaD6QZZg</t>
  </si>
  <si>
    <t>5020,11pKFGc6Sp88UTQ1K98FV1RRCv-Lhw2H1HYjzA39A13k</t>
  </si>
  <si>
    <t>5101,1twyMrPGgJNMiHEUiE4roXJaNZRDAA_OHzcC9znhia1M</t>
  </si>
  <si>
    <t>5108,1GNHLLA4L9ueO-9zi2ZZGD01LODQazXI-6CXjcCDNZEo</t>
  </si>
  <si>
    <t>5201,1stEhuhdWuiAObCGaJdHQQD0FkAxrEIF1TRzOtWFPjHs</t>
  </si>
  <si>
    <t>5202,14hH8QcRMRVDz1ZBeDzc4hlqb2bdPGJgUCeyXUTl_L5c</t>
  </si>
  <si>
    <t>5214,1s32q8bW9XPYT9UJwkU-ONW0z57vAjFxYM44eUSIg_Nc</t>
  </si>
  <si>
    <t>5232,1hmO494dBnWVfNkd2z_aKu-DcKCHl6LBSLU4W-_q0ezQ</t>
  </si>
  <si>
    <t>5233,11hDskNzfatk4O8J9zp_N_D1Rg41zkGFDR8hqyOnvDTA</t>
  </si>
  <si>
    <t>5301,1iRYkEitSO4CfRTnwc0SsH7VXrJMmp5G_K1iFweLe0jw</t>
  </si>
  <si>
    <t>5332,1HO-uZlfZn75Cic84vOqpqfgg9wYmyxc9YmjJ2dlI7tc</t>
  </si>
  <si>
    <t>5333,1wfeSilUpDtk94RZjIZnhDYvJEmg4yomDROSdYPSedio</t>
  </si>
  <si>
    <t>5401,1heRrJJ_IkuUIN8QHMz0XCBBqbpBqxkXQPf-mdpit5-A</t>
  </si>
  <si>
    <t>5406,1ZzD3KqMkvgu7xdOTFoTK3n9TwzszK3viEoy6R7tT0cM</t>
  </si>
  <si>
    <t>5411,1e7o3e7jiqlsrG_dEVGgZD9MIDdtKi1rxbnDnIlRA2Ps</t>
  </si>
  <si>
    <t>5541,18bwU3SuLg783eEuT76DJSLS9VsHFXZYYcgPrMa97mug</t>
  </si>
  <si>
    <t>3436,1dGpdNJWXmstO4ytsLoQ6xDIVrkJZ6UEiS8ZoiGAm7jE</t>
  </si>
  <si>
    <t>5703,16Sg2dA5WnSONxPn0M_hcNXsBkAs0X6r0lsxTy6BhdVk</t>
  </si>
  <si>
    <t>5706,1RIiB9tD-idgrZoH-Vl61wAQWoUrQNI9IqPzw2ESktR8</t>
  </si>
  <si>
    <t>5707,1wIxEKwLxVQRKVNHX4kAOiIzVBiYdhgLDHSIpyq6EBOA</t>
  </si>
  <si>
    <t>5711,1W-xvtafkhOyZ7NfKnwLpjUIuwkLdDeYiIMGw8K9O13U</t>
  </si>
  <si>
    <t>5713,11eAvXG11w9-p_YcSCKyXYCUm3p3iwlg4tAS3DvMde5s</t>
  </si>
  <si>
    <t>5714,1omtU7b9Q6wvMFMO-FiS_aLFCcOJY4FCYu5mqTDiu2Gs</t>
  </si>
  <si>
    <t>5801,1sS3wnKh9a-ZIcFIfE7Yh96aOEiM8fV-wSZW82cJqYHU</t>
  </si>
  <si>
    <t>5802,1XQ7PhYwL30cymwyh1Sp0pJzBWpqOiRWQ5BFxGK2cIKI</t>
  </si>
  <si>
    <t>5803,115jP2FMXPz-k-E-hK7aGhyiqtXlu5XxFLCKxVtzIg4g</t>
  </si>
  <si>
    <t>5901,15HbW4zZ3sFJnmZdMOts6i1sywmHuSTRwBKJJJW67aQw</t>
  </si>
  <si>
    <t>5631,16w3b9QoAQ18rd01RUx_2FVY4zmmlCint8Leil9ZJAVk</t>
  </si>
  <si>
    <t>6103,1ihYzCtXzLXnxvxvmS6FvYh4RBF1qtB-pfMuSRTmvRmE</t>
  </si>
  <si>
    <t>6113,185HmbXEJFh73UdralKZ4AdDDKfT0C6Beqw8cy_Ff4lQ</t>
  </si>
  <si>
    <t>6301,1ppSzxfvPNa-oZpzUk7W6rbifz-lUHMpY7fcmMz8TZL0</t>
  </si>
  <si>
    <t>6302,1ChflNXboQxn1B3Ade8gJ38Sr9NmZdaoxkMrdOzASYmA</t>
  </si>
  <si>
    <t>6305,1c5EK53ZhzL17oIvo4Z7UVqx6y_BsZND3IiD4pBRzj7g</t>
  </si>
  <si>
    <t>6326,1dBIAYQihNB4bza5iXNyZAE-U1bgFk3_qQNoUSMw6yIY</t>
  </si>
  <si>
    <t>6361,1VIo2bV6AAF-Kav_gqWz33SykkNcKyZfcZojigri-TsU</t>
  </si>
  <si>
    <t>6367,1uErEQtecw6YwEwGYeul-UPgEYSb33GQU-jpnSjnkVys</t>
  </si>
  <si>
    <t>6471,1AoFURbwshE_3wmqxfOd5Ys433sblJyT7WRNX4QJFLiM</t>
  </si>
  <si>
    <t>6472,1B-pDieRjXc5_z2B8IpX2-Vjya0GWaZDOWcBuDqwmrKU</t>
  </si>
  <si>
    <t>6473,1mBHTRGDH15_lBpDD6llDrkULO-kMvZNIvXsz9Pf6mr4</t>
  </si>
  <si>
    <t>7004,1D0RG1ct9cLC6DnmZzqxvIn2siQer-WNavsCIiX4cJKE</t>
  </si>
  <si>
    <t>7011,1Z3uVfKG2-dQWdT2Aa_T2v7aAKh1Hmb9TEdgzxEmS7oM</t>
  </si>
  <si>
    <t>7013,1ByWLl9gpo9LeElG7_j71V8f0bWP1vzmm2rRUpZePnpw</t>
  </si>
  <si>
    <t>3105,1LJiQ0g3IpzSjdeplcEW_kaCFYsk3CLOCma_FNLJmg-g</t>
  </si>
  <si>
    <t>6479,16_59Gpogr1d5NlUlXAIvVG5zOS-Wh0d1cd0vUsZYFyM</t>
  </si>
  <si>
    <t>6501,15IU5STsFQrJK_wv5oQ7cQDuQWhKeFviYXfS7AIOezts</t>
  </si>
  <si>
    <t>6503,1MMaFcAAH7E-uDZ3ONO8ZtlpAPt6i5_bPUBXXOI_bpqY</t>
  </si>
  <si>
    <t>6504,1xlszI4OZqxHKkOMutajd1KcdT5zZqsN-I5HUgVfYJv0</t>
  </si>
  <si>
    <t>6506,1Z4ZgN4Sy0zq6E4piPBPDWvWgVtgzT8w4Mi02n_LoCPA</t>
  </si>
  <si>
    <t>6645,1ZozIfpVo4IOkL2QwZ5L2WSDtElcRY1JU6kueA2kSsEk</t>
  </si>
  <si>
    <t>6674,1LGFqOrelFgVO2CDo9CMIzx_S09fMv8MR6yKse7w9o4I</t>
  </si>
  <si>
    <t>6701,1lsEsnYT0PF0Ob2qOxnFgGnQ5xdBRpfWfI5aueJ3SAzo</t>
  </si>
  <si>
    <t>6702,1IZaaAUY02pcTdkt7uUsJAWJAQ_P13GeMwyfYS7Vlcy0</t>
  </si>
  <si>
    <t>6703,1LWmlGmP0GSnn9bXuTnRNh7OhkUV3M42GFM2yWjeS6kI</t>
  </si>
  <si>
    <t>6724,1S9Q_hKVQQCm67koCn8FLRRQup3Bah-haJTSIclfCiGM</t>
  </si>
  <si>
    <t>6752,1eoKSqKAvtz1nX27w255filxD7FLWfj12JoZcbU2NnBY</t>
  </si>
  <si>
    <t>6758,1KEQgRdnXwl7JFkf-wcR4QZOYqQujHVtgRaF0-Br8dn8</t>
  </si>
  <si>
    <t>6762,1WLnjewwEXRyhA1swLkysYw7ka6g0k3-E9WVdSzUXGvo</t>
  </si>
  <si>
    <t>6770,1g1FgI4GQOpIgd9jmv_ZldEl0VKA57gGd0fz1Jlz0jAA</t>
  </si>
  <si>
    <t>6841,1n55jz17PUfo4t6pG3awv-ADz_Fe-wgWjlsOY6tySeZs</t>
  </si>
  <si>
    <t>6857,17092H7qNlzDM4kLpmLkNj0LRaDQdRe2n_SlffJnhmUM</t>
  </si>
  <si>
    <t>6902,187284x_NWoG2rs4DXWaO4_DwT355SnLbx621Ys7hDy0</t>
  </si>
  <si>
    <t>6952,1heoWxP4ciyDhs2Ajd5AOviaXku04TM7kdHHYwvObAmU</t>
  </si>
  <si>
    <t>6954,1AaSfhlsD3sLhnJ-qXI-cBNbe7KBbbLcabU1FTIpm25g</t>
  </si>
  <si>
    <t>6971,15kXtT1xjtbkGxxI9XNB3rp3n106nZhU0ZY8mP6MoCFM</t>
  </si>
  <si>
    <t>6976,1rx2WBddhBGhsjU4knhofyOBpmAF8hq9yjf9QY9axlUs</t>
  </si>
  <si>
    <t>6988,1pkZ7Fw1wgr5mld73mqqflRY4Xnb71RrqbdgdthPV7Sg</t>
  </si>
  <si>
    <t>7735,188ln2g1E3nzwZHRVySSP_kNNAaWVq37OrR-6JS5NQxE</t>
  </si>
  <si>
    <t>7751,1MfvnEkwisCBsuuQvSF12Wc1AW8yHXwqZw7q1E20Vjn4</t>
  </si>
  <si>
    <t>7752,16znbYfjRumLR9GNpd5N-Nj1g42iROfoc6EPN0BvyyZs</t>
  </si>
  <si>
    <t>8035,1sTuWDhpTnZojSdMoZK-8InV2JMXH_yeYMXIFhUnoSLs</t>
  </si>
  <si>
    <t>7003,16g4eXXCrTBeBibAsR225STXBprOcFp85NZJAb4BqGK8</t>
  </si>
  <si>
    <t>7012,19QnmvGAa6tvC8M00Ws76vZWNLGrHm8TNwZoO2kVlvZQ</t>
  </si>
  <si>
    <t>7201,1bKurmX6eiXkhrsafloWx1cgyL_6Ps4Xl5yjgHWUAbsU</t>
  </si>
  <si>
    <t>7202,1ctyogCKVZ23nsxV54s-fdR2oosAsh3LvQNbdv1S6Y-w</t>
  </si>
  <si>
    <t>7203,1Y9_9iwe9GY8HilBexlxhsY2T8mUEBH-QUs7l0nV5pn4</t>
  </si>
  <si>
    <t>7205,1E7xUXTMdfi1Y0LLfGECFPXkaVexqfTXO59WdxFU3Vgc</t>
  </si>
  <si>
    <t>7211,12qOfVmi0Rn6ugXTEkEfODnHIbMmU-YSO1MH_VxokL48</t>
  </si>
  <si>
    <t>7261,1FYueMEVHyqyTW10D7dBJW2U3HsdUrkZzsJK3qabtdO4</t>
  </si>
  <si>
    <t>7267,10J-VH3QKE3Y-LvYeZdzGWfdlqhlBOI7R2sxEP58mCbY</t>
  </si>
  <si>
    <t>7269,1KcE4tTnYqjTxEKT_Y92UKMmFNuk9a8Q8PXUStOVYGZg</t>
  </si>
  <si>
    <t>7270,1M4TzTvAgthSzWUufEZhxNBHoplvhR1IONrvrZj72-iI</t>
  </si>
  <si>
    <t>7272,1TZ-reL6l-KaR9DOLkOZ1Ik1GzQrUd3Jt99hwZXV6cUQ</t>
  </si>
  <si>
    <t>4543,1VOKdBCAXJ_Dy44uJ4sgISixXJpu1guZqK31TOsjkiSY</t>
  </si>
  <si>
    <t>4902,1CrrAKPy_5WBHg9c5zvhl-xsmD7ztDthZiEueoMUDYEc</t>
  </si>
  <si>
    <t>7731,1YkXh1dWPTEcD66kUojh6c9NsyG5c69izbVU7iyEN_aM</t>
  </si>
  <si>
    <t>7733,1S4pPF0JBYT8uNMI9c5FdapiG7oGJJrofFzfxnvyl-s4</t>
  </si>
  <si>
    <t>7762,1M8oyweEYpENSNk3atA-ZVRUKv0C3eRL95beU3eME_ws</t>
  </si>
  <si>
    <t>7832,12NxmM0m8BX0oiGQ_JEpUDWWqv-8zJPjj4DFWdVCxcDc</t>
  </si>
  <si>
    <t>7911,1hcUNe8kiiZMZVlfyD-dZJ3BiP4kUXpbj8-t5doZiPVw</t>
  </si>
  <si>
    <t>7912,13GqR9Wye5YK68ZsL1DfpjxlFTJou88AdjMFzRcJVv_s</t>
  </si>
  <si>
    <t>7951,12x8Gkfc-W3-L4QOKuBsOXYZFz8-f4K7REFltowj-IUk</t>
  </si>
  <si>
    <t>1332,1UnV9G5F98xgzgp67GG1-9eXeTRxbZ7-y83IiZ89NM_A</t>
  </si>
  <si>
    <t>1333,1ToqJ6FEGW6AE76RwIkjuQAj-KTPwbnWyFmiyq-7MeKo</t>
  </si>
  <si>
    <t>1605,1gj5qi_o2Ql7YmI1xk2QstV8DYp_VG47pKf_7ADlV0T4</t>
  </si>
  <si>
    <t>1721,1qBXo0YaBdeQJ6h9BosKn6qKQDzqPhhWoFCtKbOYoBdQ</t>
  </si>
  <si>
    <t>1801,1S4CiVFCD48HgmYO_F-qv2NhvexwCLmt5LEPHzlX_xzo</t>
  </si>
  <si>
    <t>1802,1Q0HFZkAx-Creu_L34ZmI9zwIcIzb7ZT8icNGZLTKj7M</t>
  </si>
  <si>
    <t>1803,1JrOPM7ALVt5oYbRfVk4vvrZ10AEkByKkQm33L2A-ebI</t>
  </si>
  <si>
    <t>1808,1ofSh5gzv5kGD419GFifO1uVJ0fMzPygDgzMA6_tQdag</t>
  </si>
  <si>
    <t>1812,1x_mv-yEWGKEx5qPHutLupcKZ1K2pY_JzZaJUnqecqQg</t>
  </si>
  <si>
    <t>1925,1fzaO88RhblN5L22wfIXhIK53jmiIoaPlpTFz14yp3fs</t>
  </si>
  <si>
    <t>1928,11CPVazKYItzWk5TR8gaHLXg_E-LgEiGmHr4AZX-Yt1o</t>
  </si>
  <si>
    <t>1963,1RuYWVZwW2PFOp1V5V-WJ5lzIhA-bgXAYcIvq4ArxURY</t>
  </si>
  <si>
    <t>2768,1kMW_Z2C6if6TATK5PuUYLe0VmHep8i6-rPE_qlkAzaI</t>
  </si>
  <si>
    <t>8001,1zPYQvx_vdQtfEC8sjFtgndw_bpGgnR58rjSb2caR3SY</t>
  </si>
  <si>
    <t>8002,1zypcHh2a2WFHylQwYd5lzhh2psERwk9KxaTsELV1ggg</t>
  </si>
  <si>
    <t>8015,1BqBffCkqSKtDpdvvfEgP6B5i7d51we9anT2FwNlYU84</t>
  </si>
  <si>
    <t>8031,1YDbQoPpORQD4X_p59LhEj0NaV9LRFq3WdGWvg72eg_c</t>
  </si>
  <si>
    <t>8053,1W1qDV06ZtrZrPneaoYEqc9MxU2DaU4B6xvdmccRou-I</t>
  </si>
  <si>
    <t>8058,1O9l6Xd4yn-bMG5qiOCZZNVm80n48ifETCfzIsmMrNEU</t>
  </si>
  <si>
    <t>3086,1-E95ZSCN9kXuvGCS1rpCqOnirwEok0Bl-hv5pbcmWlE</t>
  </si>
  <si>
    <t>3099,1KhNO7ABYna6Xzob_5nHD-6DwIBk-LPnFVCYUAFBDIT8</t>
  </si>
  <si>
    <t>3382,1kbRCazD8Fgtm9L39HpxMAU5MIyLQ-2SSUDHiG6cf84s</t>
  </si>
  <si>
    <t>8028,12g2jp4KQa_rf5mdc65ZALaY6b06OxRzHg-RjI-o3Fsc</t>
  </si>
  <si>
    <t>8233,1LCcEh4ZTnu0SoTEoTJcdSB32UW809ghb60J1-z_sErM</t>
  </si>
  <si>
    <t>8252,1KM3yGAmsrnzOrtVXD6T3Nhg-Weh5VCYbj7VPQLKt8f8</t>
  </si>
  <si>
    <t>8267,1kmuNCTU4Jqma-rK-z8xrHEM_5n7ZIInRlzV3iGRqXgE</t>
  </si>
  <si>
    <t>9983,14FHtbAkB-wkhG5EYtmS3UylUKmSpmzsX3TeFXZnVmic</t>
  </si>
  <si>
    <t>7186,1zZw7NgUk0-ilW_hkqN4VAK4QewFd6yTE3G6pCqNlg5o</t>
  </si>
  <si>
    <t>8303,1CEOSPbCBol0ssXTixfe86dWlcxqB2J77k8CpTpT1_zk</t>
  </si>
  <si>
    <t>8304,1sF3Ot2xRuGLGxq7B1OhSK2Bup80tuzSLUiVx8v4MbFk</t>
  </si>
  <si>
    <t>8306,1HJn2bRYv60ltqABoVQeYMr9fJoX9D0baxV9KesfCOuo</t>
  </si>
  <si>
    <t>8308,12RF2vmNfcww0_uT5jwYsC0MzhOjVg6EE7MBEJ9Tx5KE</t>
  </si>
  <si>
    <t>8309,1cu7y7yNT6eb3G6p_rEO5M9O-Z6T5wXa0IAmAvQ6FBXI</t>
  </si>
  <si>
    <t>8316,1-1tSOHttQZkf-7rh5ghjtZ_1Rhnq5-PCHc9ha94tddQ</t>
  </si>
  <si>
    <t>8331,1SuMMxCI-DsF-j_7n-ZA8DNa02qDbS-1YChlH9w1LPJg</t>
  </si>
  <si>
    <t>8354,1mOol3rxEB_ifp60Zpa1YlYT7BLPPFFpMl4C0PacItRs</t>
  </si>
  <si>
    <t>8355,1GpxhaExVsJEENph6TN7m-KsSphPvirozz1VlsTHVOO8</t>
  </si>
  <si>
    <t>8411,1Jk1RISnDNcjvpFiAmrOjdM8EJBiSK1wpOs3i-goUMd8</t>
  </si>
  <si>
    <t>8601,1Vd9mg7njnbmfZy8kG7zgkC75eDCEt7EJJOz0PY4yw3E</t>
  </si>
  <si>
    <t>8604,1hTuu2rG46lyfigVVAdOFzsZQTfZno67WL8wj30Xwuy4</t>
  </si>
  <si>
    <t>8628,1WQcfYFp3eS_iYn7Io5c9v2OkT2D0bHHBkWNEvRjO9t0</t>
  </si>
  <si>
    <t>8630,1vn4FCYQJN-VFYblQqJCSbAu4P924XDT6ESHaemK5fxI</t>
  </si>
  <si>
    <t>8725,1dwNRxUL3UM_hZBYILQ4xQT_Bo8wP2ult5xOt5zPs60I</t>
  </si>
  <si>
    <t>8729,1vKxYsHi2LtQHthlSDxzJCkhFmPI7_ADl0BTMYfwXDcw</t>
  </si>
  <si>
    <t>8750,1DldNzrUWVUKRFGDQBi3Wgkwb37iaXeFzE1cmIHhrKQo</t>
  </si>
  <si>
    <t>8766,16i3eTsOTLy4a5qlpryzXdiRxwrONHEEXdSA2JIHxYgE</t>
  </si>
  <si>
    <t>8795,1Y3jJbh4PYR-dcG_Q-8B0uz0msW8uJMVlglucPvri30I</t>
  </si>
  <si>
    <t>8253,1zqSCSfig4vneaXqiDCC90aOk9NpStz_irnCaUi53IKI</t>
  </si>
  <si>
    <t>3289,15BAyWjLmu7Vp7bAXE3mnOr_jRpu0Srm9o6YQOubnKXk</t>
  </si>
  <si>
    <t>8801,137ulzYugwErLcofDqwvaVdjXZZ-OvfhDxv0inzpSFn4</t>
  </si>
  <si>
    <t>8802,1qUoOL7ULmtcH6f0LwNJlYDPJeEuEjtKrYqLfoY-d0_s</t>
  </si>
  <si>
    <t>8804,1iM8a4utwoHejtraeio7so4Wue8B_vMvIpEovLQ2ypF4</t>
  </si>
  <si>
    <t>8830,1NRjOgOTfMwSe-B07buhgkbWC4NR_9YrxiMbcHmCvg3k</t>
  </si>
  <si>
    <t>9001,1v1m8OIgyk6tDws2zebvjIrxNxUscig4EPSOwTbmeXx4</t>
  </si>
  <si>
    <t>9005,1iHUpO2SINyW0yOl21lkAL_nhWYz-OnxHZish0WQMIig</t>
  </si>
  <si>
    <t>9007,1u1jnzpR4QhdpxHhvBUzWcEWNgqVYcXq8dCqxzsu6mrg</t>
  </si>
  <si>
    <t>9008,1MKL0L4MDOShAMhRnyNSIayjg7m03iNnvtcXvQJiMVbs</t>
  </si>
  <si>
    <t>9009,1pPwxResXJrQMa2hIjbCoLL6mvieXPBcb4YlicxG1WIA</t>
  </si>
  <si>
    <t>9020,1rPx28q4N4v4eLTPsTLX5E3SX_zFNPolMpCTgFCt1BoY</t>
  </si>
  <si>
    <t>9021,1o9dx8b2FBfa70SGt4Fcq0yDe1esQzsJ-3VZmY9ITgeI</t>
  </si>
  <si>
    <t>9022,1BdHoUakl6TKqVDIk24VRSFvn8gmqul13D85oDWaINxg</t>
  </si>
  <si>
    <t>9062,13NeJNrVrRkLnTc-Q5XCQgJunyqMk4XjYYkH8c8GBOB0</t>
  </si>
  <si>
    <t>9064,1lMBhioeMmU3SOprJ9g-YeIxUl6Z2lpN63YChYMjH8Qg</t>
  </si>
  <si>
    <t>9101,1OjK14xqFgxc3ieQ_659QzfDe3laKdXqSgcYN300cQZQ</t>
  </si>
  <si>
    <t>9104,1z3IO4RwGKqZFlrm9p41_kqdhytrm5XaV-zScesz7Vbc</t>
  </si>
  <si>
    <t>9107,1bWdovfLm0JxasUCwilDlTaDT5lM-lpzd-RQ6ozJTDUI</t>
  </si>
  <si>
    <t>9202,12EdHQqIvmk2dJ7uOpte7Ana8OZE19B1wWP7AFKrXl6c</t>
  </si>
  <si>
    <t>9301,16jCmXAqLjKd0vu7L49QFhLHbCnABuUkqlreE56nDn1Y</t>
  </si>
  <si>
    <t>9412,1ops2UyMrL8TmpOU8GB_Uu77q99Tx3SrjfF08NHFp9nA</t>
  </si>
  <si>
    <t>9432,1uEq_VJIzT0Y32LbXuRny-DULm6ehQlJUNS4wLXyDtvk</t>
  </si>
  <si>
    <t>9433,1DthqjvGpK9u4liY5vXj-Q3O1Il_vTo5J6bzDbbBBkis</t>
  </si>
  <si>
    <t>9437,1_N5dur3Ptxeso7rMqomlSfpS8JtbjFDylKlcnUSjgvs</t>
  </si>
  <si>
    <t>9613,1a60iWfO9oP6lAgiloSoPBxQ6AN0bKkWT5tTN85coJ60</t>
  </si>
  <si>
    <t>9984,1xvchrqOQfEDyWDGlzfqCZk4ucslVtuQVSPzbgr652Sk</t>
  </si>
  <si>
    <t>9501,1clPhO5xaLECi6p7HqCEf4aakb75KCVKybYWuM6xD7Ag</t>
  </si>
  <si>
    <t>9502,1kT17REKVMW7FYq-I-laOwsTgpwEqF39tEQ2QfYQG1gY</t>
  </si>
  <si>
    <t>9503,1shKkEfDVeiP3vhPaFXHD-ikzCLYAnGBT14ImTyVGaZ8</t>
  </si>
  <si>
    <t>9531,1krNhqJqtuvDWMhkQsSOYBJAPqcb7iG2Iur-2TWxZPrM</t>
  </si>
  <si>
    <t>9532,1b1bnLLLWVVuKQ9QUZu4_wXObXboMnZSuV44YxfVvD6M</t>
  </si>
  <si>
    <t>2432,1zH5cJZ8deJxeF2rnY-DA5jrqlHxQio9Xy5Q3LmJ_FQU</t>
  </si>
  <si>
    <t>4324,1Qvxg9BCby9dj9Nl_cYxNAYqkTluV2336aTPwz_kyNMk</t>
  </si>
  <si>
    <t>4689,12Hy3ijW5hdDQGQcPa3eL8DW-mzDTNU7HXDMlOntOGIE</t>
  </si>
  <si>
    <t>4704,1mIJwsEHs51aH5YxKxbt4hygTs6ASp7n_nhSf7oAN0is</t>
  </si>
  <si>
    <t>4751,1UX6nJGmYtbS55NRT4ufKulj6TvHbXBycr4Qt-Bo1Ko8</t>
  </si>
  <si>
    <t>4755,1iCiZuc2wg87UKEMt9IrVNIQiCEnQ344V8zf_NFTlMpk</t>
  </si>
  <si>
    <t>6098,14POMy3QOfuZAQxBuGu7Cn2CbgrOJeN4WVQqWydDmz44</t>
  </si>
  <si>
    <t>6178,1frlc5VyJvCl9ZKf-fuin_kvSP1IcX5CEDsvMo9DjgXY</t>
  </si>
  <si>
    <t>9602,1gqP2TYcTlKnPivG7TYjLE7efrn2MZs2f0SuN33a3J_s</t>
  </si>
  <si>
    <t>9681,1mLp9JRKIowkR_mGIjsfhmxSXTIVh2o2Eyj9Uy9MWHBY</t>
  </si>
  <si>
    <t>9735,1O-zDdc2pbDpXnkHv_KA7aHreoZyQp__QBS0jzNnHwGg</t>
  </si>
  <si>
    <t>9766,1iq0qn_KrmoAsvl8BjxDglF6N023NyHDjCRR5Yweu93Q</t>
  </si>
  <si>
    <t>3990,1MDZ4kHeYxTlmEkcb8doQNzqknv7hv7gvQHPq_6b4zcM</t>
  </si>
  <si>
    <t>3556,17JK2S8tDBveStp6Iq76r4Jqqqh3-tRSmC5fKDAogYso</t>
  </si>
  <si>
    <t>3665,1cRaKb0sqasarrgSlAH4T5Pia5fo_q_tkGwnc4K6c9xM</t>
  </si>
  <si>
    <t>3987,19JDGx4dp6xFJ0n9e390raZKM1h2XWPX0gWch5BtRmD4</t>
  </si>
  <si>
    <t>4320,1ZsNig7AQqh0BZ4vJ4QhC94YleLS8oVViN2p7WZg9ndw</t>
  </si>
  <si>
    <t>4427,1_qbVzpIuPs7NNBJYNeM7yYkpQ5sSTH9aUoZwIvrjzDM</t>
  </si>
  <si>
    <t>4726,1P_lz-VY5ojZvxBwF9yKvlJF2mdrnlI_pNoooibvHXP4</t>
  </si>
  <si>
    <t>5704,1tAnoooRaSb_hmZ0PBsmqfOaxCsquO78PLFnMcicdgxc</t>
  </si>
  <si>
    <t>6184,1MXvy_UcvqAR8dZnOPlWY1vhWogyWHycOB4J9zgqi4GE</t>
  </si>
  <si>
    <t>6754,1XuvidL2YiSH-EYVp13AccLwiFI1N6hiAYX72vLuCbh0</t>
  </si>
  <si>
    <t>6963,1Sx0GoAd3J2bSBSbSHyuZm3oVYMff9KylcYyxEBU0Ulk</t>
  </si>
  <si>
    <t>7974,1_D3Ar-Kpum0GqlgknUB08wXnhL4b7cLL__A2FLoab-Q</t>
  </si>
  <si>
    <t>9467,1Z3cGYnxo9kSCoQ09D-5e_DLp2XcI6MdWkKEHMpqAMac</t>
  </si>
  <si>
    <t>3110,1F3dx-pXYTf_DPeAAPQyOpMgOzwexNl5hvu9HP57POcE</t>
  </si>
  <si>
    <t>3038,13_DNDJ6x5Pl9MM71gjyCbF39KMWOf77qUYyYQijHZSY</t>
  </si>
  <si>
    <t>2326,1oyM5WQ2FpujpbrOgBfsFb1qtjZ0lJG01tbsj0omXO2E</t>
  </si>
  <si>
    <t>2384,1KHCny69dkwDSguQDL57_0iswaY2J-k9DpQT0IDRBW4E</t>
  </si>
  <si>
    <t>3046,14Lo5jioE1dHZnU9vsHPF5leXuHbhcUcEkp-4Chq7rpk</t>
  </si>
  <si>
    <t>3064,1XKtHK0em8brNPAYo5zUo2UlPWzKoaBZkCvse7vt6ioQ</t>
  </si>
  <si>
    <t>3349,1FgOTU_5M-lX3UDylTEhTtUBEtXpAD1S7xTp2xR-o_KQ</t>
  </si>
  <si>
    <t>3479,1wL8rqsmxlLv5a8G-gWsn6-2Ql1L_2ONsP0x7wzvPX9w</t>
  </si>
  <si>
    <t>3687,1FdFjs-ONsyzt4WGnp1xG2zhQkJb-yng4M4TEXilri3M</t>
  </si>
  <si>
    <t>6920,1YyPpDDDWpBrCvs6DeExR_B1XOqtUPj8zbZUYF6jK8y4</t>
  </si>
  <si>
    <t>7309,1pUfyn3j1OlKJzdVTxqunb-3B5PecAaVj6-R-4r9-3qU</t>
  </si>
  <si>
    <t>7550,1rKbxtIeNGPy1ix7pVC_oC7tf382pwVpj2H3bqtkzbRU</t>
  </si>
  <si>
    <t>7564,195ZtlezMoZ_MVz0ETr7RzQ_A77CtAJlEOcX4neYoKYY</t>
  </si>
  <si>
    <t>7816,1WfyaenuSmyrqHpXtoSQ4BEFsi1SNz40Spyy40_EHxxg</t>
  </si>
  <si>
    <t>9934,1WHItq5fnDcSM2mF_QiN_u-Vbjo3_4Dw-_-3pLxK96uI</t>
  </si>
  <si>
    <t>1357,1o9p0SYwZeKbIZaJpBxJ8tpEYCfLZbL4LDPwm-XvNP4s</t>
  </si>
  <si>
    <t>4588,1QwWnm2kDJ3CWMIDA5RmZ0SP2uiHqr1lceRs5k0uUOdU</t>
  </si>
  <si>
    <t>4344,1BbIkV3NiDFAmJwdMycYpcJxDNLKOWmUatDoKZSqsg1s</t>
  </si>
  <si>
    <t>7748,1kH_S1pKYzNgI4m3ZEqVcm124LbV7p2j8ierChdvpBps</t>
  </si>
  <si>
    <t>3906,1K6WdpDeIGJNcDyYYdbe4Azp_jJ60MwZELw8-3nFhSXA</t>
  </si>
  <si>
    <t>3356,1O0XXyZjP3gqUSjQkrGEnV7ucg4H5kU32ApI7AZ0beRc</t>
  </si>
  <si>
    <t>9434,19ApfKu83ll3jR759sZjDk2g4vFT9p5OB1GcmGqVF8e8</t>
  </si>
  <si>
    <t>6541,1y5cvLCL7aS6kqnDYallGObyPLxbObavoXTNuevjoJg0</t>
  </si>
  <si>
    <t>3092,1aV0210llRrR9rDHqB-dIJ5MirgsdFhP_FCWh7Le3e5Y</t>
  </si>
  <si>
    <t>3967,1wVT_0hDbjvpgaJjDk1WIdzFK-_B2fm2zdSzqQA9w0co</t>
  </si>
  <si>
    <t>6861,1JBH9ED562VL9Ww1tZC9RqhD33dOXbEjaMT6D7dcZG7I</t>
  </si>
  <si>
    <t>3627,1yTFM9iw5-ihOP-VAhxbUnhX3nQC8wgVGfKCCrz1MEf0</t>
  </si>
  <si>
    <t>1570,1KlLjKqIoN-Ctrh9SVGi0Oz-pteThbNOm9a2xh27nR-c</t>
  </si>
  <si>
    <t>6033,11UNX2Fq-C8trhPPjKaGJTWX-zQsYt0y3CHWq6eczXYI</t>
  </si>
  <si>
    <t>6071,1MgdwP5lgFfSlHgwSAbW24nxFosmsuNNMRKZHPzrNlfI</t>
  </si>
  <si>
    <t>3652,1I1pbUXkzyo1v4T4HQztC_L-1VWw75IzYGlNLQDplAGc</t>
  </si>
  <si>
    <t>3962,1dCsQKnfSiI31gA670PK9jixfWPm1KZBaBbRq0YxavEc</t>
  </si>
  <si>
    <t>4238,1MCEU_qY8bxpXsbzk7IJwChaHo_UxyT1MLq_M1mJrdTE</t>
  </si>
  <si>
    <t>6155,1dz_FZPeKAVDRUCwFmUBUiY1gJUs6M6aEcrv4cvjXf7I</t>
  </si>
  <si>
    <t>6246,16dS-6MO4g1VPYZICAmxVleObP4fY9V5bQ-TvYbYJTQM</t>
  </si>
  <si>
    <t>7827,1bJsHjPWZDJE2noCIDsgCFarlVS-l-uXbqpKezdDC6jE</t>
  </si>
  <si>
    <t>3477,1oOPyI9_leJNWfL1iTEvcRH5Y0KmsIYIiRq2AOed_MzE</t>
  </si>
  <si>
    <t>8903,1R8CtwxlFE2snHkIjX_ND-XPAh01kCKCDCnnCLb6J_iA</t>
  </si>
  <si>
    <t>3467,1F-o8KXPllpXyzbthehD_KGI50V0V9VgbZJ0dwY7cRkE</t>
  </si>
  <si>
    <t>3604,1V6Au8dvcZrTGhPAINSWHcovWNDpKBIlNlWaSYyusfsw</t>
  </si>
  <si>
    <t>5697,1X5Ei7PPYZTFTatUTNdKallYUxjVK29hmVzBfS0PSLnU</t>
  </si>
  <si>
    <t>1795,1AqUQGr1TkLY4hmbu9d_OlRzs8nbNmzhVyeHIus2j9jI</t>
  </si>
  <si>
    <t>6580,1-ZaDJ5OZo7CMKB69OC9UQPbCy0Z96yHZrbDuMQLcEXU</t>
  </si>
  <si>
    <t>8885,1D4GiSQF_p9PZwRw-p7HL1yEnKITd0_x3hI1PzULFsSw</t>
  </si>
  <si>
    <t>1844,1mjBpW0rQnGeUh04GIBUC-RcKfPi3C3ZAFgwVltK4aPg</t>
  </si>
  <si>
    <t>3695,1chDe-OeXHDF0pRJFdZCKLnTfs-MSrTcbuvFtCQNcHEM</t>
  </si>
  <si>
    <t>8886,1PE5GKfR_oUmxgyl7HssS85O3NyLhm85Ofajpp9Ke2tE</t>
  </si>
  <si>
    <t>6335,1wDcTAo_yA0Ou0ag7Mji8Nz0mok4iLALUd5TAvQfxgoU</t>
  </si>
  <si>
    <t>6694,1qTl8KpafUxFGeM7Icbsh7HzPcxF5QuxcGGmPjAd4G4o</t>
  </si>
  <si>
    <t>6867,1yWvARB2gxvaB3pubs4vIecZQyNsYH7U0pZVI1rTyobg</t>
  </si>
  <si>
    <t>3241,1a_ErE2sNu4g1xYTAfTbkQGGwmQEU_wl-LPAofUtGI04</t>
  </si>
  <si>
    <t>3524,1sEpwYt_Cma8hjYy_WswUlcMqu8RGxMjhu-FkBMRYMQk</t>
  </si>
  <si>
    <t>6267,1p2xkPoGj7fDYtIg3nz65U3kmVyT-znxAbVzuv2d8LQM</t>
  </si>
  <si>
    <t>6570,1iirrERzkt_ZygmYY8Dmnrd5be2ndzz5tctd3ypabiHk</t>
  </si>
  <si>
    <t>3750,1dX89bwNXzOm9_c3kq1R8zA4HDMdU0uXLikN3vAx6fVs</t>
  </si>
  <si>
    <t>3814,1VykJr6MpDLZUnldaBPK9AfaI3-OQYmsa1Paa0gUEAE8</t>
  </si>
  <si>
    <t>9625,1MWX8HplQXtF1uXtj1wzECKh4Tt4mS22TrrkIaEvzEyw</t>
  </si>
  <si>
    <t>6757,1VH55X4H5V7LC-Lp8a3gIz76Ac5O48AsUEglfgRr9Cas</t>
  </si>
  <si>
    <t>3461,1qZicUNcUGGbQbXXU0vuc7S_sGXFDpq-RFgaSSBaXLH0</t>
  </si>
  <si>
    <t>1739,1x8Y84BxXDQFIRKiFoSrso5kuMog38KlLoXgH-ZY-VCc</t>
  </si>
  <si>
    <t>3294,1DxiWqrNup_6-8PYoNk1Pvu98ABPeZc0YTa-YCGYGQ5I</t>
  </si>
  <si>
    <t>7781,15wMUgwv6F84Lk5HVKOTxsHQc1XnS07QI4jweDqSeQoc</t>
  </si>
  <si>
    <t>3647,1JinAyv64qg0gA1G8dky4uH6EKpmxOmkWngH71oQmMLc</t>
  </si>
  <si>
    <t>2436,1hePzVVjDfdrvMvq7en0Vq9FrAeeCoKf85RDpjN-5Ogs</t>
  </si>
  <si>
    <t>3489,16yuQ5xbc9jyluWr9m5n_50M7fPhTFkHDJ-EthJPdvaw</t>
  </si>
  <si>
    <t>6032,19KveAdBLEhbX7gdQflfDo6o7f44vXxjVb7mjngYyvAE</t>
  </si>
  <si>
    <t>4356,1Fp6a1JcmP8JHrMHWulPUqjsCBb-5G2i7sz1SnkgIFmc</t>
  </si>
  <si>
    <t>1431,1VV48GbbXcPO07acaK__5ppxLnLzw3W8hMyB0pocR70Y</t>
  </si>
  <si>
    <t>2599,17CMFvdFCxQY2vkwQgkCQ92g1c3_DkTiVnC3fJy0dP6M</t>
  </si>
  <si>
    <t>1826,1_qawUnV4twCIyViltl7QOLvCxNwSaQxB6CLY7CPeVYg</t>
  </si>
  <si>
    <t>5941,1_heY2AqDwylKZkc4CaMxtvFoBbXnoaLTeR-pKgVWNu8</t>
  </si>
  <si>
    <t>4952,1oWwATKoeYcS33H7gekFYNnmILrbXeHE8JmU_22yjqqo</t>
  </si>
  <si>
    <t>1994,1lTK9ohn2MjJu9tIJFTEgN5cWPWIP5wdIFWLw1J5fFA8</t>
  </si>
  <si>
    <t>2162,1b2SsO7ZQ11xJ0XmNs_iZ6IZipXDETlB8P5tejh7TXMA</t>
  </si>
  <si>
    <t>4323,1R1XQjPDLjg8jgGot4Lg8M-Elp6jsMQVMHTm-T8Oz9BE</t>
  </si>
  <si>
    <t>8893,1Imj2Fu56LVojGFn5tTpSwdBVEUHxORLNTICqkPwmA1Q</t>
  </si>
  <si>
    <t>3440,1etj3ZaRslEHqfL0ZlmPawWKQLGKy_CuJBA8rzHc-bP4</t>
  </si>
  <si>
    <t>6362,1UzEzD6q6mGA7QEYcczOB1N6zeVFHscHxNyCQq1TBuX8</t>
  </si>
  <si>
    <t>1420,1CS7SuSvMk4_CRMYw1iqYPIXjykqC10n4v_79IPu-F_Y</t>
  </si>
  <si>
    <t>6164,19ezRs-ErjnbtlVTAieo1e2VXSiB57ewlj-QjsvKEwZw</t>
  </si>
  <si>
    <t>3538,1zMpYavUE_QrEyLzW4QzwcrIKdeXK7ewG1BSHjJuCDbY</t>
  </si>
  <si>
    <t>8144,1WxCBVfVQ0KaXA5bwZWeLfigg6u8mkUVdicd1RXoZ33g</t>
  </si>
  <si>
    <t>4098,1eJhGhpfWI-qSd5H5l9DzbUNH2hd27_Lp-xit1mlUPTA</t>
  </si>
  <si>
    <t>3550,1MDhBiYzYhGqcsRyBJsmtDgH6hAizAYoEpwQyvonFdXs</t>
  </si>
  <si>
    <t>3323,1K-FyjbMIsSKOgSVuW19b9Vx0JtRBmEMY7L1zy_D_ikE</t>
  </si>
  <si>
    <t>2153,1e4ZhzHj3OoKAiii-_kjD5UfnTMbq6ma4QldOZ64gtrU</t>
  </si>
  <si>
    <t>7559,1R2bQxQdU6DN71UrlJo-bLdxXi-sst8hUFmwwLccWUvw</t>
  </si>
  <si>
    <t>8732,1QNEFmbYLRHLdYWU7WIjsxE9SIurhXHOSLd3bLNe2HJI</t>
  </si>
  <si>
    <t>3934,1urXJD0ynmyFf7itVThnMh8NHm-Kq3Z-KKzlgjdJaVNo</t>
  </si>
  <si>
    <t>5922,1Zeh85n_OInbsZQWb_6cAh1GXZmzyQBc_zwcRF8NHFOo</t>
  </si>
  <si>
    <t>3919,1vguaeea9A3RE1NF_40xxFd3tDFCvMFPYgLkZWa8_ClA</t>
  </si>
  <si>
    <t>6159,1jL-073pw51zOmMV7pDs6sJYw8ik6y2jeeyAKRnH7K9Q</t>
  </si>
  <si>
    <t>7722,1xbKHWfHrkw1t0YrNqMl-fRPBR5RYRLqLsBkclsPzfbM</t>
  </si>
  <si>
    <t>8887,1A4G9OG9XLk4aIQcPksfruIYeZA1yFcTD7nXabNXR2PA</t>
  </si>
  <si>
    <t>6059,1gOaRcKOvdvBhxX6d6DF8oDXjPyU-fNNNlPzKR_06I18</t>
  </si>
  <si>
    <t>7059,1V-NtAJ242dvXQbMVitrE3UaU1hjznuammMnlGmmYAiY</t>
  </si>
  <si>
    <t>2676,1MogrNxlWgCVZPJpjo2fCWu-e3-Dp6GUp4VsgM1FeTUo</t>
  </si>
  <si>
    <t>9233,1cwYlSUZbAajKfAdWU-y2I4UqUX_1Gp-VYkqmb2W2gVI</t>
  </si>
  <si>
    <t>9057,1ZxeZfW7UhWwc5aD6PETE632LjY6yud4IsvhZ2JN4uW0</t>
  </si>
  <si>
    <t>7539,10T0Krb23UO2PPzN0F0vRvx5Ni6a3Pjl7yM-OxHZcDCg</t>
  </si>
  <si>
    <t>1960,1NF7GGiFvUV_67SFnhRZMmVKg5t-3U5YFlZc0QQnueaY</t>
  </si>
  <si>
    <t>4987,1wLbMiN7e94aw9NAGYCV7w0giKZSfFLAFJ11X56Z2P8A</t>
  </si>
  <si>
    <t>3452,17E7YuyrIhOVoU-7UzPiaj_kv0FGpAXuD7CeQCiOFVTw</t>
  </si>
  <si>
    <t>6331,148q8FJiYZf-mI7pNxsqbnW345SBMmpBfe4-zquceLsA</t>
  </si>
  <si>
    <t>1726,1ZqvIHiPVOuw5VyPytEMIdI8JJu25oh06OMMaYy9ZR6g</t>
  </si>
  <si>
    <t>7745,1QJ91xc1eO2Bz_OzUHW44qJljGTOM5BLPmaKJLhlh1nQ</t>
  </si>
  <si>
    <t>5290,1k_Q1DPtkwQSo53S5VZShKA5xS24p3g9HtwM9mqhtP-E</t>
  </si>
  <si>
    <t>3482,1g4iatNe366UwYHPURgUdUP8ivxPUWpthXjXhvphn85U</t>
  </si>
  <si>
    <t>8929,1Lphhn1f9TRc2ShMRxF7F-NwuG8Cp2jYAb4YOpe5jnY0</t>
  </si>
  <si>
    <t>2301,1uWPhyZWmL5MQPFrR6m-dmNq3WaKVo7koqculpIRFzOI</t>
  </si>
  <si>
    <t>6535,1q01oX2Q3OamOt7ZQZQxaecu-PhZ-uNWjQJEQdqrgPms</t>
  </si>
  <si>
    <t>5013,14FWHy78jcaz5LMmbSEwolTS_uAWAzslX7gF_4liOnos</t>
  </si>
  <si>
    <t>6089,1WYW_EouuY402y-AnceLoyX69SdKO063i8xREPVEn960</t>
  </si>
  <si>
    <t>6677,1W2gyAW6IlqmlBRy8lN_c_PBUA5XToqC6q6FqB7jJ2VA</t>
  </si>
  <si>
    <t>8917,1V6UuBapm5GPD1yre9DAdXDGWETnTAjagQJGsHHo-bsA</t>
  </si>
  <si>
    <t>3772,1DbHcF-7Eysx4XamxL5ZbkKwL2j4lpBcBigZqbeA8UrI</t>
  </si>
  <si>
    <t>9270,1CtbGNlr8QNVFL-ZG4NIr4O2yAdaNqsjgSCw1eavA2JY</t>
  </si>
  <si>
    <t>3546,1fgIHlcu5_qyW8JmL_9o4zC5ZYPsGj9hvzLZWCpbKhYM</t>
  </si>
  <si>
    <t>6257,1-0t7AEQ1VmlxdCz1UjSAfCEKwVXB68Kr0Mt3Z1SKnMI</t>
  </si>
  <si>
    <t>7199,1pIxDm5ZBqxyLrWx7swXxhhYSoD-IwKBb35en2IlmeBE</t>
  </si>
  <si>
    <t>8877,1M3IVDl-Pga7KTslEQN9u_ZHmYssTeQUq9iE-I2_XxNc</t>
  </si>
  <si>
    <t>7433,1eRCwVnqM_Iy-e4zdAcl6Le3QN5ssLmXb82ie6E-H3L8</t>
  </si>
  <si>
    <t>6306,1iRSNY0E5FjCgV2YrnopgNLwFEHOplyebbsRpPujs--A</t>
  </si>
  <si>
    <t>3228,1NKs9d2NX9-yudTVCgOskOSa51_djy9eBmgnixcJNatY</t>
  </si>
  <si>
    <t>7820,1CzuR2v_yRKwlvq3cOHJQes799L6aByIvEz1NX9JvQVc</t>
  </si>
  <si>
    <t>2060,1dSzZNa7qHMzBW4OcN-eoxE5Sw6IKmSXTzb13y8QAsIk</t>
  </si>
  <si>
    <t>1301,1BL_-0j7PfJRnYt19dVJBmoFQ3_IGfMSST6mfc5vaEVg</t>
  </si>
  <si>
    <t>1407,11b4xlulCnJTTOORodKHF-SXaqLwFBFq2wH8Z5DDOfcg</t>
  </si>
  <si>
    <t>5304,1yOI4Rx7ol0vT__E1l29fVEN_xZv7gsYkoIaotPEn3Qo</t>
  </si>
  <si>
    <t>8198,11tCLBGY3bS4CSKwfZ-IysNygWWjvRgteoLM8JY-D5LQ</t>
  </si>
  <si>
    <t>5410,1vgwXI2enLBT1ymqcbRCF1d7H_HlPK_J12JVM4ZtKMyA</t>
  </si>
  <si>
    <t>6569,1IDPcT4KypzwyN5eWF76bfJfI9l-gLmoIy_5uPemQzWQ</t>
  </si>
  <si>
    <t>7173,1_8jVkVqW05ofCkztcEhQ5pPqDNscdOSJBkTw9sFvuPo</t>
  </si>
  <si>
    <t>1890,1RNH5N3U2DCGO3NesKB46hKfLc-MiTc6JkjT1DsCSz8E</t>
  </si>
  <si>
    <t>1954,1LJeNE9t8JhZTew49GudvuLkCdz-k6nPX82i1GZvQ_KQ</t>
  </si>
  <si>
    <t>9277,1aCckKfu9900go5sB7gE1AC8p5I34mVHQvsFxIfJrrhc</t>
  </si>
  <si>
    <t>8897,1H8SijC_G7I1-Oq4B-P1ixGQkk0lFAmg_STQ-pPWhjho</t>
  </si>
  <si>
    <t>7905,1VZlD2mp9W-2IjE8hgqQwsOz3UGG6qu6xPtGVMzwm1VQ</t>
  </si>
  <si>
    <t>3156,1C069vbP-yeE-o6oOA9TXNwwAEF-jK8CtFWKacc90_PM</t>
  </si>
  <si>
    <t>7172,1ZxjMi1KvosAGHlzrO3ClgYIuOCmP5NlTWZre72Os7JE</t>
  </si>
  <si>
    <t>8923,1-dUCE05xSX2zklGb-23TAk2JACm3qnmo20OiFqotxLc</t>
  </si>
  <si>
    <t>2362,17g_dCj1hzP8G5eWiQyv9h7aVTsZ6tuLFKFJPgfPUhWo</t>
  </si>
  <si>
    <t>6379,1jwb7d1pOYHYx2FMcljwvuV_bnXs99qGM3pXyAFy5jBs</t>
  </si>
  <si>
    <t>7198,1mD8yYFha3j4_Dlw9iwE6JedWBiwcARqcK1SjsXWhm2o</t>
  </si>
  <si>
    <t>2146,1ml-Lr0htemPPxDlReAY7erKg9y5mhePBqUh8zYjGjrc</t>
  </si>
  <si>
    <t>7148,1Ga7Z-wHip1VzqZXiykjQR3uexnXR0rz2f4gAtjuKsY0</t>
  </si>
  <si>
    <t>9956,1oOE0iNPOvHJZGBS9v6v9mBo8c9cn-ppfu-MZ-QW8FHk</t>
  </si>
  <si>
    <t>3254,1fsgEnnBcRL_WhtVpbcUp9rpWJQZ-iyWXhhGzbR5-rDg</t>
  </si>
  <si>
    <t>3386,13UMFMNM8EgCXBXGbJVugKsN6Avrkswlvk4rG-5k_4HQ</t>
  </si>
  <si>
    <t>4528,1pfc8Ml7PqHGlmN4KOCbrrub2r8bYRzbwJHmdYdiG788</t>
  </si>
  <si>
    <t>2370,1cBPKmNwt35lrDqaAtzWB275LkRhxKS6v3weVKBuoA6s</t>
  </si>
  <si>
    <t>4564,1aGLZ-lvRnpER_pXASlp4wO6070Y9yEkIbJKdovjhxT8</t>
  </si>
  <si>
    <t>4587,1vYZVw-WygHlVpeMd-UFWjMUV9E-ZQaoWrmnmB4EI4os</t>
  </si>
  <si>
    <t>4974,15uzKc_oMKyF0i6YjkWiWMk0hunG0gvWje6GS44LCBb0</t>
  </si>
  <si>
    <t>4592,1XPk82veu-RLhjVriQdp0oz_ZvN9SbJVuXXTcdOscrEE</t>
  </si>
  <si>
    <t>4565,1h95zMP0bDqOuC8OVTjg_i6jbpzJAXeWkOCYxL06ZmNw</t>
  </si>
  <si>
    <t>4583,1g113pT-VGTj1JC6MACvAMATa4zzempaU1Devt52aQdw</t>
  </si>
  <si>
    <t>4572,1--bbL6a9fLB0EUVGv72GqjpzPVTYWEd7IOCusxNp4Xc</t>
  </si>
  <si>
    <t>4875,10UvdMlmi2t0KGhmf6pPUNmr6DQ9oaYLtCMKeU6tH69I</t>
  </si>
  <si>
    <t>2191,1-EP3cvevHAzTBEEe2ria7X64_E19yjYmue8aWD_KVek</t>
  </si>
  <si>
    <t>7776,1O9zRDgCP-i5N4m0w58sNg9idiEJX5GMgIp9_5m2Xj2Y</t>
  </si>
  <si>
    <t>4978,1jmRMW9Ej4Y7v-jbCDNCTvGV1EjjQliImGwylFEJRO-k</t>
  </si>
  <si>
    <t>6981,1pz7jovYhfYRmeBwnOHFMx4PfWMwwAJ7MdhtOu5ou8DQ</t>
  </si>
  <si>
    <t>3891,19k-FRS7OGjvowNRUhiJxFjdAWkUTOB5RN8r2PKPT8Sc</t>
  </si>
  <si>
    <t>4080,1j67rjW83fB-YkL8QLuDcQSefTcQ9Y3wh5seakPx0qWw</t>
  </si>
  <si>
    <t>4217,16w44yqR9hxKxUI_6Z3KD61FO5lwDB2fqaIdloSB3ehU</t>
  </si>
  <si>
    <t>4027,10iCvcGNyky3VSp0h89uJLJ5zeV9yWwzfVMtFX3UQGEc</t>
  </si>
  <si>
    <t>4028,1TrkY7AGHyDGZHoa2BZK6ErEyZxBMPfgAKrS5ELNtc88</t>
  </si>
  <si>
    <t>9978,16EdU-XU6uImQ2Lou-pN_pYXFb9TJv2YkMX4YgELWh4Y</t>
  </si>
  <si>
    <t>3159,11YW2NRpIyUz_-DGHX9FRB0JGqCEzjKlf2g83G7CRGb0</t>
  </si>
  <si>
    <t>4593,1x4DUs3eZRSjahoewfn_eBbRQpT70Zh3p3YfGEQIxf9Y</t>
  </si>
  <si>
    <t>4563,1BY2fazNBcayAf8VrA4IOlqg7XLIIAHce4hIr3UuRqxI</t>
  </si>
  <si>
    <t>6955,1qHVsvGvAAZ_tjyqs79Ir2wu9S6C4iBf88hvroemIPyw</t>
  </si>
  <si>
    <t>4078,1tFEP4CaiHtPVX1wMHUuTQMe17EL9CZi-o0gUXOZypkc</t>
  </si>
  <si>
    <t>5727,1EG0J6LjQEw_5wpimGJ1mPsnRlX7yBN-EXCA2MVzpjMc</t>
  </si>
  <si>
    <t>3864,1Xs5uIeEhLAoMoeyuQ2J3sSPELczJ83rUIg-K7m3o5g0</t>
  </si>
  <si>
    <t>4112,1h5yewOkHGewXKdq6YPUuDG-IrYUw_wS0izsTfzRzKiU</t>
  </si>
  <si>
    <t>4205,15q4naGH1gCLHOihCjqzxPQEbx8-PlC0ocNNJJ5THvPY</t>
  </si>
  <si>
    <t>4215,1y9zcdymvAf4xhCuwzBIzaEO_Ky0RdPqW1qycoQdj5_E</t>
  </si>
  <si>
    <t>5998,1bg2bGzMzf3OonwN6CO9T8wFV17K7Yk8jrg5N7o-IYhw</t>
  </si>
  <si>
    <t>6568,12kr36oDY7F1K18NpHNdLUMEJALZNA2mjRrd3NqBqxWQ</t>
  </si>
  <si>
    <t>6965,1E94H98rh6Wo_5vcsAwxPB9WbUFa181ze1I95evSflTM</t>
  </si>
  <si>
    <t>7915,1VJnOLfY4vwhy6qjA46BZiHHonbmsR1j2UgiEHhrRVJI</t>
  </si>
  <si>
    <t>7966,1iWFLdl2oPhMKq5NOATrAHnvDgNUX1JnwEpdsYVMj2ek</t>
  </si>
  <si>
    <t>8101,1E0eLnl-ASn10Xj5eq44-oRC5_uM1lwWyIZxZAix9caA</t>
  </si>
  <si>
    <t>7238,1GmJ8J2vQyGZa7CLf1ZXkVM0LsRY_Ehba_ATbU6oit28</t>
  </si>
  <si>
    <t>6191,1pUWqOJVfawGyx4vmmtw3cblqGuSoCTEsXm504bqNEIc</t>
  </si>
  <si>
    <t>3277,1wkXsXNXR1EKQ9R4fxnmt313DLv6izm4uoNWR5be6iag</t>
  </si>
  <si>
    <t>4245,16oKGmlCsywxTRwYK10f-_x34lv022OKqlzldf6C5oDE</t>
  </si>
  <si>
    <t>6062,1W0Cge1urYX5_G7G385Yt0Au6Vi3boW7CwQCnUoBkt0w</t>
  </si>
  <si>
    <t>9263,1LvHjE_Dp_4W3LynYiH-jAbu6pSPc3Im8oMtf4luTFFQ</t>
  </si>
  <si>
    <t>2485,1eO7d234FuIQNiV2bxOjj9ECRhbhatXRqJni434ji3Hc</t>
  </si>
  <si>
    <t>6625,1g1ZwEHJMChUkYHoN7-FNnWD5AAHD_akKEz3uMZQfWxU</t>
  </si>
  <si>
    <t>3054,1G1BWmy1RLz1jLk-Y-_lTFJBOd9TqowAvMMqkknbP3cY</t>
  </si>
  <si>
    <t>3021,1rwncyObJP3lpchv7hKABRqrFj2querH6hZszbFUM7RU</t>
  </si>
  <si>
    <t>9889,1SER47mbmvRBu4hrW8tfZTSxbI3E678D0x3uyDXt1tFI</t>
  </si>
  <si>
    <t>6195,1yW-f-pvyPbpL-ustrufz4mqPQ6JHyT09uix9QOdhAjs</t>
  </si>
  <si>
    <t>3912,1XZg7zFBgHqN0nBm9h5so0c6I13z6sH2A4JeqVE8NHjY</t>
  </si>
  <si>
    <t>3914,15IbT7brSPEdO6TRiE8CrEsFBszE8iCu3yrtlkPTyZsk</t>
  </si>
  <si>
    <t>4428,131ns9AFs0QcZxoWfQNZAB7syRweSNtLhmDj7vLDbGKE</t>
  </si>
  <si>
    <t>4431,1VcwymiDyeD8D62cmBTCF1QutrGqR4BuWiqIPF-XjZ2E</t>
  </si>
  <si>
    <t>3997,1AOmtKecugmG3crfrbEjOZqdgwduBipg67t-hKTBl5lY</t>
  </si>
  <si>
    <t>6552,1qLRHVRz7ULxs31g_ceZcqhwCjyomTShXioOEqEljYPo</t>
  </si>
  <si>
    <t>3137,1EyBrPujj4t5swjzean0sKbG0lTITHL_Du8HETpdnnQQ</t>
  </si>
  <si>
    <t>3446,1_iIFpz0_D9bffD7Gxc_XHI3SX3QqUKI9wkHnioVYDLw</t>
  </si>
  <si>
    <t>3454,1yJOGg_RbH_NqfQh7iv265wC4-_mBqVbzX3lm4x_SF68</t>
  </si>
  <si>
    <t>3682,1FhvG6pYZeEwCVZHSajUI3ySgAxpwWMq8Ar1fUoXNsuk</t>
  </si>
  <si>
    <t>3901,1lw5YBEsCR1wXkqGzvIlK24wDyYZbArBhQudcUuBwO6I</t>
  </si>
  <si>
    <t>6072,1FqwC2iMU32rEtidzgKaYV-KXHBvXUhX0eQJvWGAthl4</t>
  </si>
  <si>
    <t>7721,1C3TsLMX0JSYF4Jp2nGcGrpuymDMfFYX4Kr2yXXDk0Ek</t>
  </si>
  <si>
    <t>6946,16OTZxbYypQdWQP9N2mloegHua-cnu95Bo720Pc8DzOI</t>
  </si>
  <si>
    <t>6203,1yaW6rTtydQ150cgwc5BIdgXqVhhV0speo3GfJWvdYMQ</t>
  </si>
  <si>
    <t>7963,1lHEs8-Ha4V9IY9Xo8o2HgVsuDmb3Zyysg2ataTe0sBo</t>
  </si>
  <si>
    <t>7980,1fMJbenCbmolU5OVgGaR9xNine9itl7TjyS5J8jWMyag</t>
  </si>
  <si>
    <t>4274,12eviCIER2xbmBZ5n5x4ZspV-wfKeYpboxs3SGq7xHog</t>
  </si>
  <si>
    <t>6208,1JNvb40-PiGerVPBpQKhRrq_wWl_ljDlFGWZHKHhgF4c</t>
  </si>
  <si>
    <t>1557,1Vy2CDg4X7ar2cwBB3teSElU8TInojtEaBhcP_YOacqg</t>
  </si>
  <si>
    <t>7777,1hDMkNTrRpFY2Js61LtO7Zhig6KsFzSAaQPFE8n4iO70</t>
  </si>
  <si>
    <t>5287,11fOLSe2QsanOsTc3OjzwuhAlOJmH4phhLwibtt_scgg</t>
  </si>
  <si>
    <t>6171,1wA8wuKHKz-dNEjP4mGFyzUW3cz7S010KkQEj0Xbl7g4</t>
  </si>
  <si>
    <t>9678,1X0YORW1cMVHZi0KbHL_zmPSiIknw7a5hUKbGFbhxXvo</t>
  </si>
  <si>
    <t>5807,13n7PM45k2PZ1YMgrp0gKp0RoaQjXtRnCfjugTFlQEnM</t>
  </si>
  <si>
    <t>4825,1uiSuSRwLG6M9Ed66VgPUVOoSFfDIQFxmQ33RSgIDe7E</t>
  </si>
  <si>
    <t>1914,10XXhlrNsMzAAmjGFGtDgWGNyl7GJ1ox0oyZIeSQhPKM</t>
  </si>
  <si>
    <t>4318,1eYm55rZblmHzxw1GuNpCih2owXe99h9C8Bl5hOSd0N8</t>
  </si>
  <si>
    <t>2410,1yF8aRa1qGrG_hHdRmQoKV5p3MnwYtdBtg-aJwXvgXpQ</t>
  </si>
  <si>
    <t>2163,1VplklLKXPFWBWA9W8UgSxrbvd3RsYuN1PE9lZdKuIE8</t>
  </si>
  <si>
    <t>6551,1Rzohs-s0xJwvcuy8JdXuYQYRo8lzFg-BAYXl3TTfKGk</t>
  </si>
  <si>
    <t>4848,1L7lmLHuv-CUX2FkQ82r-p6TNXLHnReIWUHAK8cj6S7k</t>
  </si>
  <si>
    <t>6533,1kosF-isp9r-0aH93BpFtmSHLeFjvu9fikrXC8fBEiA0</t>
  </si>
  <si>
    <t>4557,1aXFx4NW_rVLr94IsGYD1KgMedgD9qu-t9t1EmlzNDb4</t>
  </si>
  <si>
    <t>6502,15qAONOMYUHBsHhfU5nfTMz5f_OJjvMrxEfsG0zDLzBU</t>
  </si>
  <si>
    <t>7936,1BG1_mOnWm734DFqoVP4xUDHUcoeEtuMFE8P3yzrpBsY</t>
  </si>
  <si>
    <t>8111,1BpFjnlWDWRokbwU4z-DVFOGPDtsuuLFyGE9nCT7o97o</t>
  </si>
  <si>
    <t>7058,1UNhmUUxZ4qKLweJZfIQdqFEemCrC1z9cb92zzn1NmRs</t>
  </si>
  <si>
    <t>3498,1BekvdveRZJasNUGCPYt_burNeuw38bbEKMhQpWX2q_Q</t>
  </si>
  <si>
    <t>7862,1YidKoT1fhd6kgAiIYIrhCloFx72uplQSO7h2hkyDpKY</t>
  </si>
  <si>
    <t>6145,1C-wSnkrOLejUHGCpQz4TEeEo9_MEWQ4VpVzX0KGMVIY</t>
  </si>
  <si>
    <t>5162,1nJIS_LAYSKidB_kSk1t2OU_CktSVyi4_a36jlrAsVBI</t>
  </si>
  <si>
    <t>6287,1qhGWWGVxVt071Lr2YkCd-90U02lDyAgtw6pIsERHzcQ</t>
  </si>
  <si>
    <t>6664,13Qu_qRAuJwoMmzYYwjY352P6_qfh-DzcCXDA-QasFAg</t>
  </si>
  <si>
    <t>3753,1ZTEhdEUwXBs2ifQQjfrPclI_aqq7P9Lg-PeiQSZIxoc</t>
  </si>
  <si>
    <t>6945,1B9VQ4dMa0GA79Jy6BQFxxR1iF2cCqzxiASnj0Aw9lBw</t>
  </si>
  <si>
    <t>3837,1yHo-3DnJSjWkzKV30wFdYFpQIkxbH7Z6aNN3wj1IOaU</t>
  </si>
  <si>
    <t>9972,17IRk_8H6vgARUkh6DSQc1UVfZPnVnLWGLxUFjIsP1hc</t>
  </si>
  <si>
    <t>7919,1mOb0iVgrBEn2mBMdiVRyUfZzlITkdJXErBzClKreoGU</t>
  </si>
  <si>
    <t>6666,1z4-RILkA8FgbL1dot1AowzIp4UahhMmU417mDcuCswM</t>
  </si>
  <si>
    <t>4998,1cTwTYTSzLzw7MLkX-_JEVZEZbRxrZgFw-HFiVw_4pls</t>
  </si>
  <si>
    <t>1813,1h9nXJqATDyWvMhZCm86x4K5iKc9JyFfkkaNxYgi4wko</t>
  </si>
  <si>
    <t>9699,1-komvVxseQhdC4KaEzimeWhwC1zr9eAOVjRxEA2PGaM</t>
  </si>
  <si>
    <t>3030,1hRhfPK0FW1yrKQTv4KZKMTWWIqfu3O2ioli1UrwBbzo</t>
  </si>
  <si>
    <t>1414,1GGOgJ_4X3zqrYrNXgt7YJ3U73un8VTtLI2QP44Stqvs</t>
  </si>
  <si>
    <t>1719,1MIEVBAG2Zoj7xHzIF8iXzenNgNou80mcBARB-AEY67M</t>
  </si>
  <si>
    <t>1743,1p4LCUa1G-WXQwgrnNKbqu3icbOjtugLFZhDKOH7v2DQ</t>
  </si>
  <si>
    <t>1787,1qiMqTvZBDMyNTC3MJxVOYrqRjsTVF1HnoxV4LyhC4zM</t>
  </si>
  <si>
    <t>1815,1wyQAEFM6zq3TaZYH5NLhx08iMc-bv99zWMYtSE0-Zc4</t>
  </si>
  <si>
    <t>1820,1cC4VPqGHlcaNETnRBQ79F1o9mGm7A-JMPRXFKxzNjfg</t>
  </si>
  <si>
    <t>1822,1aOGVECmpHLQrfrPea3F9FT9ZdpaTUoUWR84teVJUFmY</t>
  </si>
  <si>
    <t>1835,1-g4rf4hUmfGrVmly_lRj7biCZ5oL-vWMplbhD6hRsKA</t>
  </si>
  <si>
    <t>1848,1DjweY2as4hE8MPlQUmq-nXgrxnkTSoWbwtQU4pQ78NU</t>
  </si>
  <si>
    <t>1860,1Hy40hc5Nx3R8pba6ewGBvGZg_WR0KbhXxoQOqWu1BDI</t>
  </si>
  <si>
    <t>1870,1wjtNfKzIcTekZdxGDfD8q-lQ5TmLrh630DfS3nYcXCc</t>
  </si>
  <si>
    <t>1871,181cSYAbtW0mCJbTpixe9bzwewahyVWFX2bfE7PwwMbs</t>
  </si>
  <si>
    <t>1881,1x7AX4tAwbLeeozXJK8mQ1qQld5twY5xMkbSz5lrMk3c</t>
  </si>
  <si>
    <t>1882,1vsWLFY1kmAqNZPq8_1AofLcfiQsoK-bemcW3vjPgVig</t>
  </si>
  <si>
    <t>1883,1JSGvtPf-5UHFRJEB_l3-Ro0gwVW48IaoCUpxJ0JCm_0</t>
  </si>
  <si>
    <t>1884,1CXhgkjwZ9ZHEhplG157KjhklH046dFmpm9ynwkQycx8</t>
  </si>
  <si>
    <t>1888,1lzqAuYEj__xJ-wvZ0aFp445K2ujFEKrmgEKPX60nyWs</t>
  </si>
  <si>
    <t>1893,1HMmYAIbgXJRD06vnZkQjsDjZ0XG_NyFWaQWQmzvgeQc</t>
  </si>
  <si>
    <t>1898,1H7z6wS-djXxfvjEz9mgfKB6iDK6tHDxMksBUNRr2b_Q</t>
  </si>
  <si>
    <t>1905,1dxsSQYtScxlWrWwjbAWKRrb3fm3sbxYqrHXtnvns5Dg</t>
  </si>
  <si>
    <t>1926,17t3z453wkVYuQzSRLK8h5ZHhpUnVRpS3mA2p7ZyaXXk</t>
  </si>
  <si>
    <t>1929,1_66jJkMvK_cO0if85UfPtMvsPzmx8ztbV01ctBiUsTo</t>
  </si>
  <si>
    <t>2151,1Q03vuKTp28sFFg7_u-JeoktfcxZiCcSjtLu3bOvAp9A</t>
  </si>
  <si>
    <t>2445,108RJY1epJyntisiId_ZMleEeMGTT72AhG3RIfJU2kNY</t>
  </si>
  <si>
    <t>3431,100CpMBxsK5UvPceOqtszg0ZPm36AiUaW6_3IUoAmJ04</t>
  </si>
  <si>
    <t>4669,1SCWpJmxSizyrByWd1MPLHtkgLx1R4V1Tvi_3FjYPl2Q</t>
  </si>
  <si>
    <t>4707,1SGIGUuxEBlNwu5aOxRtM_-aPBuxh-N-BtYI6BgT-aMk</t>
  </si>
  <si>
    <t>5186,1PvP9E5OaAB_jlxqGugs1x-1bez46RKmbCAmkNiyORAc</t>
  </si>
  <si>
    <t>5911,1XebSiNcENha-j0WA16uVMj3Hx_m9SSAvoerph8HI7uc</t>
  </si>
  <si>
    <t>5912,1eBgET7hOeOVq-vEgaBpWwarf4kcRa2YdFXhyGLawePw</t>
  </si>
  <si>
    <t>5915,1OuhP519oYLkBvn-ocNc7ygLKsc5_jFZwlCFOHfCu2EA</t>
  </si>
  <si>
    <t>5933,1jguepO0xLpBlIoCmqUC8JFIE6wJKa8apNdyIN0moH7s</t>
  </si>
  <si>
    <t>6282,18RC7pf4AXbrDKTNJ0gccJYRhpdI3qmL9xHXATdGkRVU</t>
  </si>
  <si>
    <t>6289,1uLTmRrqm0GhGpCdpfuLg8CqYhCEc7eQfU6BvMs0Iqrc</t>
  </si>
  <si>
    <t>6358,1O6eROJCpRMr54MNLRFT2_ls4n1TctsY2BsRW7NKulY0</t>
  </si>
  <si>
    <t>6395,1mgfDdCYYP81cwpaaGJoCCs6QtF2hMnxDxOztRFxgkm0</t>
  </si>
  <si>
    <t>7057,1zTMnTTZeSXFFF01RfBGQs_1AwZTNfz5l0hhlJemhNno</t>
  </si>
  <si>
    <t>7224,1RSn9qmDaSN3L-OrfN3WEYJMJVBLvYhORhIJxwpPtyDM</t>
  </si>
  <si>
    <t>7226,1kNre211-EuIcd21h4S851wQ3_OyB2SzeAHso55hRG38</t>
  </si>
  <si>
    <t>7821,1KRXYUegRDPMu-fWyD4dqBh2Y-Cx2AaoX5Q1qQ5vi6EA</t>
  </si>
  <si>
    <t>9991,1vmfsevV4TWIzGWFfn76aGgMOo6gJHZtWkdXi_HLezdU</t>
  </si>
  <si>
    <t>1417,10R_v12k4-dr7DxtTax76e52f1WQH8V4zMdFWrPSzHyM</t>
  </si>
  <si>
    <t>1789,17LxXRMcz8IVv2-hLgdqcY_kravLCHsjSHhbGfMDLEnI</t>
  </si>
  <si>
    <t>1951,1zTtwNNMCyjyzhjfjElwsCtfZ5cTy7FXfVNbh2u4A6lQ</t>
  </si>
  <si>
    <t>1973,1pR9COYP__V4sDc3DQzBlnkF0vokwEQf4kkfx8Lde8hA</t>
  </si>
  <si>
    <t>2375,1KGWfePgLARw2fscsGj7y9ISDKsP9UPi401LH6EKSUP0</t>
  </si>
  <si>
    <t>2413,1Zps6yA94RTwex581KsdyHqBRsMORNX4MTHr_dAOCEHk</t>
  </si>
  <si>
    <t>3040,1-sdqjjpL4X5ZgxL0bEgU-WYjCE1rAEdiUdyyiCM_74Q</t>
  </si>
  <si>
    <t>3559,1lXK6CLrbo3I59nQsCGh9EBiUnb5YldG8gwWWGlG6D_s</t>
  </si>
  <si>
    <t>3661,1dDrpd_rFllRjjifdOl-3daxcMeoxL0RZGW8jcQoZbMI</t>
  </si>
  <si>
    <t>3776,1ISC8sREKEdKJXnG5Zu23LVGW-6LeIMlHb_SStF6-oJU</t>
  </si>
  <si>
    <t>3842,152_zpqC__S6LNvHXcF4YnJ46Q14zIq_1HSTf2VbLFGs</t>
  </si>
  <si>
    <t>3852,1hfZLcQwNsByYc-RpIKZYdzHjz4r022r2BM57P7OrZsk</t>
  </si>
  <si>
    <t>3914,17XZZcPi68Euj_mwpzEkKvj9PluaL8pDwG7Xq4ZPP7aM</t>
  </si>
  <si>
    <t>4390,1qZ-W-mIED34vT0hU32G5ZJYSDPuB4pQ6FNpCAEMMvn4</t>
  </si>
  <si>
    <t>4719,1yUuliOBQ7doi91flHOlaH2Cdn85LvfFBfFwmkmPrIJE</t>
  </si>
  <si>
    <t>4739,1mjDrt81yUDOu9CuO4TLhe2aRcGxJNV4H1zp-RFHPdiY</t>
  </si>
  <si>
    <t>4748,1VwGpQgIEagdyNKbrWkxyYjsLiiki_XaGFWjKceN5WvQ</t>
  </si>
  <si>
    <t>4813,1JRE7jwrhybEK9VNs8uFdg5eQ18XaKBfJHQ8nLRVVBwE</t>
  </si>
  <si>
    <t>4968,1ezA0DS4iqfW35tmNxhaqFac2cYGZqQ-uPNS1BNLTHRA</t>
  </si>
  <si>
    <t>6038,15f0xv_ZsYct7lN7dn9GM0S5FErFWSrfUa0E3yI9bx60</t>
  </si>
  <si>
    <t>6101,1Zq6pAEJU39ALFLPh5IV1AO5F4V5TW4O5Q77U3ylnZ5o</t>
  </si>
  <si>
    <t>6235,1l3apKHD0Wz4UCMHfxs8XcunCmbhNsBbZEsbGG5x3QYE</t>
  </si>
  <si>
    <t>6327,1tJA7K12TbuRFVbzqNnmV7-ZmVcv63pa10VHVFBMjLdI</t>
  </si>
  <si>
    <t>6640,1UK1O0nbNC4j0WGPa-A8iFZkCxjrwMZ0f2DqDxgkZHs0</t>
  </si>
  <si>
    <t>6666,1smtizfcQQ6Yvd8D2WWq5KkCQRo9bkg7y4zA1aNP53LE</t>
  </si>
  <si>
    <t>6706,1jCGKn2bMok-J3qlTTDI5qlYTMYwPvjiEKGT_YEmUipA</t>
  </si>
  <si>
    <t>6777,1eA6uf01OjcgyyNdntaNUAcoQwLV7x70OECZUowtjM_I</t>
  </si>
  <si>
    <t>6778,1N9jGJqD2w_HQ0QhWxSCGN-QmBh5Mq8bk2RiMsoJWSmE</t>
  </si>
  <si>
    <t>6779,1DLy8cOCP3nO5Lqs75KZI11Ltjue5ImHW1GWIcaES_fI</t>
  </si>
  <si>
    <t>6800,1B5JBmzvO3rXYbtXgS4DpoYZ7lpoNLI1pxYGA1TNRuFI</t>
  </si>
  <si>
    <t>6834,1JQElAcySqhFw5T-ZNYUJaRvtQc_iA0-Vj_fMlLm_Sis</t>
  </si>
  <si>
    <t>6838,1e4ug4x64yKv21yYLN900vEPUtXLQRk_YdKLwrBqMKeI</t>
  </si>
  <si>
    <t>6840,1ujDrQY9_bPH9mAZtaSBHML0bgPmZ776Tyx5rAH6DXiI</t>
  </si>
  <si>
    <t>6874,1Va2ZIY0CcZsf3fizdDL7mrmwu1y7v4UA1CawWCG3njI</t>
  </si>
  <si>
    <t>6875,17e6N_PK2a6cyPI9lzcTcJr1jB_wUV8bQdHbuhaw1xVg</t>
  </si>
  <si>
    <t>6890,1lLOAQcwC2Ls7p9_-BBB4FH5Hpapi97p-GlImGQeIH6k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</si>
</sst>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>
      <color theme="1"/>
      <name val="Arial"/>
    </font>
    <font>
      <sz val="11.0"/>
      <color rgb="FF008000"/>
      <name val="Arial"/>
    </font>
    <font>
      <b/>
      <color rgb="FFFFFFFF"/>
      <name val="Arial"/>
    </font>
    <font>
      <b/>
      <color rgb="FF434343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horizontal="center" vertical="bottom"/>
    </xf>
    <xf borderId="0" fillId="4" fontId="4" numFmtId="0" xfId="0" applyAlignment="1" applyFill="1" applyFont="1">
      <alignment horizontal="center" readingOrder="0" vertical="bottom"/>
    </xf>
    <xf borderId="0" fillId="5" fontId="4" numFmtId="0" xfId="0" applyAlignment="1" applyFill="1" applyFont="1">
      <alignment horizontal="center" vertical="bottom"/>
    </xf>
    <xf borderId="0" fillId="6" fontId="4" numFmtId="0" xfId="0" applyAlignment="1" applyFill="1" applyFont="1">
      <alignment horizontal="center" vertical="bottom"/>
    </xf>
    <xf borderId="0" fillId="7" fontId="4" numFmtId="0" xfId="0" applyAlignment="1" applyFill="1" applyFont="1">
      <alignment horizontal="center" vertical="bottom"/>
    </xf>
    <xf borderId="0" fillId="8" fontId="4" numFmtId="0" xfId="0" applyAlignment="1" applyFill="1" applyFont="1">
      <alignment horizontal="center" vertical="bottom"/>
    </xf>
    <xf borderId="0" fillId="8" fontId="4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3" xfId="0" applyFont="1" applyNumberFormat="1"/>
    <xf borderId="0" fillId="0" fontId="1" numFmtId="10" xfId="0" applyFont="1" applyNumberFormat="1"/>
    <xf borderId="0" fillId="0" fontId="1" numFmtId="4" xfId="0" applyFont="1" applyNumberForma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2" width="51.29"/>
    <col customWidth="1" min="3" max="7" width="10.57"/>
    <col customWidth="1" min="8" max="8" width="10.43"/>
    <col customWidth="1" min="9" max="9" width="10.71"/>
    <col customWidth="1" min="10" max="10" width="10.57"/>
    <col customWidth="1" min="11" max="11" width="9.86"/>
    <col customWidth="1" min="12" max="12" width="10.29"/>
    <col customWidth="1" min="13" max="13" width="10.57"/>
    <col customWidth="1" min="14" max="14" width="8.71"/>
    <col customWidth="1" min="15" max="15" width="13.14"/>
    <col customWidth="1" min="16" max="16" width="13.71"/>
    <col customWidth="1" min="17" max="17" width="10.0"/>
    <col customWidth="1" min="18" max="18" width="12.86"/>
    <col customWidth="1" min="19" max="19" width="10.43"/>
    <col customWidth="1" min="20" max="20" width="10.57"/>
    <col customWidth="1" min="21" max="24" width="6.86"/>
    <col customWidth="1" min="25" max="25" width="10.57"/>
    <col customWidth="1" min="26" max="26" width="10.0"/>
    <col customWidth="1" hidden="1" min="27" max="29" width="6.86"/>
    <col customWidth="1" min="30" max="31" width="11.71"/>
    <col customWidth="1" min="32" max="32" width="11.86"/>
    <col customWidth="1" hidden="1" min="33" max="35" width="6.86"/>
    <col customWidth="1" min="36" max="36" width="12.0"/>
    <col customWidth="1" min="37" max="37" width="12.71"/>
    <col customWidth="1" hidden="1" min="38" max="38" width="10.57"/>
    <col customWidth="1" min="39" max="39" width="8.14"/>
    <col customWidth="1" hidden="1" min="40" max="40" width="8.14"/>
    <col customWidth="1" min="41" max="41" width="8.14"/>
    <col customWidth="1" hidden="1" min="42" max="42" width="8.14"/>
    <col customWidth="1" min="43" max="43" width="8.14"/>
    <col customWidth="1" min="44" max="49" width="6.57"/>
    <col customWidth="1" min="50" max="54" width="5.86"/>
    <col customWidth="1" min="55" max="55" width="9.43"/>
    <col hidden="1" min="56" max="57" width="14.43"/>
  </cols>
  <sheetData>
    <row r="1">
      <c r="A1" s="1"/>
      <c r="B1" s="1"/>
      <c r="C1" s="1">
        <v>1.0</v>
      </c>
      <c r="D1" s="2">
        <f t="shared" ref="D1:BC1" si="1">C1+1</f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2">
        <f t="shared" si="1"/>
        <v>18</v>
      </c>
      <c r="U1" s="2">
        <f t="shared" si="1"/>
        <v>19</v>
      </c>
      <c r="V1" s="2">
        <f t="shared" si="1"/>
        <v>20</v>
      </c>
      <c r="W1" s="2">
        <f t="shared" si="1"/>
        <v>21</v>
      </c>
      <c r="X1" s="2">
        <f t="shared" si="1"/>
        <v>22</v>
      </c>
      <c r="Y1" s="2">
        <f t="shared" si="1"/>
        <v>23</v>
      </c>
      <c r="Z1" s="2">
        <f t="shared" si="1"/>
        <v>24</v>
      </c>
      <c r="AA1" s="2">
        <f t="shared" si="1"/>
        <v>25</v>
      </c>
      <c r="AB1" s="2">
        <f t="shared" si="1"/>
        <v>26</v>
      </c>
      <c r="AC1" s="2">
        <f t="shared" si="1"/>
        <v>27</v>
      </c>
      <c r="AD1" s="2">
        <f t="shared" si="1"/>
        <v>28</v>
      </c>
      <c r="AE1" s="2">
        <f t="shared" si="1"/>
        <v>29</v>
      </c>
      <c r="AF1" s="2">
        <f t="shared" si="1"/>
        <v>30</v>
      </c>
      <c r="AG1" s="2">
        <f t="shared" si="1"/>
        <v>31</v>
      </c>
      <c r="AH1" s="2">
        <f t="shared" si="1"/>
        <v>32</v>
      </c>
      <c r="AI1" s="2">
        <f t="shared" si="1"/>
        <v>33</v>
      </c>
      <c r="AJ1" s="2">
        <f t="shared" si="1"/>
        <v>34</v>
      </c>
      <c r="AK1" s="2">
        <f t="shared" si="1"/>
        <v>35</v>
      </c>
      <c r="AL1" s="2">
        <f t="shared" si="1"/>
        <v>36</v>
      </c>
      <c r="AM1" s="2">
        <f t="shared" si="1"/>
        <v>37</v>
      </c>
      <c r="AN1" s="2">
        <f t="shared" si="1"/>
        <v>38</v>
      </c>
      <c r="AO1" s="2">
        <f t="shared" si="1"/>
        <v>39</v>
      </c>
      <c r="AP1" s="2">
        <f t="shared" si="1"/>
        <v>40</v>
      </c>
      <c r="AQ1" s="2">
        <f t="shared" si="1"/>
        <v>41</v>
      </c>
      <c r="AR1" s="2">
        <f t="shared" si="1"/>
        <v>42</v>
      </c>
      <c r="AS1" s="2">
        <f t="shared" si="1"/>
        <v>43</v>
      </c>
      <c r="AT1" s="2">
        <f t="shared" si="1"/>
        <v>44</v>
      </c>
      <c r="AU1" s="3">
        <f t="shared" si="1"/>
        <v>45</v>
      </c>
      <c r="AV1" s="2">
        <f t="shared" si="1"/>
        <v>46</v>
      </c>
      <c r="AW1" s="2">
        <f t="shared" si="1"/>
        <v>47</v>
      </c>
      <c r="AX1" s="2">
        <f t="shared" si="1"/>
        <v>48</v>
      </c>
      <c r="AY1" s="2">
        <f t="shared" si="1"/>
        <v>49</v>
      </c>
      <c r="AZ1" s="2">
        <f t="shared" si="1"/>
        <v>50</v>
      </c>
      <c r="BA1" s="2">
        <f t="shared" si="1"/>
        <v>51</v>
      </c>
      <c r="BB1" s="2">
        <f t="shared" si="1"/>
        <v>52</v>
      </c>
      <c r="BC1" s="2">
        <f t="shared" si="1"/>
        <v>53</v>
      </c>
      <c r="BD1" s="2">
        <f>AX1+1</f>
        <v>49</v>
      </c>
      <c r="BE1" s="2">
        <f>BD1+1</f>
        <v>50</v>
      </c>
    </row>
    <row r="2">
      <c r="A2" s="1"/>
      <c r="B2" s="1"/>
      <c r="C2" s="2" t="str">
        <f>ADDRESS(1,1,4)</f>
        <v>A1</v>
      </c>
      <c r="D2" s="2" t="str">
        <f t="shared" ref="D2:BE2" si="2">ADDRESS(1,D1,4)</f>
        <v>B1</v>
      </c>
      <c r="E2" s="2" t="str">
        <f t="shared" si="2"/>
        <v>C1</v>
      </c>
      <c r="F2" s="2" t="str">
        <f t="shared" si="2"/>
        <v>D1</v>
      </c>
      <c r="G2" s="2" t="str">
        <f t="shared" si="2"/>
        <v>E1</v>
      </c>
      <c r="H2" s="2" t="str">
        <f t="shared" si="2"/>
        <v>F1</v>
      </c>
      <c r="I2" s="2" t="str">
        <f t="shared" si="2"/>
        <v>G1</v>
      </c>
      <c r="J2" s="2" t="str">
        <f t="shared" si="2"/>
        <v>H1</v>
      </c>
      <c r="K2" s="2" t="str">
        <f t="shared" si="2"/>
        <v>I1</v>
      </c>
      <c r="L2" s="2" t="str">
        <f t="shared" si="2"/>
        <v>J1</v>
      </c>
      <c r="M2" s="2" t="str">
        <f t="shared" si="2"/>
        <v>K1</v>
      </c>
      <c r="N2" s="2" t="str">
        <f t="shared" si="2"/>
        <v>L1</v>
      </c>
      <c r="O2" s="2" t="str">
        <f t="shared" si="2"/>
        <v>M1</v>
      </c>
      <c r="P2" s="2" t="str">
        <f t="shared" si="2"/>
        <v>N1</v>
      </c>
      <c r="Q2" s="2" t="str">
        <f t="shared" si="2"/>
        <v>O1</v>
      </c>
      <c r="R2" s="2" t="str">
        <f t="shared" si="2"/>
        <v>P1</v>
      </c>
      <c r="S2" s="2" t="str">
        <f t="shared" si="2"/>
        <v>Q1</v>
      </c>
      <c r="T2" s="2" t="str">
        <f t="shared" si="2"/>
        <v>R1</v>
      </c>
      <c r="U2" s="2" t="str">
        <f t="shared" si="2"/>
        <v>S1</v>
      </c>
      <c r="V2" s="2" t="str">
        <f t="shared" si="2"/>
        <v>T1</v>
      </c>
      <c r="W2" s="2" t="str">
        <f t="shared" si="2"/>
        <v>U1</v>
      </c>
      <c r="X2" s="2" t="str">
        <f t="shared" si="2"/>
        <v>V1</v>
      </c>
      <c r="Y2" s="2" t="str">
        <f t="shared" si="2"/>
        <v>W1</v>
      </c>
      <c r="Z2" s="2" t="str">
        <f t="shared" si="2"/>
        <v>X1</v>
      </c>
      <c r="AA2" s="2" t="str">
        <f t="shared" si="2"/>
        <v>Y1</v>
      </c>
      <c r="AB2" s="2" t="str">
        <f t="shared" si="2"/>
        <v>Z1</v>
      </c>
      <c r="AC2" s="2" t="str">
        <f t="shared" si="2"/>
        <v>AA1</v>
      </c>
      <c r="AD2" s="2" t="str">
        <f t="shared" si="2"/>
        <v>AB1</v>
      </c>
      <c r="AE2" s="2" t="str">
        <f t="shared" si="2"/>
        <v>AC1</v>
      </c>
      <c r="AF2" s="2" t="str">
        <f t="shared" si="2"/>
        <v>AD1</v>
      </c>
      <c r="AG2" s="2" t="str">
        <f t="shared" si="2"/>
        <v>AE1</v>
      </c>
      <c r="AH2" s="2" t="str">
        <f t="shared" si="2"/>
        <v>AF1</v>
      </c>
      <c r="AI2" s="2" t="str">
        <f t="shared" si="2"/>
        <v>AG1</v>
      </c>
      <c r="AJ2" s="2" t="str">
        <f t="shared" si="2"/>
        <v>AH1</v>
      </c>
      <c r="AK2" s="2" t="str">
        <f t="shared" si="2"/>
        <v>AI1</v>
      </c>
      <c r="AL2" s="2" t="str">
        <f t="shared" si="2"/>
        <v>AJ1</v>
      </c>
      <c r="AM2" s="2" t="str">
        <f t="shared" si="2"/>
        <v>AK1</v>
      </c>
      <c r="AN2" s="2" t="str">
        <f t="shared" si="2"/>
        <v>AL1</v>
      </c>
      <c r="AO2" s="2" t="str">
        <f t="shared" si="2"/>
        <v>AM1</v>
      </c>
      <c r="AP2" s="2" t="str">
        <f t="shared" si="2"/>
        <v>AN1</v>
      </c>
      <c r="AQ2" s="2" t="str">
        <f t="shared" si="2"/>
        <v>AO1</v>
      </c>
      <c r="AR2" s="2" t="str">
        <f t="shared" si="2"/>
        <v>AP1</v>
      </c>
      <c r="AS2" s="2" t="str">
        <f t="shared" si="2"/>
        <v>AQ1</v>
      </c>
      <c r="AT2" s="4" t="str">
        <f t="shared" si="2"/>
        <v>AR1</v>
      </c>
      <c r="AU2" s="5" t="str">
        <f t="shared" si="2"/>
        <v>AS1</v>
      </c>
      <c r="AV2" s="4" t="str">
        <f t="shared" si="2"/>
        <v>AT1</v>
      </c>
      <c r="AW2" s="2" t="str">
        <f t="shared" si="2"/>
        <v>AU1</v>
      </c>
      <c r="AX2" s="2" t="str">
        <f t="shared" si="2"/>
        <v>AV1</v>
      </c>
      <c r="AY2" s="2" t="str">
        <f t="shared" si="2"/>
        <v>AW1</v>
      </c>
      <c r="AZ2" s="2" t="str">
        <f t="shared" si="2"/>
        <v>AX1</v>
      </c>
      <c r="BA2" s="2" t="str">
        <f t="shared" si="2"/>
        <v>AY1</v>
      </c>
      <c r="BB2" s="2" t="str">
        <f t="shared" si="2"/>
        <v>AZ1</v>
      </c>
      <c r="BC2" s="2" t="str">
        <f t="shared" si="2"/>
        <v>BA1</v>
      </c>
      <c r="BD2" s="2" t="str">
        <f t="shared" si="2"/>
        <v>AW1</v>
      </c>
      <c r="BE2" s="2" t="str">
        <f t="shared" si="2"/>
        <v>AX1</v>
      </c>
    </row>
    <row r="3">
      <c r="A3" s="1"/>
      <c r="C3" s="1" t="str">
        <f t="shared" ref="C3:BC3" si="3">"シート0!"&amp;C2</f>
        <v>シート0!A1</v>
      </c>
      <c r="D3" s="1" t="str">
        <f t="shared" si="3"/>
        <v>シート0!B1</v>
      </c>
      <c r="E3" s="1" t="str">
        <f t="shared" si="3"/>
        <v>シート0!C1</v>
      </c>
      <c r="F3" s="1" t="str">
        <f t="shared" si="3"/>
        <v>シート0!D1</v>
      </c>
      <c r="G3" s="1" t="str">
        <f t="shared" si="3"/>
        <v>シート0!E1</v>
      </c>
      <c r="H3" s="1" t="str">
        <f t="shared" si="3"/>
        <v>シート0!F1</v>
      </c>
      <c r="I3" s="1" t="str">
        <f t="shared" si="3"/>
        <v>シート0!G1</v>
      </c>
      <c r="J3" s="1" t="str">
        <f t="shared" si="3"/>
        <v>シート0!H1</v>
      </c>
      <c r="K3" s="1" t="str">
        <f t="shared" si="3"/>
        <v>シート0!I1</v>
      </c>
      <c r="L3" s="1" t="str">
        <f t="shared" si="3"/>
        <v>シート0!J1</v>
      </c>
      <c r="M3" s="1" t="str">
        <f t="shared" si="3"/>
        <v>シート0!K1</v>
      </c>
      <c r="N3" s="1" t="str">
        <f t="shared" si="3"/>
        <v>シート0!L1</v>
      </c>
      <c r="O3" s="1" t="str">
        <f t="shared" si="3"/>
        <v>シート0!M1</v>
      </c>
      <c r="P3" s="1" t="str">
        <f t="shared" si="3"/>
        <v>シート0!N1</v>
      </c>
      <c r="Q3" s="1" t="str">
        <f t="shared" si="3"/>
        <v>シート0!O1</v>
      </c>
      <c r="R3" s="1" t="str">
        <f t="shared" si="3"/>
        <v>シート0!P1</v>
      </c>
      <c r="S3" s="1" t="str">
        <f t="shared" si="3"/>
        <v>シート0!Q1</v>
      </c>
      <c r="T3" s="1" t="str">
        <f t="shared" si="3"/>
        <v>シート0!R1</v>
      </c>
      <c r="U3" s="1" t="str">
        <f t="shared" si="3"/>
        <v>シート0!S1</v>
      </c>
      <c r="V3" s="1" t="str">
        <f t="shared" si="3"/>
        <v>シート0!T1</v>
      </c>
      <c r="W3" s="1" t="str">
        <f t="shared" si="3"/>
        <v>シート0!U1</v>
      </c>
      <c r="X3" s="1" t="str">
        <f t="shared" si="3"/>
        <v>シート0!V1</v>
      </c>
      <c r="Y3" s="1" t="str">
        <f t="shared" si="3"/>
        <v>シート0!W1</v>
      </c>
      <c r="Z3" s="1" t="str">
        <f t="shared" si="3"/>
        <v>シート0!X1</v>
      </c>
      <c r="AA3" s="1" t="str">
        <f t="shared" si="3"/>
        <v>シート0!Y1</v>
      </c>
      <c r="AB3" s="1" t="str">
        <f t="shared" si="3"/>
        <v>シート0!Z1</v>
      </c>
      <c r="AC3" s="1" t="str">
        <f t="shared" si="3"/>
        <v>シート0!AA1</v>
      </c>
      <c r="AD3" s="1" t="str">
        <f t="shared" si="3"/>
        <v>シート0!AB1</v>
      </c>
      <c r="AE3" s="1" t="str">
        <f t="shared" si="3"/>
        <v>シート0!AC1</v>
      </c>
      <c r="AF3" s="1" t="str">
        <f t="shared" si="3"/>
        <v>シート0!AD1</v>
      </c>
      <c r="AG3" s="1" t="str">
        <f t="shared" si="3"/>
        <v>シート0!AE1</v>
      </c>
      <c r="AH3" s="1" t="str">
        <f t="shared" si="3"/>
        <v>シート0!AF1</v>
      </c>
      <c r="AI3" s="1" t="str">
        <f t="shared" si="3"/>
        <v>シート0!AG1</v>
      </c>
      <c r="AJ3" s="1" t="str">
        <f t="shared" si="3"/>
        <v>シート0!AH1</v>
      </c>
      <c r="AK3" s="1" t="str">
        <f t="shared" si="3"/>
        <v>シート0!AI1</v>
      </c>
      <c r="AL3" s="1" t="str">
        <f t="shared" si="3"/>
        <v>シート0!AJ1</v>
      </c>
      <c r="AM3" s="1" t="str">
        <f t="shared" si="3"/>
        <v>シート0!AK1</v>
      </c>
      <c r="AN3" s="1" t="str">
        <f t="shared" si="3"/>
        <v>シート0!AL1</v>
      </c>
      <c r="AO3" s="1" t="str">
        <f t="shared" si="3"/>
        <v>シート0!AM1</v>
      </c>
      <c r="AP3" s="1" t="str">
        <f t="shared" si="3"/>
        <v>シート0!AN1</v>
      </c>
      <c r="AQ3" s="1" t="str">
        <f t="shared" si="3"/>
        <v>シート0!AO1</v>
      </c>
      <c r="AR3" s="1" t="str">
        <f t="shared" si="3"/>
        <v>シート0!AP1</v>
      </c>
      <c r="AS3" s="1" t="str">
        <f t="shared" si="3"/>
        <v>シート0!AQ1</v>
      </c>
      <c r="AT3" s="1" t="str">
        <f t="shared" si="3"/>
        <v>シート0!AR1</v>
      </c>
      <c r="AU3" s="6" t="str">
        <f t="shared" si="3"/>
        <v>シート0!AS1</v>
      </c>
      <c r="AV3" s="1" t="str">
        <f t="shared" si="3"/>
        <v>シート0!AT1</v>
      </c>
      <c r="AW3" s="1" t="str">
        <f t="shared" si="3"/>
        <v>シート0!AU1</v>
      </c>
      <c r="AX3" s="1" t="str">
        <f t="shared" si="3"/>
        <v>シート0!AV1</v>
      </c>
      <c r="AY3" s="1" t="str">
        <f t="shared" si="3"/>
        <v>シート0!AW1</v>
      </c>
      <c r="AZ3" s="1" t="str">
        <f t="shared" si="3"/>
        <v>シート0!AX1</v>
      </c>
      <c r="BA3" s="1" t="str">
        <f t="shared" si="3"/>
        <v>シート0!AY1</v>
      </c>
      <c r="BB3" s="1" t="str">
        <f t="shared" si="3"/>
        <v>シート0!AZ1</v>
      </c>
      <c r="BC3" s="1" t="str">
        <f t="shared" si="3"/>
        <v>シート0!BA1</v>
      </c>
      <c r="BD3" s="1" t="str">
        <f t="shared" ref="BD3:BE3" si="4">"シート5!"&amp;BD2</f>
        <v>シート5!AW1</v>
      </c>
      <c r="BE3" s="1" t="str">
        <f t="shared" si="4"/>
        <v>シート5!AX1</v>
      </c>
    </row>
    <row r="4">
      <c r="A4" s="7"/>
      <c r="B4" s="7"/>
      <c r="D4" s="8" t="s">
        <v>0</v>
      </c>
      <c r="E4" s="8"/>
      <c r="F4" s="8" t="s">
        <v>1</v>
      </c>
      <c r="G4" s="8" t="s">
        <v>1</v>
      </c>
      <c r="H4" s="8"/>
      <c r="I4" s="8" t="s">
        <v>2</v>
      </c>
      <c r="J4" s="8"/>
      <c r="K4" s="8" t="s">
        <v>3</v>
      </c>
      <c r="L4" s="8"/>
      <c r="M4" s="8" t="s">
        <v>4</v>
      </c>
      <c r="N4" s="8"/>
      <c r="O4" s="8"/>
      <c r="P4" s="8"/>
      <c r="Q4" s="8"/>
      <c r="R4" s="8"/>
      <c r="S4" s="8" t="s">
        <v>5</v>
      </c>
      <c r="T4" s="9" t="s">
        <v>6</v>
      </c>
      <c r="U4" s="10" t="s">
        <v>7</v>
      </c>
      <c r="Y4" s="10" t="s">
        <v>8</v>
      </c>
      <c r="Z4" s="11" t="s">
        <v>9</v>
      </c>
      <c r="AL4" s="12" t="s">
        <v>10</v>
      </c>
      <c r="AR4" s="13" t="s">
        <v>11</v>
      </c>
      <c r="AX4" s="13" t="s">
        <v>12</v>
      </c>
      <c r="BB4" s="13"/>
      <c r="BC4" s="13"/>
    </row>
    <row r="5">
      <c r="A5" s="7"/>
      <c r="B5" s="7"/>
      <c r="D5" s="8" t="s">
        <v>13</v>
      </c>
      <c r="E5" s="8" t="s">
        <v>14</v>
      </c>
      <c r="F5" s="8" t="s">
        <v>15</v>
      </c>
      <c r="G5" s="8" t="s">
        <v>16</v>
      </c>
      <c r="H5" s="8" t="s">
        <v>17</v>
      </c>
      <c r="I5" s="8" t="s">
        <v>18</v>
      </c>
      <c r="J5" s="8" t="s">
        <v>3</v>
      </c>
      <c r="K5" s="8" t="s">
        <v>19</v>
      </c>
      <c r="L5" s="8" t="s">
        <v>4</v>
      </c>
      <c r="M5" s="8" t="s">
        <v>19</v>
      </c>
      <c r="N5" s="8" t="s">
        <v>20</v>
      </c>
      <c r="O5" s="8" t="s">
        <v>21</v>
      </c>
      <c r="P5" s="8" t="s">
        <v>22</v>
      </c>
      <c r="Q5" s="8" t="s">
        <v>23</v>
      </c>
      <c r="R5" s="8" t="s">
        <v>24</v>
      </c>
      <c r="S5" s="8" t="s">
        <v>25</v>
      </c>
      <c r="T5" s="9" t="s">
        <v>26</v>
      </c>
      <c r="U5" s="10">
        <v>5.0</v>
      </c>
      <c r="V5" s="10">
        <v>13.0</v>
      </c>
      <c r="W5" s="10">
        <v>21.0</v>
      </c>
      <c r="X5" s="10">
        <v>100.0</v>
      </c>
      <c r="Y5" s="10" t="s">
        <v>27</v>
      </c>
      <c r="Z5" s="11">
        <v>2.0</v>
      </c>
      <c r="AA5" s="11">
        <v>1.75</v>
      </c>
      <c r="AB5" s="11">
        <v>1.5</v>
      </c>
      <c r="AC5" s="11">
        <v>1.25</v>
      </c>
      <c r="AD5" s="11">
        <v>1.0</v>
      </c>
      <c r="AE5" s="11">
        <v>0.0</v>
      </c>
      <c r="AF5" s="11">
        <v>-1.0</v>
      </c>
      <c r="AG5" s="11">
        <v>-1.25</v>
      </c>
      <c r="AH5" s="11">
        <v>-1.5</v>
      </c>
      <c r="AI5" s="11">
        <v>-1.75</v>
      </c>
      <c r="AJ5" s="11">
        <v>-2.0</v>
      </c>
      <c r="AK5" s="11" t="s">
        <v>28</v>
      </c>
      <c r="AL5" s="12" t="s">
        <v>29</v>
      </c>
      <c r="AM5" s="12" t="s">
        <v>30</v>
      </c>
      <c r="AN5" s="12" t="s">
        <v>29</v>
      </c>
      <c r="AO5" s="12" t="s">
        <v>31</v>
      </c>
      <c r="AP5" s="12" t="s">
        <v>29</v>
      </c>
      <c r="AQ5" s="12" t="s">
        <v>32</v>
      </c>
      <c r="AR5" s="13">
        <v>5.0</v>
      </c>
      <c r="AS5" s="13"/>
      <c r="AT5" s="13">
        <v>13.0</v>
      </c>
      <c r="AU5" s="14"/>
      <c r="AV5" s="13">
        <v>21.0</v>
      </c>
      <c r="AW5" s="13"/>
      <c r="AX5" s="13">
        <v>5.0</v>
      </c>
      <c r="AY5" s="13"/>
      <c r="AZ5" s="13"/>
      <c r="BA5" s="13">
        <v>21.0</v>
      </c>
      <c r="BB5" s="13"/>
      <c r="BC5" s="13"/>
    </row>
    <row r="6" ht="51.0" customHeight="1">
      <c r="A6" s="7" t="str">
        <f t="shared" ref="A6:A952" si="5">mid(B6,6,49)</f>
        <v>1RvuOpadOVhX2bPWadSLTo1Z-ewb1kWXfhURvsqCLHMM</v>
      </c>
      <c r="B6" s="7" t="s">
        <v>33</v>
      </c>
      <c r="C6" s="2">
        <f>IFERROR(__xludf.DUMMYFUNCTION("IMPORTRANGE(""https://docs.google.com/spreadsheets/d/""&amp;$A6&amp;""/edit#gid=156619080"",C$3)"),133.0)</f>
        <v>133</v>
      </c>
      <c r="D6" s="2">
        <f>IFERROR(__xludf.DUMMYFUNCTION("IMPORTRANGE(""https://docs.google.com/spreadsheets/d/""&amp;$A6&amp;""/edit#gid=156619080"",D$3)"),0.0)</f>
        <v>0</v>
      </c>
      <c r="E6" s="15">
        <f>IFERROR(__xludf.DUMMYFUNCTION("IMPORTRANGE(""https://docs.google.com/spreadsheets/d/""&amp;$A6&amp;""/edit#gid=156619080"",E$3)"),43882.0)</f>
        <v>43882</v>
      </c>
      <c r="F6" s="2">
        <f>IFERROR(__xludf.DUMMYFUNCTION("IMPORTRANGE(""https://docs.google.com/spreadsheets/d/""&amp;$A6&amp;""/edit#gid=156619080"",F$3)"),-92.41)</f>
        <v>-92.41</v>
      </c>
      <c r="G6" s="16">
        <f>IFERROR(__xludf.DUMMYFUNCTION("IMPORTRANGE(""https://docs.google.com/spreadsheets/d/""&amp;$A6&amp;""/edit#gid=156619080"",G$3)"),-0.39)</f>
        <v>-0.39</v>
      </c>
      <c r="H6" s="16">
        <f>IFERROR(__xludf.DUMMYFUNCTION("IMPORTRANGE(""https://docs.google.com/spreadsheets/d/""&amp;$A6&amp;""/edit#gid=156619080"",H$3)"),23427.77)</f>
        <v>23427.77</v>
      </c>
      <c r="I6" s="16">
        <f>IFERROR(__xludf.DUMMYFUNCTION("IMPORTRANGE(""https://docs.google.com/spreadsheets/d/""&amp;$A6&amp;""/edit#gid=156619080"",I$3)"),51.38000000000102)</f>
        <v>51.38</v>
      </c>
      <c r="J6" s="16">
        <f>IFERROR(__xludf.DUMMYFUNCTION("IMPORTRANGE(""https://docs.google.com/spreadsheets/d/""&amp;$A6&amp;""/edit#gid=156619080"",J$3)"),23588.55)</f>
        <v>23588.55</v>
      </c>
      <c r="K6" s="16">
        <f>IFERROR(__xludf.DUMMYFUNCTION("IMPORTRANGE(""https://docs.google.com/spreadsheets/d/""&amp;$A6&amp;""/edit#gid=156619080"",K$3)"),0.4027777777777778)</f>
        <v>0.4027777778</v>
      </c>
      <c r="L6" s="16">
        <f>IFERROR(__xludf.DUMMYFUNCTION("IMPORTRANGE(""https://docs.google.com/spreadsheets/d/""&amp;$A6&amp;""/edit#gid=156619080"",L$3)"),23378.33)</f>
        <v>23378.33</v>
      </c>
      <c r="M6" s="16">
        <f>IFERROR(__xludf.DUMMYFUNCTION("IMPORTRANGE(""https://docs.google.com/spreadsheets/d/""&amp;$A6&amp;""/edit#gid=156619080"",M$3)"),0.6208333333333333)</f>
        <v>0.6208333333</v>
      </c>
      <c r="N6" s="16">
        <f>IFERROR(__xludf.DUMMYFUNCTION("IMPORTRANGE(""https://docs.google.com/spreadsheets/d/""&amp;$A6&amp;""/edit#gid=156619080"",N$3)"),23386.74)</f>
        <v>23386.74</v>
      </c>
      <c r="O6" s="16" t="str">
        <f>IFERROR(__xludf.DUMMYFUNCTION("IMPORTRANGE(""https://docs.google.com/spreadsheets/d/""&amp;$A6&amp;""/edit#gid=156619080"",O$3)"),"1155392800株")</f>
        <v>1155392800株</v>
      </c>
      <c r="P6" s="16" t="str">
        <f>IFERROR(__xludf.DUMMYFUNCTION("IMPORTRANGE(""https://docs.google.com/spreadsheets/d/""&amp;$A6&amp;""/edit#gid=156619080"",P$3)"),"－百万円")</f>
        <v>－百万円</v>
      </c>
      <c r="Q6" s="16" t="str">
        <f>IFERROR(__xludf.DUMMYFUNCTION("IMPORTRANGE(""https://docs.google.com/spreadsheets/d/""&amp;$A6&amp;""/edit#gid=156619080"",Q$3)"),"－回")</f>
        <v>－回</v>
      </c>
      <c r="R6" s="16" t="str">
        <f>IFERROR(__xludf.DUMMYFUNCTION("IMPORTRANGE(""https://docs.google.com/spreadsheets/d/""&amp;$A6&amp;""/edit#gid=156619080"",R$3)"),"－億円")</f>
        <v>－億円</v>
      </c>
      <c r="S6" s="16" t="str">
        <f>IFERROR(__xludf.DUMMYFUNCTION("IMPORTRANGE(""https://docs.google.com/spreadsheets/d/""&amp;$A6&amp;""/edit#gid=156619080"",S$3)"),"陰線")</f>
        <v>陰線</v>
      </c>
      <c r="T6" s="16" t="str">
        <f>IFERROR(__xludf.DUMMYFUNCTION("IMPORTRANGE(""https://docs.google.com/spreadsheets/d/""&amp;$A6&amp;""/edit#gid=156619080"",T$3)"),"")</f>
        <v/>
      </c>
      <c r="U6" s="16">
        <f>IFERROR(__xludf.DUMMYFUNCTION("IMPORTRANGE(""https://docs.google.com/spreadsheets/d/""&amp;$A6&amp;""/edit#gid=156619080"",U$3)"),23396.73)</f>
        <v>23396.73</v>
      </c>
      <c r="V6" s="16">
        <f>IFERROR(__xludf.DUMMYFUNCTION("IMPORTRANGE(""https://docs.google.com/spreadsheets/d/""&amp;$A6&amp;""/edit#gid=156619080"",V$3)"),23550.1)</f>
        <v>23550.1</v>
      </c>
      <c r="W6" s="16">
        <f>IFERROR(__xludf.DUMMYFUNCTION("IMPORTRANGE(""https://docs.google.com/spreadsheets/d/""&amp;$A6&amp;""/edit#gid=156619080"",W$3)"),23469.9)</f>
        <v>23469.9</v>
      </c>
      <c r="X6" s="2">
        <f>IFERROR(__xludf.DUMMYFUNCTION("IMPORTRANGE(""https://docs.google.com/spreadsheets/d/""&amp;$A6&amp;""/edit#gid=156619080"",X$3)"),22904.4)</f>
        <v>22904.4</v>
      </c>
      <c r="Y6" s="17">
        <f>IFERROR(__xludf.DUMMYFUNCTION("IMPORTRANGE(""https://docs.google.com/spreadsheets/d/""&amp;$A6&amp;""/edit#gid=156619080"",Y$3)"),-4.2698274502453817E-4)</f>
        <v>-0.000426982745</v>
      </c>
      <c r="Z6" s="2">
        <f>IFERROR(__xludf.DUMMYFUNCTION("IMPORTRANGE(""https://docs.google.com/spreadsheets/d/""&amp;$A6&amp;""/edit#gid=156619080"",Z$3)"),24057.23)</f>
        <v>24057.23</v>
      </c>
      <c r="AA6" s="2">
        <f>IFERROR(__xludf.DUMMYFUNCTION("IMPORTRANGE(""https://docs.google.com/spreadsheets/d/""&amp;$A6&amp;""/edit#gid=156619080"",AA$3)"),23983.81)</f>
        <v>23983.81</v>
      </c>
      <c r="AB6" s="2">
        <f>IFERROR(__xludf.DUMMYFUNCTION("IMPORTRANGE(""https://docs.google.com/spreadsheets/d/""&amp;$A6&amp;""/edit#gid=156619080"",AB$3)"),23910.4)</f>
        <v>23910.4</v>
      </c>
      <c r="AC6" s="18">
        <f>IFERROR(__xludf.DUMMYFUNCTION("IMPORTRANGE(""https://docs.google.com/spreadsheets/d/""&amp;$A6&amp;""/edit#gid=156619080"",AC$3)"),23836.98)</f>
        <v>23836.98</v>
      </c>
      <c r="AD6" s="18">
        <f>IFERROR(__xludf.DUMMYFUNCTION("IMPORTRANGE(""https://docs.google.com/spreadsheets/d/""&amp;$A6&amp;""/edit#gid=156619080"",AD$3)"),23763.56)</f>
        <v>23763.56</v>
      </c>
      <c r="AE6" s="18">
        <f>IFERROR(__xludf.DUMMYFUNCTION("IMPORTRANGE(""https://docs.google.com/spreadsheets/d/""&amp;$A6&amp;""/edit#gid=156619080"",AE$3)"),23469.9)</f>
        <v>23469.9</v>
      </c>
      <c r="AF6" s="2">
        <f>IFERROR(__xludf.DUMMYFUNCTION("IMPORTRANGE(""https://docs.google.com/spreadsheets/d/""&amp;$A6&amp;""/edit#gid=156619080"",AF$3)"),23176.24)</f>
        <v>23176.24</v>
      </c>
      <c r="AG6" s="2">
        <f>IFERROR(__xludf.DUMMYFUNCTION("IMPORTRANGE(""https://docs.google.com/spreadsheets/d/""&amp;$A6&amp;""/edit#gid=156619080"",AG$3)"),23102.82)</f>
        <v>23102.82</v>
      </c>
      <c r="AH6" s="2">
        <f>IFERROR(__xludf.DUMMYFUNCTION("IMPORTRANGE(""https://docs.google.com/spreadsheets/d/""&amp;$A6&amp;""/edit#gid=156619080"",AH$3)"),23029.4)</f>
        <v>23029.4</v>
      </c>
      <c r="AI6" s="2">
        <f>IFERROR(__xludf.DUMMYFUNCTION("IMPORTRANGE(""https://docs.google.com/spreadsheets/d/""&amp;$A6&amp;""/edit#gid=156619080"",AI$3)"),22955.99)</f>
        <v>22955.99</v>
      </c>
      <c r="AJ6" s="2">
        <f>IFERROR(__xludf.DUMMYFUNCTION("IMPORTRANGE(""https://docs.google.com/spreadsheets/d/""&amp;$A6&amp;""/edit#gid=156619080"",AJ$3)"),22882.57)</f>
        <v>22882.57</v>
      </c>
      <c r="AK6" s="2" t="str">
        <f>IFERROR(__xludf.DUMMYFUNCTION("IMPORTRANGE(""https://docs.google.com/spreadsheets/d/""&amp;$A6&amp;""/edit#gid=156619080"",AK$3)"),"")</f>
        <v/>
      </c>
      <c r="AL6" s="2">
        <f>IFERROR(__xludf.DUMMYFUNCTION("IMPORTRANGE(""https://docs.google.com/spreadsheets/d/""&amp;$A6&amp;""/edit#gid=156619080"",AL$3)"),-1.0)</f>
        <v>-1</v>
      </c>
      <c r="AM6" s="2" t="str">
        <f>IFERROR(__xludf.DUMMYFUNCTION("IMPORTRANGE(""https://docs.google.com/spreadsheets/d/""&amp;$A6&amp;""/edit#gid=156619080"",AM$3)"),"")</f>
        <v/>
      </c>
      <c r="AN6" s="2">
        <f>IFERROR(__xludf.DUMMYFUNCTION("IMPORTRANGE(""https://docs.google.com/spreadsheets/d/""&amp;$A6&amp;""/edit#gid=156619080"",AN$3)"),-1.0)</f>
        <v>-1</v>
      </c>
      <c r="AO6" s="2" t="str">
        <f>IFERROR(__xludf.DUMMYFUNCTION("IMPORTRANGE(""https://docs.google.com/spreadsheets/d/""&amp;$A6&amp;""/edit#gid=156619080"",AO$3)"),"")</f>
        <v/>
      </c>
      <c r="AP6" s="2">
        <f>IFERROR(__xludf.DUMMYFUNCTION("IMPORTRANGE(""https://docs.google.com/spreadsheets/d/""&amp;$A6&amp;""/edit#gid=156619080"",AP$3)"),1.0)</f>
        <v>1</v>
      </c>
      <c r="AQ6" s="2" t="str">
        <f>IFERROR(__xludf.DUMMYFUNCTION("IMPORTRANGE(""https://docs.google.com/spreadsheets/d/""&amp;$A6&amp;""/edit#gid=156619080"",AQ$3)"),"")</f>
        <v/>
      </c>
      <c r="AR6" s="18">
        <f>IFERROR(__xludf.DUMMYFUNCTION("IMPORTRANGE(""https://docs.google.com/spreadsheets/d/""&amp;$A6&amp;""/edit#gid=156619080"",AR$3)"),-30.000000000000004)</f>
        <v>-30</v>
      </c>
      <c r="AS6" s="3" t="str">
        <f>IFERROR(__xludf.DUMMYFUNCTION("IMPORTRANGE(""https://docs.google.com/spreadsheets/d/""&amp;$A6&amp;""/edit#gid=156619080"",AS$3)"),"-40
-100
-90
-60
")</f>
        <v>-40
-100
-90
-60
</v>
      </c>
      <c r="AT6" s="18">
        <f>IFERROR(__xludf.DUMMYFUNCTION("IMPORTRANGE(""https://docs.google.com/spreadsheets/d/""&amp;$A6&amp;""/edit#gid=156619080"",AT$3)"),-17.03296703296704)</f>
        <v>-17.03296703</v>
      </c>
      <c r="AU6" s="3" t="str">
        <f>IFERROR(__xludf.DUMMYFUNCTION("IMPORTRANGE(""https://docs.google.com/spreadsheets/d/""&amp;$A6&amp;""/edit#gid=156619080"",AU$3)"),"62.64
45.05
26.92
11.54
")</f>
        <v>62.64
45.05
26.92
11.54
</v>
      </c>
      <c r="AV6" s="18">
        <f>IFERROR(__xludf.DUMMYFUNCTION("IMPORTRANGE(""https://docs.google.com/spreadsheets/d/""&amp;$A6&amp;""/edit#gid=156619080"",AV$3)"),17.792207792207794)</f>
        <v>17.79220779</v>
      </c>
      <c r="AW6" s="19" t="str">
        <f>IFERROR(__xludf.DUMMYFUNCTION("IMPORTRANGE(""https://docs.google.com/spreadsheets/d/""&amp;$A6&amp;""/edit#gid=156619080"",AW$3)"),"-27.4
-23.51
-10.39
2.34
")</f>
        <v>-27.4
-23.51
-10.39
2.34
</v>
      </c>
      <c r="AX6" s="2">
        <f>IFERROR(__xludf.DUMMYFUNCTION("IMPORTRANGE(""https://docs.google.com/spreadsheets/d/""&amp;$A6&amp;""/edit#gid=156619080"",AX$3)"),32.74)</f>
        <v>32.74</v>
      </c>
      <c r="AY6" s="2">
        <f>IFERROR(__xludf.DUMMYFUNCTION("IMPORTRANGE(""https://docs.google.com/spreadsheets/d/""&amp;$A6&amp;""/edit#gid=156619080"",AY$3)"),42.35)</f>
        <v>42.35</v>
      </c>
      <c r="AZ6" s="2">
        <f>IFERROR(__xludf.DUMMYFUNCTION("IMPORTRANGE(""https://docs.google.com/spreadsheets/d/""&amp;$A6&amp;""/edit#gid=156619080"",AZ$3)"),23443.07)</f>
        <v>23443.07</v>
      </c>
      <c r="BA6" s="2">
        <f>IFERROR(__xludf.DUMMYFUNCTION("IMPORTRANGE(""https://docs.google.com/spreadsheets/d/""&amp;$A6&amp;""/edit#gid=156619080"",BA$3)"),-84.68999999999869)</f>
        <v>-84.69</v>
      </c>
      <c r="BB6" s="2">
        <f>IFERROR(__xludf.DUMMYFUNCTION("IMPORTRANGE(""https://docs.google.com/spreadsheets/d/""&amp;$A6&amp;""/edit#gid=156619080"",BB$3)"),-37.21)</f>
        <v>-37.21</v>
      </c>
      <c r="BC6" s="2" t="str">
        <f>IFERROR(__xludf.DUMMYFUNCTION("IMPORTRANGE(""https://docs.google.com/spreadsheets/d/""&amp;$A6&amp;""/edit#gid=156619080"",BC$3)"),"DC→DC")</f>
        <v>DC→DC</v>
      </c>
      <c r="BD6" s="2" t="str">
        <f>IFERROR(__xludf.DUMMYFUNCTION("IMPORTRANGE(""https://docs.google.com/spreadsheets/d/""&amp;$B$6&amp;""/edit#gid=886187586"",BD$3)"),"#REF!")</f>
        <v>#REF!</v>
      </c>
      <c r="BE6" s="2" t="str">
        <f>IFERROR(__xludf.DUMMYFUNCTION("IMPORTRANGE(""https://docs.google.com/spreadsheets/d/""&amp;$B$6&amp;""/edit#gid=886187586"",BE$3)"),"#REF!")</f>
        <v>#REF!</v>
      </c>
    </row>
    <row r="7" ht="51.0" customHeight="1">
      <c r="A7" s="7" t="str">
        <f t="shared" si="5"/>
        <v>1rqQKGfa1RnF84Zhs3y_AScmpfJktvJvcDXP-SaKtGWc</v>
      </c>
      <c r="B7" s="1" t="s">
        <v>34</v>
      </c>
      <c r="C7" s="2">
        <f>IFERROR(__xludf.DUMMYFUNCTION("IMPORTRANGE(""https://docs.google.com/spreadsheets/d/""&amp;$A7&amp;""/edit#gid=156619080"",C$3)"),133.0)</f>
        <v>133</v>
      </c>
      <c r="D7" s="2">
        <f>IFERROR(__xludf.DUMMYFUNCTION("IMPORTRANGE(""https://docs.google.com/spreadsheets/d/""&amp;$A7&amp;""/edit#gid=156619080"",D$3)"),2002.0)</f>
        <v>2002</v>
      </c>
      <c r="E7" s="15">
        <f>IFERROR(__xludf.DUMMYFUNCTION("IMPORTRANGE(""https://docs.google.com/spreadsheets/d/""&amp;$A7&amp;""/edit#gid=156619080"",E$3)"),43882.0)</f>
        <v>43882</v>
      </c>
      <c r="F7" s="2">
        <f>IFERROR(__xludf.DUMMYFUNCTION("IMPORTRANGE(""https://docs.google.com/spreadsheets/d/""&amp;$A7&amp;""/edit#gid=156619080"",F$3)"),-25.0)</f>
        <v>-25</v>
      </c>
      <c r="G7" s="16">
        <f>IFERROR(__xludf.DUMMYFUNCTION("IMPORTRANGE(""https://docs.google.com/spreadsheets/d/""&amp;$A7&amp;""/edit#gid=156619080"",G$3)"),-1.28)</f>
        <v>-1.28</v>
      </c>
      <c r="H7" s="16">
        <f>IFERROR(__xludf.DUMMYFUNCTION("IMPORTRANGE(""https://docs.google.com/spreadsheets/d/""&amp;$A7&amp;""/edit#gid=156619080"",H$3)"),1946.0)</f>
        <v>1946</v>
      </c>
      <c r="I7" s="16">
        <f>IFERROR(__xludf.DUMMYFUNCTION("IMPORTRANGE(""https://docs.google.com/spreadsheets/d/""&amp;$A7&amp;""/edit#gid=156619080"",I$3)"),10.0)</f>
        <v>10</v>
      </c>
      <c r="J7" s="16">
        <f>IFERROR(__xludf.DUMMYFUNCTION("IMPORTRANGE(""https://docs.google.com/spreadsheets/d/""&amp;$A7&amp;""/edit#gid=156619080"",J$3)"),1955.0)</f>
        <v>1955</v>
      </c>
      <c r="K7" s="16">
        <f>IFERROR(__xludf.DUMMYFUNCTION("IMPORTRANGE(""https://docs.google.com/spreadsheets/d/""&amp;$A7&amp;""/edit#gid=156619080"",K$3)"),0.3958333333333333)</f>
        <v>0.3958333333</v>
      </c>
      <c r="L7" s="16">
        <f>IFERROR(__xludf.DUMMYFUNCTION("IMPORTRANGE(""https://docs.google.com/spreadsheets/d/""&amp;$A7&amp;""/edit#gid=156619080"",L$3)"),1928.0)</f>
        <v>1928</v>
      </c>
      <c r="M7" s="16">
        <f>IFERROR(__xludf.DUMMYFUNCTION("IMPORTRANGE(""https://docs.google.com/spreadsheets/d/""&amp;$A7&amp;""/edit#gid=156619080"",M$3)"),0.6208333333333333)</f>
        <v>0.6208333333</v>
      </c>
      <c r="N7" s="16">
        <f>IFERROR(__xludf.DUMMYFUNCTION("IMPORTRANGE(""https://docs.google.com/spreadsheets/d/""&amp;$A7&amp;""/edit#gid=156619080"",N$3)"),1931.0)</f>
        <v>1931</v>
      </c>
      <c r="O7" s="16" t="str">
        <f>IFERROR(__xludf.DUMMYFUNCTION("IMPORTRANGE(""https://docs.google.com/spreadsheets/d/""&amp;$A7&amp;""/edit#gid=156619080"",O$3)"),"810400株")</f>
        <v>810400株</v>
      </c>
      <c r="P7" s="16" t="str">
        <f>IFERROR(__xludf.DUMMYFUNCTION("IMPORTRANGE(""https://docs.google.com/spreadsheets/d/""&amp;$A7&amp;""/edit#gid=156619080"",P$3)"),"1570百万円")</f>
        <v>1570百万円</v>
      </c>
      <c r="Q7" s="16" t="str">
        <f>IFERROR(__xludf.DUMMYFUNCTION("IMPORTRANGE(""https://docs.google.com/spreadsheets/d/""&amp;$A7&amp;""/edit#gid=156619080"",Q$3)"),"1753回")</f>
        <v>1753回</v>
      </c>
      <c r="R7" s="16" t="str">
        <f>IFERROR(__xludf.DUMMYFUNCTION("IMPORTRANGE(""https://docs.google.com/spreadsheets/d/""&amp;$A7&amp;""/edit#gid=156619080"",R$3)"),"5877億円")</f>
        <v>5877億円</v>
      </c>
      <c r="S7" s="16" t="str">
        <f>IFERROR(__xludf.DUMMYFUNCTION("IMPORTRANGE(""https://docs.google.com/spreadsheets/d/""&amp;$A7&amp;""/edit#gid=156619080"",S$3)"),"陰線")</f>
        <v>陰線</v>
      </c>
      <c r="T7" s="16" t="str">
        <f>IFERROR(__xludf.DUMMYFUNCTION("IMPORTRANGE(""https://docs.google.com/spreadsheets/d/""&amp;$A7&amp;""/edit#gid=156619080"",T$3)"),"")</f>
        <v/>
      </c>
      <c r="U7" s="16">
        <f>IFERROR(__xludf.DUMMYFUNCTION("IMPORTRANGE(""https://docs.google.com/spreadsheets/d/""&amp;$A7&amp;""/edit#gid=156619080"",U$3)"),1920.4)</f>
        <v>1920.4</v>
      </c>
      <c r="V7" s="16">
        <f>IFERROR(__xludf.DUMMYFUNCTION("IMPORTRANGE(""https://docs.google.com/spreadsheets/d/""&amp;$A7&amp;""/edit#gid=156619080"",V$3)"),1914.7)</f>
        <v>1914.7</v>
      </c>
      <c r="W7" s="16">
        <f>IFERROR(__xludf.DUMMYFUNCTION("IMPORTRANGE(""https://docs.google.com/spreadsheets/d/""&amp;$A7&amp;""/edit#gid=156619080"",W$3)"),1880.3)</f>
        <v>1880.3</v>
      </c>
      <c r="X7" s="2">
        <f>IFERROR(__xludf.DUMMYFUNCTION("IMPORTRANGE(""https://docs.google.com/spreadsheets/d/""&amp;$A7&amp;""/edit#gid=156619080"",X$3)"),1972.1)</f>
        <v>1972.1</v>
      </c>
      <c r="Y7" s="17">
        <f>IFERROR(__xludf.DUMMYFUNCTION("IMPORTRANGE(""https://docs.google.com/spreadsheets/d/""&amp;$A7&amp;""/edit#gid=156619080"",Y$3)"),0.005519683399291766)</f>
        <v>0.005519683399</v>
      </c>
      <c r="Z7" s="2">
        <f>IFERROR(__xludf.DUMMYFUNCTION("IMPORTRANGE(""https://docs.google.com/spreadsheets/d/""&amp;$A7&amp;""/edit#gid=156619080"",Z$3)"),1988.69)</f>
        <v>1988.69</v>
      </c>
      <c r="AA7" s="2">
        <f>IFERROR(__xludf.DUMMYFUNCTION("IMPORTRANGE(""https://docs.google.com/spreadsheets/d/""&amp;$A7&amp;""/edit#gid=156619080"",AA$3)"),1975.14)</f>
        <v>1975.14</v>
      </c>
      <c r="AB7" s="2">
        <f>IFERROR(__xludf.DUMMYFUNCTION("IMPORTRANGE(""https://docs.google.com/spreadsheets/d/""&amp;$A7&amp;""/edit#gid=156619080"",AB$3)"),1961.59)</f>
        <v>1961.59</v>
      </c>
      <c r="AC7" s="18">
        <f>IFERROR(__xludf.DUMMYFUNCTION("IMPORTRANGE(""https://docs.google.com/spreadsheets/d/""&amp;$A7&amp;""/edit#gid=156619080"",AC$3)"),1948.04)</f>
        <v>1948.04</v>
      </c>
      <c r="AD7" s="18">
        <f>IFERROR(__xludf.DUMMYFUNCTION("IMPORTRANGE(""https://docs.google.com/spreadsheets/d/""&amp;$A7&amp;""/edit#gid=156619080"",AD$3)"),1934.49)</f>
        <v>1934.49</v>
      </c>
      <c r="AE7" s="18">
        <f>IFERROR(__xludf.DUMMYFUNCTION("IMPORTRANGE(""https://docs.google.com/spreadsheets/d/""&amp;$A7&amp;""/edit#gid=156619080"",AE$3)"),1880.3)</f>
        <v>1880.3</v>
      </c>
      <c r="AF7" s="2">
        <f>IFERROR(__xludf.DUMMYFUNCTION("IMPORTRANGE(""https://docs.google.com/spreadsheets/d/""&amp;$A7&amp;""/edit#gid=156619080"",AF$3)"),1826.11)</f>
        <v>1826.11</v>
      </c>
      <c r="AG7" s="2">
        <f>IFERROR(__xludf.DUMMYFUNCTION("IMPORTRANGE(""https://docs.google.com/spreadsheets/d/""&amp;$A7&amp;""/edit#gid=156619080"",AG$3)"),1812.56)</f>
        <v>1812.56</v>
      </c>
      <c r="AH7" s="2">
        <f>IFERROR(__xludf.DUMMYFUNCTION("IMPORTRANGE(""https://docs.google.com/spreadsheets/d/""&amp;$A7&amp;""/edit#gid=156619080"",AH$3)"),1799.01)</f>
        <v>1799.01</v>
      </c>
      <c r="AI7" s="2">
        <f>IFERROR(__xludf.DUMMYFUNCTION("IMPORTRANGE(""https://docs.google.com/spreadsheets/d/""&amp;$A7&amp;""/edit#gid=156619080"",AI$3)"),1785.46)</f>
        <v>1785.46</v>
      </c>
      <c r="AJ7" s="2">
        <f>IFERROR(__xludf.DUMMYFUNCTION("IMPORTRANGE(""https://docs.google.com/spreadsheets/d/""&amp;$A7&amp;""/edit#gid=156619080"",AJ$3)"),1771.91)</f>
        <v>1771.91</v>
      </c>
      <c r="AK7" s="2" t="str">
        <f>IFERROR(__xludf.DUMMYFUNCTION("IMPORTRANGE(""https://docs.google.com/spreadsheets/d/""&amp;$A7&amp;""/edit#gid=156619080"",AK$3)"),"")</f>
        <v/>
      </c>
      <c r="AL7" s="2">
        <f>IFERROR(__xludf.DUMMYFUNCTION("IMPORTRANGE(""https://docs.google.com/spreadsheets/d/""&amp;$A7&amp;""/edit#gid=156619080"",AL$3)"),1.0)</f>
        <v>1</v>
      </c>
      <c r="AM7" s="2" t="str">
        <f>IFERROR(__xludf.DUMMYFUNCTION("IMPORTRANGE(""https://docs.google.com/spreadsheets/d/""&amp;$A7&amp;""/edit#gid=156619080"",AM$3)"),"ws1")</f>
        <v>ws1</v>
      </c>
      <c r="AN7" s="2">
        <f>IFERROR(__xludf.DUMMYFUNCTION("IMPORTRANGE(""https://docs.google.com/spreadsheets/d/""&amp;$A7&amp;""/edit#gid=156619080"",AN$3)"),1.0)</f>
        <v>1</v>
      </c>
      <c r="AO7" s="2" t="str">
        <f>IFERROR(__xludf.DUMMYFUNCTION("IMPORTRANGE(""https://docs.google.com/spreadsheets/d/""&amp;$A7&amp;""/edit#gid=156619080"",AO$3)"),"")</f>
        <v/>
      </c>
      <c r="AP7" s="2">
        <f>IFERROR(__xludf.DUMMYFUNCTION("IMPORTRANGE(""https://docs.google.com/spreadsheets/d/""&amp;$A7&amp;""/edit#gid=156619080"",AP$3)"),1.0)</f>
        <v>1</v>
      </c>
      <c r="AQ7" s="2" t="str">
        <f>IFERROR(__xludf.DUMMYFUNCTION("IMPORTRANGE(""https://docs.google.com/spreadsheets/d/""&amp;$A7&amp;""/edit#gid=156619080"",AQ$3)"),"")</f>
        <v/>
      </c>
      <c r="AR7" s="18">
        <f>IFERROR(__xludf.DUMMYFUNCTION("IMPORTRANGE(""https://docs.google.com/spreadsheets/d/""&amp;$A7&amp;""/edit#gid=156619080"",AR$3)"),60.0)</f>
        <v>60</v>
      </c>
      <c r="AS7" s="19" t="str">
        <f>IFERROR(__xludf.DUMMYFUNCTION("IMPORTRANGE(""https://docs.google.com/spreadsheets/d/""&amp;$A7&amp;""/edit#gid=156619080"",AS$3)"),"-82.5
-52.5
40
90
")</f>
        <v>-82.5
-52.5
40
90
</v>
      </c>
      <c r="AT7" s="18">
        <f>IFERROR(__xludf.DUMMYFUNCTION("IMPORTRANGE(""https://docs.google.com/spreadsheets/d/""&amp;$A7&amp;""/edit#gid=156619080"",AT$3)"),6.456043956043955)</f>
        <v>6.456043956</v>
      </c>
      <c r="AU7" s="3" t="str">
        <f>IFERROR(__xludf.DUMMYFUNCTION("IMPORTRANGE(""https://docs.google.com/spreadsheets/d/""&amp;$A7&amp;""/edit#gid=156619080"",AU$3)"),"21.84
-9.07
-9.07
3.71
")</f>
        <v>21.84
-9.07
-9.07
3.71
</v>
      </c>
      <c r="AV7" s="18">
        <f>IFERROR(__xludf.DUMMYFUNCTION("IMPORTRANGE(""https://docs.google.com/spreadsheets/d/""&amp;$A7&amp;""/edit#gid=156619080"",AV$3)"),67.72727272727272)</f>
        <v>67.72727273</v>
      </c>
      <c r="AW7" s="19" t="str">
        <f>IFERROR(__xludf.DUMMYFUNCTION("IMPORTRANGE(""https://docs.google.com/spreadsheets/d/""&amp;$A7&amp;""/edit#gid=156619080"",AW$3)"),"53.6
59.81
64.48
67.86
")</f>
        <v>53.6
59.81
64.48
67.86
</v>
      </c>
      <c r="AX7" s="2">
        <f>IFERROR(__xludf.DUMMYFUNCTION("IMPORTRANGE(""https://docs.google.com/spreadsheets/d/""&amp;$A7&amp;""/edit#gid=156619080"",AX$3)"),73.95)</f>
        <v>73.95</v>
      </c>
      <c r="AY7" s="2">
        <f>IFERROR(__xludf.DUMMYFUNCTION("IMPORTRANGE(""https://docs.google.com/spreadsheets/d/""&amp;$A7&amp;""/edit#gid=156619080"",AY$3)"),57.05)</f>
        <v>57.05</v>
      </c>
      <c r="AZ7" s="2">
        <f>IFERROR(__xludf.DUMMYFUNCTION("IMPORTRANGE(""https://docs.google.com/spreadsheets/d/""&amp;$A7&amp;""/edit#gid=156619080"",AZ$3)"),1927.35)</f>
        <v>1927.35</v>
      </c>
      <c r="BA7" s="2">
        <f>IFERROR(__xludf.DUMMYFUNCTION("IMPORTRANGE(""https://docs.google.com/spreadsheets/d/""&amp;$A7&amp;""/edit#gid=156619080"",BA$3)"),24.99000000000001)</f>
        <v>24.99</v>
      </c>
      <c r="BB7" s="2">
        <f>IFERROR(__xludf.DUMMYFUNCTION("IMPORTRANGE(""https://docs.google.com/spreadsheets/d/""&amp;$A7&amp;""/edit#gid=156619080"",BB$3)"),6.95)</f>
        <v>6.95</v>
      </c>
      <c r="BC7" s="2" t="str">
        <f>IFERROR(__xludf.DUMMYFUNCTION("IMPORTRANGE(""https://docs.google.com/spreadsheets/d/""&amp;$A7&amp;""/edit#gid=156619080"",BC$3)"),"GC→GC")</f>
        <v>GC→GC</v>
      </c>
      <c r="BD7" s="2" t="str">
        <f>IFERROR(__xludf.DUMMYFUNCTION("IMPORTRANGE(""https://docs.google.com/spreadsheets/d/""&amp;$B7&amp;""/edit#gid=886187586"",BD$3)"),"#REF!")</f>
        <v>#REF!</v>
      </c>
      <c r="BE7" s="2" t="str">
        <f>IFERROR(__xludf.DUMMYFUNCTION("IMPORTRANGE(""https://docs.google.com/spreadsheets/d/""&amp;$B7&amp;""/edit#gid=886187586"",BE$3)"),"#REF!")</f>
        <v>#REF!</v>
      </c>
    </row>
    <row r="8" ht="51.0" customHeight="1">
      <c r="A8" s="7" t="str">
        <f t="shared" si="5"/>
        <v>1kYL0Ll9-PzBywfHn2FSPCQwNUxn4rlHIgm7IMckOnHw</v>
      </c>
      <c r="B8" s="1" t="s">
        <v>35</v>
      </c>
      <c r="C8" s="2">
        <f>IFERROR(__xludf.DUMMYFUNCTION("IMPORTRANGE(""https://docs.google.com/spreadsheets/d/""&amp;$A8&amp;""/edit#gid=156619080"",C$3)"),132.0)</f>
        <v>132</v>
      </c>
      <c r="D8" s="2">
        <f>IFERROR(__xludf.DUMMYFUNCTION("IMPORTRANGE(""https://docs.google.com/spreadsheets/d/""&amp;$A8&amp;""/edit#gid=156619080"",D$3)"),2269.0)</f>
        <v>2269</v>
      </c>
      <c r="E8" s="15">
        <f>IFERROR(__xludf.DUMMYFUNCTION("IMPORTRANGE(""https://docs.google.com/spreadsheets/d/""&amp;$A8&amp;""/edit#gid=156619080"",E$3)"),43882.0)</f>
        <v>43882</v>
      </c>
      <c r="F8" s="2">
        <f>IFERROR(__xludf.DUMMYFUNCTION("IMPORTRANGE(""https://docs.google.com/spreadsheets/d/""&amp;$A8&amp;""/edit#gid=156619080"",F$3)"),-30.0)</f>
        <v>-30</v>
      </c>
      <c r="G8" s="16">
        <f>IFERROR(__xludf.DUMMYFUNCTION("IMPORTRANGE(""https://docs.google.com/spreadsheets/d/""&amp;$A8&amp;""/edit#gid=156619080"",G$3)"),-0.42)</f>
        <v>-0.42</v>
      </c>
      <c r="H8" s="16">
        <f>IFERROR(__xludf.DUMMYFUNCTION("IMPORTRANGE(""https://docs.google.com/spreadsheets/d/""&amp;$A8&amp;""/edit#gid=156619080"",H$3)"),7080.0)</f>
        <v>7080</v>
      </c>
      <c r="I8" s="16">
        <f>IFERROR(__xludf.DUMMYFUNCTION("IMPORTRANGE(""https://docs.google.com/spreadsheets/d/""&amp;$A8&amp;""/edit#gid=156619080"",I$3)"),-10.0)</f>
        <v>-10</v>
      </c>
      <c r="J8" s="16">
        <f>IFERROR(__xludf.DUMMYFUNCTION("IMPORTRANGE(""https://docs.google.com/spreadsheets/d/""&amp;$A8&amp;""/edit#gid=156619080"",J$3)"),7110.0)</f>
        <v>7110</v>
      </c>
      <c r="K8" s="16">
        <f>IFERROR(__xludf.DUMMYFUNCTION("IMPORTRANGE(""https://docs.google.com/spreadsheets/d/""&amp;$A8&amp;""/edit#gid=156619080"",K$3)"),0.4013888888888889)</f>
        <v>0.4013888889</v>
      </c>
      <c r="L8" s="16">
        <f>IFERROR(__xludf.DUMMYFUNCTION("IMPORTRANGE(""https://docs.google.com/spreadsheets/d/""&amp;$A8&amp;""/edit#gid=156619080"",L$3)"),7030.0)</f>
        <v>7030</v>
      </c>
      <c r="M8" s="16">
        <f>IFERROR(__xludf.DUMMYFUNCTION("IMPORTRANGE(""https://docs.google.com/spreadsheets/d/""&amp;$A8&amp;""/edit#gid=156619080"",M$3)"),0.5361111111111111)</f>
        <v>0.5361111111</v>
      </c>
      <c r="N8" s="16">
        <f>IFERROR(__xludf.DUMMYFUNCTION("IMPORTRANGE(""https://docs.google.com/spreadsheets/d/""&amp;$A8&amp;""/edit#gid=156619080"",N$3)"),7040.0)</f>
        <v>7040</v>
      </c>
      <c r="O8" s="16" t="str">
        <f>IFERROR(__xludf.DUMMYFUNCTION("IMPORTRANGE(""https://docs.google.com/spreadsheets/d/""&amp;$A8&amp;""/edit#gid=156619080"",O$3)"),"382600株")</f>
        <v>382600株</v>
      </c>
      <c r="P8" s="16" t="str">
        <f>IFERROR(__xludf.DUMMYFUNCTION("IMPORTRANGE(""https://docs.google.com/spreadsheets/d/""&amp;$A8&amp;""/edit#gid=156619080"",P$3)"),"2701百万円")</f>
        <v>2701百万円</v>
      </c>
      <c r="Q8" s="16" t="str">
        <f>IFERROR(__xludf.DUMMYFUNCTION("IMPORTRANGE(""https://docs.google.com/spreadsheets/d/""&amp;$A8&amp;""/edit#gid=156619080"",Q$3)"),"1019回")</f>
        <v>1019回</v>
      </c>
      <c r="R8" s="16" t="str">
        <f>IFERROR(__xludf.DUMMYFUNCTION("IMPORTRANGE(""https://docs.google.com/spreadsheets/d/""&amp;$A8&amp;""/edit#gid=156619080"",R$3)"),"10749億円")</f>
        <v>10749億円</v>
      </c>
      <c r="S8" s="16" t="str">
        <f>IFERROR(__xludf.DUMMYFUNCTION("IMPORTRANGE(""https://docs.google.com/spreadsheets/d/""&amp;$A8&amp;""/edit#gid=156619080"",S$3)"),"陰線")</f>
        <v>陰線</v>
      </c>
      <c r="T8" s="16" t="str">
        <f>IFERROR(__xludf.DUMMYFUNCTION("IMPORTRANGE(""https://docs.google.com/spreadsheets/d/""&amp;$A8&amp;""/edit#gid=156619080"",T$3)"),"")</f>
        <v/>
      </c>
      <c r="U8" s="16">
        <f>IFERROR(__xludf.DUMMYFUNCTION("IMPORTRANGE(""https://docs.google.com/spreadsheets/d/""&amp;$A8&amp;""/edit#gid=156619080"",U$3)"),7114.0)</f>
        <v>7114</v>
      </c>
      <c r="V8" s="16">
        <f>IFERROR(__xludf.DUMMYFUNCTION("IMPORTRANGE(""https://docs.google.com/spreadsheets/d/""&amp;$A8&amp;""/edit#gid=156619080"",V$3)"),7299.2)</f>
        <v>7299.2</v>
      </c>
      <c r="W8" s="16">
        <f>IFERROR(__xludf.DUMMYFUNCTION("IMPORTRANGE(""https://docs.google.com/spreadsheets/d/""&amp;$A8&amp;""/edit#gid=156619080"",W$3)"),7481.9)</f>
        <v>7481.9</v>
      </c>
      <c r="X8" s="2">
        <f>IFERROR(__xludf.DUMMYFUNCTION("IMPORTRANGE(""https://docs.google.com/spreadsheets/d/""&amp;$A8&amp;""/edit#gid=156619080"",X$3)"),7567.4)</f>
        <v>7567.4</v>
      </c>
      <c r="Y8" s="17">
        <f>IFERROR(__xludf.DUMMYFUNCTION("IMPORTRANGE(""https://docs.google.com/spreadsheets/d/""&amp;$A8&amp;""/edit#gid=156619080"",Y$3)"),-0.010402024177677818)</f>
        <v>-0.01040202418</v>
      </c>
      <c r="Z8" s="2">
        <f>IFERROR(__xludf.DUMMYFUNCTION("IMPORTRANGE(""https://docs.google.com/spreadsheets/d/""&amp;$A8&amp;""/edit#gid=156619080"",Z$3)"),8075.79)</f>
        <v>8075.79</v>
      </c>
      <c r="AA8" s="2">
        <f>IFERROR(__xludf.DUMMYFUNCTION("IMPORTRANGE(""https://docs.google.com/spreadsheets/d/""&amp;$A8&amp;""/edit#gid=156619080"",AA$3)"),8001.56)</f>
        <v>8001.56</v>
      </c>
      <c r="AB8" s="2">
        <f>IFERROR(__xludf.DUMMYFUNCTION("IMPORTRANGE(""https://docs.google.com/spreadsheets/d/""&amp;$A8&amp;""/edit#gid=156619080"",AB$3)"),7927.32)</f>
        <v>7927.32</v>
      </c>
      <c r="AC8" s="18">
        <f>IFERROR(__xludf.DUMMYFUNCTION("IMPORTRANGE(""https://docs.google.com/spreadsheets/d/""&amp;$A8&amp;""/edit#gid=156619080"",AC$3)"),7853.08)</f>
        <v>7853.08</v>
      </c>
      <c r="AD8" s="18">
        <f>IFERROR(__xludf.DUMMYFUNCTION("IMPORTRANGE(""https://docs.google.com/spreadsheets/d/""&amp;$A8&amp;""/edit#gid=156619080"",AD$3)"),7778.85)</f>
        <v>7778.85</v>
      </c>
      <c r="AE8" s="18">
        <f>IFERROR(__xludf.DUMMYFUNCTION("IMPORTRANGE(""https://docs.google.com/spreadsheets/d/""&amp;$A8&amp;""/edit#gid=156619080"",AE$3)"),7481.9)</f>
        <v>7481.9</v>
      </c>
      <c r="AF8" s="2">
        <f>IFERROR(__xludf.DUMMYFUNCTION("IMPORTRANGE(""https://docs.google.com/spreadsheets/d/""&amp;$A8&amp;""/edit#gid=156619080"",AF$3)"),7184.95)</f>
        <v>7184.95</v>
      </c>
      <c r="AG8" s="2">
        <f>IFERROR(__xludf.DUMMYFUNCTION("IMPORTRANGE(""https://docs.google.com/spreadsheets/d/""&amp;$A8&amp;""/edit#gid=156619080"",AG$3)"),7110.72)</f>
        <v>7110.72</v>
      </c>
      <c r="AH8" s="2">
        <f>IFERROR(__xludf.DUMMYFUNCTION("IMPORTRANGE(""https://docs.google.com/spreadsheets/d/""&amp;$A8&amp;""/edit#gid=156619080"",AH$3)"),7036.48)</f>
        <v>7036.48</v>
      </c>
      <c r="AI8" s="2">
        <f>IFERROR(__xludf.DUMMYFUNCTION("IMPORTRANGE(""https://docs.google.com/spreadsheets/d/""&amp;$A8&amp;""/edit#gid=156619080"",AI$3)"),6962.24)</f>
        <v>6962.24</v>
      </c>
      <c r="AJ8" s="2">
        <f>IFERROR(__xludf.DUMMYFUNCTION("IMPORTRANGE(""https://docs.google.com/spreadsheets/d/""&amp;$A8&amp;""/edit#gid=156619080"",AJ$3)"),6888.01)</f>
        <v>6888.01</v>
      </c>
      <c r="AK8" s="2" t="str">
        <f>IFERROR(__xludf.DUMMYFUNCTION("IMPORTRANGE(""https://docs.google.com/spreadsheets/d/""&amp;$A8&amp;""/edit#gid=156619080"",AK$3)"),"-1.25σ〜-1.5σ")</f>
        <v>-1.25σ〜-1.5σ</v>
      </c>
      <c r="AL8" s="2">
        <f>IFERROR(__xludf.DUMMYFUNCTION("IMPORTRANGE(""https://docs.google.com/spreadsheets/d/""&amp;$A8&amp;""/edit#gid=156619080"",AL$3)"),-1.0)</f>
        <v>-1</v>
      </c>
      <c r="AM8" s="2" t="str">
        <f>IFERROR(__xludf.DUMMYFUNCTION("IMPORTRANGE(""https://docs.google.com/spreadsheets/d/""&amp;$A8&amp;""/edit#gid=156619080"",AM$3)"),"")</f>
        <v/>
      </c>
      <c r="AN8" s="2">
        <f>IFERROR(__xludf.DUMMYFUNCTION("IMPORTRANGE(""https://docs.google.com/spreadsheets/d/""&amp;$A8&amp;""/edit#gid=156619080"",AN$3)"),-1.0)</f>
        <v>-1</v>
      </c>
      <c r="AO8" s="2" t="str">
        <f>IFERROR(__xludf.DUMMYFUNCTION("IMPORTRANGE(""https://docs.google.com/spreadsheets/d/""&amp;$A8&amp;""/edit#gid=156619080"",AO$3)"),"")</f>
        <v/>
      </c>
      <c r="AP8" s="2">
        <f>IFERROR(__xludf.DUMMYFUNCTION("IMPORTRANGE(""https://docs.google.com/spreadsheets/d/""&amp;$A8&amp;""/edit#gid=156619080"",AP$3)"),-1.0)</f>
        <v>-1</v>
      </c>
      <c r="AQ8" s="2" t="str">
        <f>IFERROR(__xludf.DUMMYFUNCTION("IMPORTRANGE(""https://docs.google.com/spreadsheets/d/""&amp;$A8&amp;""/edit#gid=156619080"",AQ$3)"),"")</f>
        <v/>
      </c>
      <c r="AR8" s="18">
        <f>IFERROR(__xludf.DUMMYFUNCTION("IMPORTRANGE(""https://docs.google.com/spreadsheets/d/""&amp;$A8&amp;""/edit#gid=156619080"",AR$3)"),-89.99999999999999)</f>
        <v>-90</v>
      </c>
      <c r="AS8" s="19" t="str">
        <f>IFERROR(__xludf.DUMMYFUNCTION("IMPORTRANGE(""https://docs.google.com/spreadsheets/d/""&amp;$A8&amp;""/edit#gid=156619080"",AS$3)"),"-80
-50
-30
-30
")</f>
        <v>-80
-50
-30
-30
</v>
      </c>
      <c r="AT8" s="18">
        <f>IFERROR(__xludf.DUMMYFUNCTION("IMPORTRANGE(""https://docs.google.com/spreadsheets/d/""&amp;$A8&amp;""/edit#gid=156619080"",AT$3)"),-95.05494505494505)</f>
        <v>-95.05494505</v>
      </c>
      <c r="AU8" s="3" t="str">
        <f>IFERROR(__xludf.DUMMYFUNCTION("IMPORTRANGE(""https://docs.google.com/spreadsheets/d/""&amp;$A8&amp;""/edit#gid=156619080"",AU$3)"),"-92.86
-91.21
-91.76
-93.96
")</f>
        <v>-92.86
-91.21
-91.76
-93.96
</v>
      </c>
      <c r="AV8" s="18">
        <f>IFERROR(__xludf.DUMMYFUNCTION("IMPORTRANGE(""https://docs.google.com/spreadsheets/d/""&amp;$A8&amp;""/edit#gid=156619080"",AV$3)"),-92.72727272727272)</f>
        <v>-92.72727273</v>
      </c>
      <c r="AW8" s="19" t="str">
        <f>IFERROR(__xludf.DUMMYFUNCTION("IMPORTRANGE(""https://docs.google.com/spreadsheets/d/""&amp;$A8&amp;""/edit#gid=156619080"",AW$3)"),"-55.97
-67.27
-77.01
-85.58
")</f>
        <v>-55.97
-67.27
-77.01
-85.58
</v>
      </c>
      <c r="AX8" s="2">
        <f>IFERROR(__xludf.DUMMYFUNCTION("IMPORTRANGE(""https://docs.google.com/spreadsheets/d/""&amp;$A8&amp;""/edit#gid=156619080"",AX$3)"),38.1)</f>
        <v>38.1</v>
      </c>
      <c r="AY8" s="2">
        <f>IFERROR(__xludf.DUMMYFUNCTION("IMPORTRANGE(""https://docs.google.com/spreadsheets/d/""&amp;$A8&amp;""/edit#gid=156619080"",AY$3)"),29.49)</f>
        <v>29.49</v>
      </c>
      <c r="AZ8" s="2">
        <f>IFERROR(__xludf.DUMMYFUNCTION("IMPORTRANGE(""https://docs.google.com/spreadsheets/d/""&amp;$A8&amp;""/edit#gid=156619080"",AZ$3)"),7112.23)</f>
        <v>7112.23</v>
      </c>
      <c r="BA8" s="2">
        <f>IFERROR(__xludf.DUMMYFUNCTION("IMPORTRANGE(""https://docs.google.com/spreadsheets/d/""&amp;$A8&amp;""/edit#gid=156619080"",BA$3)"),-241.40000000000055)</f>
        <v>-241.4</v>
      </c>
      <c r="BB8" s="2">
        <f>IFERROR(__xludf.DUMMYFUNCTION("IMPORTRANGE(""https://docs.google.com/spreadsheets/d/""&amp;$A8&amp;""/edit#gid=156619080"",BB$3)"),-149.93)</f>
        <v>-149.93</v>
      </c>
      <c r="BC8" s="2" t="str">
        <f>IFERROR(__xludf.DUMMYFUNCTION("IMPORTRANGE(""https://docs.google.com/spreadsheets/d/""&amp;$A8&amp;""/edit#gid=156619080"",BC$3)"),"DC→DC")</f>
        <v>DC→DC</v>
      </c>
      <c r="BD8" s="2" t="str">
        <f>IFERROR(__xludf.DUMMYFUNCTION("IMPORTRANGE(""https://docs.google.com/spreadsheets/d/""&amp;$B8&amp;""/edit#gid=886187586"",BD$3)"),"#REF!")</f>
        <v>#REF!</v>
      </c>
      <c r="BE8" s="2" t="str">
        <f>IFERROR(__xludf.DUMMYFUNCTION("IMPORTRANGE(""https://docs.google.com/spreadsheets/d/""&amp;$B8&amp;""/edit#gid=886187586"",BE$3)"),"#REF!")</f>
        <v>#REF!</v>
      </c>
    </row>
    <row r="9" ht="51.0" customHeight="1">
      <c r="A9" s="7" t="str">
        <f t="shared" si="5"/>
        <v>1oT9vwsd__jWmFxvT285kOvJcxvOm_BwDFJkqdhETNts</v>
      </c>
      <c r="B9" s="1" t="s">
        <v>36</v>
      </c>
      <c r="C9" s="2">
        <f>IFERROR(__xludf.DUMMYFUNCTION("IMPORTRANGE(""https://docs.google.com/spreadsheets/d/""&amp;$A9&amp;""/edit#gid=156619080"",C$3)"),132.0)</f>
        <v>132</v>
      </c>
      <c r="D9" s="2">
        <f>IFERROR(__xludf.DUMMYFUNCTION("IMPORTRANGE(""https://docs.google.com/spreadsheets/d/""&amp;$A9&amp;""/edit#gid=156619080"",D$3)"),2282.0)</f>
        <v>2282</v>
      </c>
      <c r="E9" s="15">
        <f>IFERROR(__xludf.DUMMYFUNCTION("IMPORTRANGE(""https://docs.google.com/spreadsheets/d/""&amp;$A9&amp;""/edit#gid=156619080"",E$3)"),43882.0)</f>
        <v>43882</v>
      </c>
      <c r="F9" s="2">
        <f>IFERROR(__xludf.DUMMYFUNCTION("IMPORTRANGE(""https://docs.google.com/spreadsheets/d/""&amp;$A9&amp;""/edit#gid=156619080"",F$3)"),-100.0)</f>
        <v>-100</v>
      </c>
      <c r="G9" s="16">
        <f>IFERROR(__xludf.DUMMYFUNCTION("IMPORTRANGE(""https://docs.google.com/spreadsheets/d/""&amp;$A9&amp;""/edit#gid=156619080"",G$3)"),-2.15)</f>
        <v>-2.15</v>
      </c>
      <c r="H9" s="16">
        <f>IFERROR(__xludf.DUMMYFUNCTION("IMPORTRANGE(""https://docs.google.com/spreadsheets/d/""&amp;$A9&amp;""/edit#gid=156619080"",H$3)"),4625.0)</f>
        <v>4625</v>
      </c>
      <c r="I9" s="16">
        <f>IFERROR(__xludf.DUMMYFUNCTION("IMPORTRANGE(""https://docs.google.com/spreadsheets/d/""&amp;$A9&amp;""/edit#gid=156619080"",I$3)"),35.0)</f>
        <v>35</v>
      </c>
      <c r="J9" s="16">
        <f>IFERROR(__xludf.DUMMYFUNCTION("IMPORTRANGE(""https://docs.google.com/spreadsheets/d/""&amp;$A9&amp;""/edit#gid=156619080"",J$3)"),4640.0)</f>
        <v>4640</v>
      </c>
      <c r="K9" s="16">
        <f>IFERROR(__xludf.DUMMYFUNCTION("IMPORTRANGE(""https://docs.google.com/spreadsheets/d/""&amp;$A9&amp;""/edit#gid=156619080"",K$3)"),0.375)</f>
        <v>0.375</v>
      </c>
      <c r="L9" s="16">
        <f>IFERROR(__xludf.DUMMYFUNCTION("IMPORTRANGE(""https://docs.google.com/spreadsheets/d/""&amp;$A9&amp;""/edit#gid=156619080"",L$3)"),4560.0)</f>
        <v>4560</v>
      </c>
      <c r="M9" s="16">
        <f>IFERROR(__xludf.DUMMYFUNCTION("IMPORTRANGE(""https://docs.google.com/spreadsheets/d/""&amp;$A9&amp;""/edit#gid=156619080"",M$3)"),0.6180555555555556)</f>
        <v>0.6180555556</v>
      </c>
      <c r="N9" s="16">
        <f>IFERROR(__xludf.DUMMYFUNCTION("IMPORTRANGE(""https://docs.google.com/spreadsheets/d/""&amp;$A9&amp;""/edit#gid=156619080"",N$3)"),4560.0)</f>
        <v>4560</v>
      </c>
      <c r="O9" s="16" t="str">
        <f>IFERROR(__xludf.DUMMYFUNCTION("IMPORTRANGE(""https://docs.google.com/spreadsheets/d/""&amp;$A9&amp;""/edit#gid=156619080"",O$3)"),"313700株")</f>
        <v>313700株</v>
      </c>
      <c r="P9" s="16" t="str">
        <f>IFERROR(__xludf.DUMMYFUNCTION("IMPORTRANGE(""https://docs.google.com/spreadsheets/d/""&amp;$A9&amp;""/edit#gid=156619080"",P$3)"),"1439百万円")</f>
        <v>1439百万円</v>
      </c>
      <c r="Q9" s="16" t="str">
        <f>IFERROR(__xludf.DUMMYFUNCTION("IMPORTRANGE(""https://docs.google.com/spreadsheets/d/""&amp;$A9&amp;""/edit#gid=156619080"",Q$3)"),"666回")</f>
        <v>666回</v>
      </c>
      <c r="R9" s="16" t="str">
        <f>IFERROR(__xludf.DUMMYFUNCTION("IMPORTRANGE(""https://docs.google.com/spreadsheets/d/""&amp;$A9&amp;""/edit#gid=156619080"",R$3)"),"4695億円")</f>
        <v>4695億円</v>
      </c>
      <c r="S9" s="16" t="str">
        <f>IFERROR(__xludf.DUMMYFUNCTION("IMPORTRANGE(""https://docs.google.com/spreadsheets/d/""&amp;$A9&amp;""/edit#gid=156619080"",S$3)"),"陰線")</f>
        <v>陰線</v>
      </c>
      <c r="T9" s="16" t="str">
        <f>IFERROR(__xludf.DUMMYFUNCTION("IMPORTRANGE(""https://docs.google.com/spreadsheets/d/""&amp;$A9&amp;""/edit#gid=156619080"",T$3)"),"")</f>
        <v/>
      </c>
      <c r="U9" s="16">
        <f>IFERROR(__xludf.DUMMYFUNCTION("IMPORTRANGE(""https://docs.google.com/spreadsheets/d/""&amp;$A9&amp;""/edit#gid=156619080"",U$3)"),4661.0)</f>
        <v>4661</v>
      </c>
      <c r="V9" s="16">
        <f>IFERROR(__xludf.DUMMYFUNCTION("IMPORTRANGE(""https://docs.google.com/spreadsheets/d/""&amp;$A9&amp;""/edit#gid=156619080"",V$3)"),4751.2)</f>
        <v>4751.2</v>
      </c>
      <c r="W9" s="16">
        <f>IFERROR(__xludf.DUMMYFUNCTION("IMPORTRANGE(""https://docs.google.com/spreadsheets/d/""&amp;$A9&amp;""/edit#gid=156619080"",W$3)"),4749.3)</f>
        <v>4749.3</v>
      </c>
      <c r="X9" s="2">
        <f>IFERROR(__xludf.DUMMYFUNCTION("IMPORTRANGE(""https://docs.google.com/spreadsheets/d/""&amp;$A9&amp;""/edit#gid=156619080"",X$3)"),4606.2)</f>
        <v>4606.2</v>
      </c>
      <c r="Y9" s="17">
        <f>IFERROR(__xludf.DUMMYFUNCTION("IMPORTRANGE(""https://docs.google.com/spreadsheets/d/""&amp;$A9&amp;""/edit#gid=156619080"",Y$3)"),-0.021669169706071658)</f>
        <v>-0.02166916971</v>
      </c>
      <c r="Z9" s="2">
        <f>IFERROR(__xludf.DUMMYFUNCTION("IMPORTRANGE(""https://docs.google.com/spreadsheets/d/""&amp;$A9&amp;""/edit#gid=156619080"",Z$3)"),4892.64)</f>
        <v>4892.64</v>
      </c>
      <c r="AA9" s="2">
        <f>IFERROR(__xludf.DUMMYFUNCTION("IMPORTRANGE(""https://docs.google.com/spreadsheets/d/""&amp;$A9&amp;""/edit#gid=156619080"",AA$3)"),4874.72)</f>
        <v>4874.72</v>
      </c>
      <c r="AB9" s="2">
        <f>IFERROR(__xludf.DUMMYFUNCTION("IMPORTRANGE(""https://docs.google.com/spreadsheets/d/""&amp;$A9&amp;""/edit#gid=156619080"",AB$3)"),4856.8)</f>
        <v>4856.8</v>
      </c>
      <c r="AC9" s="18">
        <f>IFERROR(__xludf.DUMMYFUNCTION("IMPORTRANGE(""https://docs.google.com/spreadsheets/d/""&amp;$A9&amp;""/edit#gid=156619080"",AC$3)"),4838.89)</f>
        <v>4838.89</v>
      </c>
      <c r="AD9" s="18">
        <f>IFERROR(__xludf.DUMMYFUNCTION("IMPORTRANGE(""https://docs.google.com/spreadsheets/d/""&amp;$A9&amp;""/edit#gid=156619080"",AD$3)"),4820.97)</f>
        <v>4820.97</v>
      </c>
      <c r="AE9" s="18">
        <f>IFERROR(__xludf.DUMMYFUNCTION("IMPORTRANGE(""https://docs.google.com/spreadsheets/d/""&amp;$A9&amp;""/edit#gid=156619080"",AE$3)"),4749.3)</f>
        <v>4749.3</v>
      </c>
      <c r="AF9" s="2">
        <f>IFERROR(__xludf.DUMMYFUNCTION("IMPORTRANGE(""https://docs.google.com/spreadsheets/d/""&amp;$A9&amp;""/edit#gid=156619080"",AF$3)"),4677.63)</f>
        <v>4677.63</v>
      </c>
      <c r="AG9" s="2">
        <f>IFERROR(__xludf.DUMMYFUNCTION("IMPORTRANGE(""https://docs.google.com/spreadsheets/d/""&amp;$A9&amp;""/edit#gid=156619080"",AG$3)"),4659.71)</f>
        <v>4659.71</v>
      </c>
      <c r="AH9" s="2">
        <f>IFERROR(__xludf.DUMMYFUNCTION("IMPORTRANGE(""https://docs.google.com/spreadsheets/d/""&amp;$A9&amp;""/edit#gid=156619080"",AH$3)"),4641.8)</f>
        <v>4641.8</v>
      </c>
      <c r="AI9" s="2">
        <f>IFERROR(__xludf.DUMMYFUNCTION("IMPORTRANGE(""https://docs.google.com/spreadsheets/d/""&amp;$A9&amp;""/edit#gid=156619080"",AI$3)"),4623.88)</f>
        <v>4623.88</v>
      </c>
      <c r="AJ9" s="2">
        <f>IFERROR(__xludf.DUMMYFUNCTION("IMPORTRANGE(""https://docs.google.com/spreadsheets/d/""&amp;$A9&amp;""/edit#gid=156619080"",AJ$3)"),4605.96)</f>
        <v>4605.96</v>
      </c>
      <c r="AK9" s="2" t="str">
        <f>IFERROR(__xludf.DUMMYFUNCTION("IMPORTRANGE(""https://docs.google.com/spreadsheets/d/""&amp;$A9&amp;""/edit#gid=156619080"",AK$3)"),"-2σ以下")</f>
        <v>-2σ以下</v>
      </c>
      <c r="AL9" s="2">
        <f>IFERROR(__xludf.DUMMYFUNCTION("IMPORTRANGE(""https://docs.google.com/spreadsheets/d/""&amp;$A9&amp;""/edit#gid=156619080"",AL$3)"),-1.0)</f>
        <v>-1</v>
      </c>
      <c r="AM9" s="2" t="str">
        <f>IFERROR(__xludf.DUMMYFUNCTION("IMPORTRANGE(""https://docs.google.com/spreadsheets/d/""&amp;$A9&amp;""/edit#gid=156619080"",AM$3)"),"")</f>
        <v/>
      </c>
      <c r="AN9" s="2">
        <f>IFERROR(__xludf.DUMMYFUNCTION("IMPORTRANGE(""https://docs.google.com/spreadsheets/d/""&amp;$A9&amp;""/edit#gid=156619080"",AN$3)"),-1.0)</f>
        <v>-1</v>
      </c>
      <c r="AO9" s="2" t="str">
        <f>IFERROR(__xludf.DUMMYFUNCTION("IMPORTRANGE(""https://docs.google.com/spreadsheets/d/""&amp;$A9&amp;""/edit#gid=156619080"",AO$3)"),"")</f>
        <v/>
      </c>
      <c r="AP9" s="2">
        <f>IFERROR(__xludf.DUMMYFUNCTION("IMPORTRANGE(""https://docs.google.com/spreadsheets/d/""&amp;$A9&amp;""/edit#gid=156619080"",AP$3)"),1.0)</f>
        <v>1</v>
      </c>
      <c r="AQ9" s="2" t="str">
        <f>IFERROR(__xludf.DUMMYFUNCTION("IMPORTRANGE(""https://docs.google.com/spreadsheets/d/""&amp;$A9&amp;""/edit#gid=156619080"",AQ$3)"),"")</f>
        <v/>
      </c>
      <c r="AR9" s="18">
        <f>IFERROR(__xludf.DUMMYFUNCTION("IMPORTRANGE(""https://docs.google.com/spreadsheets/d/""&amp;$A9&amp;""/edit#gid=156619080"",AR$3)"),-89.99999999999999)</f>
        <v>-90</v>
      </c>
      <c r="AS9" s="19" t="str">
        <f>IFERROR(__xludf.DUMMYFUNCTION("IMPORTRANGE(""https://docs.google.com/spreadsheets/d/""&amp;$A9&amp;""/edit#gid=156619080"",AS$3)"),"-80
-90
-90
-90
")</f>
        <v>-80
-90
-90
-90
</v>
      </c>
      <c r="AT9" s="18">
        <f>IFERROR(__xludf.DUMMYFUNCTION("IMPORTRANGE(""https://docs.google.com/spreadsheets/d/""&amp;$A9&amp;""/edit#gid=156619080"",AT$3)"),-88.46153846153845)</f>
        <v>-88.46153846</v>
      </c>
      <c r="AU9" s="3" t="str">
        <f>IFERROR(__xludf.DUMMYFUNCTION("IMPORTRANGE(""https://docs.google.com/spreadsheets/d/""&amp;$A9&amp;""/edit#gid=156619080"",AU$3)"),"21.02
-14.7
-57.55
-63.74
")</f>
        <v>21.02
-14.7
-57.55
-63.74
</v>
      </c>
      <c r="AV9" s="18">
        <f>IFERROR(__xludf.DUMMYFUNCTION("IMPORTRANGE(""https://docs.google.com/spreadsheets/d/""&amp;$A9&amp;""/edit#gid=156619080"",AV$3)"),-30.84415584415585)</f>
        <v>-30.84415584</v>
      </c>
      <c r="AW9" s="19" t="str">
        <f>IFERROR(__xludf.DUMMYFUNCTION("IMPORTRANGE(""https://docs.google.com/spreadsheets/d/""&amp;$A9&amp;""/edit#gid=156619080"",AW$3)"),"36.33
18.8
-3.31
-22.53
")</f>
        <v>36.33
18.8
-3.31
-22.53
</v>
      </c>
      <c r="AX9" s="2">
        <f>IFERROR(__xludf.DUMMYFUNCTION("IMPORTRANGE(""https://docs.google.com/spreadsheets/d/""&amp;$A9&amp;""/edit#gid=156619080"",AX$3)"),4.26)</f>
        <v>4.26</v>
      </c>
      <c r="AY9" s="2">
        <f>IFERROR(__xludf.DUMMYFUNCTION("IMPORTRANGE(""https://docs.google.com/spreadsheets/d/""&amp;$A9&amp;""/edit#gid=156619080"",AY$3)"),38.54)</f>
        <v>38.54</v>
      </c>
      <c r="AZ9" s="2">
        <f>IFERROR(__xludf.DUMMYFUNCTION("IMPORTRANGE(""https://docs.google.com/spreadsheets/d/""&amp;$A9&amp;""/edit#gid=156619080"",AZ$3)"),4650.76)</f>
        <v>4650.76</v>
      </c>
      <c r="BA9" s="2">
        <f>IFERROR(__xludf.DUMMYFUNCTION("IMPORTRANGE(""https://docs.google.com/spreadsheets/d/""&amp;$A9&amp;""/edit#gid=156619080"",BA$3)"),-68.78999999999996)</f>
        <v>-68.79</v>
      </c>
      <c r="BB9" s="2">
        <f>IFERROR(__xludf.DUMMYFUNCTION("IMPORTRANGE(""https://docs.google.com/spreadsheets/d/""&amp;$A9&amp;""/edit#gid=156619080"",BB$3)"),4.33)</f>
        <v>4.33</v>
      </c>
      <c r="BC9" s="2" t="str">
        <f>IFERROR(__xludf.DUMMYFUNCTION("IMPORTRANGE(""https://docs.google.com/spreadsheets/d/""&amp;$A9&amp;""/edit#gid=156619080"",BC$3)"),"DC→DC")</f>
        <v>DC→DC</v>
      </c>
      <c r="BD9" s="2" t="str">
        <f>IFERROR(__xludf.DUMMYFUNCTION("IMPORTRANGE(""https://docs.google.com/spreadsheets/d/""&amp;$B9&amp;""/edit#gid=886187586"",BD$3)"),"#REF!")</f>
        <v>#REF!</v>
      </c>
      <c r="BE9" s="2" t="str">
        <f>IFERROR(__xludf.DUMMYFUNCTION("IMPORTRANGE(""https://docs.google.com/spreadsheets/d/""&amp;$B9&amp;""/edit#gid=886187586"",BE$3)"),"#REF!")</f>
        <v>#REF!</v>
      </c>
    </row>
    <row r="10" ht="51.0" customHeight="1">
      <c r="A10" s="7" t="str">
        <f t="shared" si="5"/>
        <v>1Nqb2ZGUic7TcrxRWyq2KuyCNX-wnA7RglxaAEMXG1LI</v>
      </c>
      <c r="B10" s="1" t="s">
        <v>37</v>
      </c>
      <c r="C10" s="2">
        <f>IFERROR(__xludf.DUMMYFUNCTION("IMPORTRANGE(""https://docs.google.com/spreadsheets/d/""&amp;$A10&amp;""/edit#gid=156619080"",C$3)"),133.0)</f>
        <v>133</v>
      </c>
      <c r="D10" s="2">
        <f>IFERROR(__xludf.DUMMYFUNCTION("IMPORTRANGE(""https://docs.google.com/spreadsheets/d/""&amp;$A10&amp;""/edit#gid=156619080"",D$3)"),2501.0)</f>
        <v>2501</v>
      </c>
      <c r="E10" s="15">
        <f>IFERROR(__xludf.DUMMYFUNCTION("IMPORTRANGE(""https://docs.google.com/spreadsheets/d/""&amp;$A10&amp;""/edit#gid=156619080"",E$3)"),43882.0)</f>
        <v>43882</v>
      </c>
      <c r="F10" s="2">
        <f>IFERROR(__xludf.DUMMYFUNCTION("IMPORTRANGE(""https://docs.google.com/spreadsheets/d/""&amp;$A10&amp;""/edit#gid=156619080"",F$3)"),-37.0)</f>
        <v>-37</v>
      </c>
      <c r="G10" s="16">
        <f>IFERROR(__xludf.DUMMYFUNCTION("IMPORTRANGE(""https://docs.google.com/spreadsheets/d/""&amp;$A10&amp;""/edit#gid=156619080"",G$3)"),-1.5)</f>
        <v>-1.5</v>
      </c>
      <c r="H10" s="16">
        <f>IFERROR(__xludf.DUMMYFUNCTION("IMPORTRANGE(""https://docs.google.com/spreadsheets/d/""&amp;$A10&amp;""/edit#gid=156619080"",H$3)"),2447.0)</f>
        <v>2447</v>
      </c>
      <c r="I10" s="16">
        <f>IFERROR(__xludf.DUMMYFUNCTION("IMPORTRANGE(""https://docs.google.com/spreadsheets/d/""&amp;$A10&amp;""/edit#gid=156619080"",I$3)"),26.0)</f>
        <v>26</v>
      </c>
      <c r="J10" s="16">
        <f>IFERROR(__xludf.DUMMYFUNCTION("IMPORTRANGE(""https://docs.google.com/spreadsheets/d/""&amp;$A10&amp;""/edit#gid=156619080"",J$3)"),2468.0)</f>
        <v>2468</v>
      </c>
      <c r="K10" s="16">
        <f>IFERROR(__xludf.DUMMYFUNCTION("IMPORTRANGE(""https://docs.google.com/spreadsheets/d/""&amp;$A10&amp;""/edit#gid=156619080"",K$3)"),0.40208333333333335)</f>
        <v>0.4020833333</v>
      </c>
      <c r="L10" s="16">
        <f>IFERROR(__xludf.DUMMYFUNCTION("IMPORTRANGE(""https://docs.google.com/spreadsheets/d/""&amp;$A10&amp;""/edit#gid=156619080"",L$3)"),2434.0)</f>
        <v>2434</v>
      </c>
      <c r="M10" s="16">
        <f>IFERROR(__xludf.DUMMYFUNCTION("IMPORTRANGE(""https://docs.google.com/spreadsheets/d/""&amp;$A10&amp;""/edit#gid=156619080"",M$3)"),0.375)</f>
        <v>0.375</v>
      </c>
      <c r="N10" s="16">
        <f>IFERROR(__xludf.DUMMYFUNCTION("IMPORTRANGE(""https://docs.google.com/spreadsheets/d/""&amp;$A10&amp;""/edit#gid=156619080"",N$3)"),2436.0)</f>
        <v>2436</v>
      </c>
      <c r="O10" s="16" t="str">
        <f>IFERROR(__xludf.DUMMYFUNCTION("IMPORTRANGE(""https://docs.google.com/spreadsheets/d/""&amp;$A10&amp;""/edit#gid=156619080"",O$3)"),"443800株")</f>
        <v>443800株</v>
      </c>
      <c r="P10" s="16" t="str">
        <f>IFERROR(__xludf.DUMMYFUNCTION("IMPORTRANGE(""https://docs.google.com/spreadsheets/d/""&amp;$A10&amp;""/edit#gid=156619080"",P$3)"),"1086百万円")</f>
        <v>1086百万円</v>
      </c>
      <c r="Q10" s="16" t="str">
        <f>IFERROR(__xludf.DUMMYFUNCTION("IMPORTRANGE(""https://docs.google.com/spreadsheets/d/""&amp;$A10&amp;""/edit#gid=156619080"",Q$3)"),"1679回")</f>
        <v>1679回</v>
      </c>
      <c r="R10" s="16" t="str">
        <f>IFERROR(__xludf.DUMMYFUNCTION("IMPORTRANGE(""https://docs.google.com/spreadsheets/d/""&amp;$A10&amp;""/edit#gid=156619080"",R$3)"),"1919億円")</f>
        <v>1919億円</v>
      </c>
      <c r="S10" s="16" t="str">
        <f>IFERROR(__xludf.DUMMYFUNCTION("IMPORTRANGE(""https://docs.google.com/spreadsheets/d/""&amp;$A10&amp;""/edit#gid=156619080"",S$3)"),"陰線")</f>
        <v>陰線</v>
      </c>
      <c r="T10" s="16" t="str">
        <f>IFERROR(__xludf.DUMMYFUNCTION("IMPORTRANGE(""https://docs.google.com/spreadsheets/d/""&amp;$A10&amp;""/edit#gid=156619080"",T$3)"),"")</f>
        <v/>
      </c>
      <c r="U10" s="16">
        <f>IFERROR(__xludf.DUMMYFUNCTION("IMPORTRANGE(""https://docs.google.com/spreadsheets/d/""&amp;$A10&amp;""/edit#gid=156619080"",U$3)"),2493.0)</f>
        <v>2493</v>
      </c>
      <c r="V10" s="16">
        <f>IFERROR(__xludf.DUMMYFUNCTION("IMPORTRANGE(""https://docs.google.com/spreadsheets/d/""&amp;$A10&amp;""/edit#gid=156619080"",V$3)"),2624.9)</f>
        <v>2624.9</v>
      </c>
      <c r="W10" s="16">
        <f>IFERROR(__xludf.DUMMYFUNCTION("IMPORTRANGE(""https://docs.google.com/spreadsheets/d/""&amp;$A10&amp;""/edit#gid=156619080"",W$3)"),2639.3)</f>
        <v>2639.3</v>
      </c>
      <c r="X10" s="2">
        <f>IFERROR(__xludf.DUMMYFUNCTION("IMPORTRANGE(""https://docs.google.com/spreadsheets/d/""&amp;$A10&amp;""/edit#gid=156619080"",X$3)"),2651.2)</f>
        <v>2651.2</v>
      </c>
      <c r="Y10" s="17">
        <f>IFERROR(__xludf.DUMMYFUNCTION("IMPORTRANGE(""https://docs.google.com/spreadsheets/d/""&amp;$A10&amp;""/edit#gid=156619080"",Y$3)"),-0.02286401925391095)</f>
        <v>-0.02286401925</v>
      </c>
      <c r="Z10" s="2">
        <f>IFERROR(__xludf.DUMMYFUNCTION("IMPORTRANGE(""https://docs.google.com/spreadsheets/d/""&amp;$A10&amp;""/edit#gid=156619080"",Z$3)"),2815.07)</f>
        <v>2815.07</v>
      </c>
      <c r="AA10" s="2">
        <f>IFERROR(__xludf.DUMMYFUNCTION("IMPORTRANGE(""https://docs.google.com/spreadsheets/d/""&amp;$A10&amp;""/edit#gid=156619080"",AA$3)"),2793.1)</f>
        <v>2793.1</v>
      </c>
      <c r="AB10" s="2">
        <f>IFERROR(__xludf.DUMMYFUNCTION("IMPORTRANGE(""https://docs.google.com/spreadsheets/d/""&amp;$A10&amp;""/edit#gid=156619080"",AB$3)"),2771.13)</f>
        <v>2771.13</v>
      </c>
      <c r="AC10" s="18">
        <f>IFERROR(__xludf.DUMMYFUNCTION("IMPORTRANGE(""https://docs.google.com/spreadsheets/d/""&amp;$A10&amp;""/edit#gid=156619080"",AC$3)"),2749.16)</f>
        <v>2749.16</v>
      </c>
      <c r="AD10" s="18">
        <f>IFERROR(__xludf.DUMMYFUNCTION("IMPORTRANGE(""https://docs.google.com/spreadsheets/d/""&amp;$A10&amp;""/edit#gid=156619080"",AD$3)"),2727.19)</f>
        <v>2727.19</v>
      </c>
      <c r="AE10" s="18">
        <f>IFERROR(__xludf.DUMMYFUNCTION("IMPORTRANGE(""https://docs.google.com/spreadsheets/d/""&amp;$A10&amp;""/edit#gid=156619080"",AE$3)"),2639.3)</f>
        <v>2639.3</v>
      </c>
      <c r="AF10" s="2">
        <f>IFERROR(__xludf.DUMMYFUNCTION("IMPORTRANGE(""https://docs.google.com/spreadsheets/d/""&amp;$A10&amp;""/edit#gid=156619080"",AF$3)"),2551.41)</f>
        <v>2551.41</v>
      </c>
      <c r="AG10" s="2">
        <f>IFERROR(__xludf.DUMMYFUNCTION("IMPORTRANGE(""https://docs.google.com/spreadsheets/d/""&amp;$A10&amp;""/edit#gid=156619080"",AG$3)"),2529.44)</f>
        <v>2529.44</v>
      </c>
      <c r="AH10" s="2">
        <f>IFERROR(__xludf.DUMMYFUNCTION("IMPORTRANGE(""https://docs.google.com/spreadsheets/d/""&amp;$A10&amp;""/edit#gid=156619080"",AH$3)"),2507.47)</f>
        <v>2507.47</v>
      </c>
      <c r="AI10" s="2">
        <f>IFERROR(__xludf.DUMMYFUNCTION("IMPORTRANGE(""https://docs.google.com/spreadsheets/d/""&amp;$A10&amp;""/edit#gid=156619080"",AI$3)"),2485.5)</f>
        <v>2485.5</v>
      </c>
      <c r="AJ10" s="2">
        <f>IFERROR(__xludf.DUMMYFUNCTION("IMPORTRANGE(""https://docs.google.com/spreadsheets/d/""&amp;$A10&amp;""/edit#gid=156619080"",AJ$3)"),2463.53)</f>
        <v>2463.53</v>
      </c>
      <c r="AK10" s="2" t="str">
        <f>IFERROR(__xludf.DUMMYFUNCTION("IMPORTRANGE(""https://docs.google.com/spreadsheets/d/""&amp;$A10&amp;""/edit#gid=156619080"",AK$3)"),"-2σ以下")</f>
        <v>-2σ以下</v>
      </c>
      <c r="AL10" s="2">
        <f>IFERROR(__xludf.DUMMYFUNCTION("IMPORTRANGE(""https://docs.google.com/spreadsheets/d/""&amp;$A10&amp;""/edit#gid=156619080"",AL$3)"),-1.0)</f>
        <v>-1</v>
      </c>
      <c r="AM10" s="2" t="str">
        <f>IFERROR(__xludf.DUMMYFUNCTION("IMPORTRANGE(""https://docs.google.com/spreadsheets/d/""&amp;$A10&amp;""/edit#gid=156619080"",AM$3)"),"")</f>
        <v/>
      </c>
      <c r="AN10" s="2">
        <f>IFERROR(__xludf.DUMMYFUNCTION("IMPORTRANGE(""https://docs.google.com/spreadsheets/d/""&amp;$A10&amp;""/edit#gid=156619080"",AN$3)"),-1.0)</f>
        <v>-1</v>
      </c>
      <c r="AO10" s="2" t="str">
        <f>IFERROR(__xludf.DUMMYFUNCTION("IMPORTRANGE(""https://docs.google.com/spreadsheets/d/""&amp;$A10&amp;""/edit#gid=156619080"",AO$3)"),"")</f>
        <v/>
      </c>
      <c r="AP10" s="2">
        <f>IFERROR(__xludf.DUMMYFUNCTION("IMPORTRANGE(""https://docs.google.com/spreadsheets/d/""&amp;$A10&amp;""/edit#gid=156619080"",AP$3)"),-1.0)</f>
        <v>-1</v>
      </c>
      <c r="AQ10" s="2" t="str">
        <f>IFERROR(__xludf.DUMMYFUNCTION("IMPORTRANGE(""https://docs.google.com/spreadsheets/d/""&amp;$A10&amp;""/edit#gid=156619080"",AQ$3)"),"")</f>
        <v/>
      </c>
      <c r="AR10" s="18">
        <f>IFERROR(__xludf.DUMMYFUNCTION("IMPORTRANGE(""https://docs.google.com/spreadsheets/d/""&amp;$A10&amp;""/edit#gid=156619080"",AR$3)"),-100.0)</f>
        <v>-100</v>
      </c>
      <c r="AS10" s="19" t="str">
        <f>IFERROR(__xludf.DUMMYFUNCTION("IMPORTRANGE(""https://docs.google.com/spreadsheets/d/""&amp;$A10&amp;""/edit#gid=156619080"",AS$3)"),"-100
-100
-100
-100
")</f>
        <v>-100
-100
-100
-100
</v>
      </c>
      <c r="AT10" s="18">
        <f>IFERROR(__xludf.DUMMYFUNCTION("IMPORTRANGE(""https://docs.google.com/spreadsheets/d/""&amp;$A10&amp;""/edit#gid=156619080"",AT$3)"),-69.23076923076923)</f>
        <v>-69.23076923</v>
      </c>
      <c r="AU10" s="3" t="str">
        <f>IFERROR(__xludf.DUMMYFUNCTION("IMPORTRANGE(""https://docs.google.com/spreadsheets/d/""&amp;$A10&amp;""/edit#gid=156619080"",AU$3)"),"35.71
4.95
-25.27
-49.45
")</f>
        <v>35.71
4.95
-25.27
-49.45
</v>
      </c>
      <c r="AV10" s="18">
        <f>IFERROR(__xludf.DUMMYFUNCTION("IMPORTRANGE(""https://docs.google.com/spreadsheets/d/""&amp;$A10&amp;""/edit#gid=156619080"",AV$3)"),-28.798701298701303)</f>
        <v>-28.7987013</v>
      </c>
      <c r="AW10" s="19" t="str">
        <f>IFERROR(__xludf.DUMMYFUNCTION("IMPORTRANGE(""https://docs.google.com/spreadsheets/d/""&amp;$A10&amp;""/edit#gid=156619080"",AW$3)"),"30.75
23.18
0.97
-17.99
")</f>
        <v>30.75
23.18
0.97
-17.99
</v>
      </c>
      <c r="AX10" s="2">
        <f>IFERROR(__xludf.DUMMYFUNCTION("IMPORTRANGE(""https://docs.google.com/spreadsheets/d/""&amp;$A10&amp;""/edit#gid=156619080"",AX$3)"),0.0)</f>
        <v>0</v>
      </c>
      <c r="AY10" s="2">
        <f>IFERROR(__xludf.DUMMYFUNCTION("IMPORTRANGE(""https://docs.google.com/spreadsheets/d/""&amp;$A10&amp;""/edit#gid=156619080"",AY$3)"),26.69)</f>
        <v>26.69</v>
      </c>
      <c r="AZ10" s="2">
        <f>IFERROR(__xludf.DUMMYFUNCTION("IMPORTRANGE(""https://docs.google.com/spreadsheets/d/""&amp;$A10&amp;""/edit#gid=156619080"",AZ$3)"),2503.17)</f>
        <v>2503.17</v>
      </c>
      <c r="BA10" s="2">
        <f>IFERROR(__xludf.DUMMYFUNCTION("IMPORTRANGE(""https://docs.google.com/spreadsheets/d/""&amp;$A10&amp;""/edit#gid=156619080"",BA$3)"),-106.84999999999991)</f>
        <v>-106.85</v>
      </c>
      <c r="BB10" s="2">
        <f>IFERROR(__xludf.DUMMYFUNCTION("IMPORTRANGE(""https://docs.google.com/spreadsheets/d/""&amp;$A10&amp;""/edit#gid=156619080"",BB$3)"),-32.13)</f>
        <v>-32.13</v>
      </c>
      <c r="BC10" s="2" t="str">
        <f>IFERROR(__xludf.DUMMYFUNCTION("IMPORTRANGE(""https://docs.google.com/spreadsheets/d/""&amp;$A10&amp;""/edit#gid=156619080"",BC$3)"),"DC→DC")</f>
        <v>DC→DC</v>
      </c>
      <c r="BD10" s="2" t="str">
        <f>IFERROR(__xludf.DUMMYFUNCTION("IMPORTRANGE(""https://docs.google.com/spreadsheets/d/""&amp;$B10&amp;""/edit#gid=886187586"",BD$3)"),"#REF!")</f>
        <v>#REF!</v>
      </c>
      <c r="BE10" s="2" t="str">
        <f>IFERROR(__xludf.DUMMYFUNCTION("IMPORTRANGE(""https://docs.google.com/spreadsheets/d/""&amp;$B10&amp;""/edit#gid=886187586"",BE$3)"),"#REF!")</f>
        <v>#REF!</v>
      </c>
    </row>
    <row r="11" ht="51.0" customHeight="1">
      <c r="A11" s="7" t="str">
        <f t="shared" si="5"/>
        <v>1HsX009_AnVJ6zgbJDDGFRyzhunSMqsCvQ9vTLf-FWeo</v>
      </c>
      <c r="B11" s="1" t="s">
        <v>38</v>
      </c>
      <c r="C11" s="2">
        <f>IFERROR(__xludf.DUMMYFUNCTION("IMPORTRANGE(""https://docs.google.com/spreadsheets/d/""&amp;$A11&amp;""/edit#gid=156619080"",C$3)"),133.0)</f>
        <v>133</v>
      </c>
      <c r="D11" s="2">
        <f>IFERROR(__xludf.DUMMYFUNCTION("IMPORTRANGE(""https://docs.google.com/spreadsheets/d/""&amp;$A11&amp;""/edit#gid=156619080"",D$3)"),2502.0)</f>
        <v>2502</v>
      </c>
      <c r="E11" s="15">
        <f>IFERROR(__xludf.DUMMYFUNCTION("IMPORTRANGE(""https://docs.google.com/spreadsheets/d/""&amp;$A11&amp;""/edit#gid=156619080"",E$3)"),43882.0)</f>
        <v>43882</v>
      </c>
      <c r="F11" s="2">
        <f>IFERROR(__xludf.DUMMYFUNCTION("IMPORTRANGE(""https://docs.google.com/spreadsheets/d/""&amp;$A11&amp;""/edit#gid=156619080"",F$3)"),-24.0)</f>
        <v>-24</v>
      </c>
      <c r="G11" s="16">
        <f>IFERROR(__xludf.DUMMYFUNCTION("IMPORTRANGE(""https://docs.google.com/spreadsheets/d/""&amp;$A11&amp;""/edit#gid=156619080"",G$3)"),-0.5)</f>
        <v>-0.5</v>
      </c>
      <c r="H11" s="16">
        <f>IFERROR(__xludf.DUMMYFUNCTION("IMPORTRANGE(""https://docs.google.com/spreadsheets/d/""&amp;$A11&amp;""/edit#gid=156619080"",H$3)"),4803.0)</f>
        <v>4803</v>
      </c>
      <c r="I11" s="16">
        <f>IFERROR(__xludf.DUMMYFUNCTION("IMPORTRANGE(""https://docs.google.com/spreadsheets/d/""&amp;$A11&amp;""/edit#gid=156619080"",I$3)"),21.0)</f>
        <v>21</v>
      </c>
      <c r="J11" s="16">
        <f>IFERROR(__xludf.DUMMYFUNCTION("IMPORTRANGE(""https://docs.google.com/spreadsheets/d/""&amp;$A11&amp;""/edit#gid=156619080"",J$3)"),4837.0)</f>
        <v>4837</v>
      </c>
      <c r="K11" s="16">
        <f>IFERROR(__xludf.DUMMYFUNCTION("IMPORTRANGE(""https://docs.google.com/spreadsheets/d/""&amp;$A11&amp;""/edit#gid=156619080"",K$3)"),0.44513888888888886)</f>
        <v>0.4451388889</v>
      </c>
      <c r="L11" s="16">
        <f>IFERROR(__xludf.DUMMYFUNCTION("IMPORTRANGE(""https://docs.google.com/spreadsheets/d/""&amp;$A11&amp;""/edit#gid=156619080"",L$3)"),4788.0)</f>
        <v>4788</v>
      </c>
      <c r="M11" s="16">
        <f>IFERROR(__xludf.DUMMYFUNCTION("IMPORTRANGE(""https://docs.google.com/spreadsheets/d/""&amp;$A11&amp;""/edit#gid=156619080"",M$3)"),0.6208333333333333)</f>
        <v>0.6208333333</v>
      </c>
      <c r="N11" s="16">
        <f>IFERROR(__xludf.DUMMYFUNCTION("IMPORTRANGE(""https://docs.google.com/spreadsheets/d/""&amp;$A11&amp;""/edit#gid=156619080"",N$3)"),4800.0)</f>
        <v>4800</v>
      </c>
      <c r="O11" s="16" t="str">
        <f>IFERROR(__xludf.DUMMYFUNCTION("IMPORTRANGE(""https://docs.google.com/spreadsheets/d/""&amp;$A11&amp;""/edit#gid=156619080"",O$3)"),"1030900株")</f>
        <v>1030900株</v>
      </c>
      <c r="P11" s="16" t="str">
        <f>IFERROR(__xludf.DUMMYFUNCTION("IMPORTRANGE(""https://docs.google.com/spreadsheets/d/""&amp;$A11&amp;""/edit#gid=156619080"",P$3)"),"4953百万円")</f>
        <v>4953百万円</v>
      </c>
      <c r="Q11" s="16" t="str">
        <f>IFERROR(__xludf.DUMMYFUNCTION("IMPORTRANGE(""https://docs.google.com/spreadsheets/d/""&amp;$A11&amp;""/edit#gid=156619080"",Q$3)"),"2810回")</f>
        <v>2810回</v>
      </c>
      <c r="R11" s="16" t="str">
        <f>IFERROR(__xludf.DUMMYFUNCTION("IMPORTRANGE(""https://docs.google.com/spreadsheets/d/""&amp;$A11&amp;""/edit#gid=156619080"",R$3)"),"23212億円")</f>
        <v>23212億円</v>
      </c>
      <c r="S11" s="16" t="str">
        <f>IFERROR(__xludf.DUMMYFUNCTION("IMPORTRANGE(""https://docs.google.com/spreadsheets/d/""&amp;$A11&amp;""/edit#gid=156619080"",S$3)"),"陰線")</f>
        <v>陰線</v>
      </c>
      <c r="T11" s="16" t="str">
        <f>IFERROR(__xludf.DUMMYFUNCTION("IMPORTRANGE(""https://docs.google.com/spreadsheets/d/""&amp;$A11&amp;""/edit#gid=156619080"",T$3)"),"")</f>
        <v/>
      </c>
      <c r="U11" s="16">
        <f>IFERROR(__xludf.DUMMYFUNCTION("IMPORTRANGE(""https://docs.google.com/spreadsheets/d/""&amp;$A11&amp;""/edit#gid=156619080"",U$3)"),4802.2)</f>
        <v>4802.2</v>
      </c>
      <c r="V11" s="16">
        <f>IFERROR(__xludf.DUMMYFUNCTION("IMPORTRANGE(""https://docs.google.com/spreadsheets/d/""&amp;$A11&amp;""/edit#gid=156619080"",V$3)"),4983.6)</f>
        <v>4983.6</v>
      </c>
      <c r="W11" s="16">
        <f>IFERROR(__xludf.DUMMYFUNCTION("IMPORTRANGE(""https://docs.google.com/spreadsheets/d/""&amp;$A11&amp;""/edit#gid=156619080"",W$3)"),5014.8)</f>
        <v>5014.8</v>
      </c>
      <c r="X11" s="2">
        <f>IFERROR(__xludf.DUMMYFUNCTION("IMPORTRANGE(""https://docs.google.com/spreadsheets/d/""&amp;$A11&amp;""/edit#gid=156619080"",X$3)"),5146.6)</f>
        <v>5146.6</v>
      </c>
      <c r="Y11" s="17">
        <f>IFERROR(__xludf.DUMMYFUNCTION("IMPORTRANGE(""https://docs.google.com/spreadsheets/d/""&amp;$A11&amp;""/edit#gid=156619080"",Y$3)"),-4.5812336012657077E-4)</f>
        <v>-0.0004581233601</v>
      </c>
      <c r="Z11" s="2">
        <f>IFERROR(__xludf.DUMMYFUNCTION("IMPORTRANGE(""https://docs.google.com/spreadsheets/d/""&amp;$A11&amp;""/edit#gid=156619080"",Z$3)"),5270.7)</f>
        <v>5270.7</v>
      </c>
      <c r="AA11" s="2">
        <f>IFERROR(__xludf.DUMMYFUNCTION("IMPORTRANGE(""https://docs.google.com/spreadsheets/d/""&amp;$A11&amp;""/edit#gid=156619080"",AA$3)"),5238.71)</f>
        <v>5238.71</v>
      </c>
      <c r="AB11" s="2">
        <f>IFERROR(__xludf.DUMMYFUNCTION("IMPORTRANGE(""https://docs.google.com/spreadsheets/d/""&amp;$A11&amp;""/edit#gid=156619080"",AB$3)"),5206.72)</f>
        <v>5206.72</v>
      </c>
      <c r="AC11" s="18">
        <f>IFERROR(__xludf.DUMMYFUNCTION("IMPORTRANGE(""https://docs.google.com/spreadsheets/d/""&amp;$A11&amp;""/edit#gid=156619080"",AC$3)"),5174.73)</f>
        <v>5174.73</v>
      </c>
      <c r="AD11" s="18">
        <f>IFERROR(__xludf.DUMMYFUNCTION("IMPORTRANGE(""https://docs.google.com/spreadsheets/d/""&amp;$A11&amp;""/edit#gid=156619080"",AD$3)"),5142.75)</f>
        <v>5142.75</v>
      </c>
      <c r="AE11" s="18">
        <f>IFERROR(__xludf.DUMMYFUNCTION("IMPORTRANGE(""https://docs.google.com/spreadsheets/d/""&amp;$A11&amp;""/edit#gid=156619080"",AE$3)"),5014.8)</f>
        <v>5014.8</v>
      </c>
      <c r="AF11" s="2">
        <f>IFERROR(__xludf.DUMMYFUNCTION("IMPORTRANGE(""https://docs.google.com/spreadsheets/d/""&amp;$A11&amp;""/edit#gid=156619080"",AF$3)"),4886.85)</f>
        <v>4886.85</v>
      </c>
      <c r="AG11" s="2">
        <f>IFERROR(__xludf.DUMMYFUNCTION("IMPORTRANGE(""https://docs.google.com/spreadsheets/d/""&amp;$A11&amp;""/edit#gid=156619080"",AG$3)"),4854.87)</f>
        <v>4854.87</v>
      </c>
      <c r="AH11" s="2">
        <f>IFERROR(__xludf.DUMMYFUNCTION("IMPORTRANGE(""https://docs.google.com/spreadsheets/d/""&amp;$A11&amp;""/edit#gid=156619080"",AH$3)"),4822.88)</f>
        <v>4822.88</v>
      </c>
      <c r="AI11" s="2">
        <f>IFERROR(__xludf.DUMMYFUNCTION("IMPORTRANGE(""https://docs.google.com/spreadsheets/d/""&amp;$A11&amp;""/edit#gid=156619080"",AI$3)"),4790.89)</f>
        <v>4790.89</v>
      </c>
      <c r="AJ11" s="2">
        <f>IFERROR(__xludf.DUMMYFUNCTION("IMPORTRANGE(""https://docs.google.com/spreadsheets/d/""&amp;$A11&amp;""/edit#gid=156619080"",AJ$3)"),4758.9)</f>
        <v>4758.9</v>
      </c>
      <c r="AK11" s="2" t="str">
        <f>IFERROR(__xludf.DUMMYFUNCTION("IMPORTRANGE(""https://docs.google.com/spreadsheets/d/""&amp;$A11&amp;""/edit#gid=156619080"",AK$3)"),"-1.5σ〜-1.75σ")</f>
        <v>-1.5σ〜-1.75σ</v>
      </c>
      <c r="AL11" s="2">
        <f>IFERROR(__xludf.DUMMYFUNCTION("IMPORTRANGE(""https://docs.google.com/spreadsheets/d/""&amp;$A11&amp;""/edit#gid=156619080"",AL$3)"),-1.0)</f>
        <v>-1</v>
      </c>
      <c r="AM11" s="2" t="str">
        <f>IFERROR(__xludf.DUMMYFUNCTION("IMPORTRANGE(""https://docs.google.com/spreadsheets/d/""&amp;$A11&amp;""/edit#gid=156619080"",AM$3)"),"")</f>
        <v/>
      </c>
      <c r="AN11" s="2">
        <f>IFERROR(__xludf.DUMMYFUNCTION("IMPORTRANGE(""https://docs.google.com/spreadsheets/d/""&amp;$A11&amp;""/edit#gid=156619080"",AN$3)"),-1.0)</f>
        <v>-1</v>
      </c>
      <c r="AO11" s="2" t="str">
        <f>IFERROR(__xludf.DUMMYFUNCTION("IMPORTRANGE(""https://docs.google.com/spreadsheets/d/""&amp;$A11&amp;""/edit#gid=156619080"",AO$3)"),"")</f>
        <v/>
      </c>
      <c r="AP11" s="2">
        <f>IFERROR(__xludf.DUMMYFUNCTION("IMPORTRANGE(""https://docs.google.com/spreadsheets/d/""&amp;$A11&amp;""/edit#gid=156619080"",AP$3)"),-1.0)</f>
        <v>-1</v>
      </c>
      <c r="AQ11" s="2" t="str">
        <f>IFERROR(__xludf.DUMMYFUNCTION("IMPORTRANGE(""https://docs.google.com/spreadsheets/d/""&amp;$A11&amp;""/edit#gid=156619080"",AQ$3)"),"")</f>
        <v/>
      </c>
      <c r="AR11" s="18">
        <f>IFERROR(__xludf.DUMMYFUNCTION("IMPORTRANGE(""https://docs.google.com/spreadsheets/d/""&amp;$A11&amp;""/edit#gid=156619080"",AR$3)"),-39.99999999999999)</f>
        <v>-40</v>
      </c>
      <c r="AS11" s="19" t="str">
        <f>IFERROR(__xludf.DUMMYFUNCTION("IMPORTRANGE(""https://docs.google.com/spreadsheets/d/""&amp;$A11&amp;""/edit#gid=156619080"",AS$3)"),"-90
-100
-90
-70
")</f>
        <v>-90
-100
-90
-70
</v>
      </c>
      <c r="AT11" s="18">
        <f>IFERROR(__xludf.DUMMYFUNCTION("IMPORTRANGE(""https://docs.google.com/spreadsheets/d/""&amp;$A11&amp;""/edit#gid=156619080"",AT$3)"),-69.23076923076923)</f>
        <v>-69.23076923</v>
      </c>
      <c r="AU11" s="3" t="str">
        <f>IFERROR(__xludf.DUMMYFUNCTION("IMPORTRANGE(""https://docs.google.com/spreadsheets/d/""&amp;$A11&amp;""/edit#gid=156619080"",AU$3)"),"7.01
-18.82
-40.25
-55.63
")</f>
        <v>7.01
-18.82
-40.25
-55.63
</v>
      </c>
      <c r="AV11" s="18">
        <f>IFERROR(__xludf.DUMMYFUNCTION("IMPORTRANGE(""https://docs.google.com/spreadsheets/d/""&amp;$A11&amp;""/edit#gid=156619080"",AV$3)"),-47.95454545454545)</f>
        <v>-47.95454545</v>
      </c>
      <c r="AW11" s="19" t="str">
        <f>IFERROR(__xludf.DUMMYFUNCTION("IMPORTRANGE(""https://docs.google.com/spreadsheets/d/""&amp;$A11&amp;""/edit#gid=156619080"",AW$3)"),"22.73
-1.56
-23.51
-43.12
")</f>
        <v>22.73
-1.56
-23.51
-43.12
</v>
      </c>
      <c r="AX11" s="2">
        <f>IFERROR(__xludf.DUMMYFUNCTION("IMPORTRANGE(""https://docs.google.com/spreadsheets/d/""&amp;$A11&amp;""/edit#gid=156619080"",AX$3)"),23.02)</f>
        <v>23.02</v>
      </c>
      <c r="AY11" s="2">
        <f>IFERROR(__xludf.DUMMYFUNCTION("IMPORTRANGE(""https://docs.google.com/spreadsheets/d/""&amp;$A11&amp;""/edit#gid=156619080"",AY$3)"),34.29)</f>
        <v>34.29</v>
      </c>
      <c r="AZ11" s="2">
        <f>IFERROR(__xludf.DUMMYFUNCTION("IMPORTRANGE(""https://docs.google.com/spreadsheets/d/""&amp;$A11&amp;""/edit#gid=156619080"",AZ$3)"),4842.41)</f>
        <v>4842.41</v>
      </c>
      <c r="BA11" s="2">
        <f>IFERROR(__xludf.DUMMYFUNCTION("IMPORTRANGE(""https://docs.google.com/spreadsheets/d/""&amp;$A11&amp;""/edit#gid=156619080"",BA$3)"),-128.8199999999997)</f>
        <v>-128.82</v>
      </c>
      <c r="BB11" s="2">
        <f>IFERROR(__xludf.DUMMYFUNCTION("IMPORTRANGE(""https://docs.google.com/spreadsheets/d/""&amp;$A11&amp;""/edit#gid=156619080"",BB$3)"),-51.95)</f>
        <v>-51.95</v>
      </c>
      <c r="BC11" s="2" t="str">
        <f>IFERROR(__xludf.DUMMYFUNCTION("IMPORTRANGE(""https://docs.google.com/spreadsheets/d/""&amp;$A11&amp;""/edit#gid=156619080"",BC$3)"),"DC→DC")</f>
        <v>DC→DC</v>
      </c>
    </row>
    <row r="12" ht="51.0" customHeight="1">
      <c r="A12" s="7" t="str">
        <f t="shared" si="5"/>
        <v>181sANX709GT-gX10Ime4-ACHIQqp21vgxcCKgtcm0mg</v>
      </c>
      <c r="B12" s="1" t="s">
        <v>39</v>
      </c>
      <c r="C12" s="2">
        <f>IFERROR(__xludf.DUMMYFUNCTION("IMPORTRANGE(""https://docs.google.com/spreadsheets/d/""&amp;$A12&amp;""/edit#gid=156619080"",C$3)"),132.0)</f>
        <v>132</v>
      </c>
      <c r="D12" s="2">
        <f>IFERROR(__xludf.DUMMYFUNCTION("IMPORTRANGE(""https://docs.google.com/spreadsheets/d/""&amp;$A12&amp;""/edit#gid=156619080"",D$3)"),2503.0)</f>
        <v>2503</v>
      </c>
      <c r="E12" s="15">
        <f>IFERROR(__xludf.DUMMYFUNCTION("IMPORTRANGE(""https://docs.google.com/spreadsheets/d/""&amp;$A12&amp;""/edit#gid=156619080"",E$3)"),43882.0)</f>
        <v>43882</v>
      </c>
      <c r="F12" s="2">
        <f>IFERROR(__xludf.DUMMYFUNCTION("IMPORTRANGE(""https://docs.google.com/spreadsheets/d/""&amp;$A12&amp;""/edit#gid=156619080"",F$3)"),-31.5)</f>
        <v>-31.5</v>
      </c>
      <c r="G12" s="16">
        <f>IFERROR(__xludf.DUMMYFUNCTION("IMPORTRANGE(""https://docs.google.com/spreadsheets/d/""&amp;$A12&amp;""/edit#gid=156619080"",G$3)"),-1.39)</f>
        <v>-1.39</v>
      </c>
      <c r="H12" s="16">
        <f>IFERROR(__xludf.DUMMYFUNCTION("IMPORTRANGE(""https://docs.google.com/spreadsheets/d/""&amp;$A12&amp;""/edit#gid=156619080"",H$3)"),2256.5)</f>
        <v>2256.5</v>
      </c>
      <c r="I12" s="16">
        <f>IFERROR(__xludf.DUMMYFUNCTION("IMPORTRANGE(""https://docs.google.com/spreadsheets/d/""&amp;$A12&amp;""/edit#gid=156619080"",I$3)"),10.0)</f>
        <v>10</v>
      </c>
      <c r="J12" s="16">
        <f>IFERROR(__xludf.DUMMYFUNCTION("IMPORTRANGE(""https://docs.google.com/spreadsheets/d/""&amp;$A12&amp;""/edit#gid=156619080"",J$3)"),2264.0)</f>
        <v>2264</v>
      </c>
      <c r="K12" s="16">
        <f>IFERROR(__xludf.DUMMYFUNCTION("IMPORTRANGE(""https://docs.google.com/spreadsheets/d/""&amp;$A12&amp;""/edit#gid=156619080"",K$3)"),0.44513888888888886)</f>
        <v>0.4451388889</v>
      </c>
      <c r="L12" s="16">
        <f>IFERROR(__xludf.DUMMYFUNCTION("IMPORTRANGE(""https://docs.google.com/spreadsheets/d/""&amp;$A12&amp;""/edit#gid=156619080"",L$3)"),2233.5)</f>
        <v>2233.5</v>
      </c>
      <c r="M12" s="16">
        <f>IFERROR(__xludf.DUMMYFUNCTION("IMPORTRANGE(""https://docs.google.com/spreadsheets/d/""&amp;$A12&amp;""/edit#gid=156619080"",M$3)"),0.6208333333333333)</f>
        <v>0.6208333333</v>
      </c>
      <c r="N12" s="16">
        <f>IFERROR(__xludf.DUMMYFUNCTION("IMPORTRANGE(""https://docs.google.com/spreadsheets/d/""&amp;$A12&amp;""/edit#gid=156619080"",N$3)"),2235.0)</f>
        <v>2235</v>
      </c>
      <c r="O12" s="16" t="str">
        <f>IFERROR(__xludf.DUMMYFUNCTION("IMPORTRANGE(""https://docs.google.com/spreadsheets/d/""&amp;$A12&amp;""/edit#gid=156619080"",O$3)"),"2920700株")</f>
        <v>2920700株</v>
      </c>
      <c r="P12" s="16" t="str">
        <f>IFERROR(__xludf.DUMMYFUNCTION("IMPORTRANGE(""https://docs.google.com/spreadsheets/d/""&amp;$A12&amp;""/edit#gid=156619080"",P$3)"),"6559百万円")</f>
        <v>6559百万円</v>
      </c>
      <c r="Q12" s="16" t="str">
        <f>IFERROR(__xludf.DUMMYFUNCTION("IMPORTRANGE(""https://docs.google.com/spreadsheets/d/""&amp;$A12&amp;""/edit#gid=156619080"",Q$3)"),"5635回")</f>
        <v>5635回</v>
      </c>
      <c r="R12" s="16" t="str">
        <f>IFERROR(__xludf.DUMMYFUNCTION("IMPORTRANGE(""https://docs.google.com/spreadsheets/d/""&amp;$A12&amp;""/edit#gid=156619080"",R$3)"),"20428億円")</f>
        <v>20428億円</v>
      </c>
      <c r="S12" s="16" t="str">
        <f>IFERROR(__xludf.DUMMYFUNCTION("IMPORTRANGE(""https://docs.google.com/spreadsheets/d/""&amp;$A12&amp;""/edit#gid=156619080"",S$3)"),"陰線")</f>
        <v>陰線</v>
      </c>
      <c r="T12" s="16" t="str">
        <f>IFERROR(__xludf.DUMMYFUNCTION("IMPORTRANGE(""https://docs.google.com/spreadsheets/d/""&amp;$A12&amp;""/edit#gid=156619080"",T$3)"),"")</f>
        <v/>
      </c>
      <c r="U12" s="16">
        <f>IFERROR(__xludf.DUMMYFUNCTION("IMPORTRANGE(""https://docs.google.com/spreadsheets/d/""&amp;$A12&amp;""/edit#gid=156619080"",U$3)"),2283.9)</f>
        <v>2283.9</v>
      </c>
      <c r="V12" s="16">
        <f>IFERROR(__xludf.DUMMYFUNCTION("IMPORTRANGE(""https://docs.google.com/spreadsheets/d/""&amp;$A12&amp;""/edit#gid=156619080"",V$3)"),2413.0)</f>
        <v>2413</v>
      </c>
      <c r="W12" s="16">
        <f>IFERROR(__xludf.DUMMYFUNCTION("IMPORTRANGE(""https://docs.google.com/spreadsheets/d/""&amp;$A12&amp;""/edit#gid=156619080"",W$3)"),2425.3)</f>
        <v>2425.3</v>
      </c>
      <c r="X12" s="2">
        <f>IFERROR(__xludf.DUMMYFUNCTION("IMPORTRANGE(""https://docs.google.com/spreadsheets/d/""&amp;$A12&amp;""/edit#gid=156619080"",X$3)"),2373.3)</f>
        <v>2373.3</v>
      </c>
      <c r="Y12" s="17">
        <f>IFERROR(__xludf.DUMMYFUNCTION("IMPORTRANGE(""https://docs.google.com/spreadsheets/d/""&amp;$A12&amp;""/edit#gid=156619080"",Y$3)"),-0.021410744778668108)</f>
        <v>-0.02141074478</v>
      </c>
      <c r="Z12" s="2">
        <f>IFERROR(__xludf.DUMMYFUNCTION("IMPORTRANGE(""https://docs.google.com/spreadsheets/d/""&amp;$A12&amp;""/edit#gid=156619080"",Z$3)"),2601.12)</f>
        <v>2601.12</v>
      </c>
      <c r="AA12" s="2">
        <f>IFERROR(__xludf.DUMMYFUNCTION("IMPORTRANGE(""https://docs.google.com/spreadsheets/d/""&amp;$A12&amp;""/edit#gid=156619080"",AA$3)"),2579.14)</f>
        <v>2579.14</v>
      </c>
      <c r="AB12" s="2">
        <f>IFERROR(__xludf.DUMMYFUNCTION("IMPORTRANGE(""https://docs.google.com/spreadsheets/d/""&amp;$A12&amp;""/edit#gid=156619080"",AB$3)"),2557.17)</f>
        <v>2557.17</v>
      </c>
      <c r="AC12" s="18">
        <f>IFERROR(__xludf.DUMMYFUNCTION("IMPORTRANGE(""https://docs.google.com/spreadsheets/d/""&amp;$A12&amp;""/edit#gid=156619080"",AC$3)"),2535.19)</f>
        <v>2535.19</v>
      </c>
      <c r="AD12" s="18">
        <f>IFERROR(__xludf.DUMMYFUNCTION("IMPORTRANGE(""https://docs.google.com/spreadsheets/d/""&amp;$A12&amp;""/edit#gid=156619080"",AD$3)"),2513.21)</f>
        <v>2513.21</v>
      </c>
      <c r="AE12" s="18">
        <f>IFERROR(__xludf.DUMMYFUNCTION("IMPORTRANGE(""https://docs.google.com/spreadsheets/d/""&amp;$A12&amp;""/edit#gid=156619080"",AE$3)"),2425.3)</f>
        <v>2425.3</v>
      </c>
      <c r="AF12" s="2">
        <f>IFERROR(__xludf.DUMMYFUNCTION("IMPORTRANGE(""https://docs.google.com/spreadsheets/d/""&amp;$A12&amp;""/edit#gid=156619080"",AF$3)"),2337.39)</f>
        <v>2337.39</v>
      </c>
      <c r="AG12" s="2">
        <f>IFERROR(__xludf.DUMMYFUNCTION("IMPORTRANGE(""https://docs.google.com/spreadsheets/d/""&amp;$A12&amp;""/edit#gid=156619080"",AG$3)"),2315.41)</f>
        <v>2315.41</v>
      </c>
      <c r="AH12" s="2">
        <f>IFERROR(__xludf.DUMMYFUNCTION("IMPORTRANGE(""https://docs.google.com/spreadsheets/d/""&amp;$A12&amp;""/edit#gid=156619080"",AH$3)"),2293.43)</f>
        <v>2293.43</v>
      </c>
      <c r="AI12" s="2">
        <f>IFERROR(__xludf.DUMMYFUNCTION("IMPORTRANGE(""https://docs.google.com/spreadsheets/d/""&amp;$A12&amp;""/edit#gid=156619080"",AI$3)"),2271.46)</f>
        <v>2271.46</v>
      </c>
      <c r="AJ12" s="2">
        <f>IFERROR(__xludf.DUMMYFUNCTION("IMPORTRANGE(""https://docs.google.com/spreadsheets/d/""&amp;$A12&amp;""/edit#gid=156619080"",AJ$3)"),2249.48)</f>
        <v>2249.48</v>
      </c>
      <c r="AK12" s="2" t="str">
        <f>IFERROR(__xludf.DUMMYFUNCTION("IMPORTRANGE(""https://docs.google.com/spreadsheets/d/""&amp;$A12&amp;""/edit#gid=156619080"",AK$3)"),"-2σ以下")</f>
        <v>-2σ以下</v>
      </c>
      <c r="AL12" s="2">
        <f>IFERROR(__xludf.DUMMYFUNCTION("IMPORTRANGE(""https://docs.google.com/spreadsheets/d/""&amp;$A12&amp;""/edit#gid=156619080"",AL$3)"),-1.0)</f>
        <v>-1</v>
      </c>
      <c r="AM12" s="2" t="str">
        <f>IFERROR(__xludf.DUMMYFUNCTION("IMPORTRANGE(""https://docs.google.com/spreadsheets/d/""&amp;$A12&amp;""/edit#gid=156619080"",AM$3)"),"")</f>
        <v/>
      </c>
      <c r="AN12" s="2">
        <f>IFERROR(__xludf.DUMMYFUNCTION("IMPORTRANGE(""https://docs.google.com/spreadsheets/d/""&amp;$A12&amp;""/edit#gid=156619080"",AN$3)"),-1.0)</f>
        <v>-1</v>
      </c>
      <c r="AO12" s="2" t="str">
        <f>IFERROR(__xludf.DUMMYFUNCTION("IMPORTRANGE(""https://docs.google.com/spreadsheets/d/""&amp;$A12&amp;""/edit#gid=156619080"",AO$3)"),"")</f>
        <v/>
      </c>
      <c r="AP12" s="2">
        <f>IFERROR(__xludf.DUMMYFUNCTION("IMPORTRANGE(""https://docs.google.com/spreadsheets/d/""&amp;$A12&amp;""/edit#gid=156619080"",AP$3)"),-1.0)</f>
        <v>-1</v>
      </c>
      <c r="AQ12" s="2" t="str">
        <f>IFERROR(__xludf.DUMMYFUNCTION("IMPORTRANGE(""https://docs.google.com/spreadsheets/d/""&amp;$A12&amp;""/edit#gid=156619080"",AQ$3)"),"")</f>
        <v/>
      </c>
      <c r="AR12" s="18">
        <f>IFERROR(__xludf.DUMMYFUNCTION("IMPORTRANGE(""https://docs.google.com/spreadsheets/d/""&amp;$A12&amp;""/edit#gid=156619080"",AR$3)"),-100.0)</f>
        <v>-100</v>
      </c>
      <c r="AS12" s="19" t="str">
        <f>IFERROR(__xludf.DUMMYFUNCTION("IMPORTRANGE(""https://docs.google.com/spreadsheets/d/""&amp;$A12&amp;""/edit#gid=156619080"",AS$3)"),"-30
-70
-90
-100
")</f>
        <v>-30
-70
-90
-100
</v>
      </c>
      <c r="AT12" s="18">
        <f>IFERROR(__xludf.DUMMYFUNCTION("IMPORTRANGE(""https://docs.google.com/spreadsheets/d/""&amp;$A12&amp;""/edit#gid=156619080"",AT$3)"),-60.98901098901099)</f>
        <v>-60.98901099</v>
      </c>
      <c r="AU12" s="3" t="str">
        <f>IFERROR(__xludf.DUMMYFUNCTION("IMPORTRANGE(""https://docs.google.com/spreadsheets/d/""&amp;$A12&amp;""/edit#gid=156619080"",AU$3)"),"41.76
13.74
-16.48
-41.21
")</f>
        <v>41.76
13.74
-16.48
-41.21
</v>
      </c>
      <c r="AV12" s="18">
        <f>IFERROR(__xludf.DUMMYFUNCTION("IMPORTRANGE(""https://docs.google.com/spreadsheets/d/""&amp;$A12&amp;""/edit#gid=156619080"",AV$3)"),-27.79220779220779)</f>
        <v>-27.79220779</v>
      </c>
      <c r="AW12" s="19" t="str">
        <f>IFERROR(__xludf.DUMMYFUNCTION("IMPORTRANGE(""https://docs.google.com/spreadsheets/d/""&amp;$A12&amp;""/edit#gid=156619080"",AW$3)"),"28.44
15.58
1.3
-14.16
")</f>
        <v>28.44
15.58
1.3
-14.16
</v>
      </c>
      <c r="AX12" s="2">
        <f>IFERROR(__xludf.DUMMYFUNCTION("IMPORTRANGE(""https://docs.google.com/spreadsheets/d/""&amp;$A12&amp;""/edit#gid=156619080"",AX$3)"),0.0)</f>
        <v>0</v>
      </c>
      <c r="AY12" s="2">
        <f>IFERROR(__xludf.DUMMYFUNCTION("IMPORTRANGE(""https://docs.google.com/spreadsheets/d/""&amp;$A12&amp;""/edit#gid=156619080"",AY$3)"),31.19)</f>
        <v>31.19</v>
      </c>
      <c r="AZ12" s="2">
        <f>IFERROR(__xludf.DUMMYFUNCTION("IMPORTRANGE(""https://docs.google.com/spreadsheets/d/""&amp;$A12&amp;""/edit#gid=156619080"",AZ$3)"),2297.29)</f>
        <v>2297.29</v>
      </c>
      <c r="BA12" s="2">
        <f>IFERROR(__xludf.DUMMYFUNCTION("IMPORTRANGE(""https://docs.google.com/spreadsheets/d/""&amp;$A12&amp;""/edit#gid=156619080"",BA$3)"),-101.0300000000002)</f>
        <v>-101.03</v>
      </c>
      <c r="BB12" s="2">
        <f>IFERROR(__xludf.DUMMYFUNCTION("IMPORTRANGE(""https://docs.google.com/spreadsheets/d/""&amp;$A12&amp;""/edit#gid=156619080"",BB$3)"),-28.06)</f>
        <v>-28.06</v>
      </c>
      <c r="BC12" s="2" t="str">
        <f>IFERROR(__xludf.DUMMYFUNCTION("IMPORTRANGE(""https://docs.google.com/spreadsheets/d/""&amp;$A12&amp;""/edit#gid=156619080"",BC$3)"),"DC→DC")</f>
        <v>DC→DC</v>
      </c>
    </row>
    <row r="13" ht="51.0" customHeight="1">
      <c r="A13" s="7" t="str">
        <f t="shared" si="5"/>
        <v>1fJtKd3gr_5AVC0JhwpriQOCZw8mW8nWamRsQQKLjI48</v>
      </c>
      <c r="B13" s="1" t="s">
        <v>40</v>
      </c>
      <c r="C13" s="2">
        <f>IFERROR(__xludf.DUMMYFUNCTION("IMPORTRANGE(""https://docs.google.com/spreadsheets/d/""&amp;$A13&amp;""/edit#gid=156619080"",C$3)"),132.0)</f>
        <v>132</v>
      </c>
      <c r="D13" s="2">
        <f>IFERROR(__xludf.DUMMYFUNCTION("IMPORTRANGE(""https://docs.google.com/spreadsheets/d/""&amp;$A13&amp;""/edit#gid=156619080"",D$3)"),2531.0)</f>
        <v>2531</v>
      </c>
      <c r="E13" s="15">
        <f>IFERROR(__xludf.DUMMYFUNCTION("IMPORTRANGE(""https://docs.google.com/spreadsheets/d/""&amp;$A13&amp;""/edit#gid=156619080"",E$3)"),43882.0)</f>
        <v>43882</v>
      </c>
      <c r="F13" s="2">
        <f>IFERROR(__xludf.DUMMYFUNCTION("IMPORTRANGE(""https://docs.google.com/spreadsheets/d/""&amp;$A13&amp;""/edit#gid=156619080"",F$3)"),-18.0)</f>
        <v>-18</v>
      </c>
      <c r="G13" s="16">
        <f>IFERROR(__xludf.DUMMYFUNCTION("IMPORTRANGE(""https://docs.google.com/spreadsheets/d/""&amp;$A13&amp;""/edit#gid=156619080"",G$3)"),-1.89)</f>
        <v>-1.89</v>
      </c>
      <c r="H13" s="16">
        <f>IFERROR(__xludf.DUMMYFUNCTION("IMPORTRANGE(""https://docs.google.com/spreadsheets/d/""&amp;$A13&amp;""/edit#gid=156619080"",H$3)"),948.0)</f>
        <v>948</v>
      </c>
      <c r="I13" s="16">
        <f>IFERROR(__xludf.DUMMYFUNCTION("IMPORTRANGE(""https://docs.google.com/spreadsheets/d/""&amp;$A13&amp;""/edit#gid=156619080"",I$3)"),4.0)</f>
        <v>4</v>
      </c>
      <c r="J13" s="16">
        <f>IFERROR(__xludf.DUMMYFUNCTION("IMPORTRANGE(""https://docs.google.com/spreadsheets/d/""&amp;$A13&amp;""/edit#gid=156619080"",J$3)"),949.0)</f>
        <v>949</v>
      </c>
      <c r="K13" s="16">
        <f>IFERROR(__xludf.DUMMYFUNCTION("IMPORTRANGE(""https://docs.google.com/spreadsheets/d/""&amp;$A13&amp;""/edit#gid=156619080"",K$3)"),0.375)</f>
        <v>0.375</v>
      </c>
      <c r="L13" s="16">
        <f>IFERROR(__xludf.DUMMYFUNCTION("IMPORTRANGE(""https://docs.google.com/spreadsheets/d/""&amp;$A13&amp;""/edit#gid=156619080"",L$3)"),934.0)</f>
        <v>934</v>
      </c>
      <c r="M13" s="16">
        <f>IFERROR(__xludf.DUMMYFUNCTION("IMPORTRANGE(""https://docs.google.com/spreadsheets/d/""&amp;$A13&amp;""/edit#gid=156619080"",M$3)"),0.6243055555555556)</f>
        <v>0.6243055556</v>
      </c>
      <c r="N13" s="16">
        <f>IFERROR(__xludf.DUMMYFUNCTION("IMPORTRANGE(""https://docs.google.com/spreadsheets/d/""&amp;$A13&amp;""/edit#gid=156619080"",N$3)"),934.0)</f>
        <v>934</v>
      </c>
      <c r="O13" s="16" t="str">
        <f>IFERROR(__xludf.DUMMYFUNCTION("IMPORTRANGE(""https://docs.google.com/spreadsheets/d/""&amp;$A13&amp;""/edit#gid=156619080"",O$3)"),"533300株")</f>
        <v>533300株</v>
      </c>
      <c r="P13" s="16" t="str">
        <f>IFERROR(__xludf.DUMMYFUNCTION("IMPORTRANGE(""https://docs.google.com/spreadsheets/d/""&amp;$A13&amp;""/edit#gid=156619080"",P$3)"),"501百万円")</f>
        <v>501百万円</v>
      </c>
      <c r="Q13" s="16" t="str">
        <f>IFERROR(__xludf.DUMMYFUNCTION("IMPORTRANGE(""https://docs.google.com/spreadsheets/d/""&amp;$A13&amp;""/edit#gid=156619080"",Q$3)"),"921回")</f>
        <v>921回</v>
      </c>
      <c r="R13" s="16" t="str">
        <f>IFERROR(__xludf.DUMMYFUNCTION("IMPORTRANGE(""https://docs.google.com/spreadsheets/d/""&amp;$A13&amp;""/edit#gid=156619080"",R$3)"),"1865億円")</f>
        <v>1865億円</v>
      </c>
      <c r="S13" s="16" t="str">
        <f>IFERROR(__xludf.DUMMYFUNCTION("IMPORTRANGE(""https://docs.google.com/spreadsheets/d/""&amp;$A13&amp;""/edit#gid=156619080"",S$3)"),"陰線")</f>
        <v>陰線</v>
      </c>
      <c r="T13" s="16" t="str">
        <f>IFERROR(__xludf.DUMMYFUNCTION("IMPORTRANGE(""https://docs.google.com/spreadsheets/d/""&amp;$A13&amp;""/edit#gid=156619080"",T$3)"),"")</f>
        <v/>
      </c>
      <c r="U13" s="16">
        <f>IFERROR(__xludf.DUMMYFUNCTION("IMPORTRANGE(""https://docs.google.com/spreadsheets/d/""&amp;$A13&amp;""/edit#gid=156619080"",U$3)"),931.2)</f>
        <v>931.2</v>
      </c>
      <c r="V13" s="16">
        <f>IFERROR(__xludf.DUMMYFUNCTION("IMPORTRANGE(""https://docs.google.com/spreadsheets/d/""&amp;$A13&amp;""/edit#gid=156619080"",V$3)"),962.2)</f>
        <v>962.2</v>
      </c>
      <c r="W13" s="16">
        <f>IFERROR(__xludf.DUMMYFUNCTION("IMPORTRANGE(""https://docs.google.com/spreadsheets/d/""&amp;$A13&amp;""/edit#gid=156619080"",W$3)"),966.2)</f>
        <v>966.2</v>
      </c>
      <c r="X13" s="2">
        <f>IFERROR(__xludf.DUMMYFUNCTION("IMPORTRANGE(""https://docs.google.com/spreadsheets/d/""&amp;$A13&amp;""/edit#gid=156619080"",X$3)"),1028.4)</f>
        <v>1028.4</v>
      </c>
      <c r="Y13" s="17">
        <f>IFERROR(__xludf.DUMMYFUNCTION("IMPORTRANGE(""https://docs.google.com/spreadsheets/d/""&amp;$A13&amp;""/edit#gid=156619080"",Y$3)"),0.003006872852233628)</f>
        <v>0.003006872852</v>
      </c>
      <c r="Z13" s="2">
        <f>IFERROR(__xludf.DUMMYFUNCTION("IMPORTRANGE(""https://docs.google.com/spreadsheets/d/""&amp;$A13&amp;""/edit#gid=156619080"",Z$3)"),1016.58)</f>
        <v>1016.58</v>
      </c>
      <c r="AA13" s="2">
        <f>IFERROR(__xludf.DUMMYFUNCTION("IMPORTRANGE(""https://docs.google.com/spreadsheets/d/""&amp;$A13&amp;""/edit#gid=156619080"",AA$3)"),1010.28)</f>
        <v>1010.28</v>
      </c>
      <c r="AB13" s="2">
        <f>IFERROR(__xludf.DUMMYFUNCTION("IMPORTRANGE(""https://docs.google.com/spreadsheets/d/""&amp;$A13&amp;""/edit#gid=156619080"",AB$3)"),1003.99)</f>
        <v>1003.99</v>
      </c>
      <c r="AC13" s="18">
        <f>IFERROR(__xludf.DUMMYFUNCTION("IMPORTRANGE(""https://docs.google.com/spreadsheets/d/""&amp;$A13&amp;""/edit#gid=156619080"",AC$3)"),997.69)</f>
        <v>997.69</v>
      </c>
      <c r="AD13" s="18">
        <f>IFERROR(__xludf.DUMMYFUNCTION("IMPORTRANGE(""https://docs.google.com/spreadsheets/d/""&amp;$A13&amp;""/edit#gid=156619080"",AD$3)"),991.39)</f>
        <v>991.39</v>
      </c>
      <c r="AE13" s="18">
        <f>IFERROR(__xludf.DUMMYFUNCTION("IMPORTRANGE(""https://docs.google.com/spreadsheets/d/""&amp;$A13&amp;""/edit#gid=156619080"",AE$3)"),966.2)</f>
        <v>966.2</v>
      </c>
      <c r="AF13" s="2">
        <f>IFERROR(__xludf.DUMMYFUNCTION("IMPORTRANGE(""https://docs.google.com/spreadsheets/d/""&amp;$A13&amp;""/edit#gid=156619080"",AF$3)"),941.01)</f>
        <v>941.01</v>
      </c>
      <c r="AG13" s="2">
        <f>IFERROR(__xludf.DUMMYFUNCTION("IMPORTRANGE(""https://docs.google.com/spreadsheets/d/""&amp;$A13&amp;""/edit#gid=156619080"",AG$3)"),934.71)</f>
        <v>934.71</v>
      </c>
      <c r="AH13" s="2">
        <f>IFERROR(__xludf.DUMMYFUNCTION("IMPORTRANGE(""https://docs.google.com/spreadsheets/d/""&amp;$A13&amp;""/edit#gid=156619080"",AH$3)"),928.41)</f>
        <v>928.41</v>
      </c>
      <c r="AI13" s="2">
        <f>IFERROR(__xludf.DUMMYFUNCTION("IMPORTRANGE(""https://docs.google.com/spreadsheets/d/""&amp;$A13&amp;""/edit#gid=156619080"",AI$3)"),922.12)</f>
        <v>922.12</v>
      </c>
      <c r="AJ13" s="2">
        <f>IFERROR(__xludf.DUMMYFUNCTION("IMPORTRANGE(""https://docs.google.com/spreadsheets/d/""&amp;$A13&amp;""/edit#gid=156619080"",AJ$3)"),915.82)</f>
        <v>915.82</v>
      </c>
      <c r="AK13" s="2" t="str">
        <f>IFERROR(__xludf.DUMMYFUNCTION("IMPORTRANGE(""https://docs.google.com/spreadsheets/d/""&amp;$A13&amp;""/edit#gid=156619080"",AK$3)"),"-1.25σ〜-1.5σ")</f>
        <v>-1.25σ〜-1.5σ</v>
      </c>
      <c r="AL13" s="2">
        <f>IFERROR(__xludf.DUMMYFUNCTION("IMPORTRANGE(""https://docs.google.com/spreadsheets/d/""&amp;$A13&amp;""/edit#gid=156619080"",AL$3)"),-1.0)</f>
        <v>-1</v>
      </c>
      <c r="AM13" s="2" t="str">
        <f>IFERROR(__xludf.DUMMYFUNCTION("IMPORTRANGE(""https://docs.google.com/spreadsheets/d/""&amp;$A13&amp;""/edit#gid=156619080"",AM$3)"),"")</f>
        <v/>
      </c>
      <c r="AN13" s="2">
        <f>IFERROR(__xludf.DUMMYFUNCTION("IMPORTRANGE(""https://docs.google.com/spreadsheets/d/""&amp;$A13&amp;""/edit#gid=156619080"",AN$3)"),-1.0)</f>
        <v>-1</v>
      </c>
      <c r="AO13" s="2" t="str">
        <f>IFERROR(__xludf.DUMMYFUNCTION("IMPORTRANGE(""https://docs.google.com/spreadsheets/d/""&amp;$A13&amp;""/edit#gid=156619080"",AO$3)"),"")</f>
        <v/>
      </c>
      <c r="AP13" s="2">
        <f>IFERROR(__xludf.DUMMYFUNCTION("IMPORTRANGE(""https://docs.google.com/spreadsheets/d/""&amp;$A13&amp;""/edit#gid=156619080"",AP$3)"),-1.0)</f>
        <v>-1</v>
      </c>
      <c r="AQ13" s="2" t="str">
        <f>IFERROR(__xludf.DUMMYFUNCTION("IMPORTRANGE(""https://docs.google.com/spreadsheets/d/""&amp;$A13&amp;""/edit#gid=156619080"",AQ$3)"),"")</f>
        <v/>
      </c>
      <c r="AR13" s="18">
        <f>IFERROR(__xludf.DUMMYFUNCTION("IMPORTRANGE(""https://docs.google.com/spreadsheets/d/""&amp;$A13&amp;""/edit#gid=156619080"",AR$3)"),60.0)</f>
        <v>60</v>
      </c>
      <c r="AS13" s="19" t="str">
        <f>IFERROR(__xludf.DUMMYFUNCTION("IMPORTRANGE(""https://docs.google.com/spreadsheets/d/""&amp;$A13&amp;""/edit#gid=156619080"",AS$3)"),"-100
-100
-70
30
")</f>
        <v>-100
-100
-70
30
</v>
      </c>
      <c r="AT13" s="18">
        <f>IFERROR(__xludf.DUMMYFUNCTION("IMPORTRANGE(""https://docs.google.com/spreadsheets/d/""&amp;$A13&amp;""/edit#gid=156619080"",AT$3)"),-65.52197802197801)</f>
        <v>-65.52197802</v>
      </c>
      <c r="AU13" s="3" t="str">
        <f>IFERROR(__xludf.DUMMYFUNCTION("IMPORTRANGE(""https://docs.google.com/spreadsheets/d/""&amp;$A13&amp;""/edit#gid=156619080"",AU$3)"),"2.06
-19.92
-42.99
-53.98
")</f>
        <v>2.06
-19.92
-42.99
-53.98
</v>
      </c>
      <c r="AV13" s="18">
        <f>IFERROR(__xludf.DUMMYFUNCTION("IMPORTRANGE(""https://docs.google.com/spreadsheets/d/""&amp;$A13&amp;""/edit#gid=156619080"",AV$3)"),-45.22727272727274)</f>
        <v>-45.22727273</v>
      </c>
      <c r="AW13" s="19" t="str">
        <f>IFERROR(__xludf.DUMMYFUNCTION("IMPORTRANGE(""https://docs.google.com/spreadsheets/d/""&amp;$A13&amp;""/edit#gid=156619080"",AW$3)"),"-33.15
-37.18
-40.55
-42.89
")</f>
        <v>-33.15
-37.18
-40.55
-42.89
</v>
      </c>
      <c r="AX13" s="2">
        <f>IFERROR(__xludf.DUMMYFUNCTION("IMPORTRANGE(""https://docs.google.com/spreadsheets/d/""&amp;$A13&amp;""/edit#gid=156619080"",AX$3)"),43.96)</f>
        <v>43.96</v>
      </c>
      <c r="AY13" s="2">
        <f>IFERROR(__xludf.DUMMYFUNCTION("IMPORTRANGE(""https://docs.google.com/spreadsheets/d/""&amp;$A13&amp;""/edit#gid=156619080"",AY$3)"),39.14)</f>
        <v>39.14</v>
      </c>
      <c r="AZ13" s="2">
        <f>IFERROR(__xludf.DUMMYFUNCTION("IMPORTRANGE(""https://docs.google.com/spreadsheets/d/""&amp;$A13&amp;""/edit#gid=156619080"",AZ$3)"),940.55)</f>
        <v>940.55</v>
      </c>
      <c r="BA13" s="2">
        <f>IFERROR(__xludf.DUMMYFUNCTION("IMPORTRANGE(""https://docs.google.com/spreadsheets/d/""&amp;$A13&amp;""/edit#gid=156619080"",BA$3)"),-24.629999999999995)</f>
        <v>-24.63</v>
      </c>
      <c r="BB13" s="2">
        <f>IFERROR(__xludf.DUMMYFUNCTION("IMPORTRANGE(""https://docs.google.com/spreadsheets/d/""&amp;$A13&amp;""/edit#gid=156619080"",BB$3)"),-18.73)</f>
        <v>-18.73</v>
      </c>
      <c r="BC13" s="2" t="str">
        <f>IFERROR(__xludf.DUMMYFUNCTION("IMPORTRANGE(""https://docs.google.com/spreadsheets/d/""&amp;$A13&amp;""/edit#gid=156619080"",BC$3)"),"DC→DC")</f>
        <v>DC→DC</v>
      </c>
    </row>
    <row r="14" ht="51.0" customHeight="1">
      <c r="A14" s="7" t="str">
        <f t="shared" si="5"/>
        <v>1FL4B4hTZZer4scGkOj-6SbGskQ0ofY6SbZ2RuC37G88</v>
      </c>
      <c r="B14" s="1" t="s">
        <v>41</v>
      </c>
      <c r="C14" s="2">
        <f>IFERROR(__xludf.DUMMYFUNCTION("IMPORTRANGE(""https://docs.google.com/spreadsheets/d/""&amp;$A14&amp;""/edit#gid=156619080"",C$3)"),132.0)</f>
        <v>132</v>
      </c>
      <c r="D14" s="2">
        <f>IFERROR(__xludf.DUMMYFUNCTION("IMPORTRANGE(""https://docs.google.com/spreadsheets/d/""&amp;$A14&amp;""/edit#gid=156619080"",D$3)"),2801.0)</f>
        <v>2801</v>
      </c>
      <c r="E14" s="15">
        <f>IFERROR(__xludf.DUMMYFUNCTION("IMPORTRANGE(""https://docs.google.com/spreadsheets/d/""&amp;$A14&amp;""/edit#gid=156619080"",E$3)"),43882.0)</f>
        <v>43882</v>
      </c>
      <c r="F14" s="2">
        <f>IFERROR(__xludf.DUMMYFUNCTION("IMPORTRANGE(""https://docs.google.com/spreadsheets/d/""&amp;$A14&amp;""/edit#gid=156619080"",F$3)"),-140.0)</f>
        <v>-140</v>
      </c>
      <c r="G14" s="16">
        <f>IFERROR(__xludf.DUMMYFUNCTION("IMPORTRANGE(""https://docs.google.com/spreadsheets/d/""&amp;$A14&amp;""/edit#gid=156619080"",G$3)"),-2.38)</f>
        <v>-2.38</v>
      </c>
      <c r="H14" s="16">
        <f>IFERROR(__xludf.DUMMYFUNCTION("IMPORTRANGE(""https://docs.google.com/spreadsheets/d/""&amp;$A14&amp;""/edit#gid=156619080"",H$3)"),5830.0)</f>
        <v>5830</v>
      </c>
      <c r="I14" s="16">
        <f>IFERROR(__xludf.DUMMYFUNCTION("IMPORTRANGE(""https://docs.google.com/spreadsheets/d/""&amp;$A14&amp;""/edit#gid=156619080"",I$3)"),50.0)</f>
        <v>50</v>
      </c>
      <c r="J14" s="16">
        <f>IFERROR(__xludf.DUMMYFUNCTION("IMPORTRANGE(""https://docs.google.com/spreadsheets/d/""&amp;$A14&amp;""/edit#gid=156619080"",J$3)"),5870.0)</f>
        <v>5870</v>
      </c>
      <c r="K14" s="16">
        <f>IFERROR(__xludf.DUMMYFUNCTION("IMPORTRANGE(""https://docs.google.com/spreadsheets/d/""&amp;$A14&amp;""/edit#gid=156619080"",K$3)"),0.375)</f>
        <v>0.375</v>
      </c>
      <c r="L14" s="16">
        <f>IFERROR(__xludf.DUMMYFUNCTION("IMPORTRANGE(""https://docs.google.com/spreadsheets/d/""&amp;$A14&amp;""/edit#gid=156619080"",L$3)"),5680.0)</f>
        <v>5680</v>
      </c>
      <c r="M14" s="16">
        <f>IFERROR(__xludf.DUMMYFUNCTION("IMPORTRANGE(""https://docs.google.com/spreadsheets/d/""&amp;$A14&amp;""/edit#gid=156619080"",M$3)"),0.5333333333333333)</f>
        <v>0.5333333333</v>
      </c>
      <c r="N14" s="16">
        <f>IFERROR(__xludf.DUMMYFUNCTION("IMPORTRANGE(""https://docs.google.com/spreadsheets/d/""&amp;$A14&amp;""/edit#gid=156619080"",N$3)"),5740.0)</f>
        <v>5740</v>
      </c>
      <c r="O14" s="16" t="str">
        <f>IFERROR(__xludf.DUMMYFUNCTION("IMPORTRANGE(""https://docs.google.com/spreadsheets/d/""&amp;$A14&amp;""/edit#gid=156619080"",O$3)"),"624400株")</f>
        <v>624400株</v>
      </c>
      <c r="P14" s="16" t="str">
        <f>IFERROR(__xludf.DUMMYFUNCTION("IMPORTRANGE(""https://docs.google.com/spreadsheets/d/""&amp;$A14&amp;""/edit#gid=156619080"",P$3)"),"3597百万円")</f>
        <v>3597百万円</v>
      </c>
      <c r="Q14" s="16" t="str">
        <f>IFERROR(__xludf.DUMMYFUNCTION("IMPORTRANGE(""https://docs.google.com/spreadsheets/d/""&amp;$A14&amp;""/edit#gid=156619080"",Q$3)"),"1176回")</f>
        <v>1176回</v>
      </c>
      <c r="R14" s="16" t="str">
        <f>IFERROR(__xludf.DUMMYFUNCTION("IMPORTRANGE(""https://docs.google.com/spreadsheets/d/""&amp;$A14&amp;""/edit#gid=156619080"",R$3)"),"11129億円")</f>
        <v>11129億円</v>
      </c>
      <c r="S14" s="16" t="str">
        <f>IFERROR(__xludf.DUMMYFUNCTION("IMPORTRANGE(""https://docs.google.com/spreadsheets/d/""&amp;$A14&amp;""/edit#gid=156619080"",S$3)"),"陰線")</f>
        <v>陰線</v>
      </c>
      <c r="T14" s="16" t="str">
        <f>IFERROR(__xludf.DUMMYFUNCTION("IMPORTRANGE(""https://docs.google.com/spreadsheets/d/""&amp;$A14&amp;""/edit#gid=156619080"",T$3)"),"")</f>
        <v/>
      </c>
      <c r="U14" s="16">
        <f>IFERROR(__xludf.DUMMYFUNCTION("IMPORTRANGE(""https://docs.google.com/spreadsheets/d/""&amp;$A14&amp;""/edit#gid=156619080"",U$3)"),5812.0)</f>
        <v>5812</v>
      </c>
      <c r="V14" s="16">
        <f>IFERROR(__xludf.DUMMYFUNCTION("IMPORTRANGE(""https://docs.google.com/spreadsheets/d/""&amp;$A14&amp;""/edit#gid=156619080"",V$3)"),5760.8)</f>
        <v>5760.8</v>
      </c>
      <c r="W14" s="16">
        <f>IFERROR(__xludf.DUMMYFUNCTION("IMPORTRANGE(""https://docs.google.com/spreadsheets/d/""&amp;$A14&amp;""/edit#gid=156619080"",W$3)"),5573.8)</f>
        <v>5573.8</v>
      </c>
      <c r="X14" s="2">
        <f>IFERROR(__xludf.DUMMYFUNCTION("IMPORTRANGE(""https://docs.google.com/spreadsheets/d/""&amp;$A14&amp;""/edit#gid=156619080"",X$3)"),5342.7)</f>
        <v>5342.7</v>
      </c>
      <c r="Y14" s="17">
        <f>IFERROR(__xludf.DUMMYFUNCTION("IMPORTRANGE(""https://docs.google.com/spreadsheets/d/""&amp;$A14&amp;""/edit#gid=156619080"",Y$3)"),-0.012388162422573986)</f>
        <v>-0.01238816242</v>
      </c>
      <c r="Z14" s="2">
        <f>IFERROR(__xludf.DUMMYFUNCTION("IMPORTRANGE(""https://docs.google.com/spreadsheets/d/""&amp;$A14&amp;""/edit#gid=156619080"",Z$3)"),6082.3)</f>
        <v>6082.3</v>
      </c>
      <c r="AA14" s="2">
        <f>IFERROR(__xludf.DUMMYFUNCTION("IMPORTRANGE(""https://docs.google.com/spreadsheets/d/""&amp;$A14&amp;""/edit#gid=156619080"",AA$3)"),6018.74)</f>
        <v>6018.74</v>
      </c>
      <c r="AB14" s="2">
        <f>IFERROR(__xludf.DUMMYFUNCTION("IMPORTRANGE(""https://docs.google.com/spreadsheets/d/""&amp;$A14&amp;""/edit#gid=156619080"",AB$3)"),5955.17)</f>
        <v>5955.17</v>
      </c>
      <c r="AC14" s="18">
        <f>IFERROR(__xludf.DUMMYFUNCTION("IMPORTRANGE(""https://docs.google.com/spreadsheets/d/""&amp;$A14&amp;""/edit#gid=156619080"",AC$3)"),5891.61)</f>
        <v>5891.61</v>
      </c>
      <c r="AD14" s="18">
        <f>IFERROR(__xludf.DUMMYFUNCTION("IMPORTRANGE(""https://docs.google.com/spreadsheets/d/""&amp;$A14&amp;""/edit#gid=156619080"",AD$3)"),5828.05)</f>
        <v>5828.05</v>
      </c>
      <c r="AE14" s="18">
        <f>IFERROR(__xludf.DUMMYFUNCTION("IMPORTRANGE(""https://docs.google.com/spreadsheets/d/""&amp;$A14&amp;""/edit#gid=156619080"",AE$3)"),5573.8)</f>
        <v>5573.8</v>
      </c>
      <c r="AF14" s="2">
        <f>IFERROR(__xludf.DUMMYFUNCTION("IMPORTRANGE(""https://docs.google.com/spreadsheets/d/""&amp;$A14&amp;""/edit#gid=156619080"",AF$3)"),5319.55)</f>
        <v>5319.55</v>
      </c>
      <c r="AG14" s="2">
        <f>IFERROR(__xludf.DUMMYFUNCTION("IMPORTRANGE(""https://docs.google.com/spreadsheets/d/""&amp;$A14&amp;""/edit#gid=156619080"",AG$3)"),5255.99)</f>
        <v>5255.99</v>
      </c>
      <c r="AH14" s="2">
        <f>IFERROR(__xludf.DUMMYFUNCTION("IMPORTRANGE(""https://docs.google.com/spreadsheets/d/""&amp;$A14&amp;""/edit#gid=156619080"",AH$3)"),5192.43)</f>
        <v>5192.43</v>
      </c>
      <c r="AI14" s="2">
        <f>IFERROR(__xludf.DUMMYFUNCTION("IMPORTRANGE(""https://docs.google.com/spreadsheets/d/""&amp;$A14&amp;""/edit#gid=156619080"",AI$3)"),5128.86)</f>
        <v>5128.86</v>
      </c>
      <c r="AJ14" s="2">
        <f>IFERROR(__xludf.DUMMYFUNCTION("IMPORTRANGE(""https://docs.google.com/spreadsheets/d/""&amp;$A14&amp;""/edit#gid=156619080"",AJ$3)"),5065.3)</f>
        <v>5065.3</v>
      </c>
      <c r="AK14" s="2" t="str">
        <f>IFERROR(__xludf.DUMMYFUNCTION("IMPORTRANGE(""https://docs.google.com/spreadsheets/d/""&amp;$A14&amp;""/edit#gid=156619080"",AK$3)"),"")</f>
        <v/>
      </c>
      <c r="AL14" s="2">
        <f>IFERROR(__xludf.DUMMYFUNCTION("IMPORTRANGE(""https://docs.google.com/spreadsheets/d/""&amp;$A14&amp;""/edit#gid=156619080"",AL$3)"),1.0)</f>
        <v>1</v>
      </c>
      <c r="AM14" s="2" t="str">
        <f>IFERROR(__xludf.DUMMYFUNCTION("IMPORTRANGE(""https://docs.google.com/spreadsheets/d/""&amp;$A14&amp;""/edit#gid=156619080"",AM$3)"),"")</f>
        <v/>
      </c>
      <c r="AN14" s="2">
        <f>IFERROR(__xludf.DUMMYFUNCTION("IMPORTRANGE(""https://docs.google.com/spreadsheets/d/""&amp;$A14&amp;""/edit#gid=156619080"",AN$3)"),1.0)</f>
        <v>1</v>
      </c>
      <c r="AO14" s="2" t="str">
        <f>IFERROR(__xludf.DUMMYFUNCTION("IMPORTRANGE(""https://docs.google.com/spreadsheets/d/""&amp;$A14&amp;""/edit#gid=156619080"",AO$3)"),"")</f>
        <v/>
      </c>
      <c r="AP14" s="2">
        <f>IFERROR(__xludf.DUMMYFUNCTION("IMPORTRANGE(""https://docs.google.com/spreadsheets/d/""&amp;$A14&amp;""/edit#gid=156619080"",AP$3)"),1.0)</f>
        <v>1</v>
      </c>
      <c r="AQ14" s="2" t="str">
        <f>IFERROR(__xludf.DUMMYFUNCTION("IMPORTRANGE(""https://docs.google.com/spreadsheets/d/""&amp;$A14&amp;""/edit#gid=156619080"",AQ$3)"),"")</f>
        <v/>
      </c>
      <c r="AR14" s="18">
        <f>IFERROR(__xludf.DUMMYFUNCTION("IMPORTRANGE(""https://docs.google.com/spreadsheets/d/""&amp;$A14&amp;""/edit#gid=156619080"",AR$3)"),-2.499999999999991)</f>
        <v>-2.5</v>
      </c>
      <c r="AS14" s="19" t="str">
        <f>IFERROR(__xludf.DUMMYFUNCTION("IMPORTRANGE(""https://docs.google.com/spreadsheets/d/""&amp;$A14&amp;""/edit#gid=156619080"",AS$3)"),"87.5
65
55
55
")</f>
        <v>87.5
65
55
55
</v>
      </c>
      <c r="AT14" s="18">
        <f>IFERROR(__xludf.DUMMYFUNCTION("IMPORTRANGE(""https://docs.google.com/spreadsheets/d/""&amp;$A14&amp;""/edit#gid=156619080"",AT$3)"),56.31868131868132)</f>
        <v>56.31868132</v>
      </c>
      <c r="AU14" s="3" t="str">
        <f>IFERROR(__xludf.DUMMYFUNCTION("IMPORTRANGE(""https://docs.google.com/spreadsheets/d/""&amp;$A14&amp;""/edit#gid=156619080"",AU$3)"),"85.44
82.55
81.04
81.59
")</f>
        <v>85.44
82.55
81.04
81.59
</v>
      </c>
      <c r="AV14" s="18">
        <f>IFERROR(__xludf.DUMMYFUNCTION("IMPORTRANGE(""https://docs.google.com/spreadsheets/d/""&amp;$A14&amp;""/edit#gid=156619080"",AV$3)"),81.78571428571428)</f>
        <v>81.78571429</v>
      </c>
      <c r="AW14" s="19" t="str">
        <f>IFERROR(__xludf.DUMMYFUNCTION("IMPORTRANGE(""https://docs.google.com/spreadsheets/d/""&amp;$A14&amp;""/edit#gid=156619080"",AW$3)"),"64.03
72.14
78.67
83.08
")</f>
        <v>64.03
72.14
78.67
83.08
</v>
      </c>
      <c r="AX14" s="2">
        <f>IFERROR(__xludf.DUMMYFUNCTION("IMPORTRANGE(""https://docs.google.com/spreadsheets/d/""&amp;$A14&amp;""/edit#gid=156619080"",AX$3)"),31.819999999999997)</f>
        <v>31.82</v>
      </c>
      <c r="AY14" s="2">
        <f>IFERROR(__xludf.DUMMYFUNCTION("IMPORTRANGE(""https://docs.google.com/spreadsheets/d/""&amp;$A14&amp;""/edit#gid=156619080"",AY$3)"),60.23)</f>
        <v>60.23</v>
      </c>
      <c r="AZ14" s="2">
        <f>IFERROR(__xludf.DUMMYFUNCTION("IMPORTRANGE(""https://docs.google.com/spreadsheets/d/""&amp;$A14&amp;""/edit#gid=156619080"",AZ$3)"),5797.53)</f>
        <v>5797.53</v>
      </c>
      <c r="BA14" s="2">
        <f>IFERROR(__xludf.DUMMYFUNCTION("IMPORTRANGE(""https://docs.google.com/spreadsheets/d/""&amp;$A14&amp;""/edit#gid=156619080"",BA$3)"),147.9399999999996)</f>
        <v>147.94</v>
      </c>
      <c r="BB14" s="2">
        <f>IFERROR(__xludf.DUMMYFUNCTION("IMPORTRANGE(""https://docs.google.com/spreadsheets/d/""&amp;$A14&amp;""/edit#gid=156619080"",BB$3)"),145.65)</f>
        <v>145.65</v>
      </c>
      <c r="BC14" s="2" t="str">
        <f>IFERROR(__xludf.DUMMYFUNCTION("IMPORTRANGE(""https://docs.google.com/spreadsheets/d/""&amp;$A14&amp;""/edit#gid=156619080"",BC$3)"),"GC→GC")</f>
        <v>GC→GC</v>
      </c>
    </row>
    <row r="15" ht="51.0" customHeight="1">
      <c r="A15" s="7" t="str">
        <f t="shared" si="5"/>
        <v>1FLPlrW8cc7bpbPKtqSq_6-_VOVYcxJBbuLJLccm3RUI</v>
      </c>
      <c r="B15" s="1" t="s">
        <v>42</v>
      </c>
      <c r="C15" s="2">
        <f>IFERROR(__xludf.DUMMYFUNCTION("IMPORTRANGE(""https://docs.google.com/spreadsheets/d/""&amp;$A15&amp;""/edit#gid=156619080"",C$3)"),132.0)</f>
        <v>132</v>
      </c>
      <c r="D15" s="2">
        <f>IFERROR(__xludf.DUMMYFUNCTION("IMPORTRANGE(""https://docs.google.com/spreadsheets/d/""&amp;$A15&amp;""/edit#gid=156619080"",D$3)"),2802.0)</f>
        <v>2802</v>
      </c>
      <c r="E15" s="15">
        <f>IFERROR(__xludf.DUMMYFUNCTION("IMPORTRANGE(""https://docs.google.com/spreadsheets/d/""&amp;$A15&amp;""/edit#gid=156619080"",E$3)"),43882.0)</f>
        <v>43882</v>
      </c>
      <c r="F15" s="2">
        <f>IFERROR(__xludf.DUMMYFUNCTION("IMPORTRANGE(""https://docs.google.com/spreadsheets/d/""&amp;$A15&amp;""/edit#gid=156619080"",F$3)"),-18.0)</f>
        <v>-18</v>
      </c>
      <c r="G15" s="16">
        <f>IFERROR(__xludf.DUMMYFUNCTION("IMPORTRANGE(""https://docs.google.com/spreadsheets/d/""&amp;$A15&amp;""/edit#gid=156619080"",G$3)"),-0.91)</f>
        <v>-0.91</v>
      </c>
      <c r="H15" s="16">
        <f>IFERROR(__xludf.DUMMYFUNCTION("IMPORTRANGE(""https://docs.google.com/spreadsheets/d/""&amp;$A15&amp;""/edit#gid=156619080"",H$3)"),1980.0)</f>
        <v>1980</v>
      </c>
      <c r="I15" s="16">
        <f>IFERROR(__xludf.DUMMYFUNCTION("IMPORTRANGE(""https://docs.google.com/spreadsheets/d/""&amp;$A15&amp;""/edit#gid=156619080"",I$3)"),7.0)</f>
        <v>7</v>
      </c>
      <c r="J15" s="16">
        <f>IFERROR(__xludf.DUMMYFUNCTION("IMPORTRANGE(""https://docs.google.com/spreadsheets/d/""&amp;$A15&amp;""/edit#gid=156619080"",J$3)"),1988.0)</f>
        <v>1988</v>
      </c>
      <c r="K15" s="16">
        <f>IFERROR(__xludf.DUMMYFUNCTION("IMPORTRANGE(""https://docs.google.com/spreadsheets/d/""&amp;$A15&amp;""/edit#gid=156619080"",K$3)"),0.5493055555555556)</f>
        <v>0.5493055556</v>
      </c>
      <c r="L15" s="16">
        <f>IFERROR(__xludf.DUMMYFUNCTION("IMPORTRANGE(""https://docs.google.com/spreadsheets/d/""&amp;$A15&amp;""/edit#gid=156619080"",L$3)"),1965.0)</f>
        <v>1965</v>
      </c>
      <c r="M15" s="16">
        <f>IFERROR(__xludf.DUMMYFUNCTION("IMPORTRANGE(""https://docs.google.com/spreadsheets/d/""&amp;$A15&amp;""/edit#gid=156619080"",M$3)"),0.5736111111111111)</f>
        <v>0.5736111111</v>
      </c>
      <c r="N15" s="16">
        <f>IFERROR(__xludf.DUMMYFUNCTION("IMPORTRANGE(""https://docs.google.com/spreadsheets/d/""&amp;$A15&amp;""/edit#gid=156619080"",N$3)"),1969.0)</f>
        <v>1969</v>
      </c>
      <c r="O15" s="16" t="str">
        <f>IFERROR(__xludf.DUMMYFUNCTION("IMPORTRANGE(""https://docs.google.com/spreadsheets/d/""&amp;$A15&amp;""/edit#gid=156619080"",O$3)"),"1826400株")</f>
        <v>1826400株</v>
      </c>
      <c r="P15" s="16" t="str">
        <f>IFERROR(__xludf.DUMMYFUNCTION("IMPORTRANGE(""https://docs.google.com/spreadsheets/d/""&amp;$A15&amp;""/edit#gid=156619080"",P$3)"),"3606百万円")</f>
        <v>3606百万円</v>
      </c>
      <c r="Q15" s="16" t="str">
        <f>IFERROR(__xludf.DUMMYFUNCTION("IMPORTRANGE(""https://docs.google.com/spreadsheets/d/""&amp;$A15&amp;""/edit#gid=156619080"",Q$3)"),"3964回")</f>
        <v>3964回</v>
      </c>
      <c r="R15" s="16" t="str">
        <f>IFERROR(__xludf.DUMMYFUNCTION("IMPORTRANGE(""https://docs.google.com/spreadsheets/d/""&amp;$A15&amp;""/edit#gid=156619080"",R$3)"),"10813億円")</f>
        <v>10813億円</v>
      </c>
      <c r="S15" s="16" t="str">
        <f>IFERROR(__xludf.DUMMYFUNCTION("IMPORTRANGE(""https://docs.google.com/spreadsheets/d/""&amp;$A15&amp;""/edit#gid=156619080"",S$3)"),"陰線")</f>
        <v>陰線</v>
      </c>
      <c r="T15" s="16" t="str">
        <f>IFERROR(__xludf.DUMMYFUNCTION("IMPORTRANGE(""https://docs.google.com/spreadsheets/d/""&amp;$A15&amp;""/edit#gid=156619080"",T$3)"),"")</f>
        <v/>
      </c>
      <c r="U15" s="16">
        <f>IFERROR(__xludf.DUMMYFUNCTION("IMPORTRANGE(""https://docs.google.com/spreadsheets/d/""&amp;$A15&amp;""/edit#gid=156619080"",U$3)"),1971.9)</f>
        <v>1971.9</v>
      </c>
      <c r="V15" s="16">
        <f>IFERROR(__xludf.DUMMYFUNCTION("IMPORTRANGE(""https://docs.google.com/spreadsheets/d/""&amp;$A15&amp;""/edit#gid=156619080"",V$3)"),1968.3)</f>
        <v>1968.3</v>
      </c>
      <c r="W15" s="16">
        <f>IFERROR(__xludf.DUMMYFUNCTION("IMPORTRANGE(""https://docs.google.com/spreadsheets/d/""&amp;$A15&amp;""/edit#gid=156619080"",W$3)"),1908.2)</f>
        <v>1908.2</v>
      </c>
      <c r="X15" s="2">
        <f>IFERROR(__xludf.DUMMYFUNCTION("IMPORTRANGE(""https://docs.google.com/spreadsheets/d/""&amp;$A15&amp;""/edit#gid=156619080"",X$3)"),1888.6)</f>
        <v>1888.6</v>
      </c>
      <c r="Y15" s="17">
        <f>IFERROR(__xludf.DUMMYFUNCTION("IMPORTRANGE(""https://docs.google.com/spreadsheets/d/""&amp;$A15&amp;""/edit#gid=156619080"",Y$3)"),-0.0014706628125158937)</f>
        <v>-0.001470662813</v>
      </c>
      <c r="Z15" s="2">
        <f>IFERROR(__xludf.DUMMYFUNCTION("IMPORTRANGE(""https://docs.google.com/spreadsheets/d/""&amp;$A15&amp;""/edit#gid=156619080"",Z$3)"),2071.5)</f>
        <v>2071.5</v>
      </c>
      <c r="AA15" s="2">
        <f>IFERROR(__xludf.DUMMYFUNCTION("IMPORTRANGE(""https://docs.google.com/spreadsheets/d/""&amp;$A15&amp;""/edit#gid=156619080"",AA$3)"),2051.09)</f>
        <v>2051.09</v>
      </c>
      <c r="AB15" s="2">
        <f>IFERROR(__xludf.DUMMYFUNCTION("IMPORTRANGE(""https://docs.google.com/spreadsheets/d/""&amp;$A15&amp;""/edit#gid=156619080"",AB$3)"),2030.67)</f>
        <v>2030.67</v>
      </c>
      <c r="AC15" s="18">
        <f>IFERROR(__xludf.DUMMYFUNCTION("IMPORTRANGE(""https://docs.google.com/spreadsheets/d/""&amp;$A15&amp;""/edit#gid=156619080"",AC$3)"),2010.26)</f>
        <v>2010.26</v>
      </c>
      <c r="AD15" s="18">
        <f>IFERROR(__xludf.DUMMYFUNCTION("IMPORTRANGE(""https://docs.google.com/spreadsheets/d/""&amp;$A15&amp;""/edit#gid=156619080"",AD$3)"),1989.85)</f>
        <v>1989.85</v>
      </c>
      <c r="AE15" s="18">
        <f>IFERROR(__xludf.DUMMYFUNCTION("IMPORTRANGE(""https://docs.google.com/spreadsheets/d/""&amp;$A15&amp;""/edit#gid=156619080"",AE$3)"),1908.2)</f>
        <v>1908.2</v>
      </c>
      <c r="AF15" s="2">
        <f>IFERROR(__xludf.DUMMYFUNCTION("IMPORTRANGE(""https://docs.google.com/spreadsheets/d/""&amp;$A15&amp;""/edit#gid=156619080"",AF$3)"),1826.55)</f>
        <v>1826.55</v>
      </c>
      <c r="AG15" s="2">
        <f>IFERROR(__xludf.DUMMYFUNCTION("IMPORTRANGE(""https://docs.google.com/spreadsheets/d/""&amp;$A15&amp;""/edit#gid=156619080"",AG$3)"),1806.14)</f>
        <v>1806.14</v>
      </c>
      <c r="AH15" s="2">
        <f>IFERROR(__xludf.DUMMYFUNCTION("IMPORTRANGE(""https://docs.google.com/spreadsheets/d/""&amp;$A15&amp;""/edit#gid=156619080"",AH$3)"),1785.73)</f>
        <v>1785.73</v>
      </c>
      <c r="AI15" s="2">
        <f>IFERROR(__xludf.DUMMYFUNCTION("IMPORTRANGE(""https://docs.google.com/spreadsheets/d/""&amp;$A15&amp;""/edit#gid=156619080"",AI$3)"),1765.31)</f>
        <v>1765.31</v>
      </c>
      <c r="AJ15" s="2">
        <f>IFERROR(__xludf.DUMMYFUNCTION("IMPORTRANGE(""https://docs.google.com/spreadsheets/d/""&amp;$A15&amp;""/edit#gid=156619080"",AJ$3)"),1744.9)</f>
        <v>1744.9</v>
      </c>
      <c r="AK15" s="2" t="str">
        <f>IFERROR(__xludf.DUMMYFUNCTION("IMPORTRANGE(""https://docs.google.com/spreadsheets/d/""&amp;$A15&amp;""/edit#gid=156619080"",AK$3)"),"")</f>
        <v/>
      </c>
      <c r="AL15" s="2">
        <f>IFERROR(__xludf.DUMMYFUNCTION("IMPORTRANGE(""https://docs.google.com/spreadsheets/d/""&amp;$A15&amp;""/edit#gid=156619080"",AL$3)"),1.0)</f>
        <v>1</v>
      </c>
      <c r="AM15" s="2" t="str">
        <f>IFERROR(__xludf.DUMMYFUNCTION("IMPORTRANGE(""https://docs.google.com/spreadsheets/d/""&amp;$A15&amp;""/edit#gid=156619080"",AM$3)"),"")</f>
        <v/>
      </c>
      <c r="AN15" s="2">
        <f>IFERROR(__xludf.DUMMYFUNCTION("IMPORTRANGE(""https://docs.google.com/spreadsheets/d/""&amp;$A15&amp;""/edit#gid=156619080"",AN$3)"),1.0)</f>
        <v>1</v>
      </c>
      <c r="AO15" s="2" t="str">
        <f>IFERROR(__xludf.DUMMYFUNCTION("IMPORTRANGE(""https://docs.google.com/spreadsheets/d/""&amp;$A15&amp;""/edit#gid=156619080"",AO$3)"),"")</f>
        <v/>
      </c>
      <c r="AP15" s="2">
        <f>IFERROR(__xludf.DUMMYFUNCTION("IMPORTRANGE(""https://docs.google.com/spreadsheets/d/""&amp;$A15&amp;""/edit#gid=156619080"",AP$3)"),1.0)</f>
        <v>1</v>
      </c>
      <c r="AQ15" s="2" t="str">
        <f>IFERROR(__xludf.DUMMYFUNCTION("IMPORTRANGE(""https://docs.google.com/spreadsheets/d/""&amp;$A15&amp;""/edit#gid=156619080"",AQ$3)"),"")</f>
        <v/>
      </c>
      <c r="AR15" s="18">
        <f>IFERROR(__xludf.DUMMYFUNCTION("IMPORTRANGE(""https://docs.google.com/spreadsheets/d/""&amp;$A15&amp;""/edit#gid=156619080"",AR$3)"),60.0)</f>
        <v>60</v>
      </c>
      <c r="AS15" s="19" t="str">
        <f>IFERROR(__xludf.DUMMYFUNCTION("IMPORTRANGE(""https://docs.google.com/spreadsheets/d/""&amp;$A15&amp;""/edit#gid=156619080"",AS$3)"),"30
-70
-20
-10
")</f>
        <v>30
-70
-20
-10
</v>
      </c>
      <c r="AT15" s="18">
        <f>IFERROR(__xludf.DUMMYFUNCTION("IMPORTRANGE(""https://docs.google.com/spreadsheets/d/""&amp;$A15&amp;""/edit#gid=156619080"",AT$3)"),51.098901098901095)</f>
        <v>51.0989011</v>
      </c>
      <c r="AU15" s="3" t="str">
        <f>IFERROR(__xludf.DUMMYFUNCTION("IMPORTRANGE(""https://docs.google.com/spreadsheets/d/""&amp;$A15&amp;""/edit#gid=156619080"",AU$3)"),"87.91
79.12
70.33
68.13
")</f>
        <v>87.91
79.12
70.33
68.13
</v>
      </c>
      <c r="AV15" s="18">
        <f>IFERROR(__xludf.DUMMYFUNCTION("IMPORTRANGE(""https://docs.google.com/spreadsheets/d/""&amp;$A15&amp;""/edit#gid=156619080"",AV$3)"),82.95454545454545)</f>
        <v>82.95454545</v>
      </c>
      <c r="AW15" s="19" t="str">
        <f>IFERROR(__xludf.DUMMYFUNCTION("IMPORTRANGE(""https://docs.google.com/spreadsheets/d/""&amp;$A15&amp;""/edit#gid=156619080"",AW$3)"),"73.08
77.5
81.01
83.34
")</f>
        <v>73.08
77.5
81.01
83.34
</v>
      </c>
      <c r="AX15" s="2">
        <f>IFERROR(__xludf.DUMMYFUNCTION("IMPORTRANGE(""https://docs.google.com/spreadsheets/d/""&amp;$A15&amp;""/edit#gid=156619080"",AX$3)"),34.36)</f>
        <v>34.36</v>
      </c>
      <c r="AY15" s="2">
        <f>IFERROR(__xludf.DUMMYFUNCTION("IMPORTRANGE(""https://docs.google.com/spreadsheets/d/""&amp;$A15&amp;""/edit#gid=156619080"",AY$3)"),66.41)</f>
        <v>66.41</v>
      </c>
      <c r="AZ15" s="2">
        <f>IFERROR(__xludf.DUMMYFUNCTION("IMPORTRANGE(""https://docs.google.com/spreadsheets/d/""&amp;$A15&amp;""/edit#gid=156619080"",AZ$3)"),1973.76)</f>
        <v>1973.76</v>
      </c>
      <c r="BA15" s="2">
        <f>IFERROR(__xludf.DUMMYFUNCTION("IMPORTRANGE(""https://docs.google.com/spreadsheets/d/""&amp;$A15&amp;""/edit#gid=156619080"",BA$3)"),47.690000000000055)</f>
        <v>47.69</v>
      </c>
      <c r="BB15" s="2">
        <f>IFERROR(__xludf.DUMMYFUNCTION("IMPORTRANGE(""https://docs.google.com/spreadsheets/d/""&amp;$A15&amp;""/edit#gid=156619080"",BB$3)"),51.65)</f>
        <v>51.65</v>
      </c>
      <c r="BC15" s="2" t="str">
        <f>IFERROR(__xludf.DUMMYFUNCTION("IMPORTRANGE(""https://docs.google.com/spreadsheets/d/""&amp;$A15&amp;""/edit#gid=156619080"",BC$3)"),"GC→DC")</f>
        <v>GC→DC</v>
      </c>
    </row>
    <row r="16" ht="51.0" customHeight="1">
      <c r="A16" s="7" t="str">
        <f t="shared" si="5"/>
        <v>1T45cy6nJIhSWWfhFv92TgMQ-Gu2lC_2QHVWhU88VWXw</v>
      </c>
      <c r="B16" s="1" t="s">
        <v>43</v>
      </c>
      <c r="C16" s="2">
        <f>IFERROR(__xludf.DUMMYFUNCTION("IMPORTRANGE(""https://docs.google.com/spreadsheets/d/""&amp;$A16&amp;""/edit#gid=156619080"",C$3)"),132.0)</f>
        <v>132</v>
      </c>
      <c r="D16" s="2">
        <f>IFERROR(__xludf.DUMMYFUNCTION("IMPORTRANGE(""https://docs.google.com/spreadsheets/d/""&amp;$A16&amp;""/edit#gid=156619080"",D$3)"),2871.0)</f>
        <v>2871</v>
      </c>
      <c r="E16" s="15">
        <f>IFERROR(__xludf.DUMMYFUNCTION("IMPORTRANGE(""https://docs.google.com/spreadsheets/d/""&amp;$A16&amp;""/edit#gid=156619080"",E$3)"),43882.0)</f>
        <v>43882</v>
      </c>
      <c r="F16" s="2">
        <f>IFERROR(__xludf.DUMMYFUNCTION("IMPORTRANGE(""https://docs.google.com/spreadsheets/d/""&amp;$A16&amp;""/edit#gid=156619080"",F$3)"),21.0)</f>
        <v>21</v>
      </c>
      <c r="G16" s="16">
        <f>IFERROR(__xludf.DUMMYFUNCTION("IMPORTRANGE(""https://docs.google.com/spreadsheets/d/""&amp;$A16&amp;""/edit#gid=156619080"",G$3)"),0.75)</f>
        <v>0.75</v>
      </c>
      <c r="H16" s="16">
        <f>IFERROR(__xludf.DUMMYFUNCTION("IMPORTRANGE(""https://docs.google.com/spreadsheets/d/""&amp;$A16&amp;""/edit#gid=156619080"",H$3)"),2819.0)</f>
        <v>2819</v>
      </c>
      <c r="I16" s="16">
        <f>IFERROR(__xludf.DUMMYFUNCTION("IMPORTRANGE(""https://docs.google.com/spreadsheets/d/""&amp;$A16&amp;""/edit#gid=156619080"",I$3)"),-24.0)</f>
        <v>-24</v>
      </c>
      <c r="J16" s="16">
        <f>IFERROR(__xludf.DUMMYFUNCTION("IMPORTRANGE(""https://docs.google.com/spreadsheets/d/""&amp;$A16&amp;""/edit#gid=156619080"",J$3)"),2842.0)</f>
        <v>2842</v>
      </c>
      <c r="K16" s="16">
        <f>IFERROR(__xludf.DUMMYFUNCTION("IMPORTRANGE(""https://docs.google.com/spreadsheets/d/""&amp;$A16&amp;""/edit#gid=156619080"",K$3)"),0.3875)</f>
        <v>0.3875</v>
      </c>
      <c r="L16" s="16">
        <f>IFERROR(__xludf.DUMMYFUNCTION("IMPORTRANGE(""https://docs.google.com/spreadsheets/d/""&amp;$A16&amp;""/edit#gid=156619080"",L$3)"),2803.0)</f>
        <v>2803</v>
      </c>
      <c r="M16" s="16">
        <f>IFERROR(__xludf.DUMMYFUNCTION("IMPORTRANGE(""https://docs.google.com/spreadsheets/d/""&amp;$A16&amp;""/edit#gid=156619080"",M$3)"),0.4125)</f>
        <v>0.4125</v>
      </c>
      <c r="N16" s="16">
        <f>IFERROR(__xludf.DUMMYFUNCTION("IMPORTRANGE(""https://docs.google.com/spreadsheets/d/""&amp;$A16&amp;""/edit#gid=156619080"",N$3)"),2816.0)</f>
        <v>2816</v>
      </c>
      <c r="O16" s="16" t="str">
        <f>IFERROR(__xludf.DUMMYFUNCTION("IMPORTRANGE(""https://docs.google.com/spreadsheets/d/""&amp;$A16&amp;""/edit#gid=156619080"",O$3)"),"561400株")</f>
        <v>561400株</v>
      </c>
      <c r="P16" s="16" t="str">
        <f>IFERROR(__xludf.DUMMYFUNCTION("IMPORTRANGE(""https://docs.google.com/spreadsheets/d/""&amp;$A16&amp;""/edit#gid=156619080"",P$3)"),"1583百万円")</f>
        <v>1583百万円</v>
      </c>
      <c r="Q16" s="16" t="str">
        <f>IFERROR(__xludf.DUMMYFUNCTION("IMPORTRANGE(""https://docs.google.com/spreadsheets/d/""&amp;$A16&amp;""/edit#gid=156619080"",Q$3)"),"1880回")</f>
        <v>1880回</v>
      </c>
      <c r="R16" s="16" t="str">
        <f>IFERROR(__xludf.DUMMYFUNCTION("IMPORTRANGE(""https://docs.google.com/spreadsheets/d/""&amp;$A16&amp;""/edit#gid=156619080"",R$3)"),"3941億円")</f>
        <v>3941億円</v>
      </c>
      <c r="S16" s="16" t="str">
        <f>IFERROR(__xludf.DUMMYFUNCTION("IMPORTRANGE(""https://docs.google.com/spreadsheets/d/""&amp;$A16&amp;""/edit#gid=156619080"",S$3)"),"陰線")</f>
        <v>陰線</v>
      </c>
      <c r="T16" s="16" t="str">
        <f>IFERROR(__xludf.DUMMYFUNCTION("IMPORTRANGE(""https://docs.google.com/spreadsheets/d/""&amp;$A16&amp;""/edit#gid=156619080"",T$3)"),"")</f>
        <v/>
      </c>
      <c r="U16" s="16">
        <f>IFERROR(__xludf.DUMMYFUNCTION("IMPORTRANGE(""https://docs.google.com/spreadsheets/d/""&amp;$A16&amp;""/edit#gid=156619080"",U$3)"),2776.6)</f>
        <v>2776.6</v>
      </c>
      <c r="V16" s="16">
        <f>IFERROR(__xludf.DUMMYFUNCTION("IMPORTRANGE(""https://docs.google.com/spreadsheets/d/""&amp;$A16&amp;""/edit#gid=156619080"",V$3)"),2783.2)</f>
        <v>2783.2</v>
      </c>
      <c r="W16" s="16">
        <f>IFERROR(__xludf.DUMMYFUNCTION("IMPORTRANGE(""https://docs.google.com/spreadsheets/d/""&amp;$A16&amp;""/edit#gid=156619080"",W$3)"),2720.1)</f>
        <v>2720.1</v>
      </c>
      <c r="X16" s="2">
        <f>IFERROR(__xludf.DUMMYFUNCTION("IMPORTRANGE(""https://docs.google.com/spreadsheets/d/""&amp;$A16&amp;""/edit#gid=156619080"",X$3)"),2536.5)</f>
        <v>2536.5</v>
      </c>
      <c r="Y16" s="17">
        <f>IFERROR(__xludf.DUMMYFUNCTION("IMPORTRANGE(""https://docs.google.com/spreadsheets/d/""&amp;$A16&amp;""/edit#gid=156619080"",Y$3)"),0.014190016567024451)</f>
        <v>0.01419001657</v>
      </c>
      <c r="Z16" s="2">
        <f>IFERROR(__xludf.DUMMYFUNCTION("IMPORTRANGE(""https://docs.google.com/spreadsheets/d/""&amp;$A16&amp;""/edit#gid=156619080"",Z$3)"),2899.32)</f>
        <v>2899.32</v>
      </c>
      <c r="AA16" s="2">
        <f>IFERROR(__xludf.DUMMYFUNCTION("IMPORTRANGE(""https://docs.google.com/spreadsheets/d/""&amp;$A16&amp;""/edit#gid=156619080"",AA$3)"),2876.92)</f>
        <v>2876.92</v>
      </c>
      <c r="AB16" s="2">
        <f>IFERROR(__xludf.DUMMYFUNCTION("IMPORTRANGE(""https://docs.google.com/spreadsheets/d/""&amp;$A16&amp;""/edit#gid=156619080"",AB$3)"),2854.52)</f>
        <v>2854.52</v>
      </c>
      <c r="AC16" s="18">
        <f>IFERROR(__xludf.DUMMYFUNCTION("IMPORTRANGE(""https://docs.google.com/spreadsheets/d/""&amp;$A16&amp;""/edit#gid=156619080"",AC$3)"),2832.11)</f>
        <v>2832.11</v>
      </c>
      <c r="AD16" s="18">
        <f>IFERROR(__xludf.DUMMYFUNCTION("IMPORTRANGE(""https://docs.google.com/spreadsheets/d/""&amp;$A16&amp;""/edit#gid=156619080"",AD$3)"),2809.71)</f>
        <v>2809.71</v>
      </c>
      <c r="AE16" s="18">
        <f>IFERROR(__xludf.DUMMYFUNCTION("IMPORTRANGE(""https://docs.google.com/spreadsheets/d/""&amp;$A16&amp;""/edit#gid=156619080"",AE$3)"),2720.1)</f>
        <v>2720.1</v>
      </c>
      <c r="AF16" s="2">
        <f>IFERROR(__xludf.DUMMYFUNCTION("IMPORTRANGE(""https://docs.google.com/spreadsheets/d/""&amp;$A16&amp;""/edit#gid=156619080"",AF$3)"),2630.49)</f>
        <v>2630.49</v>
      </c>
      <c r="AG16" s="2">
        <f>IFERROR(__xludf.DUMMYFUNCTION("IMPORTRANGE(""https://docs.google.com/spreadsheets/d/""&amp;$A16&amp;""/edit#gid=156619080"",AG$3)"),2608.09)</f>
        <v>2608.09</v>
      </c>
      <c r="AH16" s="2">
        <f>IFERROR(__xludf.DUMMYFUNCTION("IMPORTRANGE(""https://docs.google.com/spreadsheets/d/""&amp;$A16&amp;""/edit#gid=156619080"",AH$3)"),2585.68)</f>
        <v>2585.68</v>
      </c>
      <c r="AI16" s="2">
        <f>IFERROR(__xludf.DUMMYFUNCTION("IMPORTRANGE(""https://docs.google.com/spreadsheets/d/""&amp;$A16&amp;""/edit#gid=156619080"",AI$3)"),2563.28)</f>
        <v>2563.28</v>
      </c>
      <c r="AJ16" s="2">
        <f>IFERROR(__xludf.DUMMYFUNCTION("IMPORTRANGE(""https://docs.google.com/spreadsheets/d/""&amp;$A16&amp;""/edit#gid=156619080"",AJ$3)"),2540.88)</f>
        <v>2540.88</v>
      </c>
      <c r="AK16" s="2" t="str">
        <f>IFERROR(__xludf.DUMMYFUNCTION("IMPORTRANGE(""https://docs.google.com/spreadsheets/d/""&amp;$A16&amp;""/edit#gid=156619080"",AK$3)"),"1〜1.25σ")</f>
        <v>1〜1.25σ</v>
      </c>
      <c r="AL16" s="2">
        <f>IFERROR(__xludf.DUMMYFUNCTION("IMPORTRANGE(""https://docs.google.com/spreadsheets/d/""&amp;$A16&amp;""/edit#gid=156619080"",AL$3)"),-1.0)</f>
        <v>-1</v>
      </c>
      <c r="AM16" s="2" t="str">
        <f>IFERROR(__xludf.DUMMYFUNCTION("IMPORTRANGE(""https://docs.google.com/spreadsheets/d/""&amp;$A16&amp;""/edit#gid=156619080"",AM$3)"),"")</f>
        <v/>
      </c>
      <c r="AN16" s="2">
        <f>IFERROR(__xludf.DUMMYFUNCTION("IMPORTRANGE(""https://docs.google.com/spreadsheets/d/""&amp;$A16&amp;""/edit#gid=156619080"",AN$3)"),1.0)</f>
        <v>1</v>
      </c>
      <c r="AO16" s="2" t="str">
        <f>IFERROR(__xludf.DUMMYFUNCTION("IMPORTRANGE(""https://docs.google.com/spreadsheets/d/""&amp;$A16&amp;""/edit#gid=156619080"",AO$3)"),"")</f>
        <v/>
      </c>
      <c r="AP16" s="2">
        <f>IFERROR(__xludf.DUMMYFUNCTION("IMPORTRANGE(""https://docs.google.com/spreadsheets/d/""&amp;$A16&amp;""/edit#gid=156619080"",AP$3)"),1.0)</f>
        <v>1</v>
      </c>
      <c r="AQ16" s="2" t="str">
        <f>IFERROR(__xludf.DUMMYFUNCTION("IMPORTRANGE(""https://docs.google.com/spreadsheets/d/""&amp;$A16&amp;""/edit#gid=156619080"",AQ$3)"),"")</f>
        <v/>
      </c>
      <c r="AR16" s="18">
        <f>IFERROR(__xludf.DUMMYFUNCTION("IMPORTRANGE(""https://docs.google.com/spreadsheets/d/""&amp;$A16&amp;""/edit#gid=156619080"",AR$3)"),100.0)</f>
        <v>100</v>
      </c>
      <c r="AS16" s="19" t="str">
        <f>IFERROR(__xludf.DUMMYFUNCTION("IMPORTRANGE(""https://docs.google.com/spreadsheets/d/""&amp;$A16&amp;""/edit#gid=156619080"",AS$3)"),"-90
-80
-30
70
")</f>
        <v>-90
-80
-30
70
</v>
      </c>
      <c r="AT16" s="18">
        <f>IFERROR(__xludf.DUMMYFUNCTION("IMPORTRANGE(""https://docs.google.com/spreadsheets/d/""&amp;$A16&amp;""/edit#gid=156619080"",AT$3)"),-21.565934065934055)</f>
        <v>-21.56593407</v>
      </c>
      <c r="AU16" s="3" t="str">
        <f>IFERROR(__xludf.DUMMYFUNCTION("IMPORTRANGE(""https://docs.google.com/spreadsheets/d/""&amp;$A16&amp;""/edit#gid=156619080"",AU$3)"),"54.81
35.58
14.15
-5.63
")</f>
        <v>54.81
35.58
14.15
-5.63
</v>
      </c>
      <c r="AV16" s="18">
        <f>IFERROR(__xludf.DUMMYFUNCTION("IMPORTRANGE(""https://docs.google.com/spreadsheets/d/""&amp;$A16&amp;""/edit#gid=156619080"",AV$3)"),69.74025974025975)</f>
        <v>69.74025974</v>
      </c>
      <c r="AW16" s="19" t="str">
        <f>IFERROR(__xludf.DUMMYFUNCTION("IMPORTRANGE(""https://docs.google.com/spreadsheets/d/""&amp;$A16&amp;""/edit#gid=156619080"",AW$3)"),"74.42
78.7
78.31
73.25
")</f>
        <v>74.42
78.7
78.31
73.25
</v>
      </c>
      <c r="AX16" s="2">
        <f>IFERROR(__xludf.DUMMYFUNCTION("IMPORTRANGE(""https://docs.google.com/spreadsheets/d/""&amp;$A16&amp;""/edit#gid=156619080"",AX$3)"),80.46)</f>
        <v>80.46</v>
      </c>
      <c r="AY16" s="2">
        <f>IFERROR(__xludf.DUMMYFUNCTION("IMPORTRANGE(""https://docs.google.com/spreadsheets/d/""&amp;$A16&amp;""/edit#gid=156619080"",AY$3)"),71.50999999999999)</f>
        <v>71.51</v>
      </c>
      <c r="AZ16" s="2">
        <f>IFERROR(__xludf.DUMMYFUNCTION("IMPORTRANGE(""https://docs.google.com/spreadsheets/d/""&amp;$A16&amp;""/edit#gid=156619080"",AZ$3)"),2789.64)</f>
        <v>2789.64</v>
      </c>
      <c r="BA16" s="2">
        <f>IFERROR(__xludf.DUMMYFUNCTION("IMPORTRANGE(""https://docs.google.com/spreadsheets/d/""&amp;$A16&amp;""/edit#gid=156619080"",BA$3)"),56.07999999999993)</f>
        <v>56.08</v>
      </c>
      <c r="BB16" s="2">
        <f>IFERROR(__xludf.DUMMYFUNCTION("IMPORTRANGE(""https://docs.google.com/spreadsheets/d/""&amp;$A16&amp;""/edit#gid=156619080"",BB$3)"),59.89)</f>
        <v>59.89</v>
      </c>
      <c r="BC16" s="2" t="str">
        <f>IFERROR(__xludf.DUMMYFUNCTION("IMPORTRANGE(""https://docs.google.com/spreadsheets/d/""&amp;$A16&amp;""/edit#gid=156619080"",BC$3)"),"DC→DC")</f>
        <v>DC→DC</v>
      </c>
    </row>
    <row r="17" ht="51.0" customHeight="1">
      <c r="A17" s="7" t="str">
        <f t="shared" si="5"/>
        <v>1yZMgkatdfzuixwHIQI4P_PZkVWEhAD0wJIdzKT684Dg</v>
      </c>
      <c r="B17" s="1" t="s">
        <v>44</v>
      </c>
      <c r="C17" s="2">
        <f>IFERROR(__xludf.DUMMYFUNCTION("IMPORTRANGE(""https://docs.google.com/spreadsheets/d/""&amp;$A17&amp;""/edit#gid=156619080"",C$3)"),132.0)</f>
        <v>132</v>
      </c>
      <c r="D17" s="2">
        <f>IFERROR(__xludf.DUMMYFUNCTION("IMPORTRANGE(""https://docs.google.com/spreadsheets/d/""&amp;$A17&amp;""/edit#gid=156619080"",D$3)"),2914.0)</f>
        <v>2914</v>
      </c>
      <c r="E17" s="15">
        <f>IFERROR(__xludf.DUMMYFUNCTION("IMPORTRANGE(""https://docs.google.com/spreadsheets/d/""&amp;$A17&amp;""/edit#gid=156619080"",E$3)"),43882.0)</f>
        <v>43882</v>
      </c>
      <c r="F17" s="2">
        <f>IFERROR(__xludf.DUMMYFUNCTION("IMPORTRANGE(""https://docs.google.com/spreadsheets/d/""&amp;$A17&amp;""/edit#gid=156619080"",F$3)"),1.5)</f>
        <v>1.5</v>
      </c>
      <c r="G17" s="16">
        <f>IFERROR(__xludf.DUMMYFUNCTION("IMPORTRANGE(""https://docs.google.com/spreadsheets/d/""&amp;$A17&amp;""/edit#gid=156619080"",G$3)"),0.07)</f>
        <v>0.07</v>
      </c>
      <c r="H17" s="16">
        <f>IFERROR(__xludf.DUMMYFUNCTION("IMPORTRANGE(""https://docs.google.com/spreadsheets/d/""&amp;$A17&amp;""/edit#gid=156619080"",H$3)"),2267.5)</f>
        <v>2267.5</v>
      </c>
      <c r="I17" s="16">
        <f>IFERROR(__xludf.DUMMYFUNCTION("IMPORTRANGE(""https://docs.google.com/spreadsheets/d/""&amp;$A17&amp;""/edit#gid=156619080"",I$3)"),-0.5)</f>
        <v>-0.5</v>
      </c>
      <c r="J17" s="16">
        <f>IFERROR(__xludf.DUMMYFUNCTION("IMPORTRANGE(""https://docs.google.com/spreadsheets/d/""&amp;$A17&amp;""/edit#gid=156619080"",J$3)"),2272.5)</f>
        <v>2272.5</v>
      </c>
      <c r="K17" s="16">
        <f>IFERROR(__xludf.DUMMYFUNCTION("IMPORTRANGE(""https://docs.google.com/spreadsheets/d/""&amp;$A17&amp;""/edit#gid=156619080"",K$3)"),0.45902777777777776)</f>
        <v>0.4590277778</v>
      </c>
      <c r="L17" s="16">
        <f>IFERROR(__xludf.DUMMYFUNCTION("IMPORTRANGE(""https://docs.google.com/spreadsheets/d/""&amp;$A17&amp;""/edit#gid=156619080"",L$3)"),2259.0)</f>
        <v>2259</v>
      </c>
      <c r="M17" s="16">
        <f>IFERROR(__xludf.DUMMYFUNCTION("IMPORTRANGE(""https://docs.google.com/spreadsheets/d/""&amp;$A17&amp;""/edit#gid=156619080"",M$3)"),0.3784722222222222)</f>
        <v>0.3784722222</v>
      </c>
      <c r="N17" s="16">
        <f>IFERROR(__xludf.DUMMYFUNCTION("IMPORTRANGE(""https://docs.google.com/spreadsheets/d/""&amp;$A17&amp;""/edit#gid=156619080"",N$3)"),2268.5)</f>
        <v>2268.5</v>
      </c>
      <c r="O17" s="16" t="str">
        <f>IFERROR(__xludf.DUMMYFUNCTION("IMPORTRANGE(""https://docs.google.com/spreadsheets/d/""&amp;$A17&amp;""/edit#gid=156619080"",O$3)"),"4098000株")</f>
        <v>4098000株</v>
      </c>
      <c r="P17" s="16" t="str">
        <f>IFERROR(__xludf.DUMMYFUNCTION("IMPORTRANGE(""https://docs.google.com/spreadsheets/d/""&amp;$A17&amp;""/edit#gid=156619080"",P$3)"),"9292百万円")</f>
        <v>9292百万円</v>
      </c>
      <c r="Q17" s="16" t="str">
        <f>IFERROR(__xludf.DUMMYFUNCTION("IMPORTRANGE(""https://docs.google.com/spreadsheets/d/""&amp;$A17&amp;""/edit#gid=156619080"",Q$3)"),"4419回")</f>
        <v>4419回</v>
      </c>
      <c r="R17" s="16" t="str">
        <f>IFERROR(__xludf.DUMMYFUNCTION("IMPORTRANGE(""https://docs.google.com/spreadsheets/d/""&amp;$A17&amp;""/edit#gid=156619080"",R$3)"),"45370億円")</f>
        <v>45370億円</v>
      </c>
      <c r="S17" s="16" t="str">
        <f>IFERROR(__xludf.DUMMYFUNCTION("IMPORTRANGE(""https://docs.google.com/spreadsheets/d/""&amp;$A17&amp;""/edit#gid=156619080"",S$3)"),"陽線")</f>
        <v>陽線</v>
      </c>
      <c r="T17" s="16" t="str">
        <f>IFERROR(__xludf.DUMMYFUNCTION("IMPORTRANGE(""https://docs.google.com/spreadsheets/d/""&amp;$A17&amp;""/edit#gid=156619080"",T$3)"),"")</f>
        <v/>
      </c>
      <c r="U17" s="16">
        <f>IFERROR(__xludf.DUMMYFUNCTION("IMPORTRANGE(""https://docs.google.com/spreadsheets/d/""&amp;$A17&amp;""/edit#gid=156619080"",U$3)"),2259.2)</f>
        <v>2259.2</v>
      </c>
      <c r="V17" s="16">
        <f>IFERROR(__xludf.DUMMYFUNCTION("IMPORTRANGE(""https://docs.google.com/spreadsheets/d/""&amp;$A17&amp;""/edit#gid=156619080"",V$3)"),2285.7)</f>
        <v>2285.7</v>
      </c>
      <c r="W17" s="16">
        <f>IFERROR(__xludf.DUMMYFUNCTION("IMPORTRANGE(""https://docs.google.com/spreadsheets/d/""&amp;$A17&amp;""/edit#gid=156619080"",W$3)"),2300.4)</f>
        <v>2300.4</v>
      </c>
      <c r="X17" s="2">
        <f>IFERROR(__xludf.DUMMYFUNCTION("IMPORTRANGE(""https://docs.google.com/spreadsheets/d/""&amp;$A17&amp;""/edit#gid=156619080"",X$3)"),2385.4)</f>
        <v>2385.4</v>
      </c>
      <c r="Y17" s="17">
        <f>IFERROR(__xludf.DUMMYFUNCTION("IMPORTRANGE(""https://docs.google.com/spreadsheets/d/""&amp;$A17&amp;""/edit#gid=156619080"",Y$3)"),0.004116501416430675)</f>
        <v>0.004116501416</v>
      </c>
      <c r="Z17" s="2">
        <f>IFERROR(__xludf.DUMMYFUNCTION("IMPORTRANGE(""https://docs.google.com/spreadsheets/d/""&amp;$A17&amp;""/edit#gid=156619080"",Z$3)"),2359.74)</f>
        <v>2359.74</v>
      </c>
      <c r="AA17" s="2">
        <f>IFERROR(__xludf.DUMMYFUNCTION("IMPORTRANGE(""https://docs.google.com/spreadsheets/d/""&amp;$A17&amp;""/edit#gid=156619080"",AA$3)"),2352.33)</f>
        <v>2352.33</v>
      </c>
      <c r="AB17" s="2">
        <f>IFERROR(__xludf.DUMMYFUNCTION("IMPORTRANGE(""https://docs.google.com/spreadsheets/d/""&amp;$A17&amp;""/edit#gid=156619080"",AB$3)"),2344.91)</f>
        <v>2344.91</v>
      </c>
      <c r="AC17" s="18">
        <f>IFERROR(__xludf.DUMMYFUNCTION("IMPORTRANGE(""https://docs.google.com/spreadsheets/d/""&amp;$A17&amp;""/edit#gid=156619080"",AC$3)"),2337.49)</f>
        <v>2337.49</v>
      </c>
      <c r="AD17" s="18">
        <f>IFERROR(__xludf.DUMMYFUNCTION("IMPORTRANGE(""https://docs.google.com/spreadsheets/d/""&amp;$A17&amp;""/edit#gid=156619080"",AD$3)"),2330.07)</f>
        <v>2330.07</v>
      </c>
      <c r="AE17" s="18">
        <f>IFERROR(__xludf.DUMMYFUNCTION("IMPORTRANGE(""https://docs.google.com/spreadsheets/d/""&amp;$A17&amp;""/edit#gid=156619080"",AE$3)"),2300.4)</f>
        <v>2300.4</v>
      </c>
      <c r="AF17" s="2">
        <f>IFERROR(__xludf.DUMMYFUNCTION("IMPORTRANGE(""https://docs.google.com/spreadsheets/d/""&amp;$A17&amp;""/edit#gid=156619080"",AF$3)"),2270.73)</f>
        <v>2270.73</v>
      </c>
      <c r="AG17" s="2">
        <f>IFERROR(__xludf.DUMMYFUNCTION("IMPORTRANGE(""https://docs.google.com/spreadsheets/d/""&amp;$A17&amp;""/edit#gid=156619080"",AG$3)"),2263.31)</f>
        <v>2263.31</v>
      </c>
      <c r="AH17" s="2">
        <f>IFERROR(__xludf.DUMMYFUNCTION("IMPORTRANGE(""https://docs.google.com/spreadsheets/d/""&amp;$A17&amp;""/edit#gid=156619080"",AH$3)"),2255.89)</f>
        <v>2255.89</v>
      </c>
      <c r="AI17" s="2">
        <f>IFERROR(__xludf.DUMMYFUNCTION("IMPORTRANGE(""https://docs.google.com/spreadsheets/d/""&amp;$A17&amp;""/edit#gid=156619080"",AI$3)"),2248.47)</f>
        <v>2248.47</v>
      </c>
      <c r="AJ17" s="2">
        <f>IFERROR(__xludf.DUMMYFUNCTION("IMPORTRANGE(""https://docs.google.com/spreadsheets/d/""&amp;$A17&amp;""/edit#gid=156619080"",AJ$3)"),2241.06)</f>
        <v>2241.06</v>
      </c>
      <c r="AK17" s="2" t="str">
        <f>IFERROR(__xludf.DUMMYFUNCTION("IMPORTRANGE(""https://docs.google.com/spreadsheets/d/""&amp;$A17&amp;""/edit#gid=156619080"",AK$3)"),"-1〜-1.25σ")</f>
        <v>-1〜-1.25σ</v>
      </c>
      <c r="AL17" s="2">
        <f>IFERROR(__xludf.DUMMYFUNCTION("IMPORTRANGE(""https://docs.google.com/spreadsheets/d/""&amp;$A17&amp;""/edit#gid=156619080"",AL$3)"),-1.0)</f>
        <v>-1</v>
      </c>
      <c r="AM17" s="2" t="str">
        <f>IFERROR(__xludf.DUMMYFUNCTION("IMPORTRANGE(""https://docs.google.com/spreadsheets/d/""&amp;$A17&amp;""/edit#gid=156619080"",AM$3)"),"")</f>
        <v/>
      </c>
      <c r="AN17" s="2">
        <f>IFERROR(__xludf.DUMMYFUNCTION("IMPORTRANGE(""https://docs.google.com/spreadsheets/d/""&amp;$A17&amp;""/edit#gid=156619080"",AN$3)"),-1.0)</f>
        <v>-1</v>
      </c>
      <c r="AO17" s="2" t="str">
        <f>IFERROR(__xludf.DUMMYFUNCTION("IMPORTRANGE(""https://docs.google.com/spreadsheets/d/""&amp;$A17&amp;""/edit#gid=156619080"",AO$3)"),"")</f>
        <v/>
      </c>
      <c r="AP17" s="2">
        <f>IFERROR(__xludf.DUMMYFUNCTION("IMPORTRANGE(""https://docs.google.com/spreadsheets/d/""&amp;$A17&amp;""/edit#gid=156619080"",AP$3)"),-1.0)</f>
        <v>-1</v>
      </c>
      <c r="AQ17" s="2" t="str">
        <f>IFERROR(__xludf.DUMMYFUNCTION("IMPORTRANGE(""https://docs.google.com/spreadsheets/d/""&amp;$A17&amp;""/edit#gid=156619080"",AQ$3)"),"")</f>
        <v/>
      </c>
      <c r="AR17" s="18">
        <f>IFERROR(__xludf.DUMMYFUNCTION("IMPORTRANGE(""https://docs.google.com/spreadsheets/d/""&amp;$A17&amp;""/edit#gid=156619080"",AR$3)"),90.0)</f>
        <v>90</v>
      </c>
      <c r="AS17" s="19" t="str">
        <f>IFERROR(__xludf.DUMMYFUNCTION("IMPORTRANGE(""https://docs.google.com/spreadsheets/d/""&amp;$A17&amp;""/edit#gid=156619080"",AS$3)"),"-100
-100
-70
-10
")</f>
        <v>-100
-100
-70
-10
</v>
      </c>
      <c r="AT17" s="18">
        <f>IFERROR(__xludf.DUMMYFUNCTION("IMPORTRANGE(""https://docs.google.com/spreadsheets/d/""&amp;$A17&amp;""/edit#gid=156619080"",AT$3)"),-70.87912087912088)</f>
        <v>-70.87912088</v>
      </c>
      <c r="AU17" s="3" t="str">
        <f>IFERROR(__xludf.DUMMYFUNCTION("IMPORTRANGE(""https://docs.google.com/spreadsheets/d/""&amp;$A17&amp;""/edit#gid=156619080"",AU$3)"),"-58.24
-61.54
-62.64
-61.54
")</f>
        <v>-58.24
-61.54
-62.64
-61.54
</v>
      </c>
      <c r="AV17" s="18">
        <f>IFERROR(__xludf.DUMMYFUNCTION("IMPORTRANGE(""https://docs.google.com/spreadsheets/d/""&amp;$A17&amp;""/edit#gid=156619080"",AV$3)"),-83.11688311688312)</f>
        <v>-83.11688312</v>
      </c>
      <c r="AW17" s="19" t="str">
        <f>IFERROR(__xludf.DUMMYFUNCTION("IMPORTRANGE(""https://docs.google.com/spreadsheets/d/""&amp;$A17&amp;""/edit#gid=156619080"",AW$3)"),"-85.58
-85.58
-85.19
-84.42
")</f>
        <v>-85.58
-85.58
-85.19
-84.42
</v>
      </c>
      <c r="AX17" s="2">
        <f>IFERROR(__xludf.DUMMYFUNCTION("IMPORTRANGE(""https://docs.google.com/spreadsheets/d/""&amp;$A17&amp;""/edit#gid=156619080"",AX$3)"),40.699999999999996)</f>
        <v>40.7</v>
      </c>
      <c r="AY17" s="2">
        <f>IFERROR(__xludf.DUMMYFUNCTION("IMPORTRANGE(""https://docs.google.com/spreadsheets/d/""&amp;$A17&amp;""/edit#gid=156619080"",AY$3)"),31.490000000000002)</f>
        <v>31.49</v>
      </c>
      <c r="AZ17" s="2">
        <f>IFERROR(__xludf.DUMMYFUNCTION("IMPORTRANGE(""https://docs.google.com/spreadsheets/d/""&amp;$A17&amp;""/edit#gid=156619080"",AZ$3)"),2267.11)</f>
        <v>2267.11</v>
      </c>
      <c r="BA17" s="2">
        <f>IFERROR(__xludf.DUMMYFUNCTION("IMPORTRANGE(""https://docs.google.com/spreadsheets/d/""&amp;$A17&amp;""/edit#gid=156619080"",BA$3)"),-39.32999999999993)</f>
        <v>-39.33</v>
      </c>
      <c r="BB17" s="2">
        <f>IFERROR(__xludf.DUMMYFUNCTION("IMPORTRANGE(""https://docs.google.com/spreadsheets/d/""&amp;$A17&amp;""/edit#gid=156619080"",BB$3)"),-43.84)</f>
        <v>-43.84</v>
      </c>
      <c r="BC17" s="2" t="str">
        <f>IFERROR(__xludf.DUMMYFUNCTION("IMPORTRANGE(""https://docs.google.com/spreadsheets/d/""&amp;$A17&amp;""/edit#gid=156619080"",BC$3)"),"GC→GC")</f>
        <v>GC→GC</v>
      </c>
    </row>
    <row r="18" ht="51.0" customHeight="1">
      <c r="A18" s="7" t="str">
        <f t="shared" si="5"/>
        <v>12ADoR0esp99gjuKEYEMaVGbJYPsPYem37P7CjRP-yC8</v>
      </c>
      <c r="B18" s="1" t="s">
        <v>45</v>
      </c>
      <c r="C18" s="2">
        <f>IFERROR(__xludf.DUMMYFUNCTION("IMPORTRANGE(""https://docs.google.com/spreadsheets/d/""&amp;$A18&amp;""/edit#gid=156619080"",C$3)"),132.0)</f>
        <v>132</v>
      </c>
      <c r="D18" s="2">
        <f>IFERROR(__xludf.DUMMYFUNCTION("IMPORTRANGE(""https://docs.google.com/spreadsheets/d/""&amp;$A18&amp;""/edit#gid=156619080"",D$3)"),3101.0)</f>
        <v>3101</v>
      </c>
      <c r="E18" s="15">
        <f>IFERROR(__xludf.DUMMYFUNCTION("IMPORTRANGE(""https://docs.google.com/spreadsheets/d/""&amp;$A18&amp;""/edit#gid=156619080"",E$3)"),43882.0)</f>
        <v>43882</v>
      </c>
      <c r="F18" s="2">
        <f>IFERROR(__xludf.DUMMYFUNCTION("IMPORTRANGE(""https://docs.google.com/spreadsheets/d/""&amp;$A18&amp;""/edit#gid=156619080"",F$3)"),10.0)</f>
        <v>10</v>
      </c>
      <c r="G18" s="16">
        <f>IFERROR(__xludf.DUMMYFUNCTION("IMPORTRANGE(""https://docs.google.com/spreadsheets/d/""&amp;$A18&amp;""/edit#gid=156619080"",G$3)"),0.67)</f>
        <v>0.67</v>
      </c>
      <c r="H18" s="16">
        <f>IFERROR(__xludf.DUMMYFUNCTION("IMPORTRANGE(""https://docs.google.com/spreadsheets/d/""&amp;$A18&amp;""/edit#gid=156619080"",H$3)"),1500.0)</f>
        <v>1500</v>
      </c>
      <c r="I18" s="16">
        <f>IFERROR(__xludf.DUMMYFUNCTION("IMPORTRANGE(""https://docs.google.com/spreadsheets/d/""&amp;$A18&amp;""/edit#gid=156619080"",I$3)"),0.0)</f>
        <v>0</v>
      </c>
      <c r="J18" s="16">
        <f>IFERROR(__xludf.DUMMYFUNCTION("IMPORTRANGE(""https://docs.google.com/spreadsheets/d/""&amp;$A18&amp;""/edit#gid=156619080"",J$3)"),1529.0)</f>
        <v>1529</v>
      </c>
      <c r="K18" s="16">
        <f>IFERROR(__xludf.DUMMYFUNCTION("IMPORTRANGE(""https://docs.google.com/spreadsheets/d/""&amp;$A18&amp;""/edit#gid=156619080"",K$3)"),0.40069444444444446)</f>
        <v>0.4006944444</v>
      </c>
      <c r="L18" s="16">
        <f>IFERROR(__xludf.DUMMYFUNCTION("IMPORTRANGE(""https://docs.google.com/spreadsheets/d/""&amp;$A18&amp;""/edit#gid=156619080"",L$3)"),1500.0)</f>
        <v>1500</v>
      </c>
      <c r="M18" s="16">
        <f>IFERROR(__xludf.DUMMYFUNCTION("IMPORTRANGE(""https://docs.google.com/spreadsheets/d/""&amp;$A18&amp;""/edit#gid=156619080"",M$3)"),0.375)</f>
        <v>0.375</v>
      </c>
      <c r="N18" s="16">
        <f>IFERROR(__xludf.DUMMYFUNCTION("IMPORTRANGE(""https://docs.google.com/spreadsheets/d/""&amp;$A18&amp;""/edit#gid=156619080"",N$3)"),1510.0)</f>
        <v>1510</v>
      </c>
      <c r="O18" s="16" t="str">
        <f>IFERROR(__xludf.DUMMYFUNCTION("IMPORTRANGE(""https://docs.google.com/spreadsheets/d/""&amp;$A18&amp;""/edit#gid=156619080"",O$3)"),"426100株")</f>
        <v>426100株</v>
      </c>
      <c r="P18" s="16" t="str">
        <f>IFERROR(__xludf.DUMMYFUNCTION("IMPORTRANGE(""https://docs.google.com/spreadsheets/d/""&amp;$A18&amp;""/edit#gid=156619080"",P$3)"),"646百万円")</f>
        <v>646百万円</v>
      </c>
      <c r="Q18" s="16" t="str">
        <f>IFERROR(__xludf.DUMMYFUNCTION("IMPORTRANGE(""https://docs.google.com/spreadsheets/d/""&amp;$A18&amp;""/edit#gid=156619080"",Q$3)"),"1083回")</f>
        <v>1083回</v>
      </c>
      <c r="R18" s="16" t="str">
        <f>IFERROR(__xludf.DUMMYFUNCTION("IMPORTRANGE(""https://docs.google.com/spreadsheets/d/""&amp;$A18&amp;""/edit#gid=156619080"",R$3)"),"1345億円")</f>
        <v>1345億円</v>
      </c>
      <c r="S18" s="16" t="str">
        <f>IFERROR(__xludf.DUMMYFUNCTION("IMPORTRANGE(""https://docs.google.com/spreadsheets/d/""&amp;$A18&amp;""/edit#gid=156619080"",S$3)"),"陽線")</f>
        <v>陽線</v>
      </c>
      <c r="T18" s="16" t="str">
        <f>IFERROR(__xludf.DUMMYFUNCTION("IMPORTRANGE(""https://docs.google.com/spreadsheets/d/""&amp;$A18&amp;""/edit#gid=156619080"",T$3)"),"")</f>
        <v/>
      </c>
      <c r="U18" s="16">
        <f>IFERROR(__xludf.DUMMYFUNCTION("IMPORTRANGE(""https://docs.google.com/spreadsheets/d/""&amp;$A18&amp;""/edit#gid=156619080"",U$3)"),1498.6)</f>
        <v>1498.6</v>
      </c>
      <c r="V18" s="16">
        <f>IFERROR(__xludf.DUMMYFUNCTION("IMPORTRANGE(""https://docs.google.com/spreadsheets/d/""&amp;$A18&amp;""/edit#gid=156619080"",V$3)"),1531.4)</f>
        <v>1531.4</v>
      </c>
      <c r="W18" s="16">
        <f>IFERROR(__xludf.DUMMYFUNCTION("IMPORTRANGE(""https://docs.google.com/spreadsheets/d/""&amp;$A18&amp;""/edit#gid=156619080"",W$3)"),1527.2)</f>
        <v>1527.2</v>
      </c>
      <c r="X18" s="2">
        <f>IFERROR(__xludf.DUMMYFUNCTION("IMPORTRANGE(""https://docs.google.com/spreadsheets/d/""&amp;$A18&amp;""/edit#gid=156619080"",X$3)"),1524.5)</f>
        <v>1524.5</v>
      </c>
      <c r="Y18" s="17">
        <f>IFERROR(__xludf.DUMMYFUNCTION("IMPORTRANGE(""https://docs.google.com/spreadsheets/d/""&amp;$A18&amp;""/edit#gid=156619080"",Y$3)"),0.007607099959962693)</f>
        <v>0.00760709996</v>
      </c>
      <c r="Z18" s="2">
        <f>IFERROR(__xludf.DUMMYFUNCTION("IMPORTRANGE(""https://docs.google.com/spreadsheets/d/""&amp;$A18&amp;""/edit#gid=156619080"",Z$3)"),1589.2)</f>
        <v>1589.2</v>
      </c>
      <c r="AA18" s="2">
        <f>IFERROR(__xludf.DUMMYFUNCTION("IMPORTRANGE(""https://docs.google.com/spreadsheets/d/""&amp;$A18&amp;""/edit#gid=156619080"",AA$3)"),1581.45)</f>
        <v>1581.45</v>
      </c>
      <c r="AB18" s="2">
        <f>IFERROR(__xludf.DUMMYFUNCTION("IMPORTRANGE(""https://docs.google.com/spreadsheets/d/""&amp;$A18&amp;""/edit#gid=156619080"",AB$3)"),1573.7)</f>
        <v>1573.7</v>
      </c>
      <c r="AC18" s="18">
        <f>IFERROR(__xludf.DUMMYFUNCTION("IMPORTRANGE(""https://docs.google.com/spreadsheets/d/""&amp;$A18&amp;""/edit#gid=156619080"",AC$3)"),1565.95)</f>
        <v>1565.95</v>
      </c>
      <c r="AD18" s="18">
        <f>IFERROR(__xludf.DUMMYFUNCTION("IMPORTRANGE(""https://docs.google.com/spreadsheets/d/""&amp;$A18&amp;""/edit#gid=156619080"",AD$3)"),1558.2)</f>
        <v>1558.2</v>
      </c>
      <c r="AE18" s="18">
        <f>IFERROR(__xludf.DUMMYFUNCTION("IMPORTRANGE(""https://docs.google.com/spreadsheets/d/""&amp;$A18&amp;""/edit#gid=156619080"",AE$3)"),1527.2)</f>
        <v>1527.2</v>
      </c>
      <c r="AF18" s="2">
        <f>IFERROR(__xludf.DUMMYFUNCTION("IMPORTRANGE(""https://docs.google.com/spreadsheets/d/""&amp;$A18&amp;""/edit#gid=156619080"",AF$3)"),1496.2)</f>
        <v>1496.2</v>
      </c>
      <c r="AG18" s="2">
        <f>IFERROR(__xludf.DUMMYFUNCTION("IMPORTRANGE(""https://docs.google.com/spreadsheets/d/""&amp;$A18&amp;""/edit#gid=156619080"",AG$3)"),1488.45)</f>
        <v>1488.45</v>
      </c>
      <c r="AH18" s="2">
        <f>IFERROR(__xludf.DUMMYFUNCTION("IMPORTRANGE(""https://docs.google.com/spreadsheets/d/""&amp;$A18&amp;""/edit#gid=156619080"",AH$3)"),1480.7)</f>
        <v>1480.7</v>
      </c>
      <c r="AI18" s="2">
        <f>IFERROR(__xludf.DUMMYFUNCTION("IMPORTRANGE(""https://docs.google.com/spreadsheets/d/""&amp;$A18&amp;""/edit#gid=156619080"",AI$3)"),1472.95)</f>
        <v>1472.95</v>
      </c>
      <c r="AJ18" s="2">
        <f>IFERROR(__xludf.DUMMYFUNCTION("IMPORTRANGE(""https://docs.google.com/spreadsheets/d/""&amp;$A18&amp;""/edit#gid=156619080"",AJ$3)"),1465.2)</f>
        <v>1465.2</v>
      </c>
      <c r="AK18" s="2" t="str">
        <f>IFERROR(__xludf.DUMMYFUNCTION("IMPORTRANGE(""https://docs.google.com/spreadsheets/d/""&amp;$A18&amp;""/edit#gid=156619080"",AK$3)"),"")</f>
        <v/>
      </c>
      <c r="AL18" s="2">
        <f>IFERROR(__xludf.DUMMYFUNCTION("IMPORTRANGE(""https://docs.google.com/spreadsheets/d/""&amp;$A18&amp;""/edit#gid=156619080"",AL$3)"),-1.0)</f>
        <v>-1</v>
      </c>
      <c r="AM18" s="2" t="str">
        <f>IFERROR(__xludf.DUMMYFUNCTION("IMPORTRANGE(""https://docs.google.com/spreadsheets/d/""&amp;$A18&amp;""/edit#gid=156619080"",AM$3)"),"")</f>
        <v/>
      </c>
      <c r="AN18" s="2">
        <f>IFERROR(__xludf.DUMMYFUNCTION("IMPORTRANGE(""https://docs.google.com/spreadsheets/d/""&amp;$A18&amp;""/edit#gid=156619080"",AN$3)"),-1.0)</f>
        <v>-1</v>
      </c>
      <c r="AO18" s="2" t="str">
        <f>IFERROR(__xludf.DUMMYFUNCTION("IMPORTRANGE(""https://docs.google.com/spreadsheets/d/""&amp;$A18&amp;""/edit#gid=156619080"",AO$3)"),"")</f>
        <v/>
      </c>
      <c r="AP18" s="2">
        <f>IFERROR(__xludf.DUMMYFUNCTION("IMPORTRANGE(""https://docs.google.com/spreadsheets/d/""&amp;$A18&amp;""/edit#gid=156619080"",AP$3)"),1.0)</f>
        <v>1</v>
      </c>
      <c r="AQ18" s="2" t="str">
        <f>IFERROR(__xludf.DUMMYFUNCTION("IMPORTRANGE(""https://docs.google.com/spreadsheets/d/""&amp;$A18&amp;""/edit#gid=156619080"",AQ$3)"),"ws3")</f>
        <v>ws3</v>
      </c>
      <c r="AR18" s="18">
        <f>IFERROR(__xludf.DUMMYFUNCTION("IMPORTRANGE(""https://docs.google.com/spreadsheets/d/""&amp;$A18&amp;""/edit#gid=156619080"",AR$3)"),-10.000000000000009)</f>
        <v>-10</v>
      </c>
      <c r="AS18" s="19" t="str">
        <f>IFERROR(__xludf.DUMMYFUNCTION("IMPORTRANGE(""https://docs.google.com/spreadsheets/d/""&amp;$A18&amp;""/edit#gid=156619080"",AS$3)"),"-100
-100
-100
-70
")</f>
        <v>-100
-100
-100
-70
</v>
      </c>
      <c r="AT18" s="18">
        <f>IFERROR(__xludf.DUMMYFUNCTION("IMPORTRANGE(""https://docs.google.com/spreadsheets/d/""&amp;$A18&amp;""/edit#gid=156619080"",AT$3)"),-57.692307692307686)</f>
        <v>-57.69230769</v>
      </c>
      <c r="AU18" s="3" t="str">
        <f>IFERROR(__xludf.DUMMYFUNCTION("IMPORTRANGE(""https://docs.google.com/spreadsheets/d/""&amp;$A18&amp;""/edit#gid=156619080"",AU$3)"),"63.19
31.32
-3.85
-24.18
")</f>
        <v>63.19
31.32
-3.85
-24.18
</v>
      </c>
      <c r="AV18" s="18">
        <f>IFERROR(__xludf.DUMMYFUNCTION("IMPORTRANGE(""https://docs.google.com/spreadsheets/d/""&amp;$A18&amp;""/edit#gid=156619080"",AV$3)"),-23.636363636363633)</f>
        <v>-23.63636364</v>
      </c>
      <c r="AW18" s="19" t="str">
        <f>IFERROR(__xludf.DUMMYFUNCTION("IMPORTRANGE(""https://docs.google.com/spreadsheets/d/""&amp;$A18&amp;""/edit#gid=156619080"",AW$3)"),"-25.42
-25.32
-25.32
-27.01
")</f>
        <v>-25.42
-25.32
-25.32
-27.01
</v>
      </c>
      <c r="AX18" s="2">
        <f>IFERROR(__xludf.DUMMYFUNCTION("IMPORTRANGE(""https://docs.google.com/spreadsheets/d/""&amp;$A18&amp;""/edit#gid=156619080"",AX$3)"),34.78)</f>
        <v>34.78</v>
      </c>
      <c r="AY18" s="2">
        <f>IFERROR(__xludf.DUMMYFUNCTION("IMPORTRANGE(""https://docs.google.com/spreadsheets/d/""&amp;$A18&amp;""/edit#gid=156619080"",AY$3)"),41.980000000000004)</f>
        <v>41.98</v>
      </c>
      <c r="AZ18" s="2">
        <f>IFERROR(__xludf.DUMMYFUNCTION("IMPORTRANGE(""https://docs.google.com/spreadsheets/d/""&amp;$A18&amp;""/edit#gid=156619080"",AZ$3)"),1506.33)</f>
        <v>1506.33</v>
      </c>
      <c r="BA18" s="2">
        <f>IFERROR(__xludf.DUMMYFUNCTION("IMPORTRANGE(""https://docs.google.com/spreadsheets/d/""&amp;$A18&amp;""/edit#gid=156619080"",BA$3)"),-26.850000000000136)</f>
        <v>-26.85</v>
      </c>
      <c r="BB18" s="2">
        <f>IFERROR(__xludf.DUMMYFUNCTION("IMPORTRANGE(""https://docs.google.com/spreadsheets/d/""&amp;$A18&amp;""/edit#gid=156619080"",BB$3)"),-20.18)</f>
        <v>-20.18</v>
      </c>
      <c r="BC18" s="2" t="str">
        <f>IFERROR(__xludf.DUMMYFUNCTION("IMPORTRANGE(""https://docs.google.com/spreadsheets/d/""&amp;$A18&amp;""/edit#gid=156619080"",BC$3)"),"DC→DC")</f>
        <v>DC→DC</v>
      </c>
    </row>
    <row r="19" ht="51.0" customHeight="1">
      <c r="A19" s="7" t="str">
        <f t="shared" si="5"/>
        <v>1i2sioxKAhTYiLmm-ni7ReyDafsLRpYNH_2A7iW86H44</v>
      </c>
      <c r="B19" s="1" t="s">
        <v>46</v>
      </c>
      <c r="C19" s="2">
        <f>IFERROR(__xludf.DUMMYFUNCTION("IMPORTRANGE(""https://docs.google.com/spreadsheets/d/""&amp;$A19&amp;""/edit#gid=156619080"",C$3)"),132.0)</f>
        <v>132</v>
      </c>
      <c r="D19" s="2">
        <f>IFERROR(__xludf.DUMMYFUNCTION("IMPORTRANGE(""https://docs.google.com/spreadsheets/d/""&amp;$A19&amp;""/edit#gid=156619080"",D$3)"),3103.0)</f>
        <v>3103</v>
      </c>
      <c r="E19" s="15">
        <f>IFERROR(__xludf.DUMMYFUNCTION("IMPORTRANGE(""https://docs.google.com/spreadsheets/d/""&amp;$A19&amp;""/edit#gid=156619080"",E$3)"),43882.0)</f>
        <v>43882</v>
      </c>
      <c r="F19" s="2">
        <f>IFERROR(__xludf.DUMMYFUNCTION("IMPORTRANGE(""https://docs.google.com/spreadsheets/d/""&amp;$A19&amp;""/edit#gid=156619080"",F$3)"),-4.0)</f>
        <v>-4</v>
      </c>
      <c r="G19" s="16">
        <f>IFERROR(__xludf.DUMMYFUNCTION("IMPORTRANGE(""https://docs.google.com/spreadsheets/d/""&amp;$A19&amp;""/edit#gid=156619080"",G$3)"),-1.15)</f>
        <v>-1.15</v>
      </c>
      <c r="H19" s="16">
        <f>IFERROR(__xludf.DUMMYFUNCTION("IMPORTRANGE(""https://docs.google.com/spreadsheets/d/""&amp;$A19&amp;""/edit#gid=156619080"",H$3)"),349.0)</f>
        <v>349</v>
      </c>
      <c r="I19" s="16">
        <f>IFERROR(__xludf.DUMMYFUNCTION("IMPORTRANGE(""https://docs.google.com/spreadsheets/d/""&amp;$A19&amp;""/edit#gid=156619080"",I$3)"),0.0)</f>
        <v>0</v>
      </c>
      <c r="J19" s="16">
        <f>IFERROR(__xludf.DUMMYFUNCTION("IMPORTRANGE(""https://docs.google.com/spreadsheets/d/""&amp;$A19&amp;""/edit#gid=156619080"",J$3)"),353.0)</f>
        <v>353</v>
      </c>
      <c r="K19" s="16">
        <f>IFERROR(__xludf.DUMMYFUNCTION("IMPORTRANGE(""https://docs.google.com/spreadsheets/d/""&amp;$A19&amp;""/edit#gid=156619080"",K$3)"),0.38125)</f>
        <v>0.38125</v>
      </c>
      <c r="L19" s="16">
        <f>IFERROR(__xludf.DUMMYFUNCTION("IMPORTRANGE(""https://docs.google.com/spreadsheets/d/""&amp;$A19&amp;""/edit#gid=156619080"",L$3)"),341.0)</f>
        <v>341</v>
      </c>
      <c r="M19" s="16">
        <f>IFERROR(__xludf.DUMMYFUNCTION("IMPORTRANGE(""https://docs.google.com/spreadsheets/d/""&amp;$A19&amp;""/edit#gid=156619080"",M$3)"),0.6076388888888888)</f>
        <v>0.6076388889</v>
      </c>
      <c r="N19" s="16">
        <f>IFERROR(__xludf.DUMMYFUNCTION("IMPORTRANGE(""https://docs.google.com/spreadsheets/d/""&amp;$A19&amp;""/edit#gid=156619080"",N$3)"),345.0)</f>
        <v>345</v>
      </c>
      <c r="O19" s="16" t="str">
        <f>IFERROR(__xludf.DUMMYFUNCTION("IMPORTRANGE(""https://docs.google.com/spreadsheets/d/""&amp;$A19&amp;""/edit#gid=156619080"",O$3)"),"1233200株")</f>
        <v>1233200株</v>
      </c>
      <c r="P19" s="16" t="str">
        <f>IFERROR(__xludf.DUMMYFUNCTION("IMPORTRANGE(""https://docs.google.com/spreadsheets/d/""&amp;$A19&amp;""/edit#gid=156619080"",P$3)"),"427百万円")</f>
        <v>427百万円</v>
      </c>
      <c r="Q19" s="16" t="str">
        <f>IFERROR(__xludf.DUMMYFUNCTION("IMPORTRANGE(""https://docs.google.com/spreadsheets/d/""&amp;$A19&amp;""/edit#gid=156619080"",Q$3)"),"738回")</f>
        <v>738回</v>
      </c>
      <c r="R19" s="16" t="str">
        <f>IFERROR(__xludf.DUMMYFUNCTION("IMPORTRANGE(""https://docs.google.com/spreadsheets/d/""&amp;$A19&amp;""/edit#gid=156619080"",R$3)"),"199億円")</f>
        <v>199億円</v>
      </c>
      <c r="S19" s="16" t="str">
        <f>IFERROR(__xludf.DUMMYFUNCTION("IMPORTRANGE(""https://docs.google.com/spreadsheets/d/""&amp;$A19&amp;""/edit#gid=156619080"",S$3)"),"陰線")</f>
        <v>陰線</v>
      </c>
      <c r="T19" s="16" t="str">
        <f>IFERROR(__xludf.DUMMYFUNCTION("IMPORTRANGE(""https://docs.google.com/spreadsheets/d/""&amp;$A19&amp;""/edit#gid=156619080"",T$3)"),"")</f>
        <v/>
      </c>
      <c r="U19" s="16">
        <f>IFERROR(__xludf.DUMMYFUNCTION("IMPORTRANGE(""https://docs.google.com/spreadsheets/d/""&amp;$A19&amp;""/edit#gid=156619080"",U$3)"),354.4)</f>
        <v>354.4</v>
      </c>
      <c r="V19" s="16">
        <f>IFERROR(__xludf.DUMMYFUNCTION("IMPORTRANGE(""https://docs.google.com/spreadsheets/d/""&amp;$A19&amp;""/edit#gid=156619080"",V$3)"),358.5)</f>
        <v>358.5</v>
      </c>
      <c r="W19" s="16">
        <f>IFERROR(__xludf.DUMMYFUNCTION("IMPORTRANGE(""https://docs.google.com/spreadsheets/d/""&amp;$A19&amp;""/edit#gid=156619080"",W$3)"),360.9)</f>
        <v>360.9</v>
      </c>
      <c r="X19" s="2">
        <f>IFERROR(__xludf.DUMMYFUNCTION("IMPORTRANGE(""https://docs.google.com/spreadsheets/d/""&amp;$A19&amp;""/edit#gid=156619080"",X$3)"),353.8)</f>
        <v>353.8</v>
      </c>
      <c r="Y19" s="17">
        <f>IFERROR(__xludf.DUMMYFUNCTION("IMPORTRANGE(""https://docs.google.com/spreadsheets/d/""&amp;$A19&amp;""/edit#gid=156619080"",Y$3)"),-0.026523702031602647)</f>
        <v>-0.02652370203</v>
      </c>
      <c r="Z19" s="2">
        <f>IFERROR(__xludf.DUMMYFUNCTION("IMPORTRANGE(""https://docs.google.com/spreadsheets/d/""&amp;$A19&amp;""/edit#gid=156619080"",Z$3)"),407.94)</f>
        <v>407.94</v>
      </c>
      <c r="AA19" s="2">
        <f>IFERROR(__xludf.DUMMYFUNCTION("IMPORTRANGE(""https://docs.google.com/spreadsheets/d/""&amp;$A19&amp;""/edit#gid=156619080"",AA$3)"),402.06)</f>
        <v>402.06</v>
      </c>
      <c r="AB19" s="2">
        <f>IFERROR(__xludf.DUMMYFUNCTION("IMPORTRANGE(""https://docs.google.com/spreadsheets/d/""&amp;$A19&amp;""/edit#gid=156619080"",AB$3)"),396.18)</f>
        <v>396.18</v>
      </c>
      <c r="AC19" s="18">
        <f>IFERROR(__xludf.DUMMYFUNCTION("IMPORTRANGE(""https://docs.google.com/spreadsheets/d/""&amp;$A19&amp;""/edit#gid=156619080"",AC$3)"),390.3)</f>
        <v>390.3</v>
      </c>
      <c r="AD19" s="18">
        <f>IFERROR(__xludf.DUMMYFUNCTION("IMPORTRANGE(""https://docs.google.com/spreadsheets/d/""&amp;$A19&amp;""/edit#gid=156619080"",AD$3)"),384.42)</f>
        <v>384.42</v>
      </c>
      <c r="AE19" s="18">
        <f>IFERROR(__xludf.DUMMYFUNCTION("IMPORTRANGE(""https://docs.google.com/spreadsheets/d/""&amp;$A19&amp;""/edit#gid=156619080"",AE$3)"),360.9)</f>
        <v>360.9</v>
      </c>
      <c r="AF19" s="2">
        <f>IFERROR(__xludf.DUMMYFUNCTION("IMPORTRANGE(""https://docs.google.com/spreadsheets/d/""&amp;$A19&amp;""/edit#gid=156619080"",AF$3)"),337.38)</f>
        <v>337.38</v>
      </c>
      <c r="AG19" s="2">
        <f>IFERROR(__xludf.DUMMYFUNCTION("IMPORTRANGE(""https://docs.google.com/spreadsheets/d/""&amp;$A19&amp;""/edit#gid=156619080"",AG$3)"),331.5)</f>
        <v>331.5</v>
      </c>
      <c r="AH19" s="2">
        <f>IFERROR(__xludf.DUMMYFUNCTION("IMPORTRANGE(""https://docs.google.com/spreadsheets/d/""&amp;$A19&amp;""/edit#gid=156619080"",AH$3)"),325.62)</f>
        <v>325.62</v>
      </c>
      <c r="AI19" s="2">
        <f>IFERROR(__xludf.DUMMYFUNCTION("IMPORTRANGE(""https://docs.google.com/spreadsheets/d/""&amp;$A19&amp;""/edit#gid=156619080"",AI$3)"),319.74)</f>
        <v>319.74</v>
      </c>
      <c r="AJ19" s="2">
        <f>IFERROR(__xludf.DUMMYFUNCTION("IMPORTRANGE(""https://docs.google.com/spreadsheets/d/""&amp;$A19&amp;""/edit#gid=156619080"",AJ$3)"),313.86)</f>
        <v>313.86</v>
      </c>
      <c r="AK19" s="2" t="str">
        <f>IFERROR(__xludf.DUMMYFUNCTION("IMPORTRANGE(""https://docs.google.com/spreadsheets/d/""&amp;$A19&amp;""/edit#gid=156619080"",AK$3)"),"")</f>
        <v/>
      </c>
      <c r="AL19" s="2">
        <f>IFERROR(__xludf.DUMMYFUNCTION("IMPORTRANGE(""https://docs.google.com/spreadsheets/d/""&amp;$A19&amp;""/edit#gid=156619080"",AL$3)"),-1.0)</f>
        <v>-1</v>
      </c>
      <c r="AM19" s="2" t="str">
        <f>IFERROR(__xludf.DUMMYFUNCTION("IMPORTRANGE(""https://docs.google.com/spreadsheets/d/""&amp;$A19&amp;""/edit#gid=156619080"",AM$3)"),"")</f>
        <v/>
      </c>
      <c r="AN19" s="2">
        <f>IFERROR(__xludf.DUMMYFUNCTION("IMPORTRANGE(""https://docs.google.com/spreadsheets/d/""&amp;$A19&amp;""/edit#gid=156619080"",AN$3)"),-1.0)</f>
        <v>-1</v>
      </c>
      <c r="AO19" s="2" t="str">
        <f>IFERROR(__xludf.DUMMYFUNCTION("IMPORTRANGE(""https://docs.google.com/spreadsheets/d/""&amp;$A19&amp;""/edit#gid=156619080"",AO$3)"),"")</f>
        <v/>
      </c>
      <c r="AP19" s="2">
        <f>IFERROR(__xludf.DUMMYFUNCTION("IMPORTRANGE(""https://docs.google.com/spreadsheets/d/""&amp;$A19&amp;""/edit#gid=156619080"",AP$3)"),-1.0)</f>
        <v>-1</v>
      </c>
      <c r="AQ19" s="2" t="str">
        <f>IFERROR(__xludf.DUMMYFUNCTION("IMPORTRANGE(""https://docs.google.com/spreadsheets/d/""&amp;$A19&amp;""/edit#gid=156619080"",AQ$3)"),"bs3")</f>
        <v>bs3</v>
      </c>
      <c r="AR19" s="18">
        <f>IFERROR(__xludf.DUMMYFUNCTION("IMPORTRANGE(""https://docs.google.com/spreadsheets/d/""&amp;$A19&amp;""/edit#gid=156619080"",AR$3)"),-100.0)</f>
        <v>-100</v>
      </c>
      <c r="AS19" s="19" t="str">
        <f>IFERROR(__xludf.DUMMYFUNCTION("IMPORTRANGE(""https://docs.google.com/spreadsheets/d/""&amp;$A19&amp;""/edit#gid=156619080"",AS$3)"),"50
-30
-60
-90
")</f>
        <v>50
-30
-60
-90
</v>
      </c>
      <c r="AT19" s="18">
        <f>IFERROR(__xludf.DUMMYFUNCTION("IMPORTRANGE(""https://docs.google.com/spreadsheets/d/""&amp;$A19&amp;""/edit#gid=156619080"",AT$3)"),-60.98901098901099)</f>
        <v>-60.98901099</v>
      </c>
      <c r="AU19" s="3" t="str">
        <f>IFERROR(__xludf.DUMMYFUNCTION("IMPORTRANGE(""https://docs.google.com/spreadsheets/d/""&amp;$A19&amp;""/edit#gid=156619080"",AU$3)"),"-22.94
-62.5
-60.99
-60.99
")</f>
        <v>-22.94
-62.5
-60.99
-60.99
</v>
      </c>
      <c r="AV19" s="18">
        <f>IFERROR(__xludf.DUMMYFUNCTION("IMPORTRANGE(""https://docs.google.com/spreadsheets/d/""&amp;$A19&amp;""/edit#gid=156619080"",AV$3)"),15.03246753246753)</f>
        <v>15.03246753</v>
      </c>
      <c r="AW19" s="19" t="str">
        <f>IFERROR(__xludf.DUMMYFUNCTION("IMPORTRANGE(""https://docs.google.com/spreadsheets/d/""&amp;$A19&amp;""/edit#gid=156619080"",AW$3)"),"32.89
21.98
18.28
19.19
")</f>
        <v>32.89
21.98
18.28
19.19
</v>
      </c>
      <c r="AX19" s="2">
        <f>IFERROR(__xludf.DUMMYFUNCTION("IMPORTRANGE(""https://docs.google.com/spreadsheets/d/""&amp;$A19&amp;""/edit#gid=156619080"",AX$3)"),29.270000000000003)</f>
        <v>29.27</v>
      </c>
      <c r="AY19" s="2">
        <f>IFERROR(__xludf.DUMMYFUNCTION("IMPORTRANGE(""https://docs.google.com/spreadsheets/d/""&amp;$A19&amp;""/edit#gid=156619080"",AY$3)"),47.510000000000005)</f>
        <v>47.51</v>
      </c>
      <c r="AZ19" s="2">
        <f>IFERROR(__xludf.DUMMYFUNCTION("IMPORTRANGE(""https://docs.google.com/spreadsheets/d/""&amp;$A19&amp;""/edit#gid=156619080"",AZ$3)"),351.61)</f>
        <v>351.61</v>
      </c>
      <c r="BA19" s="2">
        <f>IFERROR(__xludf.DUMMYFUNCTION("IMPORTRANGE(""https://docs.google.com/spreadsheets/d/""&amp;$A19&amp;""/edit#gid=156619080"",BA$3)"),-8.310000000000002)</f>
        <v>-8.31</v>
      </c>
      <c r="BB19" s="2">
        <f>IFERROR(__xludf.DUMMYFUNCTION("IMPORTRANGE(""https://docs.google.com/spreadsheets/d/""&amp;$A19&amp;""/edit#gid=156619080"",BB$3)"),-2.9)</f>
        <v>-2.9</v>
      </c>
      <c r="BC19" s="2" t="str">
        <f>IFERROR(__xludf.DUMMYFUNCTION("IMPORTRANGE(""https://docs.google.com/spreadsheets/d/""&amp;$A19&amp;""/edit#gid=156619080"",BC$3)"),"DC→DC")</f>
        <v>DC→DC</v>
      </c>
    </row>
    <row r="20" ht="51.0" customHeight="1">
      <c r="A20" s="7" t="str">
        <f t="shared" si="5"/>
        <v>1l-iXrfWc3DvWlCLRYg1T6Zgqeg4YQe1ST6_6taDgy_0</v>
      </c>
      <c r="B20" s="1" t="s">
        <v>47</v>
      </c>
      <c r="C20" s="2">
        <f>IFERROR(__xludf.DUMMYFUNCTION("IMPORTRANGE(""https://docs.google.com/spreadsheets/d/""&amp;$A20&amp;""/edit#gid=156619080"",C$3)"),132.0)</f>
        <v>132</v>
      </c>
      <c r="D20" s="2">
        <f>IFERROR(__xludf.DUMMYFUNCTION("IMPORTRANGE(""https://docs.google.com/spreadsheets/d/""&amp;$A20&amp;""/edit#gid=156619080"",D$3)"),3401.0)</f>
        <v>3401</v>
      </c>
      <c r="E20" s="15">
        <f>IFERROR(__xludf.DUMMYFUNCTION("IMPORTRANGE(""https://docs.google.com/spreadsheets/d/""&amp;$A20&amp;""/edit#gid=156619080"",E$3)"),43882.0)</f>
        <v>43882</v>
      </c>
      <c r="F20" s="2">
        <f>IFERROR(__xludf.DUMMYFUNCTION("IMPORTRANGE(""https://docs.google.com/spreadsheets/d/""&amp;$A20&amp;""/edit#gid=156619080"",F$3)"),-32.0)</f>
        <v>-32</v>
      </c>
      <c r="G20" s="16">
        <f>IFERROR(__xludf.DUMMYFUNCTION("IMPORTRANGE(""https://docs.google.com/spreadsheets/d/""&amp;$A20&amp;""/edit#gid=156619080"",G$3)"),-1.59)</f>
        <v>-1.59</v>
      </c>
      <c r="H20" s="16">
        <f>IFERROR(__xludf.DUMMYFUNCTION("IMPORTRANGE(""https://docs.google.com/spreadsheets/d/""&amp;$A20&amp;""/edit#gid=156619080"",H$3)"),1997.0)</f>
        <v>1997</v>
      </c>
      <c r="I20" s="16">
        <f>IFERROR(__xludf.DUMMYFUNCTION("IMPORTRANGE(""https://docs.google.com/spreadsheets/d/""&amp;$A20&amp;""/edit#gid=156619080"",I$3)"),14.0)</f>
        <v>14</v>
      </c>
      <c r="J20" s="16">
        <f>IFERROR(__xludf.DUMMYFUNCTION("IMPORTRANGE(""https://docs.google.com/spreadsheets/d/""&amp;$A20&amp;""/edit#gid=156619080"",J$3)"),2000.0)</f>
        <v>2000</v>
      </c>
      <c r="K20" s="16">
        <f>IFERROR(__xludf.DUMMYFUNCTION("IMPORTRANGE(""https://docs.google.com/spreadsheets/d/""&amp;$A20&amp;""/edit#gid=156619080"",K$3)"),0.40069444444444446)</f>
        <v>0.4006944444</v>
      </c>
      <c r="L20" s="16">
        <f>IFERROR(__xludf.DUMMYFUNCTION("IMPORTRANGE(""https://docs.google.com/spreadsheets/d/""&amp;$A20&amp;""/edit#gid=156619080"",L$3)"),1977.0)</f>
        <v>1977</v>
      </c>
      <c r="M20" s="16">
        <f>IFERROR(__xludf.DUMMYFUNCTION("IMPORTRANGE(""https://docs.google.com/spreadsheets/d/""&amp;$A20&amp;""/edit#gid=156619080"",M$3)"),0.6194444444444445)</f>
        <v>0.6194444444</v>
      </c>
      <c r="N20" s="16">
        <f>IFERROR(__xludf.DUMMYFUNCTION("IMPORTRANGE(""https://docs.google.com/spreadsheets/d/""&amp;$A20&amp;""/edit#gid=156619080"",N$3)"),1979.0)</f>
        <v>1979</v>
      </c>
      <c r="O20" s="16" t="str">
        <f>IFERROR(__xludf.DUMMYFUNCTION("IMPORTRANGE(""https://docs.google.com/spreadsheets/d/""&amp;$A20&amp;""/edit#gid=156619080"",O$3)"),"739500株")</f>
        <v>739500株</v>
      </c>
      <c r="P20" s="16" t="str">
        <f>IFERROR(__xludf.DUMMYFUNCTION("IMPORTRANGE(""https://docs.google.com/spreadsheets/d/""&amp;$A20&amp;""/edit#gid=156619080"",P$3)"),"1469百万円")</f>
        <v>1469百万円</v>
      </c>
      <c r="Q20" s="16" t="str">
        <f>IFERROR(__xludf.DUMMYFUNCTION("IMPORTRANGE(""https://docs.google.com/spreadsheets/d/""&amp;$A20&amp;""/edit#gid=156619080"",Q$3)"),"1424回")</f>
        <v>1424回</v>
      </c>
      <c r="R20" s="16" t="str">
        <f>IFERROR(__xludf.DUMMYFUNCTION("IMPORTRANGE(""https://docs.google.com/spreadsheets/d/""&amp;$A20&amp;""/edit#gid=156619080"",R$3)"),"3918億円")</f>
        <v>3918億円</v>
      </c>
      <c r="S20" s="16" t="str">
        <f>IFERROR(__xludf.DUMMYFUNCTION("IMPORTRANGE(""https://docs.google.com/spreadsheets/d/""&amp;$A20&amp;""/edit#gid=156619080"",S$3)"),"陰線")</f>
        <v>陰線</v>
      </c>
      <c r="T20" s="16" t="str">
        <f>IFERROR(__xludf.DUMMYFUNCTION("IMPORTRANGE(""https://docs.google.com/spreadsheets/d/""&amp;$A20&amp;""/edit#gid=156619080"",T$3)"),"")</f>
        <v/>
      </c>
      <c r="U20" s="16">
        <f>IFERROR(__xludf.DUMMYFUNCTION("IMPORTRANGE(""https://docs.google.com/spreadsheets/d/""&amp;$A20&amp;""/edit#gid=156619080"",U$3)"),1987.2)</f>
        <v>1987.2</v>
      </c>
      <c r="V20" s="16">
        <f>IFERROR(__xludf.DUMMYFUNCTION("IMPORTRANGE(""https://docs.google.com/spreadsheets/d/""&amp;$A20&amp;""/edit#gid=156619080"",V$3)"),2016.6)</f>
        <v>2016.6</v>
      </c>
      <c r="W20" s="16">
        <f>IFERROR(__xludf.DUMMYFUNCTION("IMPORTRANGE(""https://docs.google.com/spreadsheets/d/""&amp;$A20&amp;""/edit#gid=156619080"",W$3)"),2002.8)</f>
        <v>2002.8</v>
      </c>
      <c r="X20" s="2">
        <f>IFERROR(__xludf.DUMMYFUNCTION("IMPORTRANGE(""https://docs.google.com/spreadsheets/d/""&amp;$A20&amp;""/edit#gid=156619080"",X$3)"),2054.1)</f>
        <v>2054.1</v>
      </c>
      <c r="Y20" s="17">
        <f>IFERROR(__xludf.DUMMYFUNCTION("IMPORTRANGE(""https://docs.google.com/spreadsheets/d/""&amp;$A20&amp;""/edit#gid=156619080"",Y$3)"),-0.004126409017713388)</f>
        <v>-0.004126409018</v>
      </c>
      <c r="Z20" s="2">
        <f>IFERROR(__xludf.DUMMYFUNCTION("IMPORTRANGE(""https://docs.google.com/spreadsheets/d/""&amp;$A20&amp;""/edit#gid=156619080"",Z$3)"),2082.43)</f>
        <v>2082.43</v>
      </c>
      <c r="AA20" s="2">
        <f>IFERROR(__xludf.DUMMYFUNCTION("IMPORTRANGE(""https://docs.google.com/spreadsheets/d/""&amp;$A20&amp;""/edit#gid=156619080"",AA$3)"),2072.48)</f>
        <v>2072.48</v>
      </c>
      <c r="AB20" s="2">
        <f>IFERROR(__xludf.DUMMYFUNCTION("IMPORTRANGE(""https://docs.google.com/spreadsheets/d/""&amp;$A20&amp;""/edit#gid=156619080"",AB$3)"),2062.52)</f>
        <v>2062.52</v>
      </c>
      <c r="AC20" s="18">
        <f>IFERROR(__xludf.DUMMYFUNCTION("IMPORTRANGE(""https://docs.google.com/spreadsheets/d/""&amp;$A20&amp;""/edit#gid=156619080"",AC$3)"),2052.57)</f>
        <v>2052.57</v>
      </c>
      <c r="AD20" s="18">
        <f>IFERROR(__xludf.DUMMYFUNCTION("IMPORTRANGE(""https://docs.google.com/spreadsheets/d/""&amp;$A20&amp;""/edit#gid=156619080"",AD$3)"),2042.61)</f>
        <v>2042.61</v>
      </c>
      <c r="AE20" s="18">
        <f>IFERROR(__xludf.DUMMYFUNCTION("IMPORTRANGE(""https://docs.google.com/spreadsheets/d/""&amp;$A20&amp;""/edit#gid=156619080"",AE$3)"),2002.8)</f>
        <v>2002.8</v>
      </c>
      <c r="AF20" s="2">
        <f>IFERROR(__xludf.DUMMYFUNCTION("IMPORTRANGE(""https://docs.google.com/spreadsheets/d/""&amp;$A20&amp;""/edit#gid=156619080"",AF$3)"),1962.99)</f>
        <v>1962.99</v>
      </c>
      <c r="AG20" s="2">
        <f>IFERROR(__xludf.DUMMYFUNCTION("IMPORTRANGE(""https://docs.google.com/spreadsheets/d/""&amp;$A20&amp;""/edit#gid=156619080"",AG$3)"),1953.03)</f>
        <v>1953.03</v>
      </c>
      <c r="AH20" s="2">
        <f>IFERROR(__xludf.DUMMYFUNCTION("IMPORTRANGE(""https://docs.google.com/spreadsheets/d/""&amp;$A20&amp;""/edit#gid=156619080"",AH$3)"),1943.08)</f>
        <v>1943.08</v>
      </c>
      <c r="AI20" s="2">
        <f>IFERROR(__xludf.DUMMYFUNCTION("IMPORTRANGE(""https://docs.google.com/spreadsheets/d/""&amp;$A20&amp;""/edit#gid=156619080"",AI$3)"),1933.12)</f>
        <v>1933.12</v>
      </c>
      <c r="AJ20" s="2">
        <f>IFERROR(__xludf.DUMMYFUNCTION("IMPORTRANGE(""https://docs.google.com/spreadsheets/d/""&amp;$A20&amp;""/edit#gid=156619080"",AJ$3)"),1923.17)</f>
        <v>1923.17</v>
      </c>
      <c r="AK20" s="2" t="str">
        <f>IFERROR(__xludf.DUMMYFUNCTION("IMPORTRANGE(""https://docs.google.com/spreadsheets/d/""&amp;$A20&amp;""/edit#gid=156619080"",AK$3)"),"")</f>
        <v/>
      </c>
      <c r="AL20" s="2">
        <f>IFERROR(__xludf.DUMMYFUNCTION("IMPORTRANGE(""https://docs.google.com/spreadsheets/d/""&amp;$A20&amp;""/edit#gid=156619080"",AL$3)"),-1.0)</f>
        <v>-1</v>
      </c>
      <c r="AM20" s="2" t="str">
        <f>IFERROR(__xludf.DUMMYFUNCTION("IMPORTRANGE(""https://docs.google.com/spreadsheets/d/""&amp;$A20&amp;""/edit#gid=156619080"",AM$3)"),"")</f>
        <v/>
      </c>
      <c r="AN20" s="2">
        <f>IFERROR(__xludf.DUMMYFUNCTION("IMPORTRANGE(""https://docs.google.com/spreadsheets/d/""&amp;$A20&amp;""/edit#gid=156619080"",AN$3)"),-1.0)</f>
        <v>-1</v>
      </c>
      <c r="AO20" s="2" t="str">
        <f>IFERROR(__xludf.DUMMYFUNCTION("IMPORTRANGE(""https://docs.google.com/spreadsheets/d/""&amp;$A20&amp;""/edit#gid=156619080"",AO$3)"),"")</f>
        <v/>
      </c>
      <c r="AP20" s="2">
        <f>IFERROR(__xludf.DUMMYFUNCTION("IMPORTRANGE(""https://docs.google.com/spreadsheets/d/""&amp;$A20&amp;""/edit#gid=156619080"",AP$3)"),1.0)</f>
        <v>1</v>
      </c>
      <c r="AQ20" s="2" t="str">
        <f>IFERROR(__xludf.DUMMYFUNCTION("IMPORTRANGE(""https://docs.google.com/spreadsheets/d/""&amp;$A20&amp;""/edit#gid=156619080"",AQ$3)"),"")</f>
        <v/>
      </c>
      <c r="AR20" s="18">
        <f>IFERROR(__xludf.DUMMYFUNCTION("IMPORTRANGE(""https://docs.google.com/spreadsheets/d/""&amp;$A20&amp;""/edit#gid=156619080"",AR$3)"),-19.999999999999996)</f>
        <v>-20</v>
      </c>
      <c r="AS20" s="19" t="str">
        <f>IFERROR(__xludf.DUMMYFUNCTION("IMPORTRANGE(""https://docs.google.com/spreadsheets/d/""&amp;$A20&amp;""/edit#gid=156619080"",AS$3)"),"-70
-70
-100
0
")</f>
        <v>-70
-70
-100
0
</v>
      </c>
      <c r="AT20" s="18">
        <f>IFERROR(__xludf.DUMMYFUNCTION("IMPORTRANGE(""https://docs.google.com/spreadsheets/d/""&amp;$A20&amp;""/edit#gid=156619080"",AT$3)"),-47.80219780219781)</f>
        <v>-47.8021978</v>
      </c>
      <c r="AU20" s="3" t="str">
        <f>IFERROR(__xludf.DUMMYFUNCTION("IMPORTRANGE(""https://docs.google.com/spreadsheets/d/""&amp;$A20&amp;""/edit#gid=156619080"",AU$3)"),"52.75
37.36
0.55
-12.64
")</f>
        <v>52.75
37.36
0.55
-12.64
</v>
      </c>
      <c r="AV20" s="18">
        <f>IFERROR(__xludf.DUMMYFUNCTION("IMPORTRANGE(""https://docs.google.com/spreadsheets/d/""&amp;$A20&amp;""/edit#gid=156619080"",AV$3)"),11.298701298701296)</f>
        <v>11.2987013</v>
      </c>
      <c r="AW20" s="19" t="str">
        <f>IFERROR(__xludf.DUMMYFUNCTION("IMPORTRANGE(""https://docs.google.com/spreadsheets/d/""&amp;$A20&amp;""/edit#gid=156619080"",AW$3)"),"-15.45
-10.39
-8.83
2.73
")</f>
        <v>-15.45
-10.39
-8.83
2.73
</v>
      </c>
      <c r="AX20" s="2">
        <f>IFERROR(__xludf.DUMMYFUNCTION("IMPORTRANGE(""https://docs.google.com/spreadsheets/d/""&amp;$A20&amp;""/edit#gid=156619080"",AX$3)"),35.78)</f>
        <v>35.78</v>
      </c>
      <c r="AY20" s="2">
        <f>IFERROR(__xludf.DUMMYFUNCTION("IMPORTRANGE(""https://docs.google.com/spreadsheets/d/""&amp;$A20&amp;""/edit#gid=156619080"",AY$3)"),42.230000000000004)</f>
        <v>42.23</v>
      </c>
      <c r="AZ20" s="2">
        <f>IFERROR(__xludf.DUMMYFUNCTION("IMPORTRANGE(""https://docs.google.com/spreadsheets/d/""&amp;$A20&amp;""/edit#gid=156619080"",AZ$3)"),1991.92)</f>
        <v>1991.92</v>
      </c>
      <c r="BA20" s="2">
        <f>IFERROR(__xludf.DUMMYFUNCTION("IMPORTRANGE(""https://docs.google.com/spreadsheets/d/""&amp;$A20&amp;""/edit#gid=156619080"",BA$3)"),-18.539999999999964)</f>
        <v>-18.54</v>
      </c>
      <c r="BB20" s="2">
        <f>IFERROR(__xludf.DUMMYFUNCTION("IMPORTRANGE(""https://docs.google.com/spreadsheets/d/""&amp;$A20&amp;""/edit#gid=156619080"",BB$3)"),-11.73)</f>
        <v>-11.73</v>
      </c>
      <c r="BC20" s="2" t="str">
        <f>IFERROR(__xludf.DUMMYFUNCTION("IMPORTRANGE(""https://docs.google.com/spreadsheets/d/""&amp;$A20&amp;""/edit#gid=156619080"",BC$3)"),"DC→DC")</f>
        <v>DC→DC</v>
      </c>
    </row>
    <row r="21" ht="51.0" customHeight="1">
      <c r="A21" s="7" t="str">
        <f t="shared" si="5"/>
        <v>17EEonMER4lspFVckVjthHtyQFUI_y-E00fV5l_CFiwM</v>
      </c>
      <c r="B21" s="1" t="s">
        <v>48</v>
      </c>
      <c r="C21" s="2">
        <f>IFERROR(__xludf.DUMMYFUNCTION("IMPORTRANGE(""https://docs.google.com/spreadsheets/d/""&amp;$A21&amp;""/edit#gid=156619080"",C$3)"),132.0)</f>
        <v>132</v>
      </c>
      <c r="D21" s="2">
        <f>IFERROR(__xludf.DUMMYFUNCTION("IMPORTRANGE(""https://docs.google.com/spreadsheets/d/""&amp;$A21&amp;""/edit#gid=156619080"",D$3)"),3402.0)</f>
        <v>3402</v>
      </c>
      <c r="E21" s="15">
        <f>IFERROR(__xludf.DUMMYFUNCTION("IMPORTRANGE(""https://docs.google.com/spreadsheets/d/""&amp;$A21&amp;""/edit#gid=156619080"",E$3)"),43882.0)</f>
        <v>43882</v>
      </c>
      <c r="F21" s="2">
        <f>IFERROR(__xludf.DUMMYFUNCTION("IMPORTRANGE(""https://docs.google.com/spreadsheets/d/""&amp;$A21&amp;""/edit#gid=156619080"",F$3)"),4.6)</f>
        <v>4.6</v>
      </c>
      <c r="G21" s="16">
        <f>IFERROR(__xludf.DUMMYFUNCTION("IMPORTRANGE(""https://docs.google.com/spreadsheets/d/""&amp;$A21&amp;""/edit#gid=156619080"",G$3)"),0.66)</f>
        <v>0.66</v>
      </c>
      <c r="H21" s="16">
        <f>IFERROR(__xludf.DUMMYFUNCTION("IMPORTRANGE(""https://docs.google.com/spreadsheets/d/""&amp;$A21&amp;""/edit#gid=156619080"",H$3)"),700.0)</f>
        <v>700</v>
      </c>
      <c r="I21" s="16">
        <f>IFERROR(__xludf.DUMMYFUNCTION("IMPORTRANGE(""https://docs.google.com/spreadsheets/d/""&amp;$A21&amp;""/edit#gid=156619080"",I$3)"),0.0)</f>
        <v>0</v>
      </c>
      <c r="J21" s="16">
        <f>IFERROR(__xludf.DUMMYFUNCTION("IMPORTRANGE(""https://docs.google.com/spreadsheets/d/""&amp;$A21&amp;""/edit#gid=156619080"",J$3)"),706.5)</f>
        <v>706.5</v>
      </c>
      <c r="K21" s="16">
        <f>IFERROR(__xludf.DUMMYFUNCTION("IMPORTRANGE(""https://docs.google.com/spreadsheets/d/""&amp;$A21&amp;""/edit#gid=156619080"",K$3)"),0.5854166666666667)</f>
        <v>0.5854166667</v>
      </c>
      <c r="L21" s="16">
        <f>IFERROR(__xludf.DUMMYFUNCTION("IMPORTRANGE(""https://docs.google.com/spreadsheets/d/""&amp;$A21&amp;""/edit#gid=156619080"",L$3)"),697.6)</f>
        <v>697.6</v>
      </c>
      <c r="M21" s="16">
        <f>IFERROR(__xludf.DUMMYFUNCTION("IMPORTRANGE(""https://docs.google.com/spreadsheets/d/""&amp;$A21&amp;""/edit#gid=156619080"",M$3)"),0.38333333333333336)</f>
        <v>0.3833333333</v>
      </c>
      <c r="N21" s="16">
        <f>IFERROR(__xludf.DUMMYFUNCTION("IMPORTRANGE(""https://docs.google.com/spreadsheets/d/""&amp;$A21&amp;""/edit#gid=156619080"",N$3)"),704.6)</f>
        <v>704.6</v>
      </c>
      <c r="O21" s="16" t="str">
        <f>IFERROR(__xludf.DUMMYFUNCTION("IMPORTRANGE(""https://docs.google.com/spreadsheets/d/""&amp;$A21&amp;""/edit#gid=156619080"",O$3)"),"4894100株")</f>
        <v>4894100株</v>
      </c>
      <c r="P21" s="16" t="str">
        <f>IFERROR(__xludf.DUMMYFUNCTION("IMPORTRANGE(""https://docs.google.com/spreadsheets/d/""&amp;$A21&amp;""/edit#gid=156619080"",P$3)"),"3440百万円")</f>
        <v>3440百万円</v>
      </c>
      <c r="Q21" s="16" t="str">
        <f>IFERROR(__xludf.DUMMYFUNCTION("IMPORTRANGE(""https://docs.google.com/spreadsheets/d/""&amp;$A21&amp;""/edit#gid=156619080"",Q$3)"),"5060回")</f>
        <v>5060回</v>
      </c>
      <c r="R21" s="16" t="str">
        <f>IFERROR(__xludf.DUMMYFUNCTION("IMPORTRANGE(""https://docs.google.com/spreadsheets/d/""&amp;$A21&amp;""/edit#gid=156619080"",R$3)"),"11495億円")</f>
        <v>11495億円</v>
      </c>
      <c r="S21" s="16" t="str">
        <f>IFERROR(__xludf.DUMMYFUNCTION("IMPORTRANGE(""https://docs.google.com/spreadsheets/d/""&amp;$A21&amp;""/edit#gid=156619080"",S$3)"),"陽線")</f>
        <v>陽線</v>
      </c>
      <c r="T21" s="16" t="str">
        <f>IFERROR(__xludf.DUMMYFUNCTION("IMPORTRANGE(""https://docs.google.com/spreadsheets/d/""&amp;$A21&amp;""/edit#gid=156619080"",T$3)"),"")</f>
        <v/>
      </c>
      <c r="U21" s="16">
        <f>IFERROR(__xludf.DUMMYFUNCTION("IMPORTRANGE(""https://docs.google.com/spreadsheets/d/""&amp;$A21&amp;""/edit#gid=156619080"",U$3)"),699.78)</f>
        <v>699.78</v>
      </c>
      <c r="V21" s="16">
        <f>IFERROR(__xludf.DUMMYFUNCTION("IMPORTRANGE(""https://docs.google.com/spreadsheets/d/""&amp;$A21&amp;""/edit#gid=156619080"",V$3)"),712.0)</f>
        <v>712</v>
      </c>
      <c r="W21" s="16">
        <f>IFERROR(__xludf.DUMMYFUNCTION("IMPORTRANGE(""https://docs.google.com/spreadsheets/d/""&amp;$A21&amp;""/edit#gid=156619080"",W$3)"),719.4)</f>
        <v>719.4</v>
      </c>
      <c r="X21" s="2">
        <f>IFERROR(__xludf.DUMMYFUNCTION("IMPORTRANGE(""https://docs.google.com/spreadsheets/d/""&amp;$A21&amp;""/edit#gid=156619080"",X$3)"),755.8)</f>
        <v>755.8</v>
      </c>
      <c r="Y21" s="17">
        <f>IFERROR(__xludf.DUMMYFUNCTION("IMPORTRANGE(""https://docs.google.com/spreadsheets/d/""&amp;$A21&amp;""/edit#gid=156619080"",Y$3)"),0.006887879047700778)</f>
        <v>0.006887879048</v>
      </c>
      <c r="Z21" s="2">
        <f>IFERROR(__xludf.DUMMYFUNCTION("IMPORTRANGE(""https://docs.google.com/spreadsheets/d/""&amp;$A21&amp;""/edit#gid=156619080"",Z$3)"),752.64)</f>
        <v>752.64</v>
      </c>
      <c r="AA21" s="2">
        <f>IFERROR(__xludf.DUMMYFUNCTION("IMPORTRANGE(""https://docs.google.com/spreadsheets/d/""&amp;$A21&amp;""/edit#gid=156619080"",AA$3)"),748.48)</f>
        <v>748.48</v>
      </c>
      <c r="AB21" s="2">
        <f>IFERROR(__xludf.DUMMYFUNCTION("IMPORTRANGE(""https://docs.google.com/spreadsheets/d/""&amp;$A21&amp;""/edit#gid=156619080"",AB$3)"),744.33)</f>
        <v>744.33</v>
      </c>
      <c r="AC21" s="18">
        <f>IFERROR(__xludf.DUMMYFUNCTION("IMPORTRANGE(""https://docs.google.com/spreadsheets/d/""&amp;$A21&amp;""/edit#gid=156619080"",AC$3)"),740.17)</f>
        <v>740.17</v>
      </c>
      <c r="AD21" s="18">
        <f>IFERROR(__xludf.DUMMYFUNCTION("IMPORTRANGE(""https://docs.google.com/spreadsheets/d/""&amp;$A21&amp;""/edit#gid=156619080"",AD$3)"),736.02)</f>
        <v>736.02</v>
      </c>
      <c r="AE21" s="18">
        <f>IFERROR(__xludf.DUMMYFUNCTION("IMPORTRANGE(""https://docs.google.com/spreadsheets/d/""&amp;$A21&amp;""/edit#gid=156619080"",AE$3)"),719.4)</f>
        <v>719.4</v>
      </c>
      <c r="AF21" s="2">
        <f>IFERROR(__xludf.DUMMYFUNCTION("IMPORTRANGE(""https://docs.google.com/spreadsheets/d/""&amp;$A21&amp;""/edit#gid=156619080"",AF$3)"),702.78)</f>
        <v>702.78</v>
      </c>
      <c r="AG21" s="2">
        <f>IFERROR(__xludf.DUMMYFUNCTION("IMPORTRANGE(""https://docs.google.com/spreadsheets/d/""&amp;$A21&amp;""/edit#gid=156619080"",AG$3)"),698.63)</f>
        <v>698.63</v>
      </c>
      <c r="AH21" s="2">
        <f>IFERROR(__xludf.DUMMYFUNCTION("IMPORTRANGE(""https://docs.google.com/spreadsheets/d/""&amp;$A21&amp;""/edit#gid=156619080"",AH$3)"),694.47)</f>
        <v>694.47</v>
      </c>
      <c r="AI21" s="2">
        <f>IFERROR(__xludf.DUMMYFUNCTION("IMPORTRANGE(""https://docs.google.com/spreadsheets/d/""&amp;$A21&amp;""/edit#gid=156619080"",AI$3)"),690.32)</f>
        <v>690.32</v>
      </c>
      <c r="AJ21" s="2">
        <f>IFERROR(__xludf.DUMMYFUNCTION("IMPORTRANGE(""https://docs.google.com/spreadsheets/d/""&amp;$A21&amp;""/edit#gid=156619080"",AJ$3)"),686.16)</f>
        <v>686.16</v>
      </c>
      <c r="AK21" s="2" t="str">
        <f>IFERROR(__xludf.DUMMYFUNCTION("IMPORTRANGE(""https://docs.google.com/spreadsheets/d/""&amp;$A21&amp;""/edit#gid=156619080"",AK$3)"),"")</f>
        <v/>
      </c>
      <c r="AL21" s="2">
        <f>IFERROR(__xludf.DUMMYFUNCTION("IMPORTRANGE(""https://docs.google.com/spreadsheets/d/""&amp;$A21&amp;""/edit#gid=156619080"",AL$3)"),-1.0)</f>
        <v>-1</v>
      </c>
      <c r="AM21" s="2" t="str">
        <f>IFERROR(__xludf.DUMMYFUNCTION("IMPORTRANGE(""https://docs.google.com/spreadsheets/d/""&amp;$A21&amp;""/edit#gid=156619080"",AM$3)"),"")</f>
        <v/>
      </c>
      <c r="AN21" s="2">
        <f>IFERROR(__xludf.DUMMYFUNCTION("IMPORTRANGE(""https://docs.google.com/spreadsheets/d/""&amp;$A21&amp;""/edit#gid=156619080"",AN$3)"),-1.0)</f>
        <v>-1</v>
      </c>
      <c r="AO21" s="2" t="str">
        <f>IFERROR(__xludf.DUMMYFUNCTION("IMPORTRANGE(""https://docs.google.com/spreadsheets/d/""&amp;$A21&amp;""/edit#gid=156619080"",AO$3)"),"")</f>
        <v/>
      </c>
      <c r="AP21" s="2">
        <f>IFERROR(__xludf.DUMMYFUNCTION("IMPORTRANGE(""https://docs.google.com/spreadsheets/d/""&amp;$A21&amp;""/edit#gid=156619080"",AP$3)"),-1.0)</f>
        <v>-1</v>
      </c>
      <c r="AQ21" s="2" t="str">
        <f>IFERROR(__xludf.DUMMYFUNCTION("IMPORTRANGE(""https://docs.google.com/spreadsheets/d/""&amp;$A21&amp;""/edit#gid=156619080"",AQ$3)"),"")</f>
        <v/>
      </c>
      <c r="AR21" s="18">
        <f>IFERROR(__xludf.DUMMYFUNCTION("IMPORTRANGE(""https://docs.google.com/spreadsheets/d/""&amp;$A21&amp;""/edit#gid=156619080"",AR$3)"),-10.000000000000009)</f>
        <v>-10</v>
      </c>
      <c r="AS21" s="19" t="str">
        <f>IFERROR(__xludf.DUMMYFUNCTION("IMPORTRANGE(""https://docs.google.com/spreadsheets/d/""&amp;$A21&amp;""/edit#gid=156619080"",AS$3)"),"-50
-70
-100
-70
")</f>
        <v>-50
-70
-100
-70
</v>
      </c>
      <c r="AT21" s="18">
        <f>IFERROR(__xludf.DUMMYFUNCTION("IMPORTRANGE(""https://docs.google.com/spreadsheets/d/""&amp;$A21&amp;""/edit#gid=156619080"",AT$3)"),-87.36263736263736)</f>
        <v>-87.36263736</v>
      </c>
      <c r="AU21" s="3" t="str">
        <f>IFERROR(__xludf.DUMMYFUNCTION("IMPORTRANGE(""https://docs.google.com/spreadsheets/d/""&amp;$A21&amp;""/edit#gid=156619080"",AU$3)"),"-67.03
-75.82
-81.87
-85.16
")</f>
        <v>-67.03
-75.82
-81.87
-85.16
</v>
      </c>
      <c r="AV21" s="18">
        <f>IFERROR(__xludf.DUMMYFUNCTION("IMPORTRANGE(""https://docs.google.com/spreadsheets/d/""&amp;$A21&amp;""/edit#gid=156619080"",AV$3)"),-84.83766233766235)</f>
        <v>-84.83766234</v>
      </c>
      <c r="AW21" s="19" t="str">
        <f>IFERROR(__xludf.DUMMYFUNCTION("IMPORTRANGE(""https://docs.google.com/spreadsheets/d/""&amp;$A21&amp;""/edit#gid=156619080"",AW$3)"),"-83.93
-85.88
-85.88
-85.62
")</f>
        <v>-83.93
-85.88
-85.88
-85.62
</v>
      </c>
      <c r="AX21" s="2">
        <f>IFERROR(__xludf.DUMMYFUNCTION("IMPORTRANGE(""https://docs.google.com/spreadsheets/d/""&amp;$A21&amp;""/edit#gid=156619080"",AX$3)"),44.73)</f>
        <v>44.73</v>
      </c>
      <c r="AY21" s="2">
        <f>IFERROR(__xludf.DUMMYFUNCTION("IMPORTRANGE(""https://docs.google.com/spreadsheets/d/""&amp;$A21&amp;""/edit#gid=156619080"",AY$3)"),32.65)</f>
        <v>32.65</v>
      </c>
      <c r="AZ21" s="2">
        <f>IFERROR(__xludf.DUMMYFUNCTION("IMPORTRANGE(""https://docs.google.com/spreadsheets/d/""&amp;$A21&amp;""/edit#gid=156619080"",AZ$3)"),702.3)</f>
        <v>702.3</v>
      </c>
      <c r="BA21" s="2">
        <f>IFERROR(__xludf.DUMMYFUNCTION("IMPORTRANGE(""https://docs.google.com/spreadsheets/d/""&amp;$A21&amp;""/edit#gid=156619080"",BA$3)"),-15.030000000000086)</f>
        <v>-15.03</v>
      </c>
      <c r="BB21" s="2">
        <f>IFERROR(__xludf.DUMMYFUNCTION("IMPORTRANGE(""https://docs.google.com/spreadsheets/d/""&amp;$A21&amp;""/edit#gid=156619080"",BB$3)"),-13.55)</f>
        <v>-13.55</v>
      </c>
      <c r="BC21" s="2" t="str">
        <f>IFERROR(__xludf.DUMMYFUNCTION("IMPORTRANGE(""https://docs.google.com/spreadsheets/d/""&amp;$A21&amp;""/edit#gid=156619080"",BC$3)"),"DC→DC")</f>
        <v>DC→DC</v>
      </c>
    </row>
    <row r="22" ht="51.0" customHeight="1">
      <c r="A22" s="7" t="str">
        <f t="shared" si="5"/>
        <v>123nok1_4UI_mU_Gk_kubThb1NkxWK99HNPYnj8v5JcM</v>
      </c>
      <c r="B22" s="1" t="s">
        <v>49</v>
      </c>
      <c r="C22" s="2">
        <f>IFERROR(__xludf.DUMMYFUNCTION("IMPORTRANGE(""https://docs.google.com/spreadsheets/d/""&amp;$A22&amp;""/edit#gid=156619080"",C$3)"),132.0)</f>
        <v>132</v>
      </c>
      <c r="D22" s="2">
        <f>IFERROR(__xludf.DUMMYFUNCTION("IMPORTRANGE(""https://docs.google.com/spreadsheets/d/""&amp;$A22&amp;""/edit#gid=156619080"",D$3)"),3861.0)</f>
        <v>3861</v>
      </c>
      <c r="E22" s="15">
        <f>IFERROR(__xludf.DUMMYFUNCTION("IMPORTRANGE(""https://docs.google.com/spreadsheets/d/""&amp;$A22&amp;""/edit#gid=156619080"",E$3)"),43882.0)</f>
        <v>43882</v>
      </c>
      <c r="F22" s="2">
        <f>IFERROR(__xludf.DUMMYFUNCTION("IMPORTRANGE(""https://docs.google.com/spreadsheets/d/""&amp;$A22&amp;""/edit#gid=156619080"",F$3)"),-30.0)</f>
        <v>-30</v>
      </c>
      <c r="G22" s="16">
        <f>IFERROR(__xludf.DUMMYFUNCTION("IMPORTRANGE(""https://docs.google.com/spreadsheets/d/""&amp;$A22&amp;""/edit#gid=156619080"",G$3)"),-5.03)</f>
        <v>-5.03</v>
      </c>
      <c r="H22" s="16">
        <f>IFERROR(__xludf.DUMMYFUNCTION("IMPORTRANGE(""https://docs.google.com/spreadsheets/d/""&amp;$A22&amp;""/edit#gid=156619080"",H$3)"),587.0)</f>
        <v>587</v>
      </c>
      <c r="I22" s="16">
        <f>IFERROR(__xludf.DUMMYFUNCTION("IMPORTRANGE(""https://docs.google.com/spreadsheets/d/""&amp;$A22&amp;""/edit#gid=156619080"",I$3)"),10.0)</f>
        <v>10</v>
      </c>
      <c r="J22" s="16">
        <f>IFERROR(__xludf.DUMMYFUNCTION("IMPORTRANGE(""https://docs.google.com/spreadsheets/d/""&amp;$A22&amp;""/edit#gid=156619080"",J$3)"),590.0)</f>
        <v>590</v>
      </c>
      <c r="K22" s="16">
        <f>IFERROR(__xludf.DUMMYFUNCTION("IMPORTRANGE(""https://docs.google.com/spreadsheets/d/""&amp;$A22&amp;""/edit#gid=156619080"",K$3)"),0.37569444444444444)</f>
        <v>0.3756944444</v>
      </c>
      <c r="L22" s="16">
        <f>IFERROR(__xludf.DUMMYFUNCTION("IMPORTRANGE(""https://docs.google.com/spreadsheets/d/""&amp;$A22&amp;""/edit#gid=156619080"",L$3)"),566.0)</f>
        <v>566</v>
      </c>
      <c r="M22" s="16">
        <f>IFERROR(__xludf.DUMMYFUNCTION("IMPORTRANGE(""https://docs.google.com/spreadsheets/d/""&amp;$A22&amp;""/edit#gid=156619080"",M$3)"),0.6243055555555556)</f>
        <v>0.6243055556</v>
      </c>
      <c r="N22" s="16">
        <f>IFERROR(__xludf.DUMMYFUNCTION("IMPORTRANGE(""https://docs.google.com/spreadsheets/d/""&amp;$A22&amp;""/edit#gid=156619080"",N$3)"),567.0)</f>
        <v>567</v>
      </c>
      <c r="O22" s="16" t="str">
        <f>IFERROR(__xludf.DUMMYFUNCTION("IMPORTRANGE(""https://docs.google.com/spreadsheets/d/""&amp;$A22&amp;""/edit#gid=156619080"",O$3)"),"5318500株")</f>
        <v>5318500株</v>
      </c>
      <c r="P22" s="16" t="str">
        <f>IFERROR(__xludf.DUMMYFUNCTION("IMPORTRANGE(""https://docs.google.com/spreadsheets/d/""&amp;$A22&amp;""/edit#gid=156619080"",P$3)"),"3059百万円")</f>
        <v>3059百万円</v>
      </c>
      <c r="Q22" s="16" t="str">
        <f>IFERROR(__xludf.DUMMYFUNCTION("IMPORTRANGE(""https://docs.google.com/spreadsheets/d/""&amp;$A22&amp;""/edit#gid=156619080"",Q$3)"),"2498回")</f>
        <v>2498回</v>
      </c>
      <c r="R22" s="16" t="str">
        <f>IFERROR(__xludf.DUMMYFUNCTION("IMPORTRANGE(""https://docs.google.com/spreadsheets/d/""&amp;$A22&amp;""/edit#gid=156619080"",R$3)"),"5752億円")</f>
        <v>5752億円</v>
      </c>
      <c r="S22" s="16" t="str">
        <f>IFERROR(__xludf.DUMMYFUNCTION("IMPORTRANGE(""https://docs.google.com/spreadsheets/d/""&amp;$A22&amp;""/edit#gid=156619080"",S$3)"),"陰線")</f>
        <v>陰線</v>
      </c>
      <c r="T22" s="16" t="str">
        <f>IFERROR(__xludf.DUMMYFUNCTION("IMPORTRANGE(""https://docs.google.com/spreadsheets/d/""&amp;$A22&amp;""/edit#gid=156619080"",T$3)"),"")</f>
        <v/>
      </c>
      <c r="U22" s="16">
        <f>IFERROR(__xludf.DUMMYFUNCTION("IMPORTRANGE(""https://docs.google.com/spreadsheets/d/""&amp;$A22&amp;""/edit#gid=156619080"",U$3)"),577.2)</f>
        <v>577.2</v>
      </c>
      <c r="V22" s="16">
        <f>IFERROR(__xludf.DUMMYFUNCTION("IMPORTRANGE(""https://docs.google.com/spreadsheets/d/""&amp;$A22&amp;""/edit#gid=156619080"",V$3)"),590.2)</f>
        <v>590.2</v>
      </c>
      <c r="W22" s="16">
        <f>IFERROR(__xludf.DUMMYFUNCTION("IMPORTRANGE(""https://docs.google.com/spreadsheets/d/""&amp;$A22&amp;""/edit#gid=156619080"",W$3)"),583.8)</f>
        <v>583.8</v>
      </c>
      <c r="X22" s="2">
        <f>IFERROR(__xludf.DUMMYFUNCTION("IMPORTRANGE(""https://docs.google.com/spreadsheets/d/""&amp;$A22&amp;""/edit#gid=156619080"",X$3)"),577.3)</f>
        <v>577.3</v>
      </c>
      <c r="Y22" s="17">
        <f>IFERROR(__xludf.DUMMYFUNCTION("IMPORTRANGE(""https://docs.google.com/spreadsheets/d/""&amp;$A22&amp;""/edit#gid=156619080"",Y$3)"),-0.01767151767151775)</f>
        <v>-0.01767151767</v>
      </c>
      <c r="Z22" s="2">
        <f>IFERROR(__xludf.DUMMYFUNCTION("IMPORTRANGE(""https://docs.google.com/spreadsheets/d/""&amp;$A22&amp;""/edit#gid=156619080"",Z$3)"),616.18)</f>
        <v>616.18</v>
      </c>
      <c r="AA22" s="2">
        <f>IFERROR(__xludf.DUMMYFUNCTION("IMPORTRANGE(""https://docs.google.com/spreadsheets/d/""&amp;$A22&amp;""/edit#gid=156619080"",AA$3)"),612.13)</f>
        <v>612.13</v>
      </c>
      <c r="AB22" s="2">
        <f>IFERROR(__xludf.DUMMYFUNCTION("IMPORTRANGE(""https://docs.google.com/spreadsheets/d/""&amp;$A22&amp;""/edit#gid=156619080"",AB$3)"),608.08)</f>
        <v>608.08</v>
      </c>
      <c r="AC22" s="18">
        <f>IFERROR(__xludf.DUMMYFUNCTION("IMPORTRANGE(""https://docs.google.com/spreadsheets/d/""&amp;$A22&amp;""/edit#gid=156619080"",AC$3)"),604.04)</f>
        <v>604.04</v>
      </c>
      <c r="AD22" s="18">
        <f>IFERROR(__xludf.DUMMYFUNCTION("IMPORTRANGE(""https://docs.google.com/spreadsheets/d/""&amp;$A22&amp;""/edit#gid=156619080"",AD$3)"),599.99)</f>
        <v>599.99</v>
      </c>
      <c r="AE22" s="18">
        <f>IFERROR(__xludf.DUMMYFUNCTION("IMPORTRANGE(""https://docs.google.com/spreadsheets/d/""&amp;$A22&amp;""/edit#gid=156619080"",AE$3)"),583.8)</f>
        <v>583.8</v>
      </c>
      <c r="AF22" s="2">
        <f>IFERROR(__xludf.DUMMYFUNCTION("IMPORTRANGE(""https://docs.google.com/spreadsheets/d/""&amp;$A22&amp;""/edit#gid=156619080"",AF$3)"),567.61)</f>
        <v>567.61</v>
      </c>
      <c r="AG22" s="2">
        <f>IFERROR(__xludf.DUMMYFUNCTION("IMPORTRANGE(""https://docs.google.com/spreadsheets/d/""&amp;$A22&amp;""/edit#gid=156619080"",AG$3)"),563.56)</f>
        <v>563.56</v>
      </c>
      <c r="AH22" s="2">
        <f>IFERROR(__xludf.DUMMYFUNCTION("IMPORTRANGE(""https://docs.google.com/spreadsheets/d/""&amp;$A22&amp;""/edit#gid=156619080"",AH$3)"),559.52)</f>
        <v>559.52</v>
      </c>
      <c r="AI22" s="2">
        <f>IFERROR(__xludf.DUMMYFUNCTION("IMPORTRANGE(""https://docs.google.com/spreadsheets/d/""&amp;$A22&amp;""/edit#gid=156619080"",AI$3)"),555.47)</f>
        <v>555.47</v>
      </c>
      <c r="AJ22" s="2">
        <f>IFERROR(__xludf.DUMMYFUNCTION("IMPORTRANGE(""https://docs.google.com/spreadsheets/d/""&amp;$A22&amp;""/edit#gid=156619080"",AJ$3)"),551.42)</f>
        <v>551.42</v>
      </c>
      <c r="AK22" s="2" t="str">
        <f>IFERROR(__xludf.DUMMYFUNCTION("IMPORTRANGE(""https://docs.google.com/spreadsheets/d/""&amp;$A22&amp;""/edit#gid=156619080"",AK$3)"),"-1〜-1.25σ")</f>
        <v>-1〜-1.25σ</v>
      </c>
      <c r="AL22" s="2">
        <f>IFERROR(__xludf.DUMMYFUNCTION("IMPORTRANGE(""https://docs.google.com/spreadsheets/d/""&amp;$A22&amp;""/edit#gid=156619080"",AL$3)"),-1.0)</f>
        <v>-1</v>
      </c>
      <c r="AM22" s="2" t="str">
        <f>IFERROR(__xludf.DUMMYFUNCTION("IMPORTRANGE(""https://docs.google.com/spreadsheets/d/""&amp;$A22&amp;""/edit#gid=156619080"",AM$3)"),"")</f>
        <v/>
      </c>
      <c r="AN22" s="2">
        <f>IFERROR(__xludf.DUMMYFUNCTION("IMPORTRANGE(""https://docs.google.com/spreadsheets/d/""&amp;$A22&amp;""/edit#gid=156619080"",AN$3)"),-1.0)</f>
        <v>-1</v>
      </c>
      <c r="AO22" s="2" t="str">
        <f>IFERROR(__xludf.DUMMYFUNCTION("IMPORTRANGE(""https://docs.google.com/spreadsheets/d/""&amp;$A22&amp;""/edit#gid=156619080"",AO$3)"),"")</f>
        <v/>
      </c>
      <c r="AP22" s="2">
        <f>IFERROR(__xludf.DUMMYFUNCTION("IMPORTRANGE(""https://docs.google.com/spreadsheets/d/""&amp;$A22&amp;""/edit#gid=156619080"",AP$3)"),1.0)</f>
        <v>1</v>
      </c>
      <c r="AQ22" s="2" t="str">
        <f>IFERROR(__xludf.DUMMYFUNCTION("IMPORTRANGE(""https://docs.google.com/spreadsheets/d/""&amp;$A22&amp;""/edit#gid=156619080"",AQ$3)"),"")</f>
        <v/>
      </c>
      <c r="AR22" s="18">
        <f>IFERROR(__xludf.DUMMYFUNCTION("IMPORTRANGE(""https://docs.google.com/spreadsheets/d/""&amp;$A22&amp;""/edit#gid=156619080"",AR$3)"),-2.499999999999991)</f>
        <v>-2.5</v>
      </c>
      <c r="AS22" s="19" t="str">
        <f>IFERROR(__xludf.DUMMYFUNCTION("IMPORTRANGE(""https://docs.google.com/spreadsheets/d/""&amp;$A22&amp;""/edit#gid=156619080"",AS$3)"),"-100
-92.5
-45
55
")</f>
        <v>-100
-92.5
-45
55
</v>
      </c>
      <c r="AT22" s="18">
        <f>IFERROR(__xludf.DUMMYFUNCTION("IMPORTRANGE(""https://docs.google.com/spreadsheets/d/""&amp;$A22&amp;""/edit#gid=156619080"",AT$3)"),-55.219780219780226)</f>
        <v>-55.21978022</v>
      </c>
      <c r="AU22" s="3" t="str">
        <f>IFERROR(__xludf.DUMMYFUNCTION("IMPORTRANGE(""https://docs.google.com/spreadsheets/d/""&amp;$A22&amp;""/edit#gid=156619080"",AU$3)"),"45.6
31.18
3.57
-12.36
")</f>
        <v>45.6
31.18
3.57
-12.36
</v>
      </c>
      <c r="AV22" s="18">
        <f>IFERROR(__xludf.DUMMYFUNCTION("IMPORTRANGE(""https://docs.google.com/spreadsheets/d/""&amp;$A22&amp;""/edit#gid=156619080"",AV$3)"),15.909090909090907)</f>
        <v>15.90909091</v>
      </c>
      <c r="AW22" s="19" t="str">
        <f>IFERROR(__xludf.DUMMYFUNCTION("IMPORTRANGE(""https://docs.google.com/spreadsheets/d/""&amp;$A22&amp;""/edit#gid=156619080"",AW$3)"),"7.86
1.2
3.28
19.55
")</f>
        <v>7.86
1.2
3.28
19.55
</v>
      </c>
      <c r="AX22" s="2">
        <f>IFERROR(__xludf.DUMMYFUNCTION("IMPORTRANGE(""https://docs.google.com/spreadsheets/d/""&amp;$A22&amp;""/edit#gid=156619080"",AX$3)"),40.98)</f>
        <v>40.98</v>
      </c>
      <c r="AY22" s="2">
        <f>IFERROR(__xludf.DUMMYFUNCTION("IMPORTRANGE(""https://docs.google.com/spreadsheets/d/""&amp;$A22&amp;""/edit#gid=156619080"",AY$3)"),43.56)</f>
        <v>43.56</v>
      </c>
      <c r="AZ22" s="2">
        <f>IFERROR(__xludf.DUMMYFUNCTION("IMPORTRANGE(""https://docs.google.com/spreadsheets/d/""&amp;$A22&amp;""/edit#gid=156619080"",AZ$3)"),579.5)</f>
        <v>579.5</v>
      </c>
      <c r="BA22" s="2">
        <f>IFERROR(__xludf.DUMMYFUNCTION("IMPORTRANGE(""https://docs.google.com/spreadsheets/d/""&amp;$A22&amp;""/edit#gid=156619080"",BA$3)"),-6.330000000000041)</f>
        <v>-6.33</v>
      </c>
      <c r="BB22" s="2">
        <f>IFERROR(__xludf.DUMMYFUNCTION("IMPORTRANGE(""https://docs.google.com/spreadsheets/d/""&amp;$A22&amp;""/edit#gid=156619080"",BB$3)"),-2.42)</f>
        <v>-2.42</v>
      </c>
      <c r="BC22" s="2" t="str">
        <f>IFERROR(__xludf.DUMMYFUNCTION("IMPORTRANGE(""https://docs.google.com/spreadsheets/d/""&amp;$A22&amp;""/edit#gid=156619080"",BC$3)"),"DC→DC")</f>
        <v>DC→DC</v>
      </c>
    </row>
    <row r="23" ht="51.0" customHeight="1">
      <c r="A23" s="7" t="str">
        <f t="shared" si="5"/>
        <v>18_tWRZzvPPknWIGeD4xH1F6oAAHn82sYMKhFedKSgEU</v>
      </c>
      <c r="B23" s="1" t="s">
        <v>50</v>
      </c>
      <c r="C23" s="2">
        <f>IFERROR(__xludf.DUMMYFUNCTION("IMPORTRANGE(""https://docs.google.com/spreadsheets/d/""&amp;$A23&amp;""/edit#gid=156619080"",C$3)"),132.0)</f>
        <v>132</v>
      </c>
      <c r="D23" s="2">
        <f>IFERROR(__xludf.DUMMYFUNCTION("IMPORTRANGE(""https://docs.google.com/spreadsheets/d/""&amp;$A23&amp;""/edit#gid=156619080"",D$3)"),3863.0)</f>
        <v>3863</v>
      </c>
      <c r="E23" s="15">
        <f>IFERROR(__xludf.DUMMYFUNCTION("IMPORTRANGE(""https://docs.google.com/spreadsheets/d/""&amp;$A23&amp;""/edit#gid=156619080"",E$3)"),43882.0)</f>
        <v>43882</v>
      </c>
      <c r="F23" s="2">
        <f>IFERROR(__xludf.DUMMYFUNCTION("IMPORTRANGE(""https://docs.google.com/spreadsheets/d/""&amp;$A23&amp;""/edit#gid=156619080"",F$3)"),-16.0)</f>
        <v>-16</v>
      </c>
      <c r="G23" s="16">
        <f>IFERROR(__xludf.DUMMYFUNCTION("IMPORTRANGE(""https://docs.google.com/spreadsheets/d/""&amp;$A23&amp;""/edit#gid=156619080"",G$3)"),-0.93)</f>
        <v>-0.93</v>
      </c>
      <c r="H23" s="16">
        <f>IFERROR(__xludf.DUMMYFUNCTION("IMPORTRANGE(""https://docs.google.com/spreadsheets/d/""&amp;$A23&amp;""/edit#gid=156619080"",H$3)"),1709.0)</f>
        <v>1709</v>
      </c>
      <c r="I23" s="16">
        <f>IFERROR(__xludf.DUMMYFUNCTION("IMPORTRANGE(""https://docs.google.com/spreadsheets/d/""&amp;$A23&amp;""/edit#gid=156619080"",I$3)"),12.0)</f>
        <v>12</v>
      </c>
      <c r="J23" s="16">
        <f>IFERROR(__xludf.DUMMYFUNCTION("IMPORTRANGE(""https://docs.google.com/spreadsheets/d/""&amp;$A23&amp;""/edit#gid=156619080"",J$3)"),1724.0)</f>
        <v>1724</v>
      </c>
      <c r="K23" s="16">
        <f>IFERROR(__xludf.DUMMYFUNCTION("IMPORTRANGE(""https://docs.google.com/spreadsheets/d/""&amp;$A23&amp;""/edit#gid=156619080"",K$3)"),0.3972222222222222)</f>
        <v>0.3972222222</v>
      </c>
      <c r="L23" s="16">
        <f>IFERROR(__xludf.DUMMYFUNCTION("IMPORTRANGE(""https://docs.google.com/spreadsheets/d/""&amp;$A23&amp;""/edit#gid=156619080"",L$3)"),1705.0)</f>
        <v>1705</v>
      </c>
      <c r="M23" s="16">
        <f>IFERROR(__xludf.DUMMYFUNCTION("IMPORTRANGE(""https://docs.google.com/spreadsheets/d/""&amp;$A23&amp;""/edit#gid=156619080"",M$3)"),0.375)</f>
        <v>0.375</v>
      </c>
      <c r="N23" s="16">
        <f>IFERROR(__xludf.DUMMYFUNCTION("IMPORTRANGE(""https://docs.google.com/spreadsheets/d/""&amp;$A23&amp;""/edit#gid=156619080"",N$3)"),1705.0)</f>
        <v>1705</v>
      </c>
      <c r="O23" s="16" t="str">
        <f>IFERROR(__xludf.DUMMYFUNCTION("IMPORTRANGE(""https://docs.google.com/spreadsheets/d/""&amp;$A23&amp;""/edit#gid=156619080"",O$3)"),"379900株")</f>
        <v>379900株</v>
      </c>
      <c r="P23" s="16" t="str">
        <f>IFERROR(__xludf.DUMMYFUNCTION("IMPORTRANGE(""https://docs.google.com/spreadsheets/d/""&amp;$A23&amp;""/edit#gid=156619080"",P$3)"),"651百万円")</f>
        <v>651百万円</v>
      </c>
      <c r="Q23" s="16" t="str">
        <f>IFERROR(__xludf.DUMMYFUNCTION("IMPORTRANGE(""https://docs.google.com/spreadsheets/d/""&amp;$A23&amp;""/edit#gid=156619080"",Q$3)"),"868回")</f>
        <v>868回</v>
      </c>
      <c r="R23" s="16" t="str">
        <f>IFERROR(__xludf.DUMMYFUNCTION("IMPORTRANGE(""https://docs.google.com/spreadsheets/d/""&amp;$A23&amp;""/edit#gid=156619080"",R$3)"),"1982億円")</f>
        <v>1982億円</v>
      </c>
      <c r="S23" s="16" t="str">
        <f>IFERROR(__xludf.DUMMYFUNCTION("IMPORTRANGE(""https://docs.google.com/spreadsheets/d/""&amp;$A23&amp;""/edit#gid=156619080"",S$3)"),"陰線")</f>
        <v>陰線</v>
      </c>
      <c r="T23" s="16" t="str">
        <f>IFERROR(__xludf.DUMMYFUNCTION("IMPORTRANGE(""https://docs.google.com/spreadsheets/d/""&amp;$A23&amp;""/edit#gid=156619080"",T$3)"),"")</f>
        <v/>
      </c>
      <c r="U23" s="16">
        <f>IFERROR(__xludf.DUMMYFUNCTION("IMPORTRANGE(""https://docs.google.com/spreadsheets/d/""&amp;$A23&amp;""/edit#gid=156619080"",U$3)"),1723.6)</f>
        <v>1723.6</v>
      </c>
      <c r="V23" s="16">
        <f>IFERROR(__xludf.DUMMYFUNCTION("IMPORTRANGE(""https://docs.google.com/spreadsheets/d/""&amp;$A23&amp;""/edit#gid=156619080"",V$3)"),1781.2)</f>
        <v>1781.2</v>
      </c>
      <c r="W23" s="16">
        <f>IFERROR(__xludf.DUMMYFUNCTION("IMPORTRANGE(""https://docs.google.com/spreadsheets/d/""&amp;$A23&amp;""/edit#gid=156619080"",W$3)"),1791.5)</f>
        <v>1791.5</v>
      </c>
      <c r="X23" s="2">
        <f>IFERROR(__xludf.DUMMYFUNCTION("IMPORTRANGE(""https://docs.google.com/spreadsheets/d/""&amp;$A23&amp;""/edit#gid=156619080"",X$3)"),1826.4)</f>
        <v>1826.4</v>
      </c>
      <c r="Y23" s="17">
        <f>IFERROR(__xludf.DUMMYFUNCTION("IMPORTRANGE(""https://docs.google.com/spreadsheets/d/""&amp;$A23&amp;""/edit#gid=156619080"",Y$3)"),-0.010791366906474769)</f>
        <v>-0.01079136691</v>
      </c>
      <c r="Z23" s="2">
        <f>IFERROR(__xludf.DUMMYFUNCTION("IMPORTRANGE(""https://docs.google.com/spreadsheets/d/""&amp;$A23&amp;""/edit#gid=156619080"",Z$3)"),1884.17)</f>
        <v>1884.17</v>
      </c>
      <c r="AA23" s="2">
        <f>IFERROR(__xludf.DUMMYFUNCTION("IMPORTRANGE(""https://docs.google.com/spreadsheets/d/""&amp;$A23&amp;""/edit#gid=156619080"",AA$3)"),1872.58)</f>
        <v>1872.58</v>
      </c>
      <c r="AB23" s="2">
        <f>IFERROR(__xludf.DUMMYFUNCTION("IMPORTRANGE(""https://docs.google.com/spreadsheets/d/""&amp;$A23&amp;""/edit#gid=156619080"",AB$3)"),1861.0)</f>
        <v>1861</v>
      </c>
      <c r="AC23" s="18">
        <f>IFERROR(__xludf.DUMMYFUNCTION("IMPORTRANGE(""https://docs.google.com/spreadsheets/d/""&amp;$A23&amp;""/edit#gid=156619080"",AC$3)"),1849.42)</f>
        <v>1849.42</v>
      </c>
      <c r="AD23" s="18">
        <f>IFERROR(__xludf.DUMMYFUNCTION("IMPORTRANGE(""https://docs.google.com/spreadsheets/d/""&amp;$A23&amp;""/edit#gid=156619080"",AD$3)"),1837.83)</f>
        <v>1837.83</v>
      </c>
      <c r="AE23" s="18">
        <f>IFERROR(__xludf.DUMMYFUNCTION("IMPORTRANGE(""https://docs.google.com/spreadsheets/d/""&amp;$A23&amp;""/edit#gid=156619080"",AE$3)"),1791.5)</f>
        <v>1791.5</v>
      </c>
      <c r="AF23" s="2">
        <f>IFERROR(__xludf.DUMMYFUNCTION("IMPORTRANGE(""https://docs.google.com/spreadsheets/d/""&amp;$A23&amp;""/edit#gid=156619080"",AF$3)"),1745.17)</f>
        <v>1745.17</v>
      </c>
      <c r="AG23" s="2">
        <f>IFERROR(__xludf.DUMMYFUNCTION("IMPORTRANGE(""https://docs.google.com/spreadsheets/d/""&amp;$A23&amp;""/edit#gid=156619080"",AG$3)"),1733.58)</f>
        <v>1733.58</v>
      </c>
      <c r="AH23" s="2">
        <f>IFERROR(__xludf.DUMMYFUNCTION("IMPORTRANGE(""https://docs.google.com/spreadsheets/d/""&amp;$A23&amp;""/edit#gid=156619080"",AH$3)"),1722.0)</f>
        <v>1722</v>
      </c>
      <c r="AI23" s="2">
        <f>IFERROR(__xludf.DUMMYFUNCTION("IMPORTRANGE(""https://docs.google.com/spreadsheets/d/""&amp;$A23&amp;""/edit#gid=156619080"",AI$3)"),1710.42)</f>
        <v>1710.42</v>
      </c>
      <c r="AJ23" s="2">
        <f>IFERROR(__xludf.DUMMYFUNCTION("IMPORTRANGE(""https://docs.google.com/spreadsheets/d/""&amp;$A23&amp;""/edit#gid=156619080"",AJ$3)"),1698.83)</f>
        <v>1698.83</v>
      </c>
      <c r="AK23" s="2" t="str">
        <f>IFERROR(__xludf.DUMMYFUNCTION("IMPORTRANGE(""https://docs.google.com/spreadsheets/d/""&amp;$A23&amp;""/edit#gid=156619080"",AK$3)"),"-1.75σ〜-2σ")</f>
        <v>-1.75σ〜-2σ</v>
      </c>
      <c r="AL23" s="2">
        <f>IFERROR(__xludf.DUMMYFUNCTION("IMPORTRANGE(""https://docs.google.com/spreadsheets/d/""&amp;$A23&amp;""/edit#gid=156619080"",AL$3)"),-1.0)</f>
        <v>-1</v>
      </c>
      <c r="AM23" s="2" t="str">
        <f>IFERROR(__xludf.DUMMYFUNCTION("IMPORTRANGE(""https://docs.google.com/spreadsheets/d/""&amp;$A23&amp;""/edit#gid=156619080"",AM$3)"),"")</f>
        <v/>
      </c>
      <c r="AN23" s="2">
        <f>IFERROR(__xludf.DUMMYFUNCTION("IMPORTRANGE(""https://docs.google.com/spreadsheets/d/""&amp;$A23&amp;""/edit#gid=156619080"",AN$3)"),-1.0)</f>
        <v>-1</v>
      </c>
      <c r="AO23" s="2" t="str">
        <f>IFERROR(__xludf.DUMMYFUNCTION("IMPORTRANGE(""https://docs.google.com/spreadsheets/d/""&amp;$A23&amp;""/edit#gid=156619080"",AO$3)"),"")</f>
        <v/>
      </c>
      <c r="AP23" s="2">
        <f>IFERROR(__xludf.DUMMYFUNCTION("IMPORTRANGE(""https://docs.google.com/spreadsheets/d/""&amp;$A23&amp;""/edit#gid=156619080"",AP$3)"),-1.0)</f>
        <v>-1</v>
      </c>
      <c r="AQ23" s="2" t="str">
        <f>IFERROR(__xludf.DUMMYFUNCTION("IMPORTRANGE(""https://docs.google.com/spreadsheets/d/""&amp;$A23&amp;""/edit#gid=156619080"",AQ$3)"),"")</f>
        <v/>
      </c>
      <c r="AR23" s="18">
        <f>IFERROR(__xludf.DUMMYFUNCTION("IMPORTRANGE(""https://docs.google.com/spreadsheets/d/""&amp;$A23&amp;""/edit#gid=156619080"",AR$3)"),-89.99999999999999)</f>
        <v>-90</v>
      </c>
      <c r="AS23" s="19" t="str">
        <f>IFERROR(__xludf.DUMMYFUNCTION("IMPORTRANGE(""https://docs.google.com/spreadsheets/d/""&amp;$A23&amp;""/edit#gid=156619080"",AS$3)"),"-70
-100
-100
-90
")</f>
        <v>-70
-100
-100
-90
</v>
      </c>
      <c r="AT23" s="18">
        <f>IFERROR(__xludf.DUMMYFUNCTION("IMPORTRANGE(""https://docs.google.com/spreadsheets/d/""&amp;$A23&amp;""/edit#gid=156619080"",AT$3)"),-92.85714285714286)</f>
        <v>-92.85714286</v>
      </c>
      <c r="AU23" s="3" t="str">
        <f>IFERROR(__xludf.DUMMYFUNCTION("IMPORTRANGE(""https://docs.google.com/spreadsheets/d/""&amp;$A23&amp;""/edit#gid=156619080"",AU$3)"),"-28.16
-40.25
-62.09
-77.47
")</f>
        <v>-28.16
-40.25
-62.09
-77.47
</v>
      </c>
      <c r="AV23" s="18">
        <f>IFERROR(__xludf.DUMMYFUNCTION("IMPORTRANGE(""https://docs.google.com/spreadsheets/d/""&amp;$A23&amp;""/edit#gid=156619080"",AV$3)"),-68.73376623376623)</f>
        <v>-68.73376623</v>
      </c>
      <c r="AW23" s="19" t="str">
        <f>IFERROR(__xludf.DUMMYFUNCTION("IMPORTRANGE(""https://docs.google.com/spreadsheets/d/""&amp;$A23&amp;""/edit#gid=156619080"",AW$3)"),"-49.25
-56.66
-62.5
-65.75
")</f>
        <v>-49.25
-56.66
-62.5
-65.75
</v>
      </c>
      <c r="AX23" s="2">
        <f>IFERROR(__xludf.DUMMYFUNCTION("IMPORTRANGE(""https://docs.google.com/spreadsheets/d/""&amp;$A23&amp;""/edit#gid=156619080"",AX$3)"),6.0600000000000005)</f>
        <v>6.06</v>
      </c>
      <c r="AY23" s="2">
        <f>IFERROR(__xludf.DUMMYFUNCTION("IMPORTRANGE(""https://docs.google.com/spreadsheets/d/""&amp;$A23&amp;""/edit#gid=156619080"",AY$3)"),33.33)</f>
        <v>33.33</v>
      </c>
      <c r="AZ23" s="2">
        <f>IFERROR(__xludf.DUMMYFUNCTION("IMPORTRANGE(""https://docs.google.com/spreadsheets/d/""&amp;$A23&amp;""/edit#gid=156619080"",AZ$3)"),1727.31)</f>
        <v>1727.31</v>
      </c>
      <c r="BA23" s="2">
        <f>IFERROR(__xludf.DUMMYFUNCTION("IMPORTRANGE(""https://docs.google.com/spreadsheets/d/""&amp;$A23&amp;""/edit#gid=156619080"",BA$3)"),-54.180000000000064)</f>
        <v>-54.18</v>
      </c>
      <c r="BB23" s="2">
        <f>IFERROR(__xludf.DUMMYFUNCTION("IMPORTRANGE(""https://docs.google.com/spreadsheets/d/""&amp;$A23&amp;""/edit#gid=156619080"",BB$3)"),-31.06)</f>
        <v>-31.06</v>
      </c>
      <c r="BC23" s="2" t="str">
        <f>IFERROR(__xludf.DUMMYFUNCTION("IMPORTRANGE(""https://docs.google.com/spreadsheets/d/""&amp;$A23&amp;""/edit#gid=156619080"",BC$3)"),"DC→DC")</f>
        <v>DC→DC</v>
      </c>
    </row>
    <row r="24" ht="51.0" customHeight="1">
      <c r="A24" s="7" t="str">
        <f t="shared" si="5"/>
        <v>1GUtdn0mf52UjEi4Dc6qQOLZ6Q96gA0tpsfq2_nVNlmM</v>
      </c>
      <c r="B24" s="1" t="s">
        <v>51</v>
      </c>
      <c r="C24" s="2">
        <f>IFERROR(__xludf.DUMMYFUNCTION("IMPORTRANGE(""https://docs.google.com/spreadsheets/d/""&amp;$A24&amp;""/edit#gid=156619080"",C$3)"),132.0)</f>
        <v>132</v>
      </c>
      <c r="D24" s="2">
        <f>IFERROR(__xludf.DUMMYFUNCTION("IMPORTRANGE(""https://docs.google.com/spreadsheets/d/""&amp;$A24&amp;""/edit#gid=156619080"",D$3)"),3405.0)</f>
        <v>3405</v>
      </c>
      <c r="E24" s="15">
        <f>IFERROR(__xludf.DUMMYFUNCTION("IMPORTRANGE(""https://docs.google.com/spreadsheets/d/""&amp;$A24&amp;""/edit#gid=156619080"",E$3)"),43882.0)</f>
        <v>43882</v>
      </c>
      <c r="F24" s="2">
        <f>IFERROR(__xludf.DUMMYFUNCTION("IMPORTRANGE(""https://docs.google.com/spreadsheets/d/""&amp;$A24&amp;""/edit#gid=156619080"",F$3)"),0.0)</f>
        <v>0</v>
      </c>
      <c r="G24" s="16">
        <f>IFERROR(__xludf.DUMMYFUNCTION("IMPORTRANGE(""https://docs.google.com/spreadsheets/d/""&amp;$A24&amp;""/edit#gid=156619080"",G$3)"),0.0)</f>
        <v>0</v>
      </c>
      <c r="H24" s="16">
        <f>IFERROR(__xludf.DUMMYFUNCTION("IMPORTRANGE(""https://docs.google.com/spreadsheets/d/""&amp;$A24&amp;""/edit#gid=156619080"",H$3)"),1255.0)</f>
        <v>1255</v>
      </c>
      <c r="I24" s="16">
        <f>IFERROR(__xludf.DUMMYFUNCTION("IMPORTRANGE(""https://docs.google.com/spreadsheets/d/""&amp;$A24&amp;""/edit#gid=156619080"",I$3)"),7.0)</f>
        <v>7</v>
      </c>
      <c r="J24" s="16">
        <f>IFERROR(__xludf.DUMMYFUNCTION("IMPORTRANGE(""https://docs.google.com/spreadsheets/d/""&amp;$A24&amp;""/edit#gid=156619080"",J$3)"),1279.0)</f>
        <v>1279</v>
      </c>
      <c r="K24" s="16">
        <f>IFERROR(__xludf.DUMMYFUNCTION("IMPORTRANGE(""https://docs.google.com/spreadsheets/d/""&amp;$A24&amp;""/edit#gid=156619080"",K$3)"),0.4041666666666667)</f>
        <v>0.4041666667</v>
      </c>
      <c r="L24" s="16">
        <f>IFERROR(__xludf.DUMMYFUNCTION("IMPORTRANGE(""https://docs.google.com/spreadsheets/d/""&amp;$A24&amp;""/edit#gid=156619080"",L$3)"),1255.0)</f>
        <v>1255</v>
      </c>
      <c r="M24" s="16">
        <f>IFERROR(__xludf.DUMMYFUNCTION("IMPORTRANGE(""https://docs.google.com/spreadsheets/d/""&amp;$A24&amp;""/edit#gid=156619080"",M$3)"),0.375)</f>
        <v>0.375</v>
      </c>
      <c r="N24" s="16">
        <f>IFERROR(__xludf.DUMMYFUNCTION("IMPORTRANGE(""https://docs.google.com/spreadsheets/d/""&amp;$A24&amp;""/edit#gid=156619080"",N$3)"),1262.0)</f>
        <v>1262</v>
      </c>
      <c r="O24" s="16" t="str">
        <f>IFERROR(__xludf.DUMMYFUNCTION("IMPORTRANGE(""https://docs.google.com/spreadsheets/d/""&amp;$A24&amp;""/edit#gid=156619080"",O$3)"),"1462200株")</f>
        <v>1462200株</v>
      </c>
      <c r="P24" s="16" t="str">
        <f>IFERROR(__xludf.DUMMYFUNCTION("IMPORTRANGE(""https://docs.google.com/spreadsheets/d/""&amp;$A24&amp;""/edit#gid=156619080"",P$3)"),"1853百万円")</f>
        <v>1853百万円</v>
      </c>
      <c r="Q24" s="16" t="str">
        <f>IFERROR(__xludf.DUMMYFUNCTION("IMPORTRANGE(""https://docs.google.com/spreadsheets/d/""&amp;$A24&amp;""/edit#gid=156619080"",Q$3)"),"2594回")</f>
        <v>2594回</v>
      </c>
      <c r="R24" s="16" t="str">
        <f>IFERROR(__xludf.DUMMYFUNCTION("IMPORTRANGE(""https://docs.google.com/spreadsheets/d/""&amp;$A24&amp;""/edit#gid=156619080"",R$3)"),"4478億円")</f>
        <v>4478億円</v>
      </c>
      <c r="S24" s="16" t="str">
        <f>IFERROR(__xludf.DUMMYFUNCTION("IMPORTRANGE(""https://docs.google.com/spreadsheets/d/""&amp;$A24&amp;""/edit#gid=156619080"",S$3)"),"陽線")</f>
        <v>陽線</v>
      </c>
      <c r="T24" s="16" t="str">
        <f>IFERROR(__xludf.DUMMYFUNCTION("IMPORTRANGE(""https://docs.google.com/spreadsheets/d/""&amp;$A24&amp;""/edit#gid=156619080"",T$3)"),"")</f>
        <v/>
      </c>
      <c r="U24" s="16">
        <f>IFERROR(__xludf.DUMMYFUNCTION("IMPORTRANGE(""https://docs.google.com/spreadsheets/d/""&amp;$A24&amp;""/edit#gid=156619080"",U$3)"),1278.8)</f>
        <v>1278.8</v>
      </c>
      <c r="V24" s="16">
        <f>IFERROR(__xludf.DUMMYFUNCTION("IMPORTRANGE(""https://docs.google.com/spreadsheets/d/""&amp;$A24&amp;""/edit#gid=156619080"",V$3)"),1322.4)</f>
        <v>1322.4</v>
      </c>
      <c r="W24" s="16">
        <f>IFERROR(__xludf.DUMMYFUNCTION("IMPORTRANGE(""https://docs.google.com/spreadsheets/d/""&amp;$A24&amp;""/edit#gid=156619080"",W$3)"),1323.3)</f>
        <v>1323.3</v>
      </c>
      <c r="X24" s="2">
        <f>IFERROR(__xludf.DUMMYFUNCTION("IMPORTRANGE(""https://docs.google.com/spreadsheets/d/""&amp;$A24&amp;""/edit#gid=156619080"",X$3)"),1324.4)</f>
        <v>1324.4</v>
      </c>
      <c r="Y24" s="17">
        <f>IFERROR(__xludf.DUMMYFUNCTION("IMPORTRANGE(""https://docs.google.com/spreadsheets/d/""&amp;$A24&amp;""/edit#gid=156619080"",Y$3)"),-0.01313731623396931)</f>
        <v>-0.01313731623</v>
      </c>
      <c r="Z24" s="2">
        <f>IFERROR(__xludf.DUMMYFUNCTION("IMPORTRANGE(""https://docs.google.com/spreadsheets/d/""&amp;$A24&amp;""/edit#gid=156619080"",Z$3)"),1391.77)</f>
        <v>1391.77</v>
      </c>
      <c r="AA24" s="2">
        <f>IFERROR(__xludf.DUMMYFUNCTION("IMPORTRANGE(""https://docs.google.com/spreadsheets/d/""&amp;$A24&amp;""/edit#gid=156619080"",AA$3)"),1383.21)</f>
        <v>1383.21</v>
      </c>
      <c r="AB24" s="2">
        <f>IFERROR(__xludf.DUMMYFUNCTION("IMPORTRANGE(""https://docs.google.com/spreadsheets/d/""&amp;$A24&amp;""/edit#gid=156619080"",AB$3)"),1374.65)</f>
        <v>1374.65</v>
      </c>
      <c r="AC24" s="18">
        <f>IFERROR(__xludf.DUMMYFUNCTION("IMPORTRANGE(""https://docs.google.com/spreadsheets/d/""&amp;$A24&amp;""/edit#gid=156619080"",AC$3)"),1366.09)</f>
        <v>1366.09</v>
      </c>
      <c r="AD24" s="18">
        <f>IFERROR(__xludf.DUMMYFUNCTION("IMPORTRANGE(""https://docs.google.com/spreadsheets/d/""&amp;$A24&amp;""/edit#gid=156619080"",AD$3)"),1357.53)</f>
        <v>1357.53</v>
      </c>
      <c r="AE24" s="18">
        <f>IFERROR(__xludf.DUMMYFUNCTION("IMPORTRANGE(""https://docs.google.com/spreadsheets/d/""&amp;$A24&amp;""/edit#gid=156619080"",AE$3)"),1323.3)</f>
        <v>1323.3</v>
      </c>
      <c r="AF24" s="2">
        <f>IFERROR(__xludf.DUMMYFUNCTION("IMPORTRANGE(""https://docs.google.com/spreadsheets/d/""&amp;$A24&amp;""/edit#gid=156619080"",AF$3)"),1289.07)</f>
        <v>1289.07</v>
      </c>
      <c r="AG24" s="2">
        <f>IFERROR(__xludf.DUMMYFUNCTION("IMPORTRANGE(""https://docs.google.com/spreadsheets/d/""&amp;$A24&amp;""/edit#gid=156619080"",AG$3)"),1280.51)</f>
        <v>1280.51</v>
      </c>
      <c r="AH24" s="2">
        <f>IFERROR(__xludf.DUMMYFUNCTION("IMPORTRANGE(""https://docs.google.com/spreadsheets/d/""&amp;$A24&amp;""/edit#gid=156619080"",AH$3)"),1271.95)</f>
        <v>1271.95</v>
      </c>
      <c r="AI24" s="2">
        <f>IFERROR(__xludf.DUMMYFUNCTION("IMPORTRANGE(""https://docs.google.com/spreadsheets/d/""&amp;$A24&amp;""/edit#gid=156619080"",AI$3)"),1263.39)</f>
        <v>1263.39</v>
      </c>
      <c r="AJ24" s="2">
        <f>IFERROR(__xludf.DUMMYFUNCTION("IMPORTRANGE(""https://docs.google.com/spreadsheets/d/""&amp;$A24&amp;""/edit#gid=156619080"",AJ$3)"),1254.83)</f>
        <v>1254.83</v>
      </c>
      <c r="AK24" s="2" t="str">
        <f>IFERROR(__xludf.DUMMYFUNCTION("IMPORTRANGE(""https://docs.google.com/spreadsheets/d/""&amp;$A24&amp;""/edit#gid=156619080"",AK$3)"),"-1.75σ〜-2σ")</f>
        <v>-1.75σ〜-2σ</v>
      </c>
      <c r="AL24" s="2">
        <f>IFERROR(__xludf.DUMMYFUNCTION("IMPORTRANGE(""https://docs.google.com/spreadsheets/d/""&amp;$A24&amp;""/edit#gid=156619080"",AL$3)"),-1.0)</f>
        <v>-1</v>
      </c>
      <c r="AM24" s="2" t="str">
        <f>IFERROR(__xludf.DUMMYFUNCTION("IMPORTRANGE(""https://docs.google.com/spreadsheets/d/""&amp;$A24&amp;""/edit#gid=156619080"",AM$3)"),"")</f>
        <v/>
      </c>
      <c r="AN24" s="2">
        <f>IFERROR(__xludf.DUMMYFUNCTION("IMPORTRANGE(""https://docs.google.com/spreadsheets/d/""&amp;$A24&amp;""/edit#gid=156619080"",AN$3)"),-1.0)</f>
        <v>-1</v>
      </c>
      <c r="AO24" s="2" t="str">
        <f>IFERROR(__xludf.DUMMYFUNCTION("IMPORTRANGE(""https://docs.google.com/spreadsheets/d/""&amp;$A24&amp;""/edit#gid=156619080"",AO$3)"),"")</f>
        <v/>
      </c>
      <c r="AP24" s="2">
        <f>IFERROR(__xludf.DUMMYFUNCTION("IMPORTRANGE(""https://docs.google.com/spreadsheets/d/""&amp;$A24&amp;""/edit#gid=156619080"",AP$3)"),-1.0)</f>
        <v>-1</v>
      </c>
      <c r="AQ24" s="2" t="str">
        <f>IFERROR(__xludf.DUMMYFUNCTION("IMPORTRANGE(""https://docs.google.com/spreadsheets/d/""&amp;$A24&amp;""/edit#gid=156619080"",AQ$3)"),"")</f>
        <v/>
      </c>
      <c r="AR24" s="18">
        <f>IFERROR(__xludf.DUMMYFUNCTION("IMPORTRANGE(""https://docs.google.com/spreadsheets/d/""&amp;$A24&amp;""/edit#gid=156619080"",AR$3)"),-92.5)</f>
        <v>-92.5</v>
      </c>
      <c r="AS24" s="19" t="str">
        <f>IFERROR(__xludf.DUMMYFUNCTION("IMPORTRANGE(""https://docs.google.com/spreadsheets/d/""&amp;$A24&amp;""/edit#gid=156619080"",AS$3)"),"-60
-70
-70
-100
")</f>
        <v>-60
-70
-70
-100
</v>
      </c>
      <c r="AT24" s="18">
        <f>IFERROR(__xludf.DUMMYFUNCTION("IMPORTRANGE(""https://docs.google.com/spreadsheets/d/""&amp;$A24&amp;""/edit#gid=156619080"",AT$3)"),-72.11538461538463)</f>
        <v>-72.11538462</v>
      </c>
      <c r="AU24" s="3" t="str">
        <f>IFERROR(__xludf.DUMMYFUNCTION("IMPORTRANGE(""https://docs.google.com/spreadsheets/d/""&amp;$A24&amp;""/edit#gid=156619080"",AU$3)"),"21.43
-4.95
-33.52
-52.2
")</f>
        <v>21.43
-4.95
-33.52
-52.2
</v>
      </c>
      <c r="AV24" s="18">
        <f>IFERROR(__xludf.DUMMYFUNCTION("IMPORTRANGE(""https://docs.google.com/spreadsheets/d/""&amp;$A24&amp;""/edit#gid=156619080"",AV$3)"),-37.04545454545454)</f>
        <v>-37.04545455</v>
      </c>
      <c r="AW24" s="19" t="str">
        <f>IFERROR(__xludf.DUMMYFUNCTION("IMPORTRANGE(""https://docs.google.com/spreadsheets/d/""&amp;$A24&amp;""/edit#gid=156619080"",AW$3)"),"-7.14
-15.97
-23.51
-30.65
")</f>
        <v>-7.14
-15.97
-23.51
-30.65
</v>
      </c>
      <c r="AX24" s="2">
        <f>IFERROR(__xludf.DUMMYFUNCTION("IMPORTRANGE(""https://docs.google.com/spreadsheets/d/""&amp;$A24&amp;""/edit#gid=156619080"",AX$3)"),0.0)</f>
        <v>0</v>
      </c>
      <c r="AY24" s="2">
        <f>IFERROR(__xludf.DUMMYFUNCTION("IMPORTRANGE(""https://docs.google.com/spreadsheets/d/""&amp;$A24&amp;""/edit#gid=156619080"",AY$3)"),38.12)</f>
        <v>38.12</v>
      </c>
      <c r="AZ24" s="2">
        <f>IFERROR(__xludf.DUMMYFUNCTION("IMPORTRANGE(""https://docs.google.com/spreadsheets/d/""&amp;$A24&amp;""/edit#gid=156619080"",AZ$3)"),1279.34)</f>
        <v>1279.34</v>
      </c>
      <c r="BA24" s="2">
        <f>IFERROR(__xludf.DUMMYFUNCTION("IMPORTRANGE(""https://docs.google.com/spreadsheets/d/""&amp;$A24&amp;""/edit#gid=156619080"",BA$3)"),-36.79000000000019)</f>
        <v>-36.79</v>
      </c>
      <c r="BB24" s="2">
        <f>IFERROR(__xludf.DUMMYFUNCTION("IMPORTRANGE(""https://docs.google.com/spreadsheets/d/""&amp;$A24&amp;""/edit#gid=156619080"",BB$3)"),-11.27)</f>
        <v>-11.27</v>
      </c>
      <c r="BC24" s="2" t="str">
        <f>IFERROR(__xludf.DUMMYFUNCTION("IMPORTRANGE(""https://docs.google.com/spreadsheets/d/""&amp;$A24&amp;""/edit#gid=156619080"",BC$3)"),"DC→DC")</f>
        <v>DC→DC</v>
      </c>
    </row>
    <row r="25" ht="51.0" customHeight="1">
      <c r="A25" s="7" t="str">
        <f t="shared" si="5"/>
        <v>1s_Tzt9HvQk8or7jqJbmWyuB1FQ_pdeLOvSVAfaDY1vA</v>
      </c>
      <c r="B25" s="1" t="s">
        <v>52</v>
      </c>
      <c r="C25" s="2">
        <f>IFERROR(__xludf.DUMMYFUNCTION("IMPORTRANGE(""https://docs.google.com/spreadsheets/d/""&amp;$A25&amp;""/edit#gid=156619080"",C$3)"),132.0)</f>
        <v>132</v>
      </c>
      <c r="D25" s="2">
        <f>IFERROR(__xludf.DUMMYFUNCTION("IMPORTRANGE(""https://docs.google.com/spreadsheets/d/""&amp;$A25&amp;""/edit#gid=156619080"",D$3)"),3407.0)</f>
        <v>3407</v>
      </c>
      <c r="E25" s="15">
        <f>IFERROR(__xludf.DUMMYFUNCTION("IMPORTRANGE(""https://docs.google.com/spreadsheets/d/""&amp;$A25&amp;""/edit#gid=156619080"",E$3)"),43882.0)</f>
        <v>43882</v>
      </c>
      <c r="F25" s="2">
        <f>IFERROR(__xludf.DUMMYFUNCTION("IMPORTRANGE(""https://docs.google.com/spreadsheets/d/""&amp;$A25&amp;""/edit#gid=156619080"",F$3)"),-5.5)</f>
        <v>-5.5</v>
      </c>
      <c r="G25" s="16">
        <f>IFERROR(__xludf.DUMMYFUNCTION("IMPORTRANGE(""https://docs.google.com/spreadsheets/d/""&amp;$A25&amp;""/edit#gid=156619080"",G$3)"),-0.54)</f>
        <v>-0.54</v>
      </c>
      <c r="H25" s="16">
        <f>IFERROR(__xludf.DUMMYFUNCTION("IMPORTRANGE(""https://docs.google.com/spreadsheets/d/""&amp;$A25&amp;""/edit#gid=156619080"",H$3)"),1022.0)</f>
        <v>1022</v>
      </c>
      <c r="I25" s="16">
        <f>IFERROR(__xludf.DUMMYFUNCTION("IMPORTRANGE(""https://docs.google.com/spreadsheets/d/""&amp;$A25&amp;""/edit#gid=156619080"",I$3)"),2.0)</f>
        <v>2</v>
      </c>
      <c r="J25" s="16">
        <f>IFERROR(__xludf.DUMMYFUNCTION("IMPORTRANGE(""https://docs.google.com/spreadsheets/d/""&amp;$A25&amp;""/edit#gid=156619080"",J$3)"),1028.5)</f>
        <v>1028.5</v>
      </c>
      <c r="K25" s="16">
        <f>IFERROR(__xludf.DUMMYFUNCTION("IMPORTRANGE(""https://docs.google.com/spreadsheets/d/""&amp;$A25&amp;""/edit#gid=156619080"",K$3)"),0.5208333333333334)</f>
        <v>0.5208333333</v>
      </c>
      <c r="L25" s="16">
        <f>IFERROR(__xludf.DUMMYFUNCTION("IMPORTRANGE(""https://docs.google.com/spreadsheets/d/""&amp;$A25&amp;""/edit#gid=156619080"",L$3)"),1018.5)</f>
        <v>1018.5</v>
      </c>
      <c r="M25" s="16">
        <f>IFERROR(__xludf.DUMMYFUNCTION("IMPORTRANGE(""https://docs.google.com/spreadsheets/d/""&amp;$A25&amp;""/edit#gid=156619080"",M$3)"),0.625)</f>
        <v>0.625</v>
      </c>
      <c r="N25" s="16">
        <f>IFERROR(__xludf.DUMMYFUNCTION("IMPORTRANGE(""https://docs.google.com/spreadsheets/d/""&amp;$A25&amp;""/edit#gid=156619080"",N$3)"),1018.5)</f>
        <v>1018.5</v>
      </c>
      <c r="O25" s="16" t="str">
        <f>IFERROR(__xludf.DUMMYFUNCTION("IMPORTRANGE(""https://docs.google.com/spreadsheets/d/""&amp;$A25&amp;""/edit#gid=156619080"",O$3)"),"2352100株")</f>
        <v>2352100株</v>
      </c>
      <c r="P25" s="16" t="str">
        <f>IFERROR(__xludf.DUMMYFUNCTION("IMPORTRANGE(""https://docs.google.com/spreadsheets/d/""&amp;$A25&amp;""/edit#gid=156619080"",P$3)"),"2405百万円")</f>
        <v>2405百万円</v>
      </c>
      <c r="Q25" s="16" t="str">
        <f>IFERROR(__xludf.DUMMYFUNCTION("IMPORTRANGE(""https://docs.google.com/spreadsheets/d/""&amp;$A25&amp;""/edit#gid=156619080"",Q$3)"),"2063回")</f>
        <v>2063回</v>
      </c>
      <c r="R25" s="16" t="str">
        <f>IFERROR(__xludf.DUMMYFUNCTION("IMPORTRANGE(""https://docs.google.com/spreadsheets/d/""&amp;$A25&amp;""/edit#gid=156619080"",R$3)"),"14197億円")</f>
        <v>14197億円</v>
      </c>
      <c r="S25" s="16" t="str">
        <f>IFERROR(__xludf.DUMMYFUNCTION("IMPORTRANGE(""https://docs.google.com/spreadsheets/d/""&amp;$A25&amp;""/edit#gid=156619080"",S$3)"),"陰線")</f>
        <v>陰線</v>
      </c>
      <c r="T25" s="16" t="str">
        <f>IFERROR(__xludf.DUMMYFUNCTION("IMPORTRANGE(""https://docs.google.com/spreadsheets/d/""&amp;$A25&amp;""/edit#gid=156619080"",T$3)"),"")</f>
        <v/>
      </c>
      <c r="U25" s="16">
        <f>IFERROR(__xludf.DUMMYFUNCTION("IMPORTRANGE(""https://docs.google.com/spreadsheets/d/""&amp;$A25&amp;""/edit#gid=156619080"",U$3)"),1024.1)</f>
        <v>1024.1</v>
      </c>
      <c r="V25" s="16">
        <f>IFERROR(__xludf.DUMMYFUNCTION("IMPORTRANGE(""https://docs.google.com/spreadsheets/d/""&amp;$A25&amp;""/edit#gid=156619080"",V$3)"),1071.8)</f>
        <v>1071.8</v>
      </c>
      <c r="W25" s="16">
        <f>IFERROR(__xludf.DUMMYFUNCTION("IMPORTRANGE(""https://docs.google.com/spreadsheets/d/""&amp;$A25&amp;""/edit#gid=156619080"",W$3)"),1096.4)</f>
        <v>1096.4</v>
      </c>
      <c r="X25" s="2">
        <f>IFERROR(__xludf.DUMMYFUNCTION("IMPORTRANGE(""https://docs.google.com/spreadsheets/d/""&amp;$A25&amp;""/edit#gid=156619080"",X$3)"),1163.6)</f>
        <v>1163.6</v>
      </c>
      <c r="Y25" s="17">
        <f>IFERROR(__xludf.DUMMYFUNCTION("IMPORTRANGE(""https://docs.google.com/spreadsheets/d/""&amp;$A25&amp;""/edit#gid=156619080"",Y$3)"),-0.005468215994531696)</f>
        <v>-0.005468215995</v>
      </c>
      <c r="Z25" s="2">
        <f>IFERROR(__xludf.DUMMYFUNCTION("IMPORTRANGE(""https://docs.google.com/spreadsheets/d/""&amp;$A25&amp;""/edit#gid=156619080"",Z$3)"),1204.16)</f>
        <v>1204.16</v>
      </c>
      <c r="AA25" s="2">
        <f>IFERROR(__xludf.DUMMYFUNCTION("IMPORTRANGE(""https://docs.google.com/spreadsheets/d/""&amp;$A25&amp;""/edit#gid=156619080"",AA$3)"),1190.69)</f>
        <v>1190.69</v>
      </c>
      <c r="AB25" s="2">
        <f>IFERROR(__xludf.DUMMYFUNCTION("IMPORTRANGE(""https://docs.google.com/spreadsheets/d/""&amp;$A25&amp;""/edit#gid=156619080"",AB$3)"),1177.22)</f>
        <v>1177.22</v>
      </c>
      <c r="AC25" s="18">
        <f>IFERROR(__xludf.DUMMYFUNCTION("IMPORTRANGE(""https://docs.google.com/spreadsheets/d/""&amp;$A25&amp;""/edit#gid=156619080"",AC$3)"),1163.75)</f>
        <v>1163.75</v>
      </c>
      <c r="AD25" s="18">
        <f>IFERROR(__xludf.DUMMYFUNCTION("IMPORTRANGE(""https://docs.google.com/spreadsheets/d/""&amp;$A25&amp;""/edit#gid=156619080"",AD$3)"),1150.28)</f>
        <v>1150.28</v>
      </c>
      <c r="AE25" s="18">
        <f>IFERROR(__xludf.DUMMYFUNCTION("IMPORTRANGE(""https://docs.google.com/spreadsheets/d/""&amp;$A25&amp;""/edit#gid=156619080"",AE$3)"),1096.4)</f>
        <v>1096.4</v>
      </c>
      <c r="AF25" s="2">
        <f>IFERROR(__xludf.DUMMYFUNCTION("IMPORTRANGE(""https://docs.google.com/spreadsheets/d/""&amp;$A25&amp;""/edit#gid=156619080"",AF$3)"),1042.52)</f>
        <v>1042.52</v>
      </c>
      <c r="AG25" s="2">
        <f>IFERROR(__xludf.DUMMYFUNCTION("IMPORTRANGE(""https://docs.google.com/spreadsheets/d/""&amp;$A25&amp;""/edit#gid=156619080"",AG$3)"),1029.05)</f>
        <v>1029.05</v>
      </c>
      <c r="AH25" s="2">
        <f>IFERROR(__xludf.DUMMYFUNCTION("IMPORTRANGE(""https://docs.google.com/spreadsheets/d/""&amp;$A25&amp;""/edit#gid=156619080"",AH$3)"),1015.58)</f>
        <v>1015.58</v>
      </c>
      <c r="AI25" s="2">
        <f>IFERROR(__xludf.DUMMYFUNCTION("IMPORTRANGE(""https://docs.google.com/spreadsheets/d/""&amp;$A25&amp;""/edit#gid=156619080"",AI$3)"),1002.11)</f>
        <v>1002.11</v>
      </c>
      <c r="AJ25" s="2">
        <f>IFERROR(__xludf.DUMMYFUNCTION("IMPORTRANGE(""https://docs.google.com/spreadsheets/d/""&amp;$A25&amp;""/edit#gid=156619080"",AJ$3)"),988.64)</f>
        <v>988.64</v>
      </c>
      <c r="AK25" s="2" t="str">
        <f>IFERROR(__xludf.DUMMYFUNCTION("IMPORTRANGE(""https://docs.google.com/spreadsheets/d/""&amp;$A25&amp;""/edit#gid=156619080"",AK$3)"),"-1.25σ〜-1.5σ")</f>
        <v>-1.25σ〜-1.5σ</v>
      </c>
      <c r="AL25" s="2">
        <f>IFERROR(__xludf.DUMMYFUNCTION("IMPORTRANGE(""https://docs.google.com/spreadsheets/d/""&amp;$A25&amp;""/edit#gid=156619080"",AL$3)"),-1.0)</f>
        <v>-1</v>
      </c>
      <c r="AM25" s="2" t="str">
        <f>IFERROR(__xludf.DUMMYFUNCTION("IMPORTRANGE(""https://docs.google.com/spreadsheets/d/""&amp;$A25&amp;""/edit#gid=156619080"",AM$3)"),"")</f>
        <v/>
      </c>
      <c r="AN25" s="2">
        <f>IFERROR(__xludf.DUMMYFUNCTION("IMPORTRANGE(""https://docs.google.com/spreadsheets/d/""&amp;$A25&amp;""/edit#gid=156619080"",AN$3)"),-1.0)</f>
        <v>-1</v>
      </c>
      <c r="AO25" s="2" t="str">
        <f>IFERROR(__xludf.DUMMYFUNCTION("IMPORTRANGE(""https://docs.google.com/spreadsheets/d/""&amp;$A25&amp;""/edit#gid=156619080"",AO$3)"),"")</f>
        <v/>
      </c>
      <c r="AP25" s="2">
        <f>IFERROR(__xludf.DUMMYFUNCTION("IMPORTRANGE(""https://docs.google.com/spreadsheets/d/""&amp;$A25&amp;""/edit#gid=156619080"",AP$3)"),-1.0)</f>
        <v>-1</v>
      </c>
      <c r="AQ25" s="2" t="str">
        <f>IFERROR(__xludf.DUMMYFUNCTION("IMPORTRANGE(""https://docs.google.com/spreadsheets/d/""&amp;$A25&amp;""/edit#gid=156619080"",AQ$3)"),"")</f>
        <v/>
      </c>
      <c r="AR25" s="18">
        <f>IFERROR(__xludf.DUMMYFUNCTION("IMPORTRANGE(""https://docs.google.com/spreadsheets/d/""&amp;$A25&amp;""/edit#gid=156619080"",AR$3)"),-70.0)</f>
        <v>-70</v>
      </c>
      <c r="AS25" s="19" t="str">
        <f>IFERROR(__xludf.DUMMYFUNCTION("IMPORTRANGE(""https://docs.google.com/spreadsheets/d/""&amp;$A25&amp;""/edit#gid=156619080"",AS$3)"),"-70
-90
-100
-90
")</f>
        <v>-70
-90
-100
-90
</v>
      </c>
      <c r="AT25" s="18">
        <f>IFERROR(__xludf.DUMMYFUNCTION("IMPORTRANGE(""https://docs.google.com/spreadsheets/d/""&amp;$A25&amp;""/edit#gid=156619080"",AT$3)"),-94.5054945054945)</f>
        <v>-94.50549451</v>
      </c>
      <c r="AU25" s="3" t="str">
        <f>IFERROR(__xludf.DUMMYFUNCTION("IMPORTRANGE(""https://docs.google.com/spreadsheets/d/""&amp;$A25&amp;""/edit#gid=156619080"",AU$3)"),"-72.53
-81.87
-89.01
-92.31
")</f>
        <v>-72.53
-81.87
-89.01
-92.31
</v>
      </c>
      <c r="AV25" s="18">
        <f>IFERROR(__xludf.DUMMYFUNCTION("IMPORTRANGE(""https://docs.google.com/spreadsheets/d/""&amp;$A25&amp;""/edit#gid=156619080"",AV$3)"),-83.50649350649351)</f>
        <v>-83.50649351</v>
      </c>
      <c r="AW25" s="19" t="str">
        <f>IFERROR(__xludf.DUMMYFUNCTION("IMPORTRANGE(""https://docs.google.com/spreadsheets/d/""&amp;$A25&amp;""/edit#gid=156619080"",AW$3)"),"-78.83
-80.78
-80.78
-82.34
")</f>
        <v>-78.83
-80.78
-80.78
-82.34
</v>
      </c>
      <c r="AX25" s="2">
        <f>IFERROR(__xludf.DUMMYFUNCTION("IMPORTRANGE(""https://docs.google.com/spreadsheets/d/""&amp;$A25&amp;""/edit#gid=156619080"",AX$3)"),20.0)</f>
        <v>20</v>
      </c>
      <c r="AY25" s="2">
        <f>IFERROR(__xludf.DUMMYFUNCTION("IMPORTRANGE(""https://docs.google.com/spreadsheets/d/""&amp;$A25&amp;""/edit#gid=156619080"",AY$3)"),29.25)</f>
        <v>29.25</v>
      </c>
      <c r="AZ25" s="2">
        <f>IFERROR(__xludf.DUMMYFUNCTION("IMPORTRANGE(""https://docs.google.com/spreadsheets/d/""&amp;$A25&amp;""/edit#gid=156619080"",AZ$3)"),1028.32)</f>
        <v>1028.32</v>
      </c>
      <c r="BA25" s="2">
        <f>IFERROR(__xludf.DUMMYFUNCTION("IMPORTRANGE(""https://docs.google.com/spreadsheets/d/""&amp;$A25&amp;""/edit#gid=156619080"",BA$3)"),-60.24000000000001)</f>
        <v>-60.24</v>
      </c>
      <c r="BB25" s="2">
        <f>IFERROR(__xludf.DUMMYFUNCTION("IMPORTRANGE(""https://docs.google.com/spreadsheets/d/""&amp;$A25&amp;""/edit#gid=156619080"",BB$3)"),-50.29)</f>
        <v>-50.29</v>
      </c>
      <c r="BC25" s="2" t="str">
        <f>IFERROR(__xludf.DUMMYFUNCTION("IMPORTRANGE(""https://docs.google.com/spreadsheets/d/""&amp;$A25&amp;""/edit#gid=156619080"",BC$3)"),"DC→DC")</f>
        <v>DC→DC</v>
      </c>
    </row>
    <row r="26" ht="51.0" customHeight="1">
      <c r="A26" s="7" t="str">
        <f t="shared" si="5"/>
        <v>1HXQoRL02YTEqQYj96nU1fyjiwSOdkL73sAI0FEEOFAg</v>
      </c>
      <c r="B26" s="1" t="s">
        <v>53</v>
      </c>
      <c r="C26" s="2">
        <f>IFERROR(__xludf.DUMMYFUNCTION("IMPORTRANGE(""https://docs.google.com/spreadsheets/d/""&amp;$A26&amp;""/edit#gid=156619080"",C$3)"),119.0)</f>
        <v>119</v>
      </c>
      <c r="D26" s="2">
        <f>IFERROR(__xludf.DUMMYFUNCTION("IMPORTRANGE(""https://docs.google.com/spreadsheets/d/""&amp;$A26&amp;""/edit#gid=156619080"",D$3)"),4004.0)</f>
        <v>4004</v>
      </c>
      <c r="E26" s="15">
        <f>IFERROR(__xludf.DUMMYFUNCTION("IMPORTRANGE(""https://docs.google.com/spreadsheets/d/""&amp;$A26&amp;""/edit#gid=156619080"",E$3)"),43882.0)</f>
        <v>43882</v>
      </c>
      <c r="F26" s="2">
        <f>IFERROR(__xludf.DUMMYFUNCTION("IMPORTRANGE(""https://docs.google.com/spreadsheets/d/""&amp;$A26&amp;""/edit#gid=156619080"",F$3)"),-1.0)</f>
        <v>-1</v>
      </c>
      <c r="G26" s="16">
        <f>IFERROR(__xludf.DUMMYFUNCTION("IMPORTRANGE(""https://docs.google.com/spreadsheets/d/""&amp;$A26&amp;""/edit#gid=156619080"",G$3)"),-0.04)</f>
        <v>-0.04</v>
      </c>
      <c r="H26" s="16">
        <f>IFERROR(__xludf.DUMMYFUNCTION("IMPORTRANGE(""https://docs.google.com/spreadsheets/d/""&amp;$A26&amp;""/edit#gid=156619080"",H$3)"),2670.0)</f>
        <v>2670</v>
      </c>
      <c r="I26" s="16">
        <f>IFERROR(__xludf.DUMMYFUNCTION("IMPORTRANGE(""https://docs.google.com/spreadsheets/d/""&amp;$A26&amp;""/edit#gid=156619080"",I$3)"),-15.0)</f>
        <v>-15</v>
      </c>
      <c r="J26" s="16">
        <f>IFERROR(__xludf.DUMMYFUNCTION("IMPORTRANGE(""https://docs.google.com/spreadsheets/d/""&amp;$A26&amp;""/edit#gid=156619080"",J$3)"),2694.0)</f>
        <v>2694</v>
      </c>
      <c r="K26" s="16">
        <f>IFERROR(__xludf.DUMMYFUNCTION("IMPORTRANGE(""https://docs.google.com/spreadsheets/d/""&amp;$A26&amp;""/edit#gid=156619080"",K$3)"),0.4041666666666667)</f>
        <v>0.4041666667</v>
      </c>
      <c r="L26" s="16">
        <f>IFERROR(__xludf.DUMMYFUNCTION("IMPORTRANGE(""https://docs.google.com/spreadsheets/d/""&amp;$A26&amp;""/edit#gid=156619080"",L$3)"),2653.0)</f>
        <v>2653</v>
      </c>
      <c r="M26" s="16">
        <f>IFERROR(__xludf.DUMMYFUNCTION("IMPORTRANGE(""https://docs.google.com/spreadsheets/d/""&amp;$A26&amp;""/edit#gid=156619080"",M$3)"),0.6180555555555556)</f>
        <v>0.6180555556</v>
      </c>
      <c r="N26" s="16">
        <f>IFERROR(__xludf.DUMMYFUNCTION("IMPORTRANGE(""https://docs.google.com/spreadsheets/d/""&amp;$A26&amp;""/edit#gid=156619080"",N$3)"),2654.0)</f>
        <v>2654</v>
      </c>
      <c r="O26" s="16" t="str">
        <f>IFERROR(__xludf.DUMMYFUNCTION("IMPORTRANGE(""https://docs.google.com/spreadsheets/d/""&amp;$A26&amp;""/edit#gid=156619080"",O$3)"),"2138500株")</f>
        <v>2138500株</v>
      </c>
      <c r="P26" s="16" t="str">
        <f>IFERROR(__xludf.DUMMYFUNCTION("IMPORTRANGE(""https://docs.google.com/spreadsheets/d/""&amp;$A26&amp;""/edit#gid=156619080"",P$3)"),"5714百万円")</f>
        <v>5714百万円</v>
      </c>
      <c r="Q26" s="16" t="str">
        <f>IFERROR(__xludf.DUMMYFUNCTION("IMPORTRANGE(""https://docs.google.com/spreadsheets/d/""&amp;$A26&amp;""/edit#gid=156619080"",Q$3)"),"4363回")</f>
        <v>4363回</v>
      </c>
      <c r="R26" s="16" t="str">
        <f>IFERROR(__xludf.DUMMYFUNCTION("IMPORTRANGE(""https://docs.google.com/spreadsheets/d/""&amp;$A26&amp;""/edit#gid=156619080"",R$3)"),"3973億円")</f>
        <v>3973億円</v>
      </c>
      <c r="S26" s="16" t="str">
        <f>IFERROR(__xludf.DUMMYFUNCTION("IMPORTRANGE(""https://docs.google.com/spreadsheets/d/""&amp;$A26&amp;""/edit#gid=156619080"",S$3)"),"陰線")</f>
        <v>陰線</v>
      </c>
      <c r="T26" s="16" t="str">
        <f>IFERROR(__xludf.DUMMYFUNCTION("IMPORTRANGE(""https://docs.google.com/spreadsheets/d/""&amp;$A26&amp;""/edit#gid=156619080"",T$3)"),"")</f>
        <v/>
      </c>
      <c r="U26" s="16">
        <f>IFERROR(__xludf.DUMMYFUNCTION("IMPORTRANGE(""https://docs.google.com/spreadsheets/d/""&amp;$A26&amp;""/edit#gid=156619080"",U$3)"),2669.6)</f>
        <v>2669.6</v>
      </c>
      <c r="V26" s="16">
        <f>IFERROR(__xludf.DUMMYFUNCTION("IMPORTRANGE(""https://docs.google.com/spreadsheets/d/""&amp;$A26&amp;""/edit#gid=156619080"",V$3)"),2706.3)</f>
        <v>2706.3</v>
      </c>
      <c r="W26" s="16">
        <f>IFERROR(__xludf.DUMMYFUNCTION("IMPORTRANGE(""https://docs.google.com/spreadsheets/d/""&amp;$A26&amp;""/edit#gid=156619080"",W$3)"),2699.3)</f>
        <v>2699.3</v>
      </c>
      <c r="X26" s="2">
        <f>IFERROR(__xludf.DUMMYFUNCTION("IMPORTRANGE(""https://docs.google.com/spreadsheets/d/""&amp;$A26&amp;""/edit#gid=156619080"",X$3)"),2874.6)</f>
        <v>2874.6</v>
      </c>
      <c r="Y26" s="17">
        <f>IFERROR(__xludf.DUMMYFUNCTION("IMPORTRANGE(""https://docs.google.com/spreadsheets/d/""&amp;$A26&amp;""/edit#gid=156619080"",Y$3)"),-0.005843572070722172)</f>
        <v>-0.005843572071</v>
      </c>
      <c r="Z26" s="2">
        <f>IFERROR(__xludf.DUMMYFUNCTION("IMPORTRANGE(""https://docs.google.com/spreadsheets/d/""&amp;$A26&amp;""/edit#gid=156619080"",Z$3)"),2780.0)</f>
        <v>2780</v>
      </c>
      <c r="AA26" s="2">
        <f>IFERROR(__xludf.DUMMYFUNCTION("IMPORTRANGE(""https://docs.google.com/spreadsheets/d/""&amp;$A26&amp;""/edit#gid=156619080"",AA$3)"),2769.91)</f>
        <v>2769.91</v>
      </c>
      <c r="AB26" s="2">
        <f>IFERROR(__xludf.DUMMYFUNCTION("IMPORTRANGE(""https://docs.google.com/spreadsheets/d/""&amp;$A26&amp;""/edit#gid=156619080"",AB$3)"),2759.83)</f>
        <v>2759.83</v>
      </c>
      <c r="AC26" s="18">
        <f>IFERROR(__xludf.DUMMYFUNCTION("IMPORTRANGE(""https://docs.google.com/spreadsheets/d/""&amp;$A26&amp;""/edit#gid=156619080"",AC$3)"),2749.74)</f>
        <v>2749.74</v>
      </c>
      <c r="AD26" s="18">
        <f>IFERROR(__xludf.DUMMYFUNCTION("IMPORTRANGE(""https://docs.google.com/spreadsheets/d/""&amp;$A26&amp;""/edit#gid=156619080"",AD$3)"),2739.65)</f>
        <v>2739.65</v>
      </c>
      <c r="AE26" s="18">
        <f>IFERROR(__xludf.DUMMYFUNCTION("IMPORTRANGE(""https://docs.google.com/spreadsheets/d/""&amp;$A26&amp;""/edit#gid=156619080"",AE$3)"),2699.3)</f>
        <v>2699.3</v>
      </c>
      <c r="AF26" s="2">
        <f>IFERROR(__xludf.DUMMYFUNCTION("IMPORTRANGE(""https://docs.google.com/spreadsheets/d/""&amp;$A26&amp;""/edit#gid=156619080"",AF$3)"),2658.95)</f>
        <v>2658.95</v>
      </c>
      <c r="AG26" s="2">
        <f>IFERROR(__xludf.DUMMYFUNCTION("IMPORTRANGE(""https://docs.google.com/spreadsheets/d/""&amp;$A26&amp;""/edit#gid=156619080"",AG$3)"),2648.86)</f>
        <v>2648.86</v>
      </c>
      <c r="AH26" s="2">
        <f>IFERROR(__xludf.DUMMYFUNCTION("IMPORTRANGE(""https://docs.google.com/spreadsheets/d/""&amp;$A26&amp;""/edit#gid=156619080"",AH$3)"),2638.77)</f>
        <v>2638.77</v>
      </c>
      <c r="AI26" s="2">
        <f>IFERROR(__xludf.DUMMYFUNCTION("IMPORTRANGE(""https://docs.google.com/spreadsheets/d/""&amp;$A26&amp;""/edit#gid=156619080"",AI$3)"),2628.69)</f>
        <v>2628.69</v>
      </c>
      <c r="AJ26" s="2">
        <f>IFERROR(__xludf.DUMMYFUNCTION("IMPORTRANGE(""https://docs.google.com/spreadsheets/d/""&amp;$A26&amp;""/edit#gid=156619080"",AJ$3)"),2618.6)</f>
        <v>2618.6</v>
      </c>
      <c r="AK26" s="2" t="str">
        <f>IFERROR(__xludf.DUMMYFUNCTION("IMPORTRANGE(""https://docs.google.com/spreadsheets/d/""&amp;$A26&amp;""/edit#gid=156619080"",AK$3)"),"-1〜-1.25σ")</f>
        <v>-1〜-1.25σ</v>
      </c>
      <c r="AL26" s="2">
        <f>IFERROR(__xludf.DUMMYFUNCTION("IMPORTRANGE(""https://docs.google.com/spreadsheets/d/""&amp;$A26&amp;""/edit#gid=156619080"",AL$3)"),-1.0)</f>
        <v>-1</v>
      </c>
      <c r="AM26" s="2" t="str">
        <f>IFERROR(__xludf.DUMMYFUNCTION("IMPORTRANGE(""https://docs.google.com/spreadsheets/d/""&amp;$A26&amp;""/edit#gid=156619080"",AM$3)"),"")</f>
        <v/>
      </c>
      <c r="AN26" s="2">
        <f>IFERROR(__xludf.DUMMYFUNCTION("IMPORTRANGE(""https://docs.google.com/spreadsheets/d/""&amp;$A26&amp;""/edit#gid=156619080"",AN$3)"),-1.0)</f>
        <v>-1</v>
      </c>
      <c r="AO26" s="2" t="str">
        <f>IFERROR(__xludf.DUMMYFUNCTION("IMPORTRANGE(""https://docs.google.com/spreadsheets/d/""&amp;$A26&amp;""/edit#gid=156619080"",AO$3)"),"")</f>
        <v/>
      </c>
      <c r="AP26" s="2">
        <f>IFERROR(__xludf.DUMMYFUNCTION("IMPORTRANGE(""https://docs.google.com/spreadsheets/d/""&amp;$A26&amp;""/edit#gid=156619080"",AP$3)"),1.0)</f>
        <v>1</v>
      </c>
      <c r="AQ26" s="2" t="str">
        <f>IFERROR(__xludf.DUMMYFUNCTION("IMPORTRANGE(""https://docs.google.com/spreadsheets/d/""&amp;$A26&amp;""/edit#gid=156619080"",AQ$3)"),"")</f>
        <v/>
      </c>
      <c r="AR26" s="18">
        <f>IFERROR(__xludf.DUMMYFUNCTION("IMPORTRANGE(""https://docs.google.com/spreadsheets/d/""&amp;$A26&amp;""/edit#gid=156619080"",AR$3)"),-100.0)</f>
        <v>-100</v>
      </c>
      <c r="AS26" s="19" t="str">
        <f>IFERROR(__xludf.DUMMYFUNCTION("IMPORTRANGE(""https://docs.google.com/spreadsheets/d/""&amp;$A26&amp;""/edit#gid=156619080"",AS$3)"),"-90
-90
-100
-100
")</f>
        <v>-90
-90
-100
-100
</v>
      </c>
      <c r="AT26" s="18">
        <f>IFERROR(__xludf.DUMMYFUNCTION("IMPORTRANGE(""https://docs.google.com/spreadsheets/d/""&amp;$A26&amp;""/edit#gid=156619080"",AT$3)"),-47.939560439560445)</f>
        <v>-47.93956044</v>
      </c>
      <c r="AU26" s="3" t="str">
        <f>IFERROR(__xludf.DUMMYFUNCTION("IMPORTRANGE(""https://docs.google.com/spreadsheets/d/""&amp;$A26&amp;""/edit#gid=156619080"",AU$3)"),"67.31
54.26
22.94
-5.08
")</f>
        <v>67.31
54.26
22.94
-5.08
</v>
      </c>
      <c r="AV26" s="18">
        <f>IFERROR(__xludf.DUMMYFUNCTION("IMPORTRANGE(""https://docs.google.com/spreadsheets/d/""&amp;$A26&amp;""/edit#gid=156619080"",AV$3)"),-6.85064935064934)</f>
        <v>-6.850649351</v>
      </c>
      <c r="AW26" s="19" t="str">
        <f>IFERROR(__xludf.DUMMYFUNCTION("IMPORTRANGE(""https://docs.google.com/spreadsheets/d/""&amp;$A26&amp;""/edit#gid=156619080"",AW$3)"),"-16.2
-18.28
-13.86
-10.49
")</f>
        <v>-16.2
-18.28
-13.86
-10.49
</v>
      </c>
      <c r="AX26" s="2">
        <f>IFERROR(__xludf.DUMMYFUNCTION("IMPORTRANGE(""https://docs.google.com/spreadsheets/d/""&amp;$A26&amp;""/edit#gid=156619080"",AX$3)"),0.0)</f>
        <v>0</v>
      </c>
      <c r="AY26" s="2">
        <f>IFERROR(__xludf.DUMMYFUNCTION("IMPORTRANGE(""https://docs.google.com/spreadsheets/d/""&amp;$A26&amp;""/edit#gid=156619080"",AY$3)"),35.31)</f>
        <v>35.31</v>
      </c>
      <c r="AZ26" s="2">
        <f>IFERROR(__xludf.DUMMYFUNCTION("IMPORTRANGE(""https://docs.google.com/spreadsheets/d/""&amp;$A26&amp;""/edit#gid=156619080"",AZ$3)"),2671.62)</f>
        <v>2671.62</v>
      </c>
      <c r="BA26" s="2">
        <f>IFERROR(__xludf.DUMMYFUNCTION("IMPORTRANGE(""https://docs.google.com/spreadsheets/d/""&amp;$A26&amp;""/edit#gid=156619080"",BA$3)"),-43.5)</f>
        <v>-43.5</v>
      </c>
      <c r="BB26" s="2">
        <f>IFERROR(__xludf.DUMMYFUNCTION("IMPORTRANGE(""https://docs.google.com/spreadsheets/d/""&amp;$A26&amp;""/edit#gid=156619080"",BB$3)"),-36.33)</f>
        <v>-36.33</v>
      </c>
      <c r="BC26" s="2" t="str">
        <f>IFERROR(__xludf.DUMMYFUNCTION("IMPORTRANGE(""https://docs.google.com/spreadsheets/d/""&amp;$A26&amp;""/edit#gid=156619080"",BC$3)"),"DC→DC")</f>
        <v>DC→DC</v>
      </c>
    </row>
    <row r="27" ht="51.0" customHeight="1">
      <c r="A27" s="7" t="str">
        <f t="shared" si="5"/>
        <v>1-xhPQWacXKOfHL9GGofHERGf6fZQTjI7ZRAG20ma8gM</v>
      </c>
      <c r="B27" s="1" t="s">
        <v>54</v>
      </c>
      <c r="C27" s="2">
        <f>IFERROR(__xludf.DUMMYFUNCTION("IMPORTRANGE(""https://docs.google.com/spreadsheets/d/""&amp;$A27&amp;""/edit#gid=156619080"",C$3)"),132.0)</f>
        <v>132</v>
      </c>
      <c r="D27" s="2">
        <f>IFERROR(__xludf.DUMMYFUNCTION("IMPORTRANGE(""https://docs.google.com/spreadsheets/d/""&amp;$A27&amp;""/edit#gid=156619080"",D$3)"),4005.0)</f>
        <v>4005</v>
      </c>
      <c r="E27" s="15">
        <f>IFERROR(__xludf.DUMMYFUNCTION("IMPORTRANGE(""https://docs.google.com/spreadsheets/d/""&amp;$A27&amp;""/edit#gid=156619080"",E$3)"),43882.0)</f>
        <v>43882</v>
      </c>
      <c r="F27" s="2">
        <f>IFERROR(__xludf.DUMMYFUNCTION("IMPORTRANGE(""https://docs.google.com/spreadsheets/d/""&amp;$A27&amp;""/edit#gid=156619080"",F$3)"),4.0)</f>
        <v>4</v>
      </c>
      <c r="G27" s="16">
        <f>IFERROR(__xludf.DUMMYFUNCTION("IMPORTRANGE(""https://docs.google.com/spreadsheets/d/""&amp;$A27&amp;""/edit#gid=156619080"",G$3)"),0.9)</f>
        <v>0.9</v>
      </c>
      <c r="H27" s="16">
        <f>IFERROR(__xludf.DUMMYFUNCTION("IMPORTRANGE(""https://docs.google.com/spreadsheets/d/""&amp;$A27&amp;""/edit#gid=156619080"",H$3)"),445.0)</f>
        <v>445</v>
      </c>
      <c r="I27" s="16">
        <f>IFERROR(__xludf.DUMMYFUNCTION("IMPORTRANGE(""https://docs.google.com/spreadsheets/d/""&amp;$A27&amp;""/edit#gid=156619080"",I$3)"),-3.0)</f>
        <v>-3</v>
      </c>
      <c r="J27" s="16">
        <f>IFERROR(__xludf.DUMMYFUNCTION("IMPORTRANGE(""https://docs.google.com/spreadsheets/d/""&amp;$A27&amp;""/edit#gid=156619080"",J$3)"),449.0)</f>
        <v>449</v>
      </c>
      <c r="K27" s="16">
        <f>IFERROR(__xludf.DUMMYFUNCTION("IMPORTRANGE(""https://docs.google.com/spreadsheets/d/""&amp;$A27&amp;""/edit#gid=156619080"",K$3)"),0.5222222222222223)</f>
        <v>0.5222222222</v>
      </c>
      <c r="L27" s="16">
        <f>IFERROR(__xludf.DUMMYFUNCTION("IMPORTRANGE(""https://docs.google.com/spreadsheets/d/""&amp;$A27&amp;""/edit#gid=156619080"",L$3)"),444.0)</f>
        <v>444</v>
      </c>
      <c r="M27" s="16">
        <f>IFERROR(__xludf.DUMMYFUNCTION("IMPORTRANGE(""https://docs.google.com/spreadsheets/d/""&amp;$A27&amp;""/edit#gid=156619080"",M$3)"),0.375)</f>
        <v>0.375</v>
      </c>
      <c r="N27" s="16">
        <f>IFERROR(__xludf.DUMMYFUNCTION("IMPORTRANGE(""https://docs.google.com/spreadsheets/d/""&amp;$A27&amp;""/edit#gid=156619080"",N$3)"),446.0)</f>
        <v>446</v>
      </c>
      <c r="O27" s="16" t="str">
        <f>IFERROR(__xludf.DUMMYFUNCTION("IMPORTRANGE(""https://docs.google.com/spreadsheets/d/""&amp;$A27&amp;""/edit#gid=156619080"",O$3)"),"7653800株")</f>
        <v>7653800株</v>
      </c>
      <c r="P27" s="16" t="str">
        <f>IFERROR(__xludf.DUMMYFUNCTION("IMPORTRANGE(""https://docs.google.com/spreadsheets/d/""&amp;$A27&amp;""/edit#gid=156619080"",P$3)"),"3415百万円")</f>
        <v>3415百万円</v>
      </c>
      <c r="Q27" s="16" t="str">
        <f>IFERROR(__xludf.DUMMYFUNCTION("IMPORTRANGE(""https://docs.google.com/spreadsheets/d/""&amp;$A27&amp;""/edit#gid=156619080"",Q$3)"),"1540回")</f>
        <v>1540回</v>
      </c>
      <c r="R27" s="16" t="str">
        <f>IFERROR(__xludf.DUMMYFUNCTION("IMPORTRANGE(""https://docs.google.com/spreadsheets/d/""&amp;$A27&amp;""/edit#gid=156619080"",R$3)"),"7383億円")</f>
        <v>7383億円</v>
      </c>
      <c r="S27" s="16" t="str">
        <f>IFERROR(__xludf.DUMMYFUNCTION("IMPORTRANGE(""https://docs.google.com/spreadsheets/d/""&amp;$A27&amp;""/edit#gid=156619080"",S$3)"),"陽線")</f>
        <v>陽線</v>
      </c>
      <c r="T27" s="16" t="str">
        <f>IFERROR(__xludf.DUMMYFUNCTION("IMPORTRANGE(""https://docs.google.com/spreadsheets/d/""&amp;$A27&amp;""/edit#gid=156619080"",T$3)"),"")</f>
        <v/>
      </c>
      <c r="U27" s="16">
        <f>IFERROR(__xludf.DUMMYFUNCTION("IMPORTRANGE(""https://docs.google.com/spreadsheets/d/""&amp;$A27&amp;""/edit#gid=156619080"",U$3)"),446.4)</f>
        <v>446.4</v>
      </c>
      <c r="V27" s="16">
        <f>IFERROR(__xludf.DUMMYFUNCTION("IMPORTRANGE(""https://docs.google.com/spreadsheets/d/""&amp;$A27&amp;""/edit#gid=156619080"",V$3)"),453.2)</f>
        <v>453.2</v>
      </c>
      <c r="W27" s="16">
        <f>IFERROR(__xludf.DUMMYFUNCTION("IMPORTRANGE(""https://docs.google.com/spreadsheets/d/""&amp;$A27&amp;""/edit#gid=156619080"",W$3)"),460.2)</f>
        <v>460.2</v>
      </c>
      <c r="X27" s="2">
        <f>IFERROR(__xludf.DUMMYFUNCTION("IMPORTRANGE(""https://docs.google.com/spreadsheets/d/""&amp;$A27&amp;""/edit#gid=156619080"",X$3)"),487.1)</f>
        <v>487.1</v>
      </c>
      <c r="Y27" s="17">
        <f>IFERROR(__xludf.DUMMYFUNCTION("IMPORTRANGE(""https://docs.google.com/spreadsheets/d/""&amp;$A27&amp;""/edit#gid=156619080"",Y$3)"),-8.960573476702E-4)</f>
        <v>-0.0008960573477</v>
      </c>
      <c r="Z27" s="2">
        <f>IFERROR(__xludf.DUMMYFUNCTION("IMPORTRANGE(""https://docs.google.com/spreadsheets/d/""&amp;$A27&amp;""/edit#gid=156619080"",Z$3)"),484.33)</f>
        <v>484.33</v>
      </c>
      <c r="AA27" s="2">
        <f>IFERROR(__xludf.DUMMYFUNCTION("IMPORTRANGE(""https://docs.google.com/spreadsheets/d/""&amp;$A27&amp;""/edit#gid=156619080"",AA$3)"),481.32)</f>
        <v>481.32</v>
      </c>
      <c r="AB27" s="2">
        <f>IFERROR(__xludf.DUMMYFUNCTION("IMPORTRANGE(""https://docs.google.com/spreadsheets/d/""&amp;$A27&amp;""/edit#gid=156619080"",AB$3)"),478.3)</f>
        <v>478.3</v>
      </c>
      <c r="AC27" s="18">
        <f>IFERROR(__xludf.DUMMYFUNCTION("IMPORTRANGE(""https://docs.google.com/spreadsheets/d/""&amp;$A27&amp;""/edit#gid=156619080"",AC$3)"),475.28)</f>
        <v>475.28</v>
      </c>
      <c r="AD27" s="18">
        <f>IFERROR(__xludf.DUMMYFUNCTION("IMPORTRANGE(""https://docs.google.com/spreadsheets/d/""&amp;$A27&amp;""/edit#gid=156619080"",AD$3)"),472.27)</f>
        <v>472.27</v>
      </c>
      <c r="AE27" s="18">
        <f>IFERROR(__xludf.DUMMYFUNCTION("IMPORTRANGE(""https://docs.google.com/spreadsheets/d/""&amp;$A27&amp;""/edit#gid=156619080"",AE$3)"),460.2)</f>
        <v>460.2</v>
      </c>
      <c r="AF27" s="2">
        <f>IFERROR(__xludf.DUMMYFUNCTION("IMPORTRANGE(""https://docs.google.com/spreadsheets/d/""&amp;$A27&amp;""/edit#gid=156619080"",AF$3)"),448.13)</f>
        <v>448.13</v>
      </c>
      <c r="AG27" s="2">
        <f>IFERROR(__xludf.DUMMYFUNCTION("IMPORTRANGE(""https://docs.google.com/spreadsheets/d/""&amp;$A27&amp;""/edit#gid=156619080"",AG$3)"),445.12)</f>
        <v>445.12</v>
      </c>
      <c r="AH27" s="2">
        <f>IFERROR(__xludf.DUMMYFUNCTION("IMPORTRANGE(""https://docs.google.com/spreadsheets/d/""&amp;$A27&amp;""/edit#gid=156619080"",AH$3)"),442.1)</f>
        <v>442.1</v>
      </c>
      <c r="AI27" s="2">
        <f>IFERROR(__xludf.DUMMYFUNCTION("IMPORTRANGE(""https://docs.google.com/spreadsheets/d/""&amp;$A27&amp;""/edit#gid=156619080"",AI$3)"),439.08)</f>
        <v>439.08</v>
      </c>
      <c r="AJ27" s="2">
        <f>IFERROR(__xludf.DUMMYFUNCTION("IMPORTRANGE(""https://docs.google.com/spreadsheets/d/""&amp;$A27&amp;""/edit#gid=156619080"",AJ$3)"),436.07)</f>
        <v>436.07</v>
      </c>
      <c r="AK27" s="2" t="str">
        <f>IFERROR(__xludf.DUMMYFUNCTION("IMPORTRANGE(""https://docs.google.com/spreadsheets/d/""&amp;$A27&amp;""/edit#gid=156619080"",AK$3)"),"-1〜-1.25σ")</f>
        <v>-1〜-1.25σ</v>
      </c>
      <c r="AL27" s="2">
        <f>IFERROR(__xludf.DUMMYFUNCTION("IMPORTRANGE(""https://docs.google.com/spreadsheets/d/""&amp;$A27&amp;""/edit#gid=156619080"",AL$3)"),-1.0)</f>
        <v>-1</v>
      </c>
      <c r="AM27" s="2" t="str">
        <f>IFERROR(__xludf.DUMMYFUNCTION("IMPORTRANGE(""https://docs.google.com/spreadsheets/d/""&amp;$A27&amp;""/edit#gid=156619080"",AM$3)"),"")</f>
        <v/>
      </c>
      <c r="AN27" s="2">
        <f>IFERROR(__xludf.DUMMYFUNCTION("IMPORTRANGE(""https://docs.google.com/spreadsheets/d/""&amp;$A27&amp;""/edit#gid=156619080"",AN$3)"),-1.0)</f>
        <v>-1</v>
      </c>
      <c r="AO27" s="2" t="str">
        <f>IFERROR(__xludf.DUMMYFUNCTION("IMPORTRANGE(""https://docs.google.com/spreadsheets/d/""&amp;$A27&amp;""/edit#gid=156619080"",AO$3)"),"")</f>
        <v/>
      </c>
      <c r="AP27" s="2">
        <f>IFERROR(__xludf.DUMMYFUNCTION("IMPORTRANGE(""https://docs.google.com/spreadsheets/d/""&amp;$A27&amp;""/edit#gid=156619080"",AP$3)"),-1.0)</f>
        <v>-1</v>
      </c>
      <c r="AQ27" s="2" t="str">
        <f>IFERROR(__xludf.DUMMYFUNCTION("IMPORTRANGE(""https://docs.google.com/spreadsheets/d/""&amp;$A27&amp;""/edit#gid=156619080"",AQ$3)"),"")</f>
        <v/>
      </c>
      <c r="AR27" s="18">
        <f>IFERROR(__xludf.DUMMYFUNCTION("IMPORTRANGE(""https://docs.google.com/spreadsheets/d/""&amp;$A27&amp;""/edit#gid=156619080"",AR$3)"),-70.0)</f>
        <v>-70</v>
      </c>
      <c r="AS27" s="19" t="str">
        <f>IFERROR(__xludf.DUMMYFUNCTION("IMPORTRANGE(""https://docs.google.com/spreadsheets/d/""&amp;$A27&amp;""/edit#gid=156619080"",AS$3)"),"-70
-90
-100
-100
")</f>
        <v>-70
-90
-100
-100
</v>
      </c>
      <c r="AT27" s="18">
        <f>IFERROR(__xludf.DUMMYFUNCTION("IMPORTRANGE(""https://docs.google.com/spreadsheets/d/""&amp;$A27&amp;""/edit#gid=156619080"",AT$3)"),-61.53846153846154)</f>
        <v>-61.53846154</v>
      </c>
      <c r="AU27" s="3" t="str">
        <f>IFERROR(__xludf.DUMMYFUNCTION("IMPORTRANGE(""https://docs.google.com/spreadsheets/d/""&amp;$A27&amp;""/edit#gid=156619080"",AU$3)"),"-42.99
-32.55
-33.1
-33.1
")</f>
        <v>-42.99
-32.55
-33.1
-33.1
</v>
      </c>
      <c r="AV27" s="18">
        <f>IFERROR(__xludf.DUMMYFUNCTION("IMPORTRANGE(""https://docs.google.com/spreadsheets/d/""&amp;$A27&amp;""/edit#gid=156619080"",AV$3)"),-83.01948051948051)</f>
        <v>-83.01948052</v>
      </c>
      <c r="AW27" s="19" t="str">
        <f>IFERROR(__xludf.DUMMYFUNCTION("IMPORTRANGE(""https://docs.google.com/spreadsheets/d/""&amp;$A27&amp;""/edit#gid=156619080"",AW$3)"),"-85.23
-83.31
-83.31
-83.41
")</f>
        <v>-85.23
-83.31
-83.31
-83.41
</v>
      </c>
      <c r="AX27" s="2">
        <f>IFERROR(__xludf.DUMMYFUNCTION("IMPORTRANGE(""https://docs.google.com/spreadsheets/d/""&amp;$A27&amp;""/edit#gid=156619080"",AX$3)"),25.0)</f>
        <v>25</v>
      </c>
      <c r="AY27" s="2">
        <f>IFERROR(__xludf.DUMMYFUNCTION("IMPORTRANGE(""https://docs.google.com/spreadsheets/d/""&amp;$A27&amp;""/edit#gid=156619080"",AY$3)"),31.78)</f>
        <v>31.78</v>
      </c>
      <c r="AZ27" s="2">
        <f>IFERROR(__xludf.DUMMYFUNCTION("IMPORTRANGE(""https://docs.google.com/spreadsheets/d/""&amp;$A27&amp;""/edit#gid=156619080"",AZ$3)"),446.94)</f>
        <v>446.94</v>
      </c>
      <c r="BA27" s="2">
        <f>IFERROR(__xludf.DUMMYFUNCTION("IMPORTRANGE(""https://docs.google.com/spreadsheets/d/""&amp;$A27&amp;""/edit#gid=156619080"",BA$3)"),-12.699999999999989)</f>
        <v>-12.7</v>
      </c>
      <c r="BB27" s="2">
        <f>IFERROR(__xludf.DUMMYFUNCTION("IMPORTRANGE(""https://docs.google.com/spreadsheets/d/""&amp;$A27&amp;""/edit#gid=156619080"",BB$3)"),-11.78)</f>
        <v>-11.78</v>
      </c>
      <c r="BC27" s="2" t="str">
        <f>IFERROR(__xludf.DUMMYFUNCTION("IMPORTRANGE(""https://docs.google.com/spreadsheets/d/""&amp;$A27&amp;""/edit#gid=156619080"",BC$3)"),"DC→DC")</f>
        <v>DC→DC</v>
      </c>
    </row>
    <row r="28" ht="51.0" customHeight="1">
      <c r="A28" s="7" t="str">
        <f t="shared" si="5"/>
        <v>1ynqvqvM_opuxRe9ICSY57HX3SWMrJB9CsmMF4ukjuyk</v>
      </c>
      <c r="B28" s="1" t="s">
        <v>55</v>
      </c>
      <c r="C28" s="2">
        <f>IFERROR(__xludf.DUMMYFUNCTION("IMPORTRANGE(""https://docs.google.com/spreadsheets/d/""&amp;$A28&amp;""/edit#gid=156619080"",C$3)"),132.0)</f>
        <v>132</v>
      </c>
      <c r="D28" s="2">
        <f>IFERROR(__xludf.DUMMYFUNCTION("IMPORTRANGE(""https://docs.google.com/spreadsheets/d/""&amp;$A28&amp;""/edit#gid=156619080"",D$3)"),4021.0)</f>
        <v>4021</v>
      </c>
      <c r="E28" s="15">
        <f>IFERROR(__xludf.DUMMYFUNCTION("IMPORTRANGE(""https://docs.google.com/spreadsheets/d/""&amp;$A28&amp;""/edit#gid=156619080"",E$3)"),43882.0)</f>
        <v>43882</v>
      </c>
      <c r="F28" s="2">
        <f>IFERROR(__xludf.DUMMYFUNCTION("IMPORTRANGE(""https://docs.google.com/spreadsheets/d/""&amp;$A28&amp;""/edit#gid=156619080"",F$3)"),-40.0)</f>
        <v>-40</v>
      </c>
      <c r="G28" s="16">
        <f>IFERROR(__xludf.DUMMYFUNCTION("IMPORTRANGE(""https://docs.google.com/spreadsheets/d/""&amp;$A28&amp;""/edit#gid=156619080"",G$3)"),-0.79)</f>
        <v>-0.79</v>
      </c>
      <c r="H28" s="16">
        <f>IFERROR(__xludf.DUMMYFUNCTION("IMPORTRANGE(""https://docs.google.com/spreadsheets/d/""&amp;$A28&amp;""/edit#gid=156619080"",H$3)"),5000.0)</f>
        <v>5000</v>
      </c>
      <c r="I28" s="16">
        <f>IFERROR(__xludf.DUMMYFUNCTION("IMPORTRANGE(""https://docs.google.com/spreadsheets/d/""&amp;$A28&amp;""/edit#gid=156619080"",I$3)"),50.0)</f>
        <v>50</v>
      </c>
      <c r="J28" s="16">
        <f>IFERROR(__xludf.DUMMYFUNCTION("IMPORTRANGE(""https://docs.google.com/spreadsheets/d/""&amp;$A28&amp;""/edit#gid=156619080"",J$3)"),5090.0)</f>
        <v>5090</v>
      </c>
      <c r="K28" s="16">
        <f>IFERROR(__xludf.DUMMYFUNCTION("IMPORTRANGE(""https://docs.google.com/spreadsheets/d/""&amp;$A28&amp;""/edit#gid=156619080"",K$3)"),0.4423611111111111)</f>
        <v>0.4423611111</v>
      </c>
      <c r="L28" s="16">
        <f>IFERROR(__xludf.DUMMYFUNCTION("IMPORTRANGE(""https://docs.google.com/spreadsheets/d/""&amp;$A28&amp;""/edit#gid=156619080"",L$3)"),4975.0)</f>
        <v>4975</v>
      </c>
      <c r="M28" s="16">
        <f>IFERROR(__xludf.DUMMYFUNCTION("IMPORTRANGE(""https://docs.google.com/spreadsheets/d/""&amp;$A28&amp;""/edit#gid=156619080"",M$3)"),0.37569444444444444)</f>
        <v>0.3756944444</v>
      </c>
      <c r="N28" s="16">
        <f>IFERROR(__xludf.DUMMYFUNCTION("IMPORTRANGE(""https://docs.google.com/spreadsheets/d/""&amp;$A28&amp;""/edit#gid=156619080"",N$3)"),5010.0)</f>
        <v>5010</v>
      </c>
      <c r="O28" s="16" t="str">
        <f>IFERROR(__xludf.DUMMYFUNCTION("IMPORTRANGE(""https://docs.google.com/spreadsheets/d/""&amp;$A28&amp;""/edit#gid=156619080"",O$3)"),"386000株")</f>
        <v>386000株</v>
      </c>
      <c r="P28" s="16" t="str">
        <f>IFERROR(__xludf.DUMMYFUNCTION("IMPORTRANGE(""https://docs.google.com/spreadsheets/d/""&amp;$A28&amp;""/edit#gid=156619080"",P$3)"),"1938百万円")</f>
        <v>1938百万円</v>
      </c>
      <c r="Q28" s="16" t="str">
        <f>IFERROR(__xludf.DUMMYFUNCTION("IMPORTRANGE(""https://docs.google.com/spreadsheets/d/""&amp;$A28&amp;""/edit#gid=156619080"",Q$3)"),"703回")</f>
        <v>703回</v>
      </c>
      <c r="R28" s="16" t="str">
        <f>IFERROR(__xludf.DUMMYFUNCTION("IMPORTRANGE(""https://docs.google.com/spreadsheets/d/""&amp;$A28&amp;""/edit#gid=156619080"",R$3)"),"7365億円")</f>
        <v>7365億円</v>
      </c>
      <c r="S28" s="16" t="str">
        <f>IFERROR(__xludf.DUMMYFUNCTION("IMPORTRANGE(""https://docs.google.com/spreadsheets/d/""&amp;$A28&amp;""/edit#gid=156619080"",S$3)"),"陽線")</f>
        <v>陽線</v>
      </c>
      <c r="T28" s="16" t="str">
        <f>IFERROR(__xludf.DUMMYFUNCTION("IMPORTRANGE(""https://docs.google.com/spreadsheets/d/""&amp;$A28&amp;""/edit#gid=156619080"",T$3)"),"")</f>
        <v/>
      </c>
      <c r="U28" s="16">
        <f>IFERROR(__xludf.DUMMYFUNCTION("IMPORTRANGE(""https://docs.google.com/spreadsheets/d/""&amp;$A28&amp;""/edit#gid=156619080"",U$3)"),5056.0)</f>
        <v>5056</v>
      </c>
      <c r="V28" s="16">
        <f>IFERROR(__xludf.DUMMYFUNCTION("IMPORTRANGE(""https://docs.google.com/spreadsheets/d/""&amp;$A28&amp;""/edit#gid=156619080"",V$3)"),4966.2)</f>
        <v>4966.2</v>
      </c>
      <c r="W28" s="16">
        <f>IFERROR(__xludf.DUMMYFUNCTION("IMPORTRANGE(""https://docs.google.com/spreadsheets/d/""&amp;$A28&amp;""/edit#gid=156619080"",W$3)"),4819.3)</f>
        <v>4819.3</v>
      </c>
      <c r="X28" s="2">
        <f>IFERROR(__xludf.DUMMYFUNCTION("IMPORTRANGE(""https://docs.google.com/spreadsheets/d/""&amp;$A28&amp;""/edit#gid=156619080"",X$3)"),4531.6)</f>
        <v>4531.6</v>
      </c>
      <c r="Y28" s="17">
        <f>IFERROR(__xludf.DUMMYFUNCTION("IMPORTRANGE(""https://docs.google.com/spreadsheets/d/""&amp;$A28&amp;""/edit#gid=156619080"",Y$3)"),-0.009098101265822785)</f>
        <v>-0.009098101266</v>
      </c>
      <c r="Z28" s="2">
        <f>IFERROR(__xludf.DUMMYFUNCTION("IMPORTRANGE(""https://docs.google.com/spreadsheets/d/""&amp;$A28&amp;""/edit#gid=156619080"",Z$3)"),5290.41)</f>
        <v>5290.41</v>
      </c>
      <c r="AA28" s="2">
        <f>IFERROR(__xludf.DUMMYFUNCTION("IMPORTRANGE(""https://docs.google.com/spreadsheets/d/""&amp;$A28&amp;""/edit#gid=156619080"",AA$3)"),5231.52)</f>
        <v>5231.52</v>
      </c>
      <c r="AB28" s="2">
        <f>IFERROR(__xludf.DUMMYFUNCTION("IMPORTRANGE(""https://docs.google.com/spreadsheets/d/""&amp;$A28&amp;""/edit#gid=156619080"",AB$3)"),5172.63)</f>
        <v>5172.63</v>
      </c>
      <c r="AC28" s="18">
        <f>IFERROR(__xludf.DUMMYFUNCTION("IMPORTRANGE(""https://docs.google.com/spreadsheets/d/""&amp;$A28&amp;""/edit#gid=156619080"",AC$3)"),5113.74)</f>
        <v>5113.74</v>
      </c>
      <c r="AD28" s="18">
        <f>IFERROR(__xludf.DUMMYFUNCTION("IMPORTRANGE(""https://docs.google.com/spreadsheets/d/""&amp;$A28&amp;""/edit#gid=156619080"",AD$3)"),5054.86)</f>
        <v>5054.86</v>
      </c>
      <c r="AE28" s="18">
        <f>IFERROR(__xludf.DUMMYFUNCTION("IMPORTRANGE(""https://docs.google.com/spreadsheets/d/""&amp;$A28&amp;""/edit#gid=156619080"",AE$3)"),4819.3)</f>
        <v>4819.3</v>
      </c>
      <c r="AF28" s="2">
        <f>IFERROR(__xludf.DUMMYFUNCTION("IMPORTRANGE(""https://docs.google.com/spreadsheets/d/""&amp;$A28&amp;""/edit#gid=156619080"",AF$3)"),4583.74)</f>
        <v>4583.74</v>
      </c>
      <c r="AG28" s="2">
        <f>IFERROR(__xludf.DUMMYFUNCTION("IMPORTRANGE(""https://docs.google.com/spreadsheets/d/""&amp;$A28&amp;""/edit#gid=156619080"",AG$3)"),4524.86)</f>
        <v>4524.86</v>
      </c>
      <c r="AH28" s="2">
        <f>IFERROR(__xludf.DUMMYFUNCTION("IMPORTRANGE(""https://docs.google.com/spreadsheets/d/""&amp;$A28&amp;""/edit#gid=156619080"",AH$3)"),4465.97)</f>
        <v>4465.97</v>
      </c>
      <c r="AI28" s="2">
        <f>IFERROR(__xludf.DUMMYFUNCTION("IMPORTRANGE(""https://docs.google.com/spreadsheets/d/""&amp;$A28&amp;""/edit#gid=156619080"",AI$3)"),4407.08)</f>
        <v>4407.08</v>
      </c>
      <c r="AJ28" s="2">
        <f>IFERROR(__xludf.DUMMYFUNCTION("IMPORTRANGE(""https://docs.google.com/spreadsheets/d/""&amp;$A28&amp;""/edit#gid=156619080"",AJ$3)"),4348.19)</f>
        <v>4348.19</v>
      </c>
      <c r="AK28" s="2" t="str">
        <f>IFERROR(__xludf.DUMMYFUNCTION("IMPORTRANGE(""https://docs.google.com/spreadsheets/d/""&amp;$A28&amp;""/edit#gid=156619080"",AK$3)"),"")</f>
        <v/>
      </c>
      <c r="AL28" s="2">
        <f>IFERROR(__xludf.DUMMYFUNCTION("IMPORTRANGE(""https://docs.google.com/spreadsheets/d/""&amp;$A28&amp;""/edit#gid=156619080"",AL$3)"),1.0)</f>
        <v>1</v>
      </c>
      <c r="AM28" s="2" t="str">
        <f>IFERROR(__xludf.DUMMYFUNCTION("IMPORTRANGE(""https://docs.google.com/spreadsheets/d/""&amp;$A28&amp;""/edit#gid=156619080"",AM$3)"),"")</f>
        <v/>
      </c>
      <c r="AN28" s="2">
        <f>IFERROR(__xludf.DUMMYFUNCTION("IMPORTRANGE(""https://docs.google.com/spreadsheets/d/""&amp;$A28&amp;""/edit#gid=156619080"",AN$3)"),1.0)</f>
        <v>1</v>
      </c>
      <c r="AO28" s="2" t="str">
        <f>IFERROR(__xludf.DUMMYFUNCTION("IMPORTRANGE(""https://docs.google.com/spreadsheets/d/""&amp;$A28&amp;""/edit#gid=156619080"",AO$3)"),"")</f>
        <v/>
      </c>
      <c r="AP28" s="2">
        <f>IFERROR(__xludf.DUMMYFUNCTION("IMPORTRANGE(""https://docs.google.com/spreadsheets/d/""&amp;$A28&amp;""/edit#gid=156619080"",AP$3)"),1.0)</f>
        <v>1</v>
      </c>
      <c r="AQ28" s="2" t="str">
        <f>IFERROR(__xludf.DUMMYFUNCTION("IMPORTRANGE(""https://docs.google.com/spreadsheets/d/""&amp;$A28&amp;""/edit#gid=156619080"",AQ$3)"),"")</f>
        <v/>
      </c>
      <c r="AR28" s="18">
        <f>IFERROR(__xludf.DUMMYFUNCTION("IMPORTRANGE(""https://docs.google.com/spreadsheets/d/""&amp;$A28&amp;""/edit#gid=156619080"",AR$3)"),-77.49999999999999)</f>
        <v>-77.5</v>
      </c>
      <c r="AS28" s="19" t="str">
        <f>IFERROR(__xludf.DUMMYFUNCTION("IMPORTRANGE(""https://docs.google.com/spreadsheets/d/""&amp;$A28&amp;""/edit#gid=156619080"",AS$3)"),"70
10
-90
-90
")</f>
        <v>70
10
-90
-90
</v>
      </c>
      <c r="AT28" s="18">
        <f>IFERROR(__xludf.DUMMYFUNCTION("IMPORTRANGE(""https://docs.google.com/spreadsheets/d/""&amp;$A28&amp;""/edit#gid=156619080"",AT$3)"),57.14285714285714)</f>
        <v>57.14285714</v>
      </c>
      <c r="AU28" s="3" t="str">
        <f>IFERROR(__xludf.DUMMYFUNCTION("IMPORTRANGE(""https://docs.google.com/spreadsheets/d/""&amp;$A28&amp;""/edit#gid=156619080"",AU$3)"),"90.66
91.76
83.1
73.76
")</f>
        <v>90.66
91.76
83.1
73.76
</v>
      </c>
      <c r="AV28" s="18">
        <f>IFERROR(__xludf.DUMMYFUNCTION("IMPORTRANGE(""https://docs.google.com/spreadsheets/d/""&amp;$A28&amp;""/edit#gid=156619080"",AV$3)"),78.44155844155844)</f>
        <v>78.44155844</v>
      </c>
      <c r="AW28" s="19" t="str">
        <f>IFERROR(__xludf.DUMMYFUNCTION("IMPORTRANGE(""https://docs.google.com/spreadsheets/d/""&amp;$A28&amp;""/edit#gid=156619080"",AW$3)"),"51.07
62.11
69.94
75.39
")</f>
        <v>51.07
62.11
69.94
75.39
</v>
      </c>
      <c r="AX28" s="2">
        <f>IFERROR(__xludf.DUMMYFUNCTION("IMPORTRANGE(""https://docs.google.com/spreadsheets/d/""&amp;$A28&amp;""/edit#gid=156619080"",AX$3)"),19.05)</f>
        <v>19.05</v>
      </c>
      <c r="AY28" s="2">
        <f>IFERROR(__xludf.DUMMYFUNCTION("IMPORTRANGE(""https://docs.google.com/spreadsheets/d/""&amp;$A28&amp;""/edit#gid=156619080"",AY$3)"),59.86)</f>
        <v>59.86</v>
      </c>
      <c r="AZ28" s="2">
        <f>IFERROR(__xludf.DUMMYFUNCTION("IMPORTRANGE(""https://docs.google.com/spreadsheets/d/""&amp;$A28&amp;""/edit#gid=156619080"",AZ$3)"),5037.34)</f>
        <v>5037.34</v>
      </c>
      <c r="BA28" s="2">
        <f>IFERROR(__xludf.DUMMYFUNCTION("IMPORTRANGE(""https://docs.google.com/spreadsheets/d/""&amp;$A28&amp;""/edit#gid=156619080"",BA$3)"),145.89000000000033)</f>
        <v>145.89</v>
      </c>
      <c r="BB28" s="2">
        <f>IFERROR(__xludf.DUMMYFUNCTION("IMPORTRANGE(""https://docs.google.com/spreadsheets/d/""&amp;$A28&amp;""/edit#gid=156619080"",BB$3)"),145.49)</f>
        <v>145.49</v>
      </c>
      <c r="BC28" s="2" t="str">
        <f>IFERROR(__xludf.DUMMYFUNCTION("IMPORTRANGE(""https://docs.google.com/spreadsheets/d/""&amp;$A28&amp;""/edit#gid=156619080"",BC$3)"),"GC→GC")</f>
        <v>GC→GC</v>
      </c>
    </row>
    <row r="29" ht="51.0" customHeight="1">
      <c r="A29" s="7" t="str">
        <f t="shared" si="5"/>
        <v>1n3---c17ausgaktaCWxuKYWC0LwGlNxKrgcuX2g5faA</v>
      </c>
      <c r="B29" s="1" t="s">
        <v>56</v>
      </c>
      <c r="C29" s="2">
        <f>IFERROR(__xludf.DUMMYFUNCTION("IMPORTRANGE(""https://docs.google.com/spreadsheets/d/""&amp;$A29&amp;""/edit#gid=156619080"",C$3)"),132.0)</f>
        <v>132</v>
      </c>
      <c r="D29" s="2">
        <f>IFERROR(__xludf.DUMMYFUNCTION("IMPORTRANGE(""https://docs.google.com/spreadsheets/d/""&amp;$A29&amp;""/edit#gid=156619080"",D$3)"),4042.0)</f>
        <v>4042</v>
      </c>
      <c r="E29" s="15">
        <f>IFERROR(__xludf.DUMMYFUNCTION("IMPORTRANGE(""https://docs.google.com/spreadsheets/d/""&amp;$A29&amp;""/edit#gid=156619080"",E$3)"),43882.0)</f>
        <v>43882</v>
      </c>
      <c r="F29" s="2">
        <f>IFERROR(__xludf.DUMMYFUNCTION("IMPORTRANGE(""https://docs.google.com/spreadsheets/d/""&amp;$A29&amp;""/edit#gid=156619080"",F$3)"),-10.0)</f>
        <v>-10</v>
      </c>
      <c r="G29" s="16">
        <f>IFERROR(__xludf.DUMMYFUNCTION("IMPORTRANGE(""https://docs.google.com/spreadsheets/d/""&amp;$A29&amp;""/edit#gid=156619080"",G$3)"),-0.61)</f>
        <v>-0.61</v>
      </c>
      <c r="H29" s="16">
        <f>IFERROR(__xludf.DUMMYFUNCTION("IMPORTRANGE(""https://docs.google.com/spreadsheets/d/""&amp;$A29&amp;""/edit#gid=156619080"",H$3)"),1636.0)</f>
        <v>1636</v>
      </c>
      <c r="I29" s="16">
        <f>IFERROR(__xludf.DUMMYFUNCTION("IMPORTRANGE(""https://docs.google.com/spreadsheets/d/""&amp;$A29&amp;""/edit#gid=156619080"",I$3)"),5.0)</f>
        <v>5</v>
      </c>
      <c r="J29" s="16">
        <f>IFERROR(__xludf.DUMMYFUNCTION("IMPORTRANGE(""https://docs.google.com/spreadsheets/d/""&amp;$A29&amp;""/edit#gid=156619080"",J$3)"),1677.0)</f>
        <v>1677</v>
      </c>
      <c r="K29" s="16">
        <f>IFERROR(__xludf.DUMMYFUNCTION("IMPORTRANGE(""https://docs.google.com/spreadsheets/d/""&amp;$A29&amp;""/edit#gid=156619080"",K$3)"),0.5465277777777777)</f>
        <v>0.5465277778</v>
      </c>
      <c r="L29" s="16">
        <f>IFERROR(__xludf.DUMMYFUNCTION("IMPORTRANGE(""https://docs.google.com/spreadsheets/d/""&amp;$A29&amp;""/edit#gid=156619080"",L$3)"),1629.0)</f>
        <v>1629</v>
      </c>
      <c r="M29" s="16">
        <f>IFERROR(__xludf.DUMMYFUNCTION("IMPORTRANGE(""https://docs.google.com/spreadsheets/d/""&amp;$A29&amp;""/edit#gid=156619080"",M$3)"),0.6118055555555556)</f>
        <v>0.6118055556</v>
      </c>
      <c r="N29" s="16">
        <f>IFERROR(__xludf.DUMMYFUNCTION("IMPORTRANGE(""https://docs.google.com/spreadsheets/d/""&amp;$A29&amp;""/edit#gid=156619080"",N$3)"),1631.0)</f>
        <v>1631</v>
      </c>
      <c r="O29" s="16" t="str">
        <f>IFERROR(__xludf.DUMMYFUNCTION("IMPORTRANGE(""https://docs.google.com/spreadsheets/d/""&amp;$A29&amp;""/edit#gid=156619080"",O$3)"),"1674400株")</f>
        <v>1674400株</v>
      </c>
      <c r="P29" s="16" t="str">
        <f>IFERROR(__xludf.DUMMYFUNCTION("IMPORTRANGE(""https://docs.google.com/spreadsheets/d/""&amp;$A29&amp;""/edit#gid=156619080"",P$3)"),"2759百万円")</f>
        <v>2759百万円</v>
      </c>
      <c r="Q29" s="16" t="str">
        <f>IFERROR(__xludf.DUMMYFUNCTION("IMPORTRANGE(""https://docs.google.com/spreadsheets/d/""&amp;$A29&amp;""/edit#gid=156619080"",Q$3)"),"2186回")</f>
        <v>2186回</v>
      </c>
      <c r="R29" s="16" t="str">
        <f>IFERROR(__xludf.DUMMYFUNCTION("IMPORTRANGE(""https://docs.google.com/spreadsheets/d/""&amp;$A29&amp;""/edit#gid=156619080"",R$3)"),"5302億円")</f>
        <v>5302億円</v>
      </c>
      <c r="S29" s="16" t="str">
        <f>IFERROR(__xludf.DUMMYFUNCTION("IMPORTRANGE(""https://docs.google.com/spreadsheets/d/""&amp;$A29&amp;""/edit#gid=156619080"",S$3)"),"陰線")</f>
        <v>陰線</v>
      </c>
      <c r="T29" s="16" t="str">
        <f>IFERROR(__xludf.DUMMYFUNCTION("IMPORTRANGE(""https://docs.google.com/spreadsheets/d/""&amp;$A29&amp;""/edit#gid=156619080"",T$3)"),"")</f>
        <v/>
      </c>
      <c r="U29" s="16">
        <f>IFERROR(__xludf.DUMMYFUNCTION("IMPORTRANGE(""https://docs.google.com/spreadsheets/d/""&amp;$A29&amp;""/edit#gid=156619080"",U$3)"),1626.4)</f>
        <v>1626.4</v>
      </c>
      <c r="V29" s="16">
        <f>IFERROR(__xludf.DUMMYFUNCTION("IMPORTRANGE(""https://docs.google.com/spreadsheets/d/""&amp;$A29&amp;""/edit#gid=156619080"",V$3)"),1663.1)</f>
        <v>1663.1</v>
      </c>
      <c r="W29" s="16">
        <f>IFERROR(__xludf.DUMMYFUNCTION("IMPORTRANGE(""https://docs.google.com/spreadsheets/d/""&amp;$A29&amp;""/edit#gid=156619080"",W$3)"),1643.2)</f>
        <v>1643.2</v>
      </c>
      <c r="X29" s="2">
        <f>IFERROR(__xludf.DUMMYFUNCTION("IMPORTRANGE(""https://docs.google.com/spreadsheets/d/""&amp;$A29&amp;""/edit#gid=156619080"",X$3)"),1586.7)</f>
        <v>1586.7</v>
      </c>
      <c r="Y29" s="17">
        <f>IFERROR(__xludf.DUMMYFUNCTION("IMPORTRANGE(""https://docs.google.com/spreadsheets/d/""&amp;$A29&amp;""/edit#gid=156619080"",Y$3)"),0.0028283325135267517)</f>
        <v>0.002828332514</v>
      </c>
      <c r="Z29" s="2">
        <f>IFERROR(__xludf.DUMMYFUNCTION("IMPORTRANGE(""https://docs.google.com/spreadsheets/d/""&amp;$A29&amp;""/edit#gid=156619080"",Z$3)"),1730.07)</f>
        <v>1730.07</v>
      </c>
      <c r="AA29" s="2">
        <f>IFERROR(__xludf.DUMMYFUNCTION("IMPORTRANGE(""https://docs.google.com/spreadsheets/d/""&amp;$A29&amp;""/edit#gid=156619080"",AA$3)"),1719.21)</f>
        <v>1719.21</v>
      </c>
      <c r="AB29" s="2">
        <f>IFERROR(__xludf.DUMMYFUNCTION("IMPORTRANGE(""https://docs.google.com/spreadsheets/d/""&amp;$A29&amp;""/edit#gid=156619080"",AB$3)"),1708.35)</f>
        <v>1708.35</v>
      </c>
      <c r="AC29" s="18">
        <f>IFERROR(__xludf.DUMMYFUNCTION("IMPORTRANGE(""https://docs.google.com/spreadsheets/d/""&amp;$A29&amp;""/edit#gid=156619080"",AC$3)"),1697.49)</f>
        <v>1697.49</v>
      </c>
      <c r="AD29" s="18">
        <f>IFERROR(__xludf.DUMMYFUNCTION("IMPORTRANGE(""https://docs.google.com/spreadsheets/d/""&amp;$A29&amp;""/edit#gid=156619080"",AD$3)"),1686.63)</f>
        <v>1686.63</v>
      </c>
      <c r="AE29" s="18">
        <f>IFERROR(__xludf.DUMMYFUNCTION("IMPORTRANGE(""https://docs.google.com/spreadsheets/d/""&amp;$A29&amp;""/edit#gid=156619080"",AE$3)"),1643.2)</f>
        <v>1643.2</v>
      </c>
      <c r="AF29" s="2">
        <f>IFERROR(__xludf.DUMMYFUNCTION("IMPORTRANGE(""https://docs.google.com/spreadsheets/d/""&amp;$A29&amp;""/edit#gid=156619080"",AF$3)"),1599.77)</f>
        <v>1599.77</v>
      </c>
      <c r="AG29" s="2">
        <f>IFERROR(__xludf.DUMMYFUNCTION("IMPORTRANGE(""https://docs.google.com/spreadsheets/d/""&amp;$A29&amp;""/edit#gid=156619080"",AG$3)"),1588.91)</f>
        <v>1588.91</v>
      </c>
      <c r="AH29" s="2">
        <f>IFERROR(__xludf.DUMMYFUNCTION("IMPORTRANGE(""https://docs.google.com/spreadsheets/d/""&amp;$A29&amp;""/edit#gid=156619080"",AH$3)"),1578.05)</f>
        <v>1578.05</v>
      </c>
      <c r="AI29" s="2">
        <f>IFERROR(__xludf.DUMMYFUNCTION("IMPORTRANGE(""https://docs.google.com/spreadsheets/d/""&amp;$A29&amp;""/edit#gid=156619080"",AI$3)"),1567.19)</f>
        <v>1567.19</v>
      </c>
      <c r="AJ29" s="2">
        <f>IFERROR(__xludf.DUMMYFUNCTION("IMPORTRANGE(""https://docs.google.com/spreadsheets/d/""&amp;$A29&amp;""/edit#gid=156619080"",AJ$3)"),1556.33)</f>
        <v>1556.33</v>
      </c>
      <c r="AK29" s="2" t="str">
        <f>IFERROR(__xludf.DUMMYFUNCTION("IMPORTRANGE(""https://docs.google.com/spreadsheets/d/""&amp;$A29&amp;""/edit#gid=156619080"",AK$3)"),"")</f>
        <v/>
      </c>
      <c r="AL29" s="2">
        <f>IFERROR(__xludf.DUMMYFUNCTION("IMPORTRANGE(""https://docs.google.com/spreadsheets/d/""&amp;$A29&amp;""/edit#gid=156619080"",AL$3)"),-1.0)</f>
        <v>-1</v>
      </c>
      <c r="AM29" s="2" t="str">
        <f>IFERROR(__xludf.DUMMYFUNCTION("IMPORTRANGE(""https://docs.google.com/spreadsheets/d/""&amp;$A29&amp;""/edit#gid=156619080"",AM$3)"),"")</f>
        <v/>
      </c>
      <c r="AN29" s="2">
        <f>IFERROR(__xludf.DUMMYFUNCTION("IMPORTRANGE(""https://docs.google.com/spreadsheets/d/""&amp;$A29&amp;""/edit#gid=156619080"",AN$3)"),-1.0)</f>
        <v>-1</v>
      </c>
      <c r="AO29" s="2" t="str">
        <f>IFERROR(__xludf.DUMMYFUNCTION("IMPORTRANGE(""https://docs.google.com/spreadsheets/d/""&amp;$A29&amp;""/edit#gid=156619080"",AO$3)"),"")</f>
        <v/>
      </c>
      <c r="AP29" s="2">
        <f>IFERROR(__xludf.DUMMYFUNCTION("IMPORTRANGE(""https://docs.google.com/spreadsheets/d/""&amp;$A29&amp;""/edit#gid=156619080"",AP$3)"),1.0)</f>
        <v>1</v>
      </c>
      <c r="AQ29" s="2" t="str">
        <f>IFERROR(__xludf.DUMMYFUNCTION("IMPORTRANGE(""https://docs.google.com/spreadsheets/d/""&amp;$A29&amp;""/edit#gid=156619080"",AQ$3)"),"")</f>
        <v/>
      </c>
      <c r="AR29" s="18">
        <f>IFERROR(__xludf.DUMMYFUNCTION("IMPORTRANGE(""https://docs.google.com/spreadsheets/d/""&amp;$A29&amp;""/edit#gid=156619080"",AR$3)"),9.999999999999998)</f>
        <v>10</v>
      </c>
      <c r="AS29" s="19" t="str">
        <f>IFERROR(__xludf.DUMMYFUNCTION("IMPORTRANGE(""https://docs.google.com/spreadsheets/d/""&amp;$A29&amp;""/edit#gid=156619080"",AS$3)"),"-100
-100
-100
-40
")</f>
        <v>-100
-100
-100
-40
</v>
      </c>
      <c r="AT29" s="18">
        <f>IFERROR(__xludf.DUMMYFUNCTION("IMPORTRANGE(""https://docs.google.com/spreadsheets/d/""&amp;$A29&amp;""/edit#gid=156619080"",AT$3)"),-72.11538461538463)</f>
        <v>-72.11538462</v>
      </c>
      <c r="AU29" s="3" t="str">
        <f>IFERROR(__xludf.DUMMYFUNCTION("IMPORTRANGE(""https://docs.google.com/spreadsheets/d/""&amp;$A29&amp;""/edit#gid=156619080"",AU$3)"),"53.71
25.14
-10.58
-43.54
")</f>
        <v>53.71
25.14
-10.58
-43.54
</v>
      </c>
      <c r="AV29" s="18">
        <f>IFERROR(__xludf.DUMMYFUNCTION("IMPORTRANGE(""https://docs.google.com/spreadsheets/d/""&amp;$A29&amp;""/edit#gid=156619080"",AV$3)"),20.94155844155844)</f>
        <v>20.94155844</v>
      </c>
      <c r="AW29" s="19" t="str">
        <f>IFERROR(__xludf.DUMMYFUNCTION("IMPORTRANGE(""https://docs.google.com/spreadsheets/d/""&amp;$A29&amp;""/edit#gid=156619080"",AW$3)"),"-10.75
-4.12
3.28
12.01
")</f>
        <v>-10.75
-4.12
3.28
12.01
</v>
      </c>
      <c r="AX29" s="2">
        <f>IFERROR(__xludf.DUMMYFUNCTION("IMPORTRANGE(""https://docs.google.com/spreadsheets/d/""&amp;$A29&amp;""/edit#gid=156619080"",AX$3)"),34.150000000000006)</f>
        <v>34.15</v>
      </c>
      <c r="AY29" s="2">
        <f>IFERROR(__xludf.DUMMYFUNCTION("IMPORTRANGE(""https://docs.google.com/spreadsheets/d/""&amp;$A29&amp;""/edit#gid=156619080"",AY$3)"),43.54)</f>
        <v>43.54</v>
      </c>
      <c r="AZ29" s="2">
        <f>IFERROR(__xludf.DUMMYFUNCTION("IMPORTRANGE(""https://docs.google.com/spreadsheets/d/""&amp;$A29&amp;""/edit#gid=156619080"",AZ$3)"),1634.81)</f>
        <v>1634.81</v>
      </c>
      <c r="BA29" s="2">
        <f>IFERROR(__xludf.DUMMYFUNCTION("IMPORTRANGE(""https://docs.google.com/spreadsheets/d/""&amp;$A29&amp;""/edit#gid=156619080"",BA$3)"),-16.789999999999964)</f>
        <v>-16.79</v>
      </c>
      <c r="BB29" s="2">
        <f>IFERROR(__xludf.DUMMYFUNCTION("IMPORTRANGE(""https://docs.google.com/spreadsheets/d/""&amp;$A29&amp;""/edit#gid=156619080"",BB$3)"),-7.18)</f>
        <v>-7.18</v>
      </c>
      <c r="BC29" s="2" t="str">
        <f>IFERROR(__xludf.DUMMYFUNCTION("IMPORTRANGE(""https://docs.google.com/spreadsheets/d/""&amp;$A29&amp;""/edit#gid=156619080"",BC$3)"),"DC→DC")</f>
        <v>DC→DC</v>
      </c>
    </row>
    <row r="30" ht="51.0" customHeight="1">
      <c r="A30" s="7" t="str">
        <f t="shared" si="5"/>
        <v>1AfHOtQE1vSHmNFCfaaai5tgJrM7zmpqBS6F8Svlyxmk</v>
      </c>
      <c r="B30" s="1" t="s">
        <v>57</v>
      </c>
      <c r="C30" s="2">
        <f>IFERROR(__xludf.DUMMYFUNCTION("IMPORTRANGE(""https://docs.google.com/spreadsheets/d/""&amp;$A30&amp;""/edit#gid=156619080"",C$3)"),132.0)</f>
        <v>132</v>
      </c>
      <c r="D30" s="2">
        <f>IFERROR(__xludf.DUMMYFUNCTION("IMPORTRANGE(""https://docs.google.com/spreadsheets/d/""&amp;$A30&amp;""/edit#gid=156619080"",D$3)"),4043.0)</f>
        <v>4043</v>
      </c>
      <c r="E30" s="15">
        <f>IFERROR(__xludf.DUMMYFUNCTION("IMPORTRANGE(""https://docs.google.com/spreadsheets/d/""&amp;$A30&amp;""/edit#gid=156619080"",E$3)"),43882.0)</f>
        <v>43882</v>
      </c>
      <c r="F30" s="2">
        <f>IFERROR(__xludf.DUMMYFUNCTION("IMPORTRANGE(""https://docs.google.com/spreadsheets/d/""&amp;$A30&amp;""/edit#gid=156619080"",F$3)"),-22.0)</f>
        <v>-22</v>
      </c>
      <c r="G30" s="16">
        <f>IFERROR(__xludf.DUMMYFUNCTION("IMPORTRANGE(""https://docs.google.com/spreadsheets/d/""&amp;$A30&amp;""/edit#gid=156619080"",G$3)"),-0.81)</f>
        <v>-0.81</v>
      </c>
      <c r="H30" s="16">
        <f>IFERROR(__xludf.DUMMYFUNCTION("IMPORTRANGE(""https://docs.google.com/spreadsheets/d/""&amp;$A30&amp;""/edit#gid=156619080"",H$3)"),2707.0)</f>
        <v>2707</v>
      </c>
      <c r="I30" s="16">
        <f>IFERROR(__xludf.DUMMYFUNCTION("IMPORTRANGE(""https://docs.google.com/spreadsheets/d/""&amp;$A30&amp;""/edit#gid=156619080"",I$3)"),8.0)</f>
        <v>8</v>
      </c>
      <c r="J30" s="16">
        <f>IFERROR(__xludf.DUMMYFUNCTION("IMPORTRANGE(""https://docs.google.com/spreadsheets/d/""&amp;$A30&amp;""/edit#gid=156619080"",J$3)"),2734.0)</f>
        <v>2734</v>
      </c>
      <c r="K30" s="16">
        <f>IFERROR(__xludf.DUMMYFUNCTION("IMPORTRANGE(""https://docs.google.com/spreadsheets/d/""&amp;$A30&amp;""/edit#gid=156619080"",K$3)"),0.4041666666666667)</f>
        <v>0.4041666667</v>
      </c>
      <c r="L30" s="16">
        <f>IFERROR(__xludf.DUMMYFUNCTION("IMPORTRANGE(""https://docs.google.com/spreadsheets/d/""&amp;$A30&amp;""/edit#gid=156619080"",L$3)"),2686.0)</f>
        <v>2686</v>
      </c>
      <c r="M30" s="16">
        <f>IFERROR(__xludf.DUMMYFUNCTION("IMPORTRANGE(""https://docs.google.com/spreadsheets/d/""&amp;$A30&amp;""/edit#gid=156619080"",M$3)"),0.6208333333333333)</f>
        <v>0.6208333333</v>
      </c>
      <c r="N30" s="16">
        <f>IFERROR(__xludf.DUMMYFUNCTION("IMPORTRANGE(""https://docs.google.com/spreadsheets/d/""&amp;$A30&amp;""/edit#gid=156619080"",N$3)"),2693.0)</f>
        <v>2693</v>
      </c>
      <c r="O30" s="16" t="str">
        <f>IFERROR(__xludf.DUMMYFUNCTION("IMPORTRANGE(""https://docs.google.com/spreadsheets/d/""&amp;$A30&amp;""/edit#gid=156619080"",O$3)"),"428600株")</f>
        <v>428600株</v>
      </c>
      <c r="P30" s="16" t="str">
        <f>IFERROR(__xludf.DUMMYFUNCTION("IMPORTRANGE(""https://docs.google.com/spreadsheets/d/""&amp;$A30&amp;""/edit#gid=156619080"",P$3)"),"1159百万円")</f>
        <v>1159百万円</v>
      </c>
      <c r="Q30" s="16" t="str">
        <f>IFERROR(__xludf.DUMMYFUNCTION("IMPORTRANGE(""https://docs.google.com/spreadsheets/d/""&amp;$A30&amp;""/edit#gid=156619080"",Q$3)"),"1316回")</f>
        <v>1316回</v>
      </c>
      <c r="R30" s="16" t="str">
        <f>IFERROR(__xludf.DUMMYFUNCTION("IMPORTRANGE(""https://docs.google.com/spreadsheets/d/""&amp;$A30&amp;""/edit#gid=156619080"",R$3)"),"1883億円")</f>
        <v>1883億円</v>
      </c>
      <c r="S30" s="16" t="str">
        <f>IFERROR(__xludf.DUMMYFUNCTION("IMPORTRANGE(""https://docs.google.com/spreadsheets/d/""&amp;$A30&amp;""/edit#gid=156619080"",S$3)"),"陰線")</f>
        <v>陰線</v>
      </c>
      <c r="T30" s="16" t="str">
        <f>IFERROR(__xludf.DUMMYFUNCTION("IMPORTRANGE(""https://docs.google.com/spreadsheets/d/""&amp;$A30&amp;""/edit#gid=156619080"",T$3)"),"")</f>
        <v/>
      </c>
      <c r="U30" s="16">
        <f>IFERROR(__xludf.DUMMYFUNCTION("IMPORTRANGE(""https://docs.google.com/spreadsheets/d/""&amp;$A30&amp;""/edit#gid=156619080"",U$3)"),2727.6)</f>
        <v>2727.6</v>
      </c>
      <c r="V30" s="16">
        <f>IFERROR(__xludf.DUMMYFUNCTION("IMPORTRANGE(""https://docs.google.com/spreadsheets/d/""&amp;$A30&amp;""/edit#gid=156619080"",V$3)"),2765.1)</f>
        <v>2765.1</v>
      </c>
      <c r="W30" s="16">
        <f>IFERROR(__xludf.DUMMYFUNCTION("IMPORTRANGE(""https://docs.google.com/spreadsheets/d/""&amp;$A30&amp;""/edit#gid=156619080"",W$3)"),2742.1)</f>
        <v>2742.1</v>
      </c>
      <c r="X30" s="2">
        <f>IFERROR(__xludf.DUMMYFUNCTION("IMPORTRANGE(""https://docs.google.com/spreadsheets/d/""&amp;$A30&amp;""/edit#gid=156619080"",X$3)"),2783.9)</f>
        <v>2783.9</v>
      </c>
      <c r="Y30" s="17">
        <f>IFERROR(__xludf.DUMMYFUNCTION("IMPORTRANGE(""https://docs.google.com/spreadsheets/d/""&amp;$A30&amp;""/edit#gid=156619080"",Y$3)"),-0.012685144449332714)</f>
        <v>-0.01268514445</v>
      </c>
      <c r="Z30" s="2">
        <f>IFERROR(__xludf.DUMMYFUNCTION("IMPORTRANGE(""https://docs.google.com/spreadsheets/d/""&amp;$A30&amp;""/edit#gid=156619080"",Z$3)"),2871.88)</f>
        <v>2871.88</v>
      </c>
      <c r="AA30" s="2">
        <f>IFERROR(__xludf.DUMMYFUNCTION("IMPORTRANGE(""https://docs.google.com/spreadsheets/d/""&amp;$A30&amp;""/edit#gid=156619080"",AA$3)"),2855.66)</f>
        <v>2855.66</v>
      </c>
      <c r="AB30" s="2">
        <f>IFERROR(__xludf.DUMMYFUNCTION("IMPORTRANGE(""https://docs.google.com/spreadsheets/d/""&amp;$A30&amp;""/edit#gid=156619080"",AB$3)"),2839.43)</f>
        <v>2839.43</v>
      </c>
      <c r="AC30" s="18">
        <f>IFERROR(__xludf.DUMMYFUNCTION("IMPORTRANGE(""https://docs.google.com/spreadsheets/d/""&amp;$A30&amp;""/edit#gid=156619080"",AC$3)"),2823.21)</f>
        <v>2823.21</v>
      </c>
      <c r="AD30" s="18">
        <f>IFERROR(__xludf.DUMMYFUNCTION("IMPORTRANGE(""https://docs.google.com/spreadsheets/d/""&amp;$A30&amp;""/edit#gid=156619080"",AD$3)"),2806.99)</f>
        <v>2806.99</v>
      </c>
      <c r="AE30" s="18">
        <f>IFERROR(__xludf.DUMMYFUNCTION("IMPORTRANGE(""https://docs.google.com/spreadsheets/d/""&amp;$A30&amp;""/edit#gid=156619080"",AE$3)"),2742.1)</f>
        <v>2742.1</v>
      </c>
      <c r="AF30" s="2">
        <f>IFERROR(__xludf.DUMMYFUNCTION("IMPORTRANGE(""https://docs.google.com/spreadsheets/d/""&amp;$A30&amp;""/edit#gid=156619080"",AF$3)"),2677.21)</f>
        <v>2677.21</v>
      </c>
      <c r="AG30" s="2">
        <f>IFERROR(__xludf.DUMMYFUNCTION("IMPORTRANGE(""https://docs.google.com/spreadsheets/d/""&amp;$A30&amp;""/edit#gid=156619080"",AG$3)"),2660.99)</f>
        <v>2660.99</v>
      </c>
      <c r="AH30" s="2">
        <f>IFERROR(__xludf.DUMMYFUNCTION("IMPORTRANGE(""https://docs.google.com/spreadsheets/d/""&amp;$A30&amp;""/edit#gid=156619080"",AH$3)"),2644.77)</f>
        <v>2644.77</v>
      </c>
      <c r="AI30" s="2">
        <f>IFERROR(__xludf.DUMMYFUNCTION("IMPORTRANGE(""https://docs.google.com/spreadsheets/d/""&amp;$A30&amp;""/edit#gid=156619080"",AI$3)"),2628.54)</f>
        <v>2628.54</v>
      </c>
      <c r="AJ30" s="2">
        <f>IFERROR(__xludf.DUMMYFUNCTION("IMPORTRANGE(""https://docs.google.com/spreadsheets/d/""&amp;$A30&amp;""/edit#gid=156619080"",AJ$3)"),2612.32)</f>
        <v>2612.32</v>
      </c>
      <c r="AK30" s="2" t="str">
        <f>IFERROR(__xludf.DUMMYFUNCTION("IMPORTRANGE(""https://docs.google.com/spreadsheets/d/""&amp;$A30&amp;""/edit#gid=156619080"",AK$3)"),"")</f>
        <v/>
      </c>
      <c r="AL30" s="2">
        <f>IFERROR(__xludf.DUMMYFUNCTION("IMPORTRANGE(""https://docs.google.com/spreadsheets/d/""&amp;$A30&amp;""/edit#gid=156619080"",AL$3)"),-1.0)</f>
        <v>-1</v>
      </c>
      <c r="AM30" s="2" t="str">
        <f>IFERROR(__xludf.DUMMYFUNCTION("IMPORTRANGE(""https://docs.google.com/spreadsheets/d/""&amp;$A30&amp;""/edit#gid=156619080"",AM$3)"),"")</f>
        <v/>
      </c>
      <c r="AN30" s="2">
        <f>IFERROR(__xludf.DUMMYFUNCTION("IMPORTRANGE(""https://docs.google.com/spreadsheets/d/""&amp;$A30&amp;""/edit#gid=156619080"",AN$3)"),-1.0)</f>
        <v>-1</v>
      </c>
      <c r="AO30" s="2" t="str">
        <f>IFERROR(__xludf.DUMMYFUNCTION("IMPORTRANGE(""https://docs.google.com/spreadsheets/d/""&amp;$A30&amp;""/edit#gid=156619080"",AO$3)"),"")</f>
        <v/>
      </c>
      <c r="AP30" s="2">
        <f>IFERROR(__xludf.DUMMYFUNCTION("IMPORTRANGE(""https://docs.google.com/spreadsheets/d/""&amp;$A30&amp;""/edit#gid=156619080"",AP$3)"),1.0)</f>
        <v>1</v>
      </c>
      <c r="AQ30" s="2" t="str">
        <f>IFERROR(__xludf.DUMMYFUNCTION("IMPORTRANGE(""https://docs.google.com/spreadsheets/d/""&amp;$A30&amp;""/edit#gid=156619080"",AQ$3)"),"")</f>
        <v/>
      </c>
      <c r="AR30" s="18">
        <f>IFERROR(__xludf.DUMMYFUNCTION("IMPORTRANGE(""https://docs.google.com/spreadsheets/d/""&amp;$A30&amp;""/edit#gid=156619080"",AR$3)"),-77.49999999999999)</f>
        <v>-77.5</v>
      </c>
      <c r="AS30" s="19" t="str">
        <f>IFERROR(__xludf.DUMMYFUNCTION("IMPORTRANGE(""https://docs.google.com/spreadsheets/d/""&amp;$A30&amp;""/edit#gid=156619080"",AS$3)"),"40
0
-50
-67.5
")</f>
        <v>40
0
-50
-67.5
</v>
      </c>
      <c r="AT30" s="18">
        <f>IFERROR(__xludf.DUMMYFUNCTION("IMPORTRANGE(""https://docs.google.com/spreadsheets/d/""&amp;$A30&amp;""/edit#gid=156619080"",AT$3)"),-60.85164835164836)</f>
        <v>-60.85164835</v>
      </c>
      <c r="AU30" s="3" t="str">
        <f>IFERROR(__xludf.DUMMYFUNCTION("IMPORTRANGE(""https://docs.google.com/spreadsheets/d/""&amp;$A30&amp;""/edit#gid=156619080"",AU$3)"),"45.6
9.89
-32.42
-36.68
")</f>
        <v>45.6
9.89
-32.42
-36.68
</v>
      </c>
      <c r="AV30" s="18">
        <f>IFERROR(__xludf.DUMMYFUNCTION("IMPORTRANGE(""https://docs.google.com/spreadsheets/d/""&amp;$A30&amp;""/edit#gid=156619080"",AV$3)"),17.14285714285714)</f>
        <v>17.14285714</v>
      </c>
      <c r="AW30" s="19" t="str">
        <f>IFERROR(__xludf.DUMMYFUNCTION("IMPORTRANGE(""https://docs.google.com/spreadsheets/d/""&amp;$A30&amp;""/edit#gid=156619080"",AW$3)"),"-4.97
0.1
7.76
11.56
")</f>
        <v>-4.97
0.1
7.76
11.56
</v>
      </c>
      <c r="AX30" s="2">
        <f>IFERROR(__xludf.DUMMYFUNCTION("IMPORTRANGE(""https://docs.google.com/spreadsheets/d/""&amp;$A30&amp;""/edit#gid=156619080"",AX$3)"),7.76)</f>
        <v>7.76</v>
      </c>
      <c r="AY30" s="2">
        <f>IFERROR(__xludf.DUMMYFUNCTION("IMPORTRANGE(""https://docs.google.com/spreadsheets/d/""&amp;$A30&amp;""/edit#gid=156619080"",AY$3)"),42.61)</f>
        <v>42.61</v>
      </c>
      <c r="AZ30" s="2">
        <f>IFERROR(__xludf.DUMMYFUNCTION("IMPORTRANGE(""https://docs.google.com/spreadsheets/d/""&amp;$A30&amp;""/edit#gid=156619080"",AZ$3)"),2722.31)</f>
        <v>2722.31</v>
      </c>
      <c r="BA30" s="2">
        <f>IFERROR(__xludf.DUMMYFUNCTION("IMPORTRANGE(""https://docs.google.com/spreadsheets/d/""&amp;$A30&amp;""/edit#gid=156619080"",BA$3)"),-38.63999999999987)</f>
        <v>-38.64</v>
      </c>
      <c r="BB30" s="2">
        <f>IFERROR(__xludf.DUMMYFUNCTION("IMPORTRANGE(""https://docs.google.com/spreadsheets/d/""&amp;$A30&amp;""/edit#gid=156619080"",BB$3)"),-22.97)</f>
        <v>-22.97</v>
      </c>
      <c r="BC30" s="2" t="str">
        <f>IFERROR(__xludf.DUMMYFUNCTION("IMPORTRANGE(""https://docs.google.com/spreadsheets/d/""&amp;$A30&amp;""/edit#gid=156619080"",BC$3)"),"DC→DC")</f>
        <v>DC→DC</v>
      </c>
    </row>
    <row r="31" ht="51.0" customHeight="1">
      <c r="A31" s="7" t="str">
        <f t="shared" si="5"/>
        <v>1vYVjHxaKoZ3Glu-SUyaWmRMDUqRAcvCgZFUbfMsJR3g</v>
      </c>
      <c r="B31" s="1" t="s">
        <v>58</v>
      </c>
      <c r="C31" s="2">
        <f>IFERROR(__xludf.DUMMYFUNCTION("IMPORTRANGE(""https://docs.google.com/spreadsheets/d/""&amp;$A31&amp;""/edit#gid=156619080"",C$3)"),132.0)</f>
        <v>132</v>
      </c>
      <c r="D31" s="2">
        <f>IFERROR(__xludf.DUMMYFUNCTION("IMPORTRANGE(""https://docs.google.com/spreadsheets/d/""&amp;$A31&amp;""/edit#gid=156619080"",D$3)"),4061.0)</f>
        <v>4061</v>
      </c>
      <c r="E31" s="15">
        <f>IFERROR(__xludf.DUMMYFUNCTION("IMPORTRANGE(""https://docs.google.com/spreadsheets/d/""&amp;$A31&amp;""/edit#gid=156619080"",E$3)"),43882.0)</f>
        <v>43882</v>
      </c>
      <c r="F31" s="2">
        <f>IFERROR(__xludf.DUMMYFUNCTION("IMPORTRANGE(""https://docs.google.com/spreadsheets/d/""&amp;$A31&amp;""/edit#gid=156619080"",F$3)"),5.0)</f>
        <v>5</v>
      </c>
      <c r="G31" s="16">
        <f>IFERROR(__xludf.DUMMYFUNCTION("IMPORTRANGE(""https://docs.google.com/spreadsheets/d/""&amp;$A31&amp;""/edit#gid=156619080"",G$3)"),0.17)</f>
        <v>0.17</v>
      </c>
      <c r="H31" s="16">
        <f>IFERROR(__xludf.DUMMYFUNCTION("IMPORTRANGE(""https://docs.google.com/spreadsheets/d/""&amp;$A31&amp;""/edit#gid=156619080"",H$3)"),2945.0)</f>
        <v>2945</v>
      </c>
      <c r="I31" s="16">
        <f>IFERROR(__xludf.DUMMYFUNCTION("IMPORTRANGE(""https://docs.google.com/spreadsheets/d/""&amp;$A31&amp;""/edit#gid=156619080"",I$3)"),-2.0)</f>
        <v>-2</v>
      </c>
      <c r="J31" s="16">
        <f>IFERROR(__xludf.DUMMYFUNCTION("IMPORTRANGE(""https://docs.google.com/spreadsheets/d/""&amp;$A31&amp;""/edit#gid=156619080"",J$3)"),2973.0)</f>
        <v>2973</v>
      </c>
      <c r="K31" s="16">
        <f>IFERROR(__xludf.DUMMYFUNCTION("IMPORTRANGE(""https://docs.google.com/spreadsheets/d/""&amp;$A31&amp;""/edit#gid=156619080"",K$3)"),0.5555555555555556)</f>
        <v>0.5555555556</v>
      </c>
      <c r="L31" s="16">
        <f>IFERROR(__xludf.DUMMYFUNCTION("IMPORTRANGE(""https://docs.google.com/spreadsheets/d/""&amp;$A31&amp;""/edit#gid=156619080"",L$3)"),2939.0)</f>
        <v>2939</v>
      </c>
      <c r="M31" s="16">
        <f>IFERROR(__xludf.DUMMYFUNCTION("IMPORTRANGE(""https://docs.google.com/spreadsheets/d/""&amp;$A31&amp;""/edit#gid=156619080"",M$3)"),0.47638888888888886)</f>
        <v>0.4763888889</v>
      </c>
      <c r="N31" s="16">
        <f>IFERROR(__xludf.DUMMYFUNCTION("IMPORTRANGE(""https://docs.google.com/spreadsheets/d/""&amp;$A31&amp;""/edit#gid=156619080"",N$3)"),2948.0)</f>
        <v>2948</v>
      </c>
      <c r="O31" s="16" t="str">
        <f>IFERROR(__xludf.DUMMYFUNCTION("IMPORTRANGE(""https://docs.google.com/spreadsheets/d/""&amp;$A31&amp;""/edit#gid=156619080"",O$3)"),"427100株")</f>
        <v>427100株</v>
      </c>
      <c r="P31" s="16" t="str">
        <f>IFERROR(__xludf.DUMMYFUNCTION("IMPORTRANGE(""https://docs.google.com/spreadsheets/d/""&amp;$A31&amp;""/edit#gid=156619080"",P$3)"),"1262百万円")</f>
        <v>1262百万円</v>
      </c>
      <c r="Q31" s="16" t="str">
        <f>IFERROR(__xludf.DUMMYFUNCTION("IMPORTRANGE(""https://docs.google.com/spreadsheets/d/""&amp;$A31&amp;""/edit#gid=156619080"",Q$3)"),"1244回")</f>
        <v>1244回</v>
      </c>
      <c r="R31" s="16" t="str">
        <f>IFERROR(__xludf.DUMMYFUNCTION("IMPORTRANGE(""https://docs.google.com/spreadsheets/d/""&amp;$A31&amp;""/edit#gid=156619080"",R$3)"),"2611億円")</f>
        <v>2611億円</v>
      </c>
      <c r="S31" s="16" t="str">
        <f>IFERROR(__xludf.DUMMYFUNCTION("IMPORTRANGE(""https://docs.google.com/spreadsheets/d/""&amp;$A31&amp;""/edit#gid=156619080"",S$3)"),"陽線")</f>
        <v>陽線</v>
      </c>
      <c r="T31" s="16" t="str">
        <f>IFERROR(__xludf.DUMMYFUNCTION("IMPORTRANGE(""https://docs.google.com/spreadsheets/d/""&amp;$A31&amp;""/edit#gid=156619080"",T$3)"),"")</f>
        <v/>
      </c>
      <c r="U31" s="16">
        <f>IFERROR(__xludf.DUMMYFUNCTION("IMPORTRANGE(""https://docs.google.com/spreadsheets/d/""&amp;$A31&amp;""/edit#gid=156619080"",U$3)"),2939.4)</f>
        <v>2939.4</v>
      </c>
      <c r="V31" s="16">
        <f>IFERROR(__xludf.DUMMYFUNCTION("IMPORTRANGE(""https://docs.google.com/spreadsheets/d/""&amp;$A31&amp;""/edit#gid=156619080"",V$3)"),3001.1)</f>
        <v>3001.1</v>
      </c>
      <c r="W31" s="16">
        <f>IFERROR(__xludf.DUMMYFUNCTION("IMPORTRANGE(""https://docs.google.com/spreadsheets/d/""&amp;$A31&amp;""/edit#gid=156619080"",W$3)"),3010.2)</f>
        <v>3010.2</v>
      </c>
      <c r="X31" s="2">
        <f>IFERROR(__xludf.DUMMYFUNCTION("IMPORTRANGE(""https://docs.google.com/spreadsheets/d/""&amp;$A31&amp;""/edit#gid=156619080"",X$3)"),3116.7)</f>
        <v>3116.7</v>
      </c>
      <c r="Y31" s="17">
        <f>IFERROR(__xludf.DUMMYFUNCTION("IMPORTRANGE(""https://docs.google.com/spreadsheets/d/""&amp;$A31&amp;""/edit#gid=156619080"",Y$3)"),0.0029257671633666424)</f>
        <v>0.002925767163</v>
      </c>
      <c r="Z31" s="2">
        <f>IFERROR(__xludf.DUMMYFUNCTION("IMPORTRANGE(""https://docs.google.com/spreadsheets/d/""&amp;$A31&amp;""/edit#gid=156619080"",Z$3)"),3121.25)</f>
        <v>3121.25</v>
      </c>
      <c r="AA31" s="2">
        <f>IFERROR(__xludf.DUMMYFUNCTION("IMPORTRANGE(""https://docs.google.com/spreadsheets/d/""&amp;$A31&amp;""/edit#gid=156619080"",AA$3)"),3107.37)</f>
        <v>3107.37</v>
      </c>
      <c r="AB31" s="2">
        <f>IFERROR(__xludf.DUMMYFUNCTION("IMPORTRANGE(""https://docs.google.com/spreadsheets/d/""&amp;$A31&amp;""/edit#gid=156619080"",AB$3)"),3093.49)</f>
        <v>3093.49</v>
      </c>
      <c r="AC31" s="18">
        <f>IFERROR(__xludf.DUMMYFUNCTION("IMPORTRANGE(""https://docs.google.com/spreadsheets/d/""&amp;$A31&amp;""/edit#gid=156619080"",AC$3)"),3079.61)</f>
        <v>3079.61</v>
      </c>
      <c r="AD31" s="18">
        <f>IFERROR(__xludf.DUMMYFUNCTION("IMPORTRANGE(""https://docs.google.com/spreadsheets/d/""&amp;$A31&amp;""/edit#gid=156619080"",AD$3)"),3065.73)</f>
        <v>3065.73</v>
      </c>
      <c r="AE31" s="18">
        <f>IFERROR(__xludf.DUMMYFUNCTION("IMPORTRANGE(""https://docs.google.com/spreadsheets/d/""&amp;$A31&amp;""/edit#gid=156619080"",AE$3)"),3010.2)</f>
        <v>3010.2</v>
      </c>
      <c r="AF31" s="2">
        <f>IFERROR(__xludf.DUMMYFUNCTION("IMPORTRANGE(""https://docs.google.com/spreadsheets/d/""&amp;$A31&amp;""/edit#gid=156619080"",AF$3)"),2954.67)</f>
        <v>2954.67</v>
      </c>
      <c r="AG31" s="2">
        <f>IFERROR(__xludf.DUMMYFUNCTION("IMPORTRANGE(""https://docs.google.com/spreadsheets/d/""&amp;$A31&amp;""/edit#gid=156619080"",AG$3)"),2940.79)</f>
        <v>2940.79</v>
      </c>
      <c r="AH31" s="2">
        <f>IFERROR(__xludf.DUMMYFUNCTION("IMPORTRANGE(""https://docs.google.com/spreadsheets/d/""&amp;$A31&amp;""/edit#gid=156619080"",AH$3)"),2926.91)</f>
        <v>2926.91</v>
      </c>
      <c r="AI31" s="2">
        <f>IFERROR(__xludf.DUMMYFUNCTION("IMPORTRANGE(""https://docs.google.com/spreadsheets/d/""&amp;$A31&amp;""/edit#gid=156619080"",AI$3)"),2913.03)</f>
        <v>2913.03</v>
      </c>
      <c r="AJ31" s="2">
        <f>IFERROR(__xludf.DUMMYFUNCTION("IMPORTRANGE(""https://docs.google.com/spreadsheets/d/""&amp;$A31&amp;""/edit#gid=156619080"",AJ$3)"),2899.15)</f>
        <v>2899.15</v>
      </c>
      <c r="AK31" s="2" t="str">
        <f>IFERROR(__xludf.DUMMYFUNCTION("IMPORTRANGE(""https://docs.google.com/spreadsheets/d/""&amp;$A31&amp;""/edit#gid=156619080"",AK$3)"),"-1〜-1.25σ")</f>
        <v>-1〜-1.25σ</v>
      </c>
      <c r="AL31" s="2">
        <f>IFERROR(__xludf.DUMMYFUNCTION("IMPORTRANGE(""https://docs.google.com/spreadsheets/d/""&amp;$A31&amp;""/edit#gid=156619080"",AL$3)"),-1.0)</f>
        <v>-1</v>
      </c>
      <c r="AM31" s="2" t="str">
        <f>IFERROR(__xludf.DUMMYFUNCTION("IMPORTRANGE(""https://docs.google.com/spreadsheets/d/""&amp;$A31&amp;""/edit#gid=156619080"",AM$3)"),"")</f>
        <v/>
      </c>
      <c r="AN31" s="2">
        <f>IFERROR(__xludf.DUMMYFUNCTION("IMPORTRANGE(""https://docs.google.com/spreadsheets/d/""&amp;$A31&amp;""/edit#gid=156619080"",AN$3)"),-1.0)</f>
        <v>-1</v>
      </c>
      <c r="AO31" s="2" t="str">
        <f>IFERROR(__xludf.DUMMYFUNCTION("IMPORTRANGE(""https://docs.google.com/spreadsheets/d/""&amp;$A31&amp;""/edit#gid=156619080"",AO$3)"),"")</f>
        <v/>
      </c>
      <c r="AP31" s="2">
        <f>IFERROR(__xludf.DUMMYFUNCTION("IMPORTRANGE(""https://docs.google.com/spreadsheets/d/""&amp;$A31&amp;""/edit#gid=156619080"",AP$3)"),-1.0)</f>
        <v>-1</v>
      </c>
      <c r="AQ31" s="2" t="str">
        <f>IFERROR(__xludf.DUMMYFUNCTION("IMPORTRANGE(""https://docs.google.com/spreadsheets/d/""&amp;$A31&amp;""/edit#gid=156619080"",AQ$3)"),"")</f>
        <v/>
      </c>
      <c r="AR31" s="18">
        <f>IFERROR(__xludf.DUMMYFUNCTION("IMPORTRANGE(""https://docs.google.com/spreadsheets/d/""&amp;$A31&amp;""/edit#gid=156619080"",AR$3)"),57.49999999999999)</f>
        <v>57.5</v>
      </c>
      <c r="AS31" s="19" t="str">
        <f>IFERROR(__xludf.DUMMYFUNCTION("IMPORTRANGE(""https://docs.google.com/spreadsheets/d/""&amp;$A31&amp;""/edit#gid=156619080"",AS$3)"),"-70
-70
-90
-42.5
")</f>
        <v>-70
-70
-90
-42.5
</v>
      </c>
      <c r="AT31" s="18">
        <f>IFERROR(__xludf.DUMMYFUNCTION("IMPORTRANGE(""https://docs.google.com/spreadsheets/d/""&amp;$A31&amp;""/edit#gid=156619080"",AT$3)"),-62.22527472527473)</f>
        <v>-62.22527473</v>
      </c>
      <c r="AU31" s="3" t="str">
        <f>IFERROR(__xludf.DUMMYFUNCTION("IMPORTRANGE(""https://docs.google.com/spreadsheets/d/""&amp;$A31&amp;""/edit#gid=156619080"",AU$3)"),"21.84
-1.24
-28.16
-47.94
")</f>
        <v>21.84
-1.24
-28.16
-47.94
</v>
      </c>
      <c r="AV31" s="18">
        <f>IFERROR(__xludf.DUMMYFUNCTION("IMPORTRANGE(""https://docs.google.com/spreadsheets/d/""&amp;$A31&amp;""/edit#gid=156619080"",AV$3)"),-48.92857142857143)</f>
        <v>-48.92857143</v>
      </c>
      <c r="AW31" s="19" t="str">
        <f>IFERROR(__xludf.DUMMYFUNCTION("IMPORTRANGE(""https://docs.google.com/spreadsheets/d/""&amp;$A31&amp;""/edit#gid=156619080"",AW$3)"),"-50.68
-50.97
-50.84
-50.23
")</f>
        <v>-50.68
-50.97
-50.84
-50.23
</v>
      </c>
      <c r="AX31" s="2">
        <f>IFERROR(__xludf.DUMMYFUNCTION("IMPORTRANGE(""https://docs.google.com/spreadsheets/d/""&amp;$A31&amp;""/edit#gid=156619080"",AX$3)"),15.75)</f>
        <v>15.75</v>
      </c>
      <c r="AY31" s="2">
        <f>IFERROR(__xludf.DUMMYFUNCTION("IMPORTRANGE(""https://docs.google.com/spreadsheets/d/""&amp;$A31&amp;""/edit#gid=156619080"",AY$3)"),36.27)</f>
        <v>36.27</v>
      </c>
      <c r="AZ31" s="2">
        <f>IFERROR(__xludf.DUMMYFUNCTION("IMPORTRANGE(""https://docs.google.com/spreadsheets/d/""&amp;$A31&amp;""/edit#gid=156619080"",AZ$3)"),2954.62)</f>
        <v>2954.62</v>
      </c>
      <c r="BA31" s="2">
        <f>IFERROR(__xludf.DUMMYFUNCTION("IMPORTRANGE(""https://docs.google.com/spreadsheets/d/""&amp;$A31&amp;""/edit#gid=156619080"",BA$3)"),-67.2800000000002)</f>
        <v>-67.28</v>
      </c>
      <c r="BB31" s="2">
        <f>IFERROR(__xludf.DUMMYFUNCTION("IMPORTRANGE(""https://docs.google.com/spreadsheets/d/""&amp;$A31&amp;""/edit#gid=156619080"",BB$3)"),-62.26)</f>
        <v>-62.26</v>
      </c>
      <c r="BC31" s="2" t="str">
        <f>IFERROR(__xludf.DUMMYFUNCTION("IMPORTRANGE(""https://docs.google.com/spreadsheets/d/""&amp;$A31&amp;""/edit#gid=156619080"",BC$3)"),"DC→DC")</f>
        <v>DC→DC</v>
      </c>
    </row>
    <row r="32" ht="51.0" customHeight="1">
      <c r="A32" s="7" t="str">
        <f t="shared" si="5"/>
        <v>14d8xNQD_CmJotk2wmTyEK4BFBov7FMqhaFJTKUKp5U0</v>
      </c>
      <c r="B32" s="1" t="s">
        <v>59</v>
      </c>
      <c r="C32" s="2">
        <f>IFERROR(__xludf.DUMMYFUNCTION("IMPORTRANGE(""https://docs.google.com/spreadsheets/d/""&amp;$A32&amp;""/edit#gid=156619080"",C$3)"),132.0)</f>
        <v>132</v>
      </c>
      <c r="D32" s="2">
        <f>IFERROR(__xludf.DUMMYFUNCTION("IMPORTRANGE(""https://docs.google.com/spreadsheets/d/""&amp;$A32&amp;""/edit#gid=156619080"",D$3)"),4063.0)</f>
        <v>4063</v>
      </c>
      <c r="E32" s="15">
        <f>IFERROR(__xludf.DUMMYFUNCTION("IMPORTRANGE(""https://docs.google.com/spreadsheets/d/""&amp;$A32&amp;""/edit#gid=156619080"",E$3)"),43882.0)</f>
        <v>43882</v>
      </c>
      <c r="F32" s="2">
        <f>IFERROR(__xludf.DUMMYFUNCTION("IMPORTRANGE(""https://docs.google.com/spreadsheets/d/""&amp;$A32&amp;""/edit#gid=156619080"",F$3)"),10.0)</f>
        <v>10</v>
      </c>
      <c r="G32" s="16">
        <f>IFERROR(__xludf.DUMMYFUNCTION("IMPORTRANGE(""https://docs.google.com/spreadsheets/d/""&amp;$A32&amp;""/edit#gid=156619080"",G$3)"),0.07)</f>
        <v>0.07</v>
      </c>
      <c r="H32" s="16">
        <f>IFERROR(__xludf.DUMMYFUNCTION("IMPORTRANGE(""https://docs.google.com/spreadsheets/d/""&amp;$A32&amp;""/edit#gid=156619080"",H$3)"),13870.0)</f>
        <v>13870</v>
      </c>
      <c r="I32" s="16">
        <f>IFERROR(__xludf.DUMMYFUNCTION("IMPORTRANGE(""https://docs.google.com/spreadsheets/d/""&amp;$A32&amp;""/edit#gid=156619080"",I$3)"),-125.0)</f>
        <v>-125</v>
      </c>
      <c r="J32" s="16">
        <f>IFERROR(__xludf.DUMMYFUNCTION("IMPORTRANGE(""https://docs.google.com/spreadsheets/d/""&amp;$A32&amp;""/edit#gid=156619080"",J$3)"),13945.0)</f>
        <v>13945</v>
      </c>
      <c r="K32" s="16">
        <f>IFERROR(__xludf.DUMMYFUNCTION("IMPORTRANGE(""https://docs.google.com/spreadsheets/d/""&amp;$A32&amp;""/edit#gid=156619080"",K$3)"),0.40555555555555556)</f>
        <v>0.4055555556</v>
      </c>
      <c r="L32" s="16">
        <f>IFERROR(__xludf.DUMMYFUNCTION("IMPORTRANGE(""https://docs.google.com/spreadsheets/d/""&amp;$A32&amp;""/edit#gid=156619080"",L$3)"),13750.0)</f>
        <v>13750</v>
      </c>
      <c r="M32" s="16">
        <f>IFERROR(__xludf.DUMMYFUNCTION("IMPORTRANGE(""https://docs.google.com/spreadsheets/d/""&amp;$A32&amp;""/edit#gid=156619080"",M$3)"),0.6208333333333333)</f>
        <v>0.6208333333</v>
      </c>
      <c r="N32" s="16">
        <f>IFERROR(__xludf.DUMMYFUNCTION("IMPORTRANGE(""https://docs.google.com/spreadsheets/d/""&amp;$A32&amp;""/edit#gid=156619080"",N$3)"),13755.0)</f>
        <v>13755</v>
      </c>
      <c r="O32" s="16" t="str">
        <f>IFERROR(__xludf.DUMMYFUNCTION("IMPORTRANGE(""https://docs.google.com/spreadsheets/d/""&amp;$A32&amp;""/edit#gid=156619080"",O$3)"),"1384400株")</f>
        <v>1384400株</v>
      </c>
      <c r="P32" s="16" t="str">
        <f>IFERROR(__xludf.DUMMYFUNCTION("IMPORTRANGE(""https://docs.google.com/spreadsheets/d/""&amp;$A32&amp;""/edit#gid=156619080"",P$3)"),"19155百万円")</f>
        <v>19155百万円</v>
      </c>
      <c r="Q32" s="16" t="str">
        <f>IFERROR(__xludf.DUMMYFUNCTION("IMPORTRANGE(""https://docs.google.com/spreadsheets/d/""&amp;$A32&amp;""/edit#gid=156619080"",Q$3)"),"3520回")</f>
        <v>3520回</v>
      </c>
      <c r="R32" s="16" t="str">
        <f>IFERROR(__xludf.DUMMYFUNCTION("IMPORTRANGE(""https://docs.google.com/spreadsheets/d/""&amp;$A32&amp;""/edit#gid=156619080"",R$3)"),"57312億円")</f>
        <v>57312億円</v>
      </c>
      <c r="S32" s="16" t="str">
        <f>IFERROR(__xludf.DUMMYFUNCTION("IMPORTRANGE(""https://docs.google.com/spreadsheets/d/""&amp;$A32&amp;""/edit#gid=156619080"",S$3)"),"陰線")</f>
        <v>陰線</v>
      </c>
      <c r="T32" s="16" t="str">
        <f>IFERROR(__xludf.DUMMYFUNCTION("IMPORTRANGE(""https://docs.google.com/spreadsheets/d/""&amp;$A32&amp;""/edit#gid=156619080"",T$3)"),"")</f>
        <v/>
      </c>
      <c r="U32" s="16">
        <f>IFERROR(__xludf.DUMMYFUNCTION("IMPORTRANGE(""https://docs.google.com/spreadsheets/d/""&amp;$A32&amp;""/edit#gid=156619080"",U$3)"),13610.0)</f>
        <v>13610</v>
      </c>
      <c r="V32" s="16">
        <f>IFERROR(__xludf.DUMMYFUNCTION("IMPORTRANGE(""https://docs.google.com/spreadsheets/d/""&amp;$A32&amp;""/edit#gid=156619080"",V$3)"),13456.5)</f>
        <v>13456.5</v>
      </c>
      <c r="W32" s="16">
        <f>IFERROR(__xludf.DUMMYFUNCTION("IMPORTRANGE(""https://docs.google.com/spreadsheets/d/""&amp;$A32&amp;""/edit#gid=156619080"",W$3)"),13100.0)</f>
        <v>13100</v>
      </c>
      <c r="X32" s="2">
        <f>IFERROR(__xludf.DUMMYFUNCTION("IMPORTRANGE(""https://docs.google.com/spreadsheets/d/""&amp;$A32&amp;""/edit#gid=156619080"",X$3)"),12050.1)</f>
        <v>12050.1</v>
      </c>
      <c r="Y32" s="17">
        <f>IFERROR(__xludf.DUMMYFUNCTION("IMPORTRANGE(""https://docs.google.com/spreadsheets/d/""&amp;$A32&amp;""/edit#gid=156619080"",Y$3)"),0.0106539309331374)</f>
        <v>0.01065393093</v>
      </c>
      <c r="Z32" s="2">
        <f>IFERROR(__xludf.DUMMYFUNCTION("IMPORTRANGE(""https://docs.google.com/spreadsheets/d/""&amp;$A32&amp;""/edit#gid=156619080"",Z$3)"),14109.29)</f>
        <v>14109.29</v>
      </c>
      <c r="AA32" s="2">
        <f>IFERROR(__xludf.DUMMYFUNCTION("IMPORTRANGE(""https://docs.google.com/spreadsheets/d/""&amp;$A32&amp;""/edit#gid=156619080"",AA$3)"),13983.12)</f>
        <v>13983.12</v>
      </c>
      <c r="AB32" s="2">
        <f>IFERROR(__xludf.DUMMYFUNCTION("IMPORTRANGE(""https://docs.google.com/spreadsheets/d/""&amp;$A32&amp;""/edit#gid=156619080"",AB$3)"),13856.96)</f>
        <v>13856.96</v>
      </c>
      <c r="AC32" s="18">
        <f>IFERROR(__xludf.DUMMYFUNCTION("IMPORTRANGE(""https://docs.google.com/spreadsheets/d/""&amp;$A32&amp;""/edit#gid=156619080"",AC$3)"),13730.8)</f>
        <v>13730.8</v>
      </c>
      <c r="AD32" s="18">
        <f>IFERROR(__xludf.DUMMYFUNCTION("IMPORTRANGE(""https://docs.google.com/spreadsheets/d/""&amp;$A32&amp;""/edit#gid=156619080"",AD$3)"),13604.64)</f>
        <v>13604.64</v>
      </c>
      <c r="AE32" s="18">
        <f>IFERROR(__xludf.DUMMYFUNCTION("IMPORTRANGE(""https://docs.google.com/spreadsheets/d/""&amp;$A32&amp;""/edit#gid=156619080"",AE$3)"),13100.0)</f>
        <v>13100</v>
      </c>
      <c r="AF32" s="2">
        <f>IFERROR(__xludf.DUMMYFUNCTION("IMPORTRANGE(""https://docs.google.com/spreadsheets/d/""&amp;$A32&amp;""/edit#gid=156619080"",AF$3)"),12595.36)</f>
        <v>12595.36</v>
      </c>
      <c r="AG32" s="2">
        <f>IFERROR(__xludf.DUMMYFUNCTION("IMPORTRANGE(""https://docs.google.com/spreadsheets/d/""&amp;$A32&amp;""/edit#gid=156619080"",AG$3)"),12469.2)</f>
        <v>12469.2</v>
      </c>
      <c r="AH32" s="2">
        <f>IFERROR(__xludf.DUMMYFUNCTION("IMPORTRANGE(""https://docs.google.com/spreadsheets/d/""&amp;$A32&amp;""/edit#gid=156619080"",AH$3)"),12343.04)</f>
        <v>12343.04</v>
      </c>
      <c r="AI32" s="2">
        <f>IFERROR(__xludf.DUMMYFUNCTION("IMPORTRANGE(""https://docs.google.com/spreadsheets/d/""&amp;$A32&amp;""/edit#gid=156619080"",AI$3)"),12216.88)</f>
        <v>12216.88</v>
      </c>
      <c r="AJ32" s="2">
        <f>IFERROR(__xludf.DUMMYFUNCTION("IMPORTRANGE(""https://docs.google.com/spreadsheets/d/""&amp;$A32&amp;""/edit#gid=156619080"",AJ$3)"),12090.71)</f>
        <v>12090.71</v>
      </c>
      <c r="AK32" s="2" t="str">
        <f>IFERROR(__xludf.DUMMYFUNCTION("IMPORTRANGE(""https://docs.google.com/spreadsheets/d/""&amp;$A32&amp;""/edit#gid=156619080"",AK$3)"),"1.25σ〜1.5σ")</f>
        <v>1.25σ〜1.5σ</v>
      </c>
      <c r="AL32" s="2">
        <f>IFERROR(__xludf.DUMMYFUNCTION("IMPORTRANGE(""https://docs.google.com/spreadsheets/d/""&amp;$A32&amp;""/edit#gid=156619080"",AL$3)"),1.0)</f>
        <v>1</v>
      </c>
      <c r="AM32" s="2" t="str">
        <f>IFERROR(__xludf.DUMMYFUNCTION("IMPORTRANGE(""https://docs.google.com/spreadsheets/d/""&amp;$A32&amp;""/edit#gid=156619080"",AM$3)"),"")</f>
        <v/>
      </c>
      <c r="AN32" s="2">
        <f>IFERROR(__xludf.DUMMYFUNCTION("IMPORTRANGE(""https://docs.google.com/spreadsheets/d/""&amp;$A32&amp;""/edit#gid=156619080"",AN$3)"),1.0)</f>
        <v>1</v>
      </c>
      <c r="AO32" s="2" t="str">
        <f>IFERROR(__xludf.DUMMYFUNCTION("IMPORTRANGE(""https://docs.google.com/spreadsheets/d/""&amp;$A32&amp;""/edit#gid=156619080"",AO$3)"),"")</f>
        <v/>
      </c>
      <c r="AP32" s="2">
        <f>IFERROR(__xludf.DUMMYFUNCTION("IMPORTRANGE(""https://docs.google.com/spreadsheets/d/""&amp;$A32&amp;""/edit#gid=156619080"",AP$3)"),1.0)</f>
        <v>1</v>
      </c>
      <c r="AQ32" s="2" t="str">
        <f>IFERROR(__xludf.DUMMYFUNCTION("IMPORTRANGE(""https://docs.google.com/spreadsheets/d/""&amp;$A32&amp;""/edit#gid=156619080"",AQ$3)"),"")</f>
        <v/>
      </c>
      <c r="AR32" s="18">
        <f>IFERROR(__xludf.DUMMYFUNCTION("IMPORTRANGE(""https://docs.google.com/spreadsheets/d/""&amp;$A32&amp;""/edit#gid=156619080"",AR$3)"),70.0)</f>
        <v>70</v>
      </c>
      <c r="AS32" s="19" t="str">
        <f>IFERROR(__xludf.DUMMYFUNCTION("IMPORTRANGE(""https://docs.google.com/spreadsheets/d/""&amp;$A32&amp;""/edit#gid=156619080"",AS$3)"),"70
40
-10
20
")</f>
        <v>70
40
-10
20
</v>
      </c>
      <c r="AT32" s="18">
        <f>IFERROR(__xludf.DUMMYFUNCTION("IMPORTRANGE(""https://docs.google.com/spreadsheets/d/""&amp;$A32&amp;""/edit#gid=156619080"",AT$3)"),66.4835164835165)</f>
        <v>66.48351648</v>
      </c>
      <c r="AU32" s="3" t="str">
        <f>IFERROR(__xludf.DUMMYFUNCTION("IMPORTRANGE(""https://docs.google.com/spreadsheets/d/""&amp;$A32&amp;""/edit#gid=156619080"",AU$3)"),"85.71
73.08
66.48
66.48
")</f>
        <v>85.71
73.08
66.48
66.48
</v>
      </c>
      <c r="AV32" s="18">
        <f>IFERROR(__xludf.DUMMYFUNCTION("IMPORTRANGE(""https://docs.google.com/spreadsheets/d/""&amp;$A32&amp;""/edit#gid=156619080"",AV$3)"),88.31168831168831)</f>
        <v>88.31168831</v>
      </c>
      <c r="AW32" s="19" t="str">
        <f>IFERROR(__xludf.DUMMYFUNCTION("IMPORTRANGE(""https://docs.google.com/spreadsheets/d/""&amp;$A32&amp;""/edit#gid=156619080"",AW$3)"),"78.18
79.22
81.56
83.64
")</f>
        <v>78.18
79.22
81.56
83.64
</v>
      </c>
      <c r="AX32" s="2">
        <f>IFERROR(__xludf.DUMMYFUNCTION("IMPORTRANGE(""https://docs.google.com/spreadsheets/d/""&amp;$A32&amp;""/edit#gid=156619080"",AX$3)"),63.190000000000005)</f>
        <v>63.19</v>
      </c>
      <c r="AY32" s="2">
        <f>IFERROR(__xludf.DUMMYFUNCTION("IMPORTRANGE(""https://docs.google.com/spreadsheets/d/""&amp;$A32&amp;""/edit#gid=156619080"",AY$3)"),63.72)</f>
        <v>63.72</v>
      </c>
      <c r="AZ32" s="2">
        <f>IFERROR(__xludf.DUMMYFUNCTION("IMPORTRANGE(""https://docs.google.com/spreadsheets/d/""&amp;$A32&amp;""/edit#gid=156619080"",AZ$3)"),13633.95)</f>
        <v>13633.95</v>
      </c>
      <c r="BA32" s="2">
        <f>IFERROR(__xludf.DUMMYFUNCTION("IMPORTRANGE(""https://docs.google.com/spreadsheets/d/""&amp;$A32&amp;""/edit#gid=156619080"",BA$3)"),442.85000000000036)</f>
        <v>442.85</v>
      </c>
      <c r="BB32" s="2">
        <f>IFERROR(__xludf.DUMMYFUNCTION("IMPORTRANGE(""https://docs.google.com/spreadsheets/d/""&amp;$A32&amp;""/edit#gid=156619080"",BB$3)"),418.27)</f>
        <v>418.27</v>
      </c>
      <c r="BC32" s="2" t="str">
        <f>IFERROR(__xludf.DUMMYFUNCTION("IMPORTRANGE(""https://docs.google.com/spreadsheets/d/""&amp;$A32&amp;""/edit#gid=156619080"",BC$3)"),"GC→GC")</f>
        <v>GC→GC</v>
      </c>
    </row>
    <row r="33" ht="51.0" customHeight="1">
      <c r="A33" s="7" t="str">
        <f t="shared" si="5"/>
        <v>1fmSr2yZCfO865fXPJb0FALA2Q9a6Cs0ozeapKG0njIY</v>
      </c>
      <c r="B33" s="1" t="s">
        <v>60</v>
      </c>
      <c r="C33" s="2">
        <f>IFERROR(__xludf.DUMMYFUNCTION("IMPORTRANGE(""https://docs.google.com/spreadsheets/d/""&amp;$A33&amp;""/edit#gid=156619080"",C$3)"),132.0)</f>
        <v>132</v>
      </c>
      <c r="D33" s="2">
        <f>IFERROR(__xludf.DUMMYFUNCTION("IMPORTRANGE(""https://docs.google.com/spreadsheets/d/""&amp;$A33&amp;""/edit#gid=156619080"",D$3)"),4183.0)</f>
        <v>4183</v>
      </c>
      <c r="E33" s="15">
        <f>IFERROR(__xludf.DUMMYFUNCTION("IMPORTRANGE(""https://docs.google.com/spreadsheets/d/""&amp;$A33&amp;""/edit#gid=156619080"",E$3)"),43882.0)</f>
        <v>43882</v>
      </c>
      <c r="F33" s="2">
        <f>IFERROR(__xludf.DUMMYFUNCTION("IMPORTRANGE(""https://docs.google.com/spreadsheets/d/""&amp;$A33&amp;""/edit#gid=156619080"",F$3)"),5.0)</f>
        <v>5</v>
      </c>
      <c r="G33" s="16">
        <f>IFERROR(__xludf.DUMMYFUNCTION("IMPORTRANGE(""https://docs.google.com/spreadsheets/d/""&amp;$A33&amp;""/edit#gid=156619080"",G$3)"),0.2)</f>
        <v>0.2</v>
      </c>
      <c r="H33" s="16">
        <f>IFERROR(__xludf.DUMMYFUNCTION("IMPORTRANGE(""https://docs.google.com/spreadsheets/d/""&amp;$A33&amp;""/edit#gid=156619080"",H$3)"),2542.0)</f>
        <v>2542</v>
      </c>
      <c r="I33" s="16">
        <f>IFERROR(__xludf.DUMMYFUNCTION("IMPORTRANGE(""https://docs.google.com/spreadsheets/d/""&amp;$A33&amp;""/edit#gid=156619080"",I$3)"),-1.0)</f>
        <v>-1</v>
      </c>
      <c r="J33" s="16">
        <f>IFERROR(__xludf.DUMMYFUNCTION("IMPORTRANGE(""https://docs.google.com/spreadsheets/d/""&amp;$A33&amp;""/edit#gid=156619080"",J$3)"),2569.0)</f>
        <v>2569</v>
      </c>
      <c r="K33" s="16">
        <f>IFERROR(__xludf.DUMMYFUNCTION("IMPORTRANGE(""https://docs.google.com/spreadsheets/d/""&amp;$A33&amp;""/edit#gid=156619080"",K$3)"),0.38125)</f>
        <v>0.38125</v>
      </c>
      <c r="L33" s="16">
        <f>IFERROR(__xludf.DUMMYFUNCTION("IMPORTRANGE(""https://docs.google.com/spreadsheets/d/""&amp;$A33&amp;""/edit#gid=156619080"",L$3)"),2542.0)</f>
        <v>2542</v>
      </c>
      <c r="M33" s="16">
        <f>IFERROR(__xludf.DUMMYFUNCTION("IMPORTRANGE(""https://docs.google.com/spreadsheets/d/""&amp;$A33&amp;""/edit#gid=156619080"",M$3)"),0.375)</f>
        <v>0.375</v>
      </c>
      <c r="N33" s="16">
        <f>IFERROR(__xludf.DUMMYFUNCTION("IMPORTRANGE(""https://docs.google.com/spreadsheets/d/""&amp;$A33&amp;""/edit#gid=156619080"",N$3)"),2546.0)</f>
        <v>2546</v>
      </c>
      <c r="O33" s="16" t="str">
        <f>IFERROR(__xludf.DUMMYFUNCTION("IMPORTRANGE(""https://docs.google.com/spreadsheets/d/""&amp;$A33&amp;""/edit#gid=156619080"",O$3)"),"753800株")</f>
        <v>753800株</v>
      </c>
      <c r="P33" s="16" t="str">
        <f>IFERROR(__xludf.DUMMYFUNCTION("IMPORTRANGE(""https://docs.google.com/spreadsheets/d/""&amp;$A33&amp;""/edit#gid=156619080"",P$3)"),"1925百万円")</f>
        <v>1925百万円</v>
      </c>
      <c r="Q33" s="16" t="str">
        <f>IFERROR(__xludf.DUMMYFUNCTION("IMPORTRANGE(""https://docs.google.com/spreadsheets/d/""&amp;$A33&amp;""/edit#gid=156619080"",Q$3)"),"2216回")</f>
        <v>2216回</v>
      </c>
      <c r="R33" s="16" t="str">
        <f>IFERROR(__xludf.DUMMYFUNCTION("IMPORTRANGE(""https://docs.google.com/spreadsheets/d/""&amp;$A33&amp;""/edit#gid=156619080"",R$3)"),"5209億円")</f>
        <v>5209億円</v>
      </c>
      <c r="S33" s="16" t="str">
        <f>IFERROR(__xludf.DUMMYFUNCTION("IMPORTRANGE(""https://docs.google.com/spreadsheets/d/""&amp;$A33&amp;""/edit#gid=156619080"",S$3)"),"陽線")</f>
        <v>陽線</v>
      </c>
      <c r="T33" s="16" t="str">
        <f>IFERROR(__xludf.DUMMYFUNCTION("IMPORTRANGE(""https://docs.google.com/spreadsheets/d/""&amp;$A33&amp;""/edit#gid=156619080"",T$3)"),"")</f>
        <v/>
      </c>
      <c r="U33" s="16">
        <f>IFERROR(__xludf.DUMMYFUNCTION("IMPORTRANGE(""https://docs.google.com/spreadsheets/d/""&amp;$A33&amp;""/edit#gid=156619080"",U$3)"),2558.6)</f>
        <v>2558.6</v>
      </c>
      <c r="V33" s="16">
        <f>IFERROR(__xludf.DUMMYFUNCTION("IMPORTRANGE(""https://docs.google.com/spreadsheets/d/""&amp;$A33&amp;""/edit#gid=156619080"",V$3)"),2576.3)</f>
        <v>2576.3</v>
      </c>
      <c r="W33" s="16">
        <f>IFERROR(__xludf.DUMMYFUNCTION("IMPORTRANGE(""https://docs.google.com/spreadsheets/d/""&amp;$A33&amp;""/edit#gid=156619080"",W$3)"),2533.3)</f>
        <v>2533.3</v>
      </c>
      <c r="X33" s="2">
        <f>IFERROR(__xludf.DUMMYFUNCTION("IMPORTRANGE(""https://docs.google.com/spreadsheets/d/""&amp;$A33&amp;""/edit#gid=156619080"",X$3)"),2568.1)</f>
        <v>2568.1</v>
      </c>
      <c r="Y33" s="17">
        <f>IFERROR(__xludf.DUMMYFUNCTION("IMPORTRANGE(""https://docs.google.com/spreadsheets/d/""&amp;$A33&amp;""/edit#gid=156619080"",Y$3)"),-0.0049245681231923355)</f>
        <v>-0.004924568123</v>
      </c>
      <c r="Z33" s="2">
        <f>IFERROR(__xludf.DUMMYFUNCTION("IMPORTRANGE(""https://docs.google.com/spreadsheets/d/""&amp;$A33&amp;""/edit#gid=156619080"",Z$3)"),2677.66)</f>
        <v>2677.66</v>
      </c>
      <c r="AA33" s="2">
        <f>IFERROR(__xludf.DUMMYFUNCTION("IMPORTRANGE(""https://docs.google.com/spreadsheets/d/""&amp;$A33&amp;""/edit#gid=156619080"",AA$3)"),2659.61)</f>
        <v>2659.61</v>
      </c>
      <c r="AB33" s="2">
        <f>IFERROR(__xludf.DUMMYFUNCTION("IMPORTRANGE(""https://docs.google.com/spreadsheets/d/""&amp;$A33&amp;""/edit#gid=156619080"",AB$3)"),2641.57)</f>
        <v>2641.57</v>
      </c>
      <c r="AC33" s="18">
        <f>IFERROR(__xludf.DUMMYFUNCTION("IMPORTRANGE(""https://docs.google.com/spreadsheets/d/""&amp;$A33&amp;""/edit#gid=156619080"",AC$3)"),2623.52)</f>
        <v>2623.52</v>
      </c>
      <c r="AD33" s="18">
        <f>IFERROR(__xludf.DUMMYFUNCTION("IMPORTRANGE(""https://docs.google.com/spreadsheets/d/""&amp;$A33&amp;""/edit#gid=156619080"",AD$3)"),2605.48)</f>
        <v>2605.48</v>
      </c>
      <c r="AE33" s="18">
        <f>IFERROR(__xludf.DUMMYFUNCTION("IMPORTRANGE(""https://docs.google.com/spreadsheets/d/""&amp;$A33&amp;""/edit#gid=156619080"",AE$3)"),2533.3)</f>
        <v>2533.3</v>
      </c>
      <c r="AF33" s="2">
        <f>IFERROR(__xludf.DUMMYFUNCTION("IMPORTRANGE(""https://docs.google.com/spreadsheets/d/""&amp;$A33&amp;""/edit#gid=156619080"",AF$3)"),2461.12)</f>
        <v>2461.12</v>
      </c>
      <c r="AG33" s="2">
        <f>IFERROR(__xludf.DUMMYFUNCTION("IMPORTRANGE(""https://docs.google.com/spreadsheets/d/""&amp;$A33&amp;""/edit#gid=156619080"",AG$3)"),2443.08)</f>
        <v>2443.08</v>
      </c>
      <c r="AH33" s="2">
        <f>IFERROR(__xludf.DUMMYFUNCTION("IMPORTRANGE(""https://docs.google.com/spreadsheets/d/""&amp;$A33&amp;""/edit#gid=156619080"",AH$3)"),2425.03)</f>
        <v>2425.03</v>
      </c>
      <c r="AI33" s="2">
        <f>IFERROR(__xludf.DUMMYFUNCTION("IMPORTRANGE(""https://docs.google.com/spreadsheets/d/""&amp;$A33&amp;""/edit#gid=156619080"",AI$3)"),2406.99)</f>
        <v>2406.99</v>
      </c>
      <c r="AJ33" s="2">
        <f>IFERROR(__xludf.DUMMYFUNCTION("IMPORTRANGE(""https://docs.google.com/spreadsheets/d/""&amp;$A33&amp;""/edit#gid=156619080"",AJ$3)"),2388.94)</f>
        <v>2388.94</v>
      </c>
      <c r="AK33" s="2" t="str">
        <f>IFERROR(__xludf.DUMMYFUNCTION("IMPORTRANGE(""https://docs.google.com/spreadsheets/d/""&amp;$A33&amp;""/edit#gid=156619080"",AK$3)"),"")</f>
        <v/>
      </c>
      <c r="AL33" s="2">
        <f>IFERROR(__xludf.DUMMYFUNCTION("IMPORTRANGE(""https://docs.google.com/spreadsheets/d/""&amp;$A33&amp;""/edit#gid=156619080"",AL$3)"),-1.0)</f>
        <v>-1</v>
      </c>
      <c r="AM33" s="2" t="str">
        <f>IFERROR(__xludf.DUMMYFUNCTION("IMPORTRANGE(""https://docs.google.com/spreadsheets/d/""&amp;$A33&amp;""/edit#gid=156619080"",AM$3)"),"")</f>
        <v/>
      </c>
      <c r="AN33" s="2">
        <f>IFERROR(__xludf.DUMMYFUNCTION("IMPORTRANGE(""https://docs.google.com/spreadsheets/d/""&amp;$A33&amp;""/edit#gid=156619080"",AN$3)"),1.0)</f>
        <v>1</v>
      </c>
      <c r="AO33" s="2" t="str">
        <f>IFERROR(__xludf.DUMMYFUNCTION("IMPORTRANGE(""https://docs.google.com/spreadsheets/d/""&amp;$A33&amp;""/edit#gid=156619080"",AO$3)"),"")</f>
        <v/>
      </c>
      <c r="AP33" s="2">
        <f>IFERROR(__xludf.DUMMYFUNCTION("IMPORTRANGE(""https://docs.google.com/spreadsheets/d/""&amp;$A33&amp;""/edit#gid=156619080"",AP$3)"),1.0)</f>
        <v>1</v>
      </c>
      <c r="AQ33" s="2" t="str">
        <f>IFERROR(__xludf.DUMMYFUNCTION("IMPORTRANGE(""https://docs.google.com/spreadsheets/d/""&amp;$A33&amp;""/edit#gid=156619080"",AQ$3)"),"")</f>
        <v/>
      </c>
      <c r="AR33" s="18">
        <f>IFERROR(__xludf.DUMMYFUNCTION("IMPORTRANGE(""https://docs.google.com/spreadsheets/d/""&amp;$A33&amp;""/edit#gid=156619080"",AR$3)"),-60.00000000000001)</f>
        <v>-60</v>
      </c>
      <c r="AS33" s="19" t="str">
        <f>IFERROR(__xludf.DUMMYFUNCTION("IMPORTRANGE(""https://docs.google.com/spreadsheets/d/""&amp;$A33&amp;""/edit#gid=156619080"",AS$3)"),"-60
-70
-70
-60
")</f>
        <v>-60
-70
-70
-60
</v>
      </c>
      <c r="AT33" s="18">
        <f>IFERROR(__xludf.DUMMYFUNCTION("IMPORTRANGE(""https://docs.google.com/spreadsheets/d/""&amp;$A33&amp;""/edit#gid=156619080"",AT$3)"),-31.868131868131865)</f>
        <v>-31.86813187</v>
      </c>
      <c r="AU33" s="3" t="str">
        <f>IFERROR(__xludf.DUMMYFUNCTION("IMPORTRANGE(""https://docs.google.com/spreadsheets/d/""&amp;$A33&amp;""/edit#gid=156619080"",AU$3)"),"63.19
54.4
30.77
2.75
")</f>
        <v>63.19
54.4
30.77
2.75
</v>
      </c>
      <c r="AV33" s="18">
        <f>IFERROR(__xludf.DUMMYFUNCTION("IMPORTRANGE(""https://docs.google.com/spreadsheets/d/""&amp;$A33&amp;""/edit#gid=156619080"",AV$3)"),55.84415584415585)</f>
        <v>55.84415584</v>
      </c>
      <c r="AW33" s="19" t="str">
        <f>IFERROR(__xludf.DUMMYFUNCTION("IMPORTRANGE(""https://docs.google.com/spreadsheets/d/""&amp;$A33&amp;""/edit#gid=156619080"",AW$3)"),"2.69
17.24
31.92
44.38
")</f>
        <v>2.69
17.24
31.92
44.38
</v>
      </c>
      <c r="AX33" s="2">
        <f>IFERROR(__xludf.DUMMYFUNCTION("IMPORTRANGE(""https://docs.google.com/spreadsheets/d/""&amp;$A33&amp;""/edit#gid=156619080"",AX$3)"),22.220000000000002)</f>
        <v>22.22</v>
      </c>
      <c r="AY33" s="2">
        <f>IFERROR(__xludf.DUMMYFUNCTION("IMPORTRANGE(""https://docs.google.com/spreadsheets/d/""&amp;$A33&amp;""/edit#gid=156619080"",AY$3)"),46.97)</f>
        <v>46.97</v>
      </c>
      <c r="AZ33" s="2">
        <f>IFERROR(__xludf.DUMMYFUNCTION("IMPORTRANGE(""https://docs.google.com/spreadsheets/d/""&amp;$A33&amp;""/edit#gid=156619080"",AZ$3)"),2555.67)</f>
        <v>2555.67</v>
      </c>
      <c r="BA33" s="2">
        <f>IFERROR(__xludf.DUMMYFUNCTION("IMPORTRANGE(""https://docs.google.com/spreadsheets/d/""&amp;$A33&amp;""/edit#gid=156619080"",BA$3)"),-8.38000000000011)</f>
        <v>-8.38</v>
      </c>
      <c r="BB33" s="2">
        <f>IFERROR(__xludf.DUMMYFUNCTION("IMPORTRANGE(""https://docs.google.com/spreadsheets/d/""&amp;$A33&amp;""/edit#gid=156619080"",BB$3)"),-5.1)</f>
        <v>-5.1</v>
      </c>
      <c r="BC33" s="2" t="str">
        <f>IFERROR(__xludf.DUMMYFUNCTION("IMPORTRANGE(""https://docs.google.com/spreadsheets/d/""&amp;$A33&amp;""/edit#gid=156619080"",BC$3)"),"DC→DC")</f>
        <v>DC→DC</v>
      </c>
    </row>
    <row r="34" ht="51.0" customHeight="1">
      <c r="A34" s="7" t="str">
        <f t="shared" si="5"/>
        <v>1RfcLIec0UKKNYDp-SFr4Rl873D9MvMOBR05kt29wvFU</v>
      </c>
      <c r="B34" s="1" t="s">
        <v>61</v>
      </c>
      <c r="C34" s="2">
        <f>IFERROR(__xludf.DUMMYFUNCTION("IMPORTRANGE(""https://docs.google.com/spreadsheets/d/""&amp;$A34&amp;""/edit#gid=156619080"",C$3)"),132.0)</f>
        <v>132</v>
      </c>
      <c r="D34" s="2">
        <f>IFERROR(__xludf.DUMMYFUNCTION("IMPORTRANGE(""https://docs.google.com/spreadsheets/d/""&amp;$A34&amp;""/edit#gid=156619080"",D$3)"),4188.0)</f>
        <v>4188</v>
      </c>
      <c r="E34" s="15">
        <f>IFERROR(__xludf.DUMMYFUNCTION("IMPORTRANGE(""https://docs.google.com/spreadsheets/d/""&amp;$A34&amp;""/edit#gid=156619080"",E$3)"),43882.0)</f>
        <v>43882</v>
      </c>
      <c r="F34" s="2">
        <f>IFERROR(__xludf.DUMMYFUNCTION("IMPORTRANGE(""https://docs.google.com/spreadsheets/d/""&amp;$A34&amp;""/edit#gid=156619080"",F$3)"),2.0)</f>
        <v>2</v>
      </c>
      <c r="G34" s="16">
        <f>IFERROR(__xludf.DUMMYFUNCTION("IMPORTRANGE(""https://docs.google.com/spreadsheets/d/""&amp;$A34&amp;""/edit#gid=156619080"",G$3)"),0.25)</f>
        <v>0.25</v>
      </c>
      <c r="H34" s="16">
        <f>IFERROR(__xludf.DUMMYFUNCTION("IMPORTRANGE(""https://docs.google.com/spreadsheets/d/""&amp;$A34&amp;""/edit#gid=156619080"",H$3)"),790.6)</f>
        <v>790.6</v>
      </c>
      <c r="I34" s="16">
        <f>IFERROR(__xludf.DUMMYFUNCTION("IMPORTRANGE(""https://docs.google.com/spreadsheets/d/""&amp;$A34&amp;""/edit#gid=156619080"",I$3)"),-3.300000000000068)</f>
        <v>-3.3</v>
      </c>
      <c r="J34" s="16">
        <f>IFERROR(__xludf.DUMMYFUNCTION("IMPORTRANGE(""https://docs.google.com/spreadsheets/d/""&amp;$A34&amp;""/edit#gid=156619080"",J$3)"),794.9)</f>
        <v>794.9</v>
      </c>
      <c r="K34" s="16">
        <f>IFERROR(__xludf.DUMMYFUNCTION("IMPORTRANGE(""https://docs.google.com/spreadsheets/d/""&amp;$A34&amp;""/edit#gid=156619080"",K$3)"),0.38125)</f>
        <v>0.38125</v>
      </c>
      <c r="L34" s="16">
        <f>IFERROR(__xludf.DUMMYFUNCTION("IMPORTRANGE(""https://docs.google.com/spreadsheets/d/""&amp;$A34&amp;""/edit#gid=156619080"",L$3)"),789.3)</f>
        <v>789.3</v>
      </c>
      <c r="M34" s="16">
        <f>IFERROR(__xludf.DUMMYFUNCTION("IMPORTRANGE(""https://docs.google.com/spreadsheets/d/""&amp;$A34&amp;""/edit#gid=156619080"",M$3)"),0.625)</f>
        <v>0.625</v>
      </c>
      <c r="N34" s="16">
        <f>IFERROR(__xludf.DUMMYFUNCTION("IMPORTRANGE(""https://docs.google.com/spreadsheets/d/""&amp;$A34&amp;""/edit#gid=156619080"",N$3)"),789.3)</f>
        <v>789.3</v>
      </c>
      <c r="O34" s="16" t="str">
        <f>IFERROR(__xludf.DUMMYFUNCTION("IMPORTRANGE(""https://docs.google.com/spreadsheets/d/""&amp;$A34&amp;""/edit#gid=156619080"",O$3)"),"4031400株")</f>
        <v>4031400株</v>
      </c>
      <c r="P34" s="16" t="str">
        <f>IFERROR(__xludf.DUMMYFUNCTION("IMPORTRANGE(""https://docs.google.com/spreadsheets/d/""&amp;$A34&amp;""/edit#gid=156619080"",P$3)"),"3191百万円")</f>
        <v>3191百万円</v>
      </c>
      <c r="Q34" s="16" t="str">
        <f>IFERROR(__xludf.DUMMYFUNCTION("IMPORTRANGE(""https://docs.google.com/spreadsheets/d/""&amp;$A34&amp;""/edit#gid=156619080"",Q$3)"),"5908回")</f>
        <v>5908回</v>
      </c>
      <c r="R34" s="16" t="str">
        <f>IFERROR(__xludf.DUMMYFUNCTION("IMPORTRANGE(""https://docs.google.com/spreadsheets/d/""&amp;$A34&amp;""/edit#gid=156619080"",R$3)"),"11889億円")</f>
        <v>11889億円</v>
      </c>
      <c r="S34" s="16" t="str">
        <f>IFERROR(__xludf.DUMMYFUNCTION("IMPORTRANGE(""https://docs.google.com/spreadsheets/d/""&amp;$A34&amp;""/edit#gid=156619080"",S$3)"),"陰線")</f>
        <v>陰線</v>
      </c>
      <c r="T34" s="16" t="str">
        <f>IFERROR(__xludf.DUMMYFUNCTION("IMPORTRANGE(""https://docs.google.com/spreadsheets/d/""&amp;$A34&amp;""/edit#gid=156619080"",T$3)"),"")</f>
        <v/>
      </c>
      <c r="U34" s="16">
        <f>IFERROR(__xludf.DUMMYFUNCTION("IMPORTRANGE(""https://docs.google.com/spreadsheets/d/""&amp;$A34&amp;""/edit#gid=156619080"",U$3)"),791.22)</f>
        <v>791.22</v>
      </c>
      <c r="V34" s="16">
        <f>IFERROR(__xludf.DUMMYFUNCTION("IMPORTRANGE(""https://docs.google.com/spreadsheets/d/""&amp;$A34&amp;""/edit#gid=156619080"",V$3)"),794.1)</f>
        <v>794.1</v>
      </c>
      <c r="W34" s="16">
        <f>IFERROR(__xludf.DUMMYFUNCTION("IMPORTRANGE(""https://docs.google.com/spreadsheets/d/""&amp;$A34&amp;""/edit#gid=156619080"",W$3)"),796.2)</f>
        <v>796.2</v>
      </c>
      <c r="X34" s="2">
        <f>IFERROR(__xludf.DUMMYFUNCTION("IMPORTRANGE(""https://docs.google.com/spreadsheets/d/""&amp;$A34&amp;""/edit#gid=156619080"",X$3)"),807.9)</f>
        <v>807.9</v>
      </c>
      <c r="Y34" s="17">
        <f>IFERROR(__xludf.DUMMYFUNCTION("IMPORTRANGE(""https://docs.google.com/spreadsheets/d/""&amp;$A34&amp;""/edit#gid=156619080"",Y$3)"),-0.0024266322893759925)</f>
        <v>-0.002426632289</v>
      </c>
      <c r="Z34" s="2">
        <f>IFERROR(__xludf.DUMMYFUNCTION("IMPORTRANGE(""https://docs.google.com/spreadsheets/d/""&amp;$A34&amp;""/edit#gid=156619080"",Z$3)"),809.3)</f>
        <v>809.3</v>
      </c>
      <c r="AA34" s="2">
        <f>IFERROR(__xludf.DUMMYFUNCTION("IMPORTRANGE(""https://docs.google.com/spreadsheets/d/""&amp;$A34&amp;""/edit#gid=156619080"",AA$3)"),807.66)</f>
        <v>807.66</v>
      </c>
      <c r="AB34" s="2">
        <f>IFERROR(__xludf.DUMMYFUNCTION("IMPORTRANGE(""https://docs.google.com/spreadsheets/d/""&amp;$A34&amp;""/edit#gid=156619080"",AB$3)"),806.02)</f>
        <v>806.02</v>
      </c>
      <c r="AC34" s="18">
        <f>IFERROR(__xludf.DUMMYFUNCTION("IMPORTRANGE(""https://docs.google.com/spreadsheets/d/""&amp;$A34&amp;""/edit#gid=156619080"",AC$3)"),804.39)</f>
        <v>804.39</v>
      </c>
      <c r="AD34" s="18">
        <f>IFERROR(__xludf.DUMMYFUNCTION("IMPORTRANGE(""https://docs.google.com/spreadsheets/d/""&amp;$A34&amp;""/edit#gid=156619080"",AD$3)"),802.75)</f>
        <v>802.75</v>
      </c>
      <c r="AE34" s="18">
        <f>IFERROR(__xludf.DUMMYFUNCTION("IMPORTRANGE(""https://docs.google.com/spreadsheets/d/""&amp;$A34&amp;""/edit#gid=156619080"",AE$3)"),796.2)</f>
        <v>796.2</v>
      </c>
      <c r="AF34" s="2">
        <f>IFERROR(__xludf.DUMMYFUNCTION("IMPORTRANGE(""https://docs.google.com/spreadsheets/d/""&amp;$A34&amp;""/edit#gid=156619080"",AF$3)"),789.65)</f>
        <v>789.65</v>
      </c>
      <c r="AG34" s="2">
        <f>IFERROR(__xludf.DUMMYFUNCTION("IMPORTRANGE(""https://docs.google.com/spreadsheets/d/""&amp;$A34&amp;""/edit#gid=156619080"",AG$3)"),788.01)</f>
        <v>788.01</v>
      </c>
      <c r="AH34" s="2">
        <f>IFERROR(__xludf.DUMMYFUNCTION("IMPORTRANGE(""https://docs.google.com/spreadsheets/d/""&amp;$A34&amp;""/edit#gid=156619080"",AH$3)"),786.38)</f>
        <v>786.38</v>
      </c>
      <c r="AI34" s="2">
        <f>IFERROR(__xludf.DUMMYFUNCTION("IMPORTRANGE(""https://docs.google.com/spreadsheets/d/""&amp;$A34&amp;""/edit#gid=156619080"",AI$3)"),784.74)</f>
        <v>784.74</v>
      </c>
      <c r="AJ34" s="2">
        <f>IFERROR(__xludf.DUMMYFUNCTION("IMPORTRANGE(""https://docs.google.com/spreadsheets/d/""&amp;$A34&amp;""/edit#gid=156619080"",AJ$3)"),783.1)</f>
        <v>783.1</v>
      </c>
      <c r="AK34" s="2" t="str">
        <f>IFERROR(__xludf.DUMMYFUNCTION("IMPORTRANGE(""https://docs.google.com/spreadsheets/d/""&amp;$A34&amp;""/edit#gid=156619080"",AK$3)"),"-1〜-1.25σ")</f>
        <v>-1〜-1.25σ</v>
      </c>
      <c r="AL34" s="2">
        <f>IFERROR(__xludf.DUMMYFUNCTION("IMPORTRANGE(""https://docs.google.com/spreadsheets/d/""&amp;$A34&amp;""/edit#gid=156619080"",AL$3)"),-1.0)</f>
        <v>-1</v>
      </c>
      <c r="AM34" s="2" t="str">
        <f>IFERROR(__xludf.DUMMYFUNCTION("IMPORTRANGE(""https://docs.google.com/spreadsheets/d/""&amp;$A34&amp;""/edit#gid=156619080"",AM$3)"),"")</f>
        <v/>
      </c>
      <c r="AN34" s="2">
        <f>IFERROR(__xludf.DUMMYFUNCTION("IMPORTRANGE(""https://docs.google.com/spreadsheets/d/""&amp;$A34&amp;""/edit#gid=156619080"",AN$3)"),-1.0)</f>
        <v>-1</v>
      </c>
      <c r="AO34" s="2" t="str">
        <f>IFERROR(__xludf.DUMMYFUNCTION("IMPORTRANGE(""https://docs.google.com/spreadsheets/d/""&amp;$A34&amp;""/edit#gid=156619080"",AO$3)"),"")</f>
        <v/>
      </c>
      <c r="AP34" s="2">
        <f>IFERROR(__xludf.DUMMYFUNCTION("IMPORTRANGE(""https://docs.google.com/spreadsheets/d/""&amp;$A34&amp;""/edit#gid=156619080"",AP$3)"),-1.0)</f>
        <v>-1</v>
      </c>
      <c r="AQ34" s="2" t="str">
        <f>IFERROR(__xludf.DUMMYFUNCTION("IMPORTRANGE(""https://docs.google.com/spreadsheets/d/""&amp;$A34&amp;""/edit#gid=156619080"",AQ$3)"),"")</f>
        <v/>
      </c>
      <c r="AR34" s="18">
        <f>IFERROR(__xludf.DUMMYFUNCTION("IMPORTRANGE(""https://docs.google.com/spreadsheets/d/""&amp;$A34&amp;""/edit#gid=156619080"",AR$3)"),-60.00000000000001)</f>
        <v>-60</v>
      </c>
      <c r="AS34" s="19" t="str">
        <f>IFERROR(__xludf.DUMMYFUNCTION("IMPORTRANGE(""https://docs.google.com/spreadsheets/d/""&amp;$A34&amp;""/edit#gid=156619080"",AS$3)"),"90
70
-30
-80
")</f>
        <v>90
70
-30
-80
</v>
      </c>
      <c r="AT34" s="18">
        <f>IFERROR(__xludf.DUMMYFUNCTION("IMPORTRANGE(""https://docs.google.com/spreadsheets/d/""&amp;$A34&amp;""/edit#gid=156619080"",AT$3)"),-58.79120879120878)</f>
        <v>-58.79120879</v>
      </c>
      <c r="AU34" s="3" t="str">
        <f>IFERROR(__xludf.DUMMYFUNCTION("IMPORTRANGE(""https://docs.google.com/spreadsheets/d/""&amp;$A34&amp;""/edit#gid=156619080"",AU$3)"),"-24.18
-4.95
-39.56
-37.36
")</f>
        <v>-24.18
-4.95
-39.56
-37.36
</v>
      </c>
      <c r="AV34" s="18">
        <f>IFERROR(__xludf.DUMMYFUNCTION("IMPORTRANGE(""https://docs.google.com/spreadsheets/d/""&amp;$A34&amp;""/edit#gid=156619080"",AV$3)"),-63.896103896103895)</f>
        <v>-63.8961039</v>
      </c>
      <c r="AW34" s="19" t="str">
        <f>IFERROR(__xludf.DUMMYFUNCTION("IMPORTRANGE(""https://docs.google.com/spreadsheets/d/""&amp;$A34&amp;""/edit#gid=156619080"",AW$3)"),"-71.82
-66.75
-66.1
-65.19
")</f>
        <v>-71.82
-66.75
-66.1
-65.19
</v>
      </c>
      <c r="AX34" s="2">
        <f>IFERROR(__xludf.DUMMYFUNCTION("IMPORTRANGE(""https://docs.google.com/spreadsheets/d/""&amp;$A34&amp;""/edit#gid=156619080"",AX$3)"),31.15)</f>
        <v>31.15</v>
      </c>
      <c r="AY34" s="2">
        <f>IFERROR(__xludf.DUMMYFUNCTION("IMPORTRANGE(""https://docs.google.com/spreadsheets/d/""&amp;$A34&amp;""/edit#gid=156619080"",AY$3)"),37.980000000000004)</f>
        <v>37.98</v>
      </c>
      <c r="AZ34" s="2">
        <f>IFERROR(__xludf.DUMMYFUNCTION("IMPORTRANGE(""https://docs.google.com/spreadsheets/d/""&amp;$A34&amp;""/edit#gid=156619080"",AZ$3)"),790.16)</f>
        <v>790.16</v>
      </c>
      <c r="BA34" s="2">
        <f>IFERROR(__xludf.DUMMYFUNCTION("IMPORTRANGE(""https://docs.google.com/spreadsheets/d/""&amp;$A34&amp;""/edit#gid=156619080"",BA$3)"),-7.170000000000073)</f>
        <v>-7.17</v>
      </c>
      <c r="BB34" s="2">
        <f>IFERROR(__xludf.DUMMYFUNCTION("IMPORTRANGE(""https://docs.google.com/spreadsheets/d/""&amp;$A34&amp;""/edit#gid=156619080"",BB$3)"),-7.22)</f>
        <v>-7.22</v>
      </c>
      <c r="BC34" s="2" t="str">
        <f>IFERROR(__xludf.DUMMYFUNCTION("IMPORTRANGE(""https://docs.google.com/spreadsheets/d/""&amp;$A34&amp;""/edit#gid=156619080"",BC$3)"),"DC→GC")</f>
        <v>DC→GC</v>
      </c>
    </row>
    <row r="35" ht="51.0" customHeight="1">
      <c r="A35" s="7" t="str">
        <f t="shared" si="5"/>
        <v>17mEEtaYPGGd_pYtnoZQzGnVhIdVjI73sxIVhPAG_L2E</v>
      </c>
      <c r="B35" s="1" t="s">
        <v>62</v>
      </c>
      <c r="C35" s="2">
        <f>IFERROR(__xludf.DUMMYFUNCTION("IMPORTRANGE(""https://docs.google.com/spreadsheets/d/""&amp;$A35&amp;""/edit#gid=156619080"",C$3)"),132.0)</f>
        <v>132</v>
      </c>
      <c r="D35" s="2">
        <f>IFERROR(__xludf.DUMMYFUNCTION("IMPORTRANGE(""https://docs.google.com/spreadsheets/d/""&amp;$A35&amp;""/edit#gid=156619080"",D$3)"),4208.0)</f>
        <v>4208</v>
      </c>
      <c r="E35" s="15">
        <f>IFERROR(__xludf.DUMMYFUNCTION("IMPORTRANGE(""https://docs.google.com/spreadsheets/d/""&amp;$A35&amp;""/edit#gid=156619080"",E$3)"),43882.0)</f>
        <v>43882</v>
      </c>
      <c r="F35" s="2">
        <f>IFERROR(__xludf.DUMMYFUNCTION("IMPORTRANGE(""https://docs.google.com/spreadsheets/d/""&amp;$A35&amp;""/edit#gid=156619080"",F$3)"),3.0)</f>
        <v>3</v>
      </c>
      <c r="G35" s="16">
        <f>IFERROR(__xludf.DUMMYFUNCTION("IMPORTRANGE(""https://docs.google.com/spreadsheets/d/""&amp;$A35&amp;""/edit#gid=156619080"",G$3)"),0.14)</f>
        <v>0.14</v>
      </c>
      <c r="H35" s="16">
        <f>IFERROR(__xludf.DUMMYFUNCTION("IMPORTRANGE(""https://docs.google.com/spreadsheets/d/""&amp;$A35&amp;""/edit#gid=156619080"",H$3)"),2170.0)</f>
        <v>2170</v>
      </c>
      <c r="I35" s="16">
        <f>IFERROR(__xludf.DUMMYFUNCTION("IMPORTRANGE(""https://docs.google.com/spreadsheets/d/""&amp;$A35&amp;""/edit#gid=156619080"",I$3)"),-4.0)</f>
        <v>-4</v>
      </c>
      <c r="J35" s="16">
        <f>IFERROR(__xludf.DUMMYFUNCTION("IMPORTRANGE(""https://docs.google.com/spreadsheets/d/""&amp;$A35&amp;""/edit#gid=156619080"",J$3)"),2185.0)</f>
        <v>2185</v>
      </c>
      <c r="K35" s="16">
        <f>IFERROR(__xludf.DUMMYFUNCTION("IMPORTRANGE(""https://docs.google.com/spreadsheets/d/""&amp;$A35&amp;""/edit#gid=156619080"",K$3)"),0.5444444444444444)</f>
        <v>0.5444444444</v>
      </c>
      <c r="L35" s="16">
        <f>IFERROR(__xludf.DUMMYFUNCTION("IMPORTRANGE(""https://docs.google.com/spreadsheets/d/""&amp;$A35&amp;""/edit#gid=156619080"",L$3)"),2163.0)</f>
        <v>2163</v>
      </c>
      <c r="M35" s="16">
        <f>IFERROR(__xludf.DUMMYFUNCTION("IMPORTRANGE(""https://docs.google.com/spreadsheets/d/""&amp;$A35&amp;""/edit#gid=156619080"",M$3)"),0.375)</f>
        <v>0.375</v>
      </c>
      <c r="N35" s="16">
        <f>IFERROR(__xludf.DUMMYFUNCTION("IMPORTRANGE(""https://docs.google.com/spreadsheets/d/""&amp;$A35&amp;""/edit#gid=156619080"",N$3)"),2169.0)</f>
        <v>2169</v>
      </c>
      <c r="O35" s="16" t="str">
        <f>IFERROR(__xludf.DUMMYFUNCTION("IMPORTRANGE(""https://docs.google.com/spreadsheets/d/""&amp;$A35&amp;""/edit#gid=156619080"",O$3)"),"420200株")</f>
        <v>420200株</v>
      </c>
      <c r="P35" s="16" t="str">
        <f>IFERROR(__xludf.DUMMYFUNCTION("IMPORTRANGE(""https://docs.google.com/spreadsheets/d/""&amp;$A35&amp;""/edit#gid=156619080"",P$3)"),"914百万円")</f>
        <v>914百万円</v>
      </c>
      <c r="Q35" s="16" t="str">
        <f>IFERROR(__xludf.DUMMYFUNCTION("IMPORTRANGE(""https://docs.google.com/spreadsheets/d/""&amp;$A35&amp;""/edit#gid=156619080"",Q$3)"),"1652回")</f>
        <v>1652回</v>
      </c>
      <c r="R35" s="16" t="str">
        <f>IFERROR(__xludf.DUMMYFUNCTION("IMPORTRANGE(""https://docs.google.com/spreadsheets/d/""&amp;$A35&amp;""/edit#gid=156619080"",R$3)"),"2303億円")</f>
        <v>2303億円</v>
      </c>
      <c r="S35" s="16" t="str">
        <f>IFERROR(__xludf.DUMMYFUNCTION("IMPORTRANGE(""https://docs.google.com/spreadsheets/d/""&amp;$A35&amp;""/edit#gid=156619080"",S$3)"),"陰線")</f>
        <v>陰線</v>
      </c>
      <c r="T35" s="16" t="str">
        <f>IFERROR(__xludf.DUMMYFUNCTION("IMPORTRANGE(""https://docs.google.com/spreadsheets/d/""&amp;$A35&amp;""/edit#gid=156619080"",T$3)"),"")</f>
        <v/>
      </c>
      <c r="U35" s="16">
        <f>IFERROR(__xludf.DUMMYFUNCTION("IMPORTRANGE(""https://docs.google.com/spreadsheets/d/""&amp;$A35&amp;""/edit#gid=156619080"",U$3)"),2169.8)</f>
        <v>2169.8</v>
      </c>
      <c r="V35" s="16">
        <f>IFERROR(__xludf.DUMMYFUNCTION("IMPORTRANGE(""https://docs.google.com/spreadsheets/d/""&amp;$A35&amp;""/edit#gid=156619080"",V$3)"),2201.8)</f>
        <v>2201.8</v>
      </c>
      <c r="W35" s="16">
        <f>IFERROR(__xludf.DUMMYFUNCTION("IMPORTRANGE(""https://docs.google.com/spreadsheets/d/""&amp;$A35&amp;""/edit#gid=156619080"",W$3)"),2219.4)</f>
        <v>2219.4</v>
      </c>
      <c r="X35" s="2">
        <f>IFERROR(__xludf.DUMMYFUNCTION("IMPORTRANGE(""https://docs.google.com/spreadsheets/d/""&amp;$A35&amp;""/edit#gid=156619080"",X$3)"),2275.3)</f>
        <v>2275.3</v>
      </c>
      <c r="Y35" s="17">
        <f>IFERROR(__xludf.DUMMYFUNCTION("IMPORTRANGE(""https://docs.google.com/spreadsheets/d/""&amp;$A35&amp;""/edit#gid=156619080"",Y$3)"),-3.686975758135228E-4)</f>
        <v>-0.0003686975758</v>
      </c>
      <c r="Z35" s="2">
        <f>IFERROR(__xludf.DUMMYFUNCTION("IMPORTRANGE(""https://docs.google.com/spreadsheets/d/""&amp;$A35&amp;""/edit#gid=156619080"",Z$3)"),2299.7)</f>
        <v>2299.7</v>
      </c>
      <c r="AA35" s="2">
        <f>IFERROR(__xludf.DUMMYFUNCTION("IMPORTRANGE(""https://docs.google.com/spreadsheets/d/""&amp;$A35&amp;""/edit#gid=156619080"",AA$3)"),2289.67)</f>
        <v>2289.67</v>
      </c>
      <c r="AB35" s="2">
        <f>IFERROR(__xludf.DUMMYFUNCTION("IMPORTRANGE(""https://docs.google.com/spreadsheets/d/""&amp;$A35&amp;""/edit#gid=156619080"",AB$3)"),2279.63)</f>
        <v>2279.63</v>
      </c>
      <c r="AC35" s="18">
        <f>IFERROR(__xludf.DUMMYFUNCTION("IMPORTRANGE(""https://docs.google.com/spreadsheets/d/""&amp;$A35&amp;""/edit#gid=156619080"",AC$3)"),2269.59)</f>
        <v>2269.59</v>
      </c>
      <c r="AD35" s="18">
        <f>IFERROR(__xludf.DUMMYFUNCTION("IMPORTRANGE(""https://docs.google.com/spreadsheets/d/""&amp;$A35&amp;""/edit#gid=156619080"",AD$3)"),2259.55)</f>
        <v>2259.55</v>
      </c>
      <c r="AE35" s="18">
        <f>IFERROR(__xludf.DUMMYFUNCTION("IMPORTRANGE(""https://docs.google.com/spreadsheets/d/""&amp;$A35&amp;""/edit#gid=156619080"",AE$3)"),2219.4)</f>
        <v>2219.4</v>
      </c>
      <c r="AF35" s="2">
        <f>IFERROR(__xludf.DUMMYFUNCTION("IMPORTRANGE(""https://docs.google.com/spreadsheets/d/""&amp;$A35&amp;""/edit#gid=156619080"",AF$3)"),2179.25)</f>
        <v>2179.25</v>
      </c>
      <c r="AG35" s="2">
        <f>IFERROR(__xludf.DUMMYFUNCTION("IMPORTRANGE(""https://docs.google.com/spreadsheets/d/""&amp;$A35&amp;""/edit#gid=156619080"",AG$3)"),2169.21)</f>
        <v>2169.21</v>
      </c>
      <c r="AH35" s="2">
        <f>IFERROR(__xludf.DUMMYFUNCTION("IMPORTRANGE(""https://docs.google.com/spreadsheets/d/""&amp;$A35&amp;""/edit#gid=156619080"",AH$3)"),2159.17)</f>
        <v>2159.17</v>
      </c>
      <c r="AI35" s="2">
        <f>IFERROR(__xludf.DUMMYFUNCTION("IMPORTRANGE(""https://docs.google.com/spreadsheets/d/""&amp;$A35&amp;""/edit#gid=156619080"",AI$3)"),2149.13)</f>
        <v>2149.13</v>
      </c>
      <c r="AJ35" s="2">
        <f>IFERROR(__xludf.DUMMYFUNCTION("IMPORTRANGE(""https://docs.google.com/spreadsheets/d/""&amp;$A35&amp;""/edit#gid=156619080"",AJ$3)"),2139.1)</f>
        <v>2139.1</v>
      </c>
      <c r="AK35" s="2" t="str">
        <f>IFERROR(__xludf.DUMMYFUNCTION("IMPORTRANGE(""https://docs.google.com/spreadsheets/d/""&amp;$A35&amp;""/edit#gid=156619080"",AK$3)"),"-1.25σ〜-1.5σ")</f>
        <v>-1.25σ〜-1.5σ</v>
      </c>
      <c r="AL35" s="2">
        <f>IFERROR(__xludf.DUMMYFUNCTION("IMPORTRANGE(""https://docs.google.com/spreadsheets/d/""&amp;$A35&amp;""/edit#gid=156619080"",AL$3)"),-1.0)</f>
        <v>-1</v>
      </c>
      <c r="AM35" s="2" t="str">
        <f>IFERROR(__xludf.DUMMYFUNCTION("IMPORTRANGE(""https://docs.google.com/spreadsheets/d/""&amp;$A35&amp;""/edit#gid=156619080"",AM$3)"),"")</f>
        <v/>
      </c>
      <c r="AN35" s="2">
        <f>IFERROR(__xludf.DUMMYFUNCTION("IMPORTRANGE(""https://docs.google.com/spreadsheets/d/""&amp;$A35&amp;""/edit#gid=156619080"",AN$3)"),-1.0)</f>
        <v>-1</v>
      </c>
      <c r="AO35" s="2" t="str">
        <f>IFERROR(__xludf.DUMMYFUNCTION("IMPORTRANGE(""https://docs.google.com/spreadsheets/d/""&amp;$A35&amp;""/edit#gid=156619080"",AO$3)"),"")</f>
        <v/>
      </c>
      <c r="AP35" s="2">
        <f>IFERROR(__xludf.DUMMYFUNCTION("IMPORTRANGE(""https://docs.google.com/spreadsheets/d/""&amp;$A35&amp;""/edit#gid=156619080"",AP$3)"),-1.0)</f>
        <v>-1</v>
      </c>
      <c r="AQ35" s="2" t="str">
        <f>IFERROR(__xludf.DUMMYFUNCTION("IMPORTRANGE(""https://docs.google.com/spreadsheets/d/""&amp;$A35&amp;""/edit#gid=156619080"",AQ$3)"),"")</f>
        <v/>
      </c>
      <c r="AR35" s="18">
        <f>IFERROR(__xludf.DUMMYFUNCTION("IMPORTRANGE(""https://docs.google.com/spreadsheets/d/""&amp;$A35&amp;""/edit#gid=156619080"",AR$3)"),-60.00000000000001)</f>
        <v>-60</v>
      </c>
      <c r="AS35" s="19" t="str">
        <f>IFERROR(__xludf.DUMMYFUNCTION("IMPORTRANGE(""https://docs.google.com/spreadsheets/d/""&amp;$A35&amp;""/edit#gid=156619080"",AS$3)"),"-70
-70
-100
-90
")</f>
        <v>-70
-70
-100
-90
</v>
      </c>
      <c r="AT35" s="18">
        <f>IFERROR(__xludf.DUMMYFUNCTION("IMPORTRANGE(""https://docs.google.com/spreadsheets/d/""&amp;$A35&amp;""/edit#gid=156619080"",AT$3)"),-75.82417582417582)</f>
        <v>-75.82417582</v>
      </c>
      <c r="AU35" s="3" t="str">
        <f>IFERROR(__xludf.DUMMYFUNCTION("IMPORTRANGE(""https://docs.google.com/spreadsheets/d/""&amp;$A35&amp;""/edit#gid=156619080"",AU$3)"),"-24.18
-27.47
-54.4
-58.79
")</f>
        <v>-24.18
-27.47
-54.4
-58.79
</v>
      </c>
      <c r="AV35" s="18">
        <f>IFERROR(__xludf.DUMMYFUNCTION("IMPORTRANGE(""https://docs.google.com/spreadsheets/d/""&amp;$A35&amp;""/edit#gid=156619080"",AV$3)"),-78.05194805194806)</f>
        <v>-78.05194805</v>
      </c>
      <c r="AW35" s="19" t="str">
        <f>IFERROR(__xludf.DUMMYFUNCTION("IMPORTRANGE(""https://docs.google.com/spreadsheets/d/""&amp;$A35&amp;""/edit#gid=156619080"",AW$3)"),"-78.31
-78.44
-78.44
-78.44
")</f>
        <v>-78.31
-78.44
-78.44
-78.44
</v>
      </c>
      <c r="AX35" s="2">
        <f>IFERROR(__xludf.DUMMYFUNCTION("IMPORTRANGE(""https://docs.google.com/spreadsheets/d/""&amp;$A35&amp;""/edit#gid=156619080"",AX$3)"),27.52)</f>
        <v>27.52</v>
      </c>
      <c r="AY35" s="2">
        <f>IFERROR(__xludf.DUMMYFUNCTION("IMPORTRANGE(""https://docs.google.com/spreadsheets/d/""&amp;$A35&amp;""/edit#gid=156619080"",AY$3)"),30.130000000000003)</f>
        <v>30.13</v>
      </c>
      <c r="AZ35" s="2">
        <f>IFERROR(__xludf.DUMMYFUNCTION("IMPORTRANGE(""https://docs.google.com/spreadsheets/d/""&amp;$A35&amp;""/edit#gid=156619080"",AZ$3)"),2173.41)</f>
        <v>2173.41</v>
      </c>
      <c r="BA35" s="2">
        <f>IFERROR(__xludf.DUMMYFUNCTION("IMPORTRANGE(""https://docs.google.com/spreadsheets/d/""&amp;$A35&amp;""/edit#gid=156619080"",BA$3)"),-49.74000000000024)</f>
        <v>-49.74</v>
      </c>
      <c r="BB35" s="2">
        <f>IFERROR(__xludf.DUMMYFUNCTION("IMPORTRANGE(""https://docs.google.com/spreadsheets/d/""&amp;$A35&amp;""/edit#gid=156619080"",BB$3)"),-45.94)</f>
        <v>-45.94</v>
      </c>
      <c r="BC35" s="2" t="str">
        <f>IFERROR(__xludf.DUMMYFUNCTION("IMPORTRANGE(""https://docs.google.com/spreadsheets/d/""&amp;$A35&amp;""/edit#gid=156619080"",BC$3)"),"DC→DC")</f>
        <v>DC→DC</v>
      </c>
    </row>
    <row r="36" ht="51.0" customHeight="1">
      <c r="A36" s="7" t="str">
        <f t="shared" si="5"/>
        <v>1NP9u749DcDIcD0gfGtY6Q22v8GfNC2olARc5x6PGfEA</v>
      </c>
      <c r="B36" s="1" t="s">
        <v>63</v>
      </c>
      <c r="C36" s="2">
        <f>IFERROR(__xludf.DUMMYFUNCTION("IMPORTRANGE(""https://docs.google.com/spreadsheets/d/""&amp;$A36&amp;""/edit#gid=156619080"",C$3)"),132.0)</f>
        <v>132</v>
      </c>
      <c r="D36" s="2">
        <f>IFERROR(__xludf.DUMMYFUNCTION("IMPORTRANGE(""https://docs.google.com/spreadsheets/d/""&amp;$A36&amp;""/edit#gid=156619080"",D$3)"),4272.0)</f>
        <v>4272</v>
      </c>
      <c r="E36" s="15">
        <f>IFERROR(__xludf.DUMMYFUNCTION("IMPORTRANGE(""https://docs.google.com/spreadsheets/d/""&amp;$A36&amp;""/edit#gid=156619080"",E$3)"),43882.0)</f>
        <v>43882</v>
      </c>
      <c r="F36" s="2">
        <f>IFERROR(__xludf.DUMMYFUNCTION("IMPORTRANGE(""https://docs.google.com/spreadsheets/d/""&amp;$A36&amp;""/edit#gid=156619080"",F$3)"),-12.0)</f>
        <v>-12</v>
      </c>
      <c r="G36" s="16">
        <f>IFERROR(__xludf.DUMMYFUNCTION("IMPORTRANGE(""https://docs.google.com/spreadsheets/d/""&amp;$A36&amp;""/edit#gid=156619080"",G$3)"),-0.93)</f>
        <v>-0.93</v>
      </c>
      <c r="H36" s="16">
        <f>IFERROR(__xludf.DUMMYFUNCTION("IMPORTRANGE(""https://docs.google.com/spreadsheets/d/""&amp;$A36&amp;""/edit#gid=156619080"",H$3)"),1281.0)</f>
        <v>1281</v>
      </c>
      <c r="I36" s="16">
        <f>IFERROR(__xludf.DUMMYFUNCTION("IMPORTRANGE(""https://docs.google.com/spreadsheets/d/""&amp;$A36&amp;""/edit#gid=156619080"",I$3)"),5.0)</f>
        <v>5</v>
      </c>
      <c r="J36" s="16">
        <f>IFERROR(__xludf.DUMMYFUNCTION("IMPORTRANGE(""https://docs.google.com/spreadsheets/d/""&amp;$A36&amp;""/edit#gid=156619080"",J$3)"),1291.0)</f>
        <v>1291</v>
      </c>
      <c r="K36" s="16">
        <f>IFERROR(__xludf.DUMMYFUNCTION("IMPORTRANGE(""https://docs.google.com/spreadsheets/d/""&amp;$A36&amp;""/edit#gid=156619080"",K$3)"),0.3819444444444444)</f>
        <v>0.3819444444</v>
      </c>
      <c r="L36" s="16">
        <f>IFERROR(__xludf.DUMMYFUNCTION("IMPORTRANGE(""https://docs.google.com/spreadsheets/d/""&amp;$A36&amp;""/edit#gid=156619080"",L$3)"),1274.0)</f>
        <v>1274</v>
      </c>
      <c r="M36" s="16">
        <f>IFERROR(__xludf.DUMMYFUNCTION("IMPORTRANGE(""https://docs.google.com/spreadsheets/d/""&amp;$A36&amp;""/edit#gid=156619080"",M$3)"),0.4791666666666667)</f>
        <v>0.4791666667</v>
      </c>
      <c r="N36" s="16">
        <f>IFERROR(__xludf.DUMMYFUNCTION("IMPORTRANGE(""https://docs.google.com/spreadsheets/d/""&amp;$A36&amp;""/edit#gid=156619080"",N$3)"),1274.0)</f>
        <v>1274</v>
      </c>
      <c r="O36" s="16" t="str">
        <f>IFERROR(__xludf.DUMMYFUNCTION("IMPORTRANGE(""https://docs.google.com/spreadsheets/d/""&amp;$A36&amp;""/edit#gid=156619080"",O$3)"),"315100株")</f>
        <v>315100株</v>
      </c>
      <c r="P36" s="16" t="str">
        <f>IFERROR(__xludf.DUMMYFUNCTION("IMPORTRANGE(""https://docs.google.com/spreadsheets/d/""&amp;$A36&amp;""/edit#gid=156619080"",P$3)"),"403百万円")</f>
        <v>403百万円</v>
      </c>
      <c r="Q36" s="16" t="str">
        <f>IFERROR(__xludf.DUMMYFUNCTION("IMPORTRANGE(""https://docs.google.com/spreadsheets/d/""&amp;$A36&amp;""/edit#gid=156619080"",Q$3)"),"1031回")</f>
        <v>1031回</v>
      </c>
      <c r="R36" s="16" t="str">
        <f>IFERROR(__xludf.DUMMYFUNCTION("IMPORTRANGE(""https://docs.google.com/spreadsheets/d/""&amp;$A36&amp;""/edit#gid=156619080"",R$3)"),"2261億円")</f>
        <v>2261億円</v>
      </c>
      <c r="S36" s="16" t="str">
        <f>IFERROR(__xludf.DUMMYFUNCTION("IMPORTRANGE(""https://docs.google.com/spreadsheets/d/""&amp;$A36&amp;""/edit#gid=156619080"",S$3)"),"陰線")</f>
        <v>陰線</v>
      </c>
      <c r="T36" s="16" t="str">
        <f>IFERROR(__xludf.DUMMYFUNCTION("IMPORTRANGE(""https://docs.google.com/spreadsheets/d/""&amp;$A36&amp;""/edit#gid=156619080"",T$3)"),"")</f>
        <v/>
      </c>
      <c r="U36" s="16">
        <f>IFERROR(__xludf.DUMMYFUNCTION("IMPORTRANGE(""https://docs.google.com/spreadsheets/d/""&amp;$A36&amp;""/edit#gid=156619080"",U$3)"),1286.2)</f>
        <v>1286.2</v>
      </c>
      <c r="V36" s="16">
        <f>IFERROR(__xludf.DUMMYFUNCTION("IMPORTRANGE(""https://docs.google.com/spreadsheets/d/""&amp;$A36&amp;""/edit#gid=156619080"",V$3)"),1301.8)</f>
        <v>1301.8</v>
      </c>
      <c r="W36" s="16">
        <f>IFERROR(__xludf.DUMMYFUNCTION("IMPORTRANGE(""https://docs.google.com/spreadsheets/d/""&amp;$A36&amp;""/edit#gid=156619080"",W$3)"),1296.5)</f>
        <v>1296.5</v>
      </c>
      <c r="X36" s="2">
        <f>IFERROR(__xludf.DUMMYFUNCTION("IMPORTRANGE(""https://docs.google.com/spreadsheets/d/""&amp;$A36&amp;""/edit#gid=156619080"",X$3)"),1322.1)</f>
        <v>1322.1</v>
      </c>
      <c r="Y36" s="17">
        <f>IFERROR(__xludf.DUMMYFUNCTION("IMPORTRANGE(""https://docs.google.com/spreadsheets/d/""&amp;$A36&amp;""/edit#gid=156619080"",Y$3)"),-0.009485305551236235)</f>
        <v>-0.009485305551</v>
      </c>
      <c r="Z36" s="2">
        <f>IFERROR(__xludf.DUMMYFUNCTION("IMPORTRANGE(""https://docs.google.com/spreadsheets/d/""&amp;$A36&amp;""/edit#gid=156619080"",Z$3)"),1342.8)</f>
        <v>1342.8</v>
      </c>
      <c r="AA36" s="2">
        <f>IFERROR(__xludf.DUMMYFUNCTION("IMPORTRANGE(""https://docs.google.com/spreadsheets/d/""&amp;$A36&amp;""/edit#gid=156619080"",AA$3)"),1337.01)</f>
        <v>1337.01</v>
      </c>
      <c r="AB36" s="2">
        <f>IFERROR(__xludf.DUMMYFUNCTION("IMPORTRANGE(""https://docs.google.com/spreadsheets/d/""&amp;$A36&amp;""/edit#gid=156619080"",AB$3)"),1331.23)</f>
        <v>1331.23</v>
      </c>
      <c r="AC36" s="18">
        <f>IFERROR(__xludf.DUMMYFUNCTION("IMPORTRANGE(""https://docs.google.com/spreadsheets/d/""&amp;$A36&amp;""/edit#gid=156619080"",AC$3)"),1325.44)</f>
        <v>1325.44</v>
      </c>
      <c r="AD36" s="18">
        <f>IFERROR(__xludf.DUMMYFUNCTION("IMPORTRANGE(""https://docs.google.com/spreadsheets/d/""&amp;$A36&amp;""/edit#gid=156619080"",AD$3)"),1319.65)</f>
        <v>1319.65</v>
      </c>
      <c r="AE36" s="18">
        <f>IFERROR(__xludf.DUMMYFUNCTION("IMPORTRANGE(""https://docs.google.com/spreadsheets/d/""&amp;$A36&amp;""/edit#gid=156619080"",AE$3)"),1296.5)</f>
        <v>1296.5</v>
      </c>
      <c r="AF36" s="2">
        <f>IFERROR(__xludf.DUMMYFUNCTION("IMPORTRANGE(""https://docs.google.com/spreadsheets/d/""&amp;$A36&amp;""/edit#gid=156619080"",AF$3)"),1273.35)</f>
        <v>1273.35</v>
      </c>
      <c r="AG36" s="2">
        <f>IFERROR(__xludf.DUMMYFUNCTION("IMPORTRANGE(""https://docs.google.com/spreadsheets/d/""&amp;$A36&amp;""/edit#gid=156619080"",AG$3)"),1267.56)</f>
        <v>1267.56</v>
      </c>
      <c r="AH36" s="2">
        <f>IFERROR(__xludf.DUMMYFUNCTION("IMPORTRANGE(""https://docs.google.com/spreadsheets/d/""&amp;$A36&amp;""/edit#gid=156619080"",AH$3)"),1261.77)</f>
        <v>1261.77</v>
      </c>
      <c r="AI36" s="2">
        <f>IFERROR(__xludf.DUMMYFUNCTION("IMPORTRANGE(""https://docs.google.com/spreadsheets/d/""&amp;$A36&amp;""/edit#gid=156619080"",AI$3)"),1255.99)</f>
        <v>1255.99</v>
      </c>
      <c r="AJ36" s="2">
        <f>IFERROR(__xludf.DUMMYFUNCTION("IMPORTRANGE(""https://docs.google.com/spreadsheets/d/""&amp;$A36&amp;""/edit#gid=156619080"",AJ$3)"),1250.2)</f>
        <v>1250.2</v>
      </c>
      <c r="AK36" s="2" t="str">
        <f>IFERROR(__xludf.DUMMYFUNCTION("IMPORTRANGE(""https://docs.google.com/spreadsheets/d/""&amp;$A36&amp;""/edit#gid=156619080"",AK$3)"),"")</f>
        <v/>
      </c>
      <c r="AL36" s="2">
        <f>IFERROR(__xludf.DUMMYFUNCTION("IMPORTRANGE(""https://docs.google.com/spreadsheets/d/""&amp;$A36&amp;""/edit#gid=156619080"",AL$3)"),-1.0)</f>
        <v>-1</v>
      </c>
      <c r="AM36" s="2" t="str">
        <f>IFERROR(__xludf.DUMMYFUNCTION("IMPORTRANGE(""https://docs.google.com/spreadsheets/d/""&amp;$A36&amp;""/edit#gid=156619080"",AM$3)"),"")</f>
        <v/>
      </c>
      <c r="AN36" s="2">
        <f>IFERROR(__xludf.DUMMYFUNCTION("IMPORTRANGE(""https://docs.google.com/spreadsheets/d/""&amp;$A36&amp;""/edit#gid=156619080"",AN$3)"),-1.0)</f>
        <v>-1</v>
      </c>
      <c r="AO36" s="2" t="str">
        <f>IFERROR(__xludf.DUMMYFUNCTION("IMPORTRANGE(""https://docs.google.com/spreadsheets/d/""&amp;$A36&amp;""/edit#gid=156619080"",AO$3)"),"")</f>
        <v/>
      </c>
      <c r="AP36" s="2">
        <f>IFERROR(__xludf.DUMMYFUNCTION("IMPORTRANGE(""https://docs.google.com/spreadsheets/d/""&amp;$A36&amp;""/edit#gid=156619080"",AP$3)"),1.0)</f>
        <v>1</v>
      </c>
      <c r="AQ36" s="2" t="str">
        <f>IFERROR(__xludf.DUMMYFUNCTION("IMPORTRANGE(""https://docs.google.com/spreadsheets/d/""&amp;$A36&amp;""/edit#gid=156619080"",AQ$3)"),"")</f>
        <v/>
      </c>
      <c r="AR36" s="18">
        <f>IFERROR(__xludf.DUMMYFUNCTION("IMPORTRANGE(""https://docs.google.com/spreadsheets/d/""&amp;$A36&amp;""/edit#gid=156619080"",AR$3)"),-89.99999999999999)</f>
        <v>-90</v>
      </c>
      <c r="AS36" s="19" t="str">
        <f>IFERROR(__xludf.DUMMYFUNCTION("IMPORTRANGE(""https://docs.google.com/spreadsheets/d/""&amp;$A36&amp;""/edit#gid=156619080"",AS$3)"),"-70
-90
-100
-90
")</f>
        <v>-70
-90
-100
-90
</v>
      </c>
      <c r="AT36" s="18">
        <f>IFERROR(__xludf.DUMMYFUNCTION("IMPORTRANGE(""https://docs.google.com/spreadsheets/d/""&amp;$A36&amp;""/edit#gid=156619080"",AT$3)"),-38.598901098901095)</f>
        <v>-38.5989011</v>
      </c>
      <c r="AU36" s="3" t="str">
        <f>IFERROR(__xludf.DUMMYFUNCTION("IMPORTRANGE(""https://docs.google.com/spreadsheets/d/""&amp;$A36&amp;""/edit#gid=156619080"",AU$3)"),"61.26
39.84
11.26
-2.47
")</f>
        <v>61.26
39.84
11.26
-2.47
</v>
      </c>
      <c r="AV36" s="18">
        <f>IFERROR(__xludf.DUMMYFUNCTION("IMPORTRANGE(""https://docs.google.com/spreadsheets/d/""&amp;$A36&amp;""/edit#gid=156619080"",AV$3)"),-1.558441558441559)</f>
        <v>-1.558441558</v>
      </c>
      <c r="AW36" s="19" t="str">
        <f>IFERROR(__xludf.DUMMYFUNCTION("IMPORTRANGE(""https://docs.google.com/spreadsheets/d/""&amp;$A36&amp;""/edit#gid=156619080"",AW$3)"),"-14.51
-8.15
-5.42
-4.81
")</f>
        <v>-14.51
-8.15
-5.42
-4.81
</v>
      </c>
      <c r="AX36" s="2">
        <f>IFERROR(__xludf.DUMMYFUNCTION("IMPORTRANGE(""https://docs.google.com/spreadsheets/d/""&amp;$A36&amp;""/edit#gid=156619080"",AX$3)"),15.379999999999999)</f>
        <v>15.38</v>
      </c>
      <c r="AY36" s="2">
        <f>IFERROR(__xludf.DUMMYFUNCTION("IMPORTRANGE(""https://docs.google.com/spreadsheets/d/""&amp;$A36&amp;""/edit#gid=156619080"",AY$3)"),39.37)</f>
        <v>39.37</v>
      </c>
      <c r="AZ36" s="2">
        <f>IFERROR(__xludf.DUMMYFUNCTION("IMPORTRANGE(""https://docs.google.com/spreadsheets/d/""&amp;$A36&amp;""/edit#gid=156619080"",AZ$3)"),1286.34)</f>
        <v>1286.34</v>
      </c>
      <c r="BA36" s="2">
        <f>IFERROR(__xludf.DUMMYFUNCTION("IMPORTRANGE(""https://docs.google.com/spreadsheets/d/""&amp;$A36&amp;""/edit#gid=156619080"",BA$3)"),-17.269999999999982)</f>
        <v>-17.27</v>
      </c>
      <c r="BB36" s="2">
        <f>IFERROR(__xludf.DUMMYFUNCTION("IMPORTRANGE(""https://docs.google.com/spreadsheets/d/""&amp;$A36&amp;""/edit#gid=156619080"",BB$3)"),-11.45)</f>
        <v>-11.45</v>
      </c>
      <c r="BC36" s="2" t="str">
        <f>IFERROR(__xludf.DUMMYFUNCTION("IMPORTRANGE(""https://docs.google.com/spreadsheets/d/""&amp;$A36&amp;""/edit#gid=156619080"",BC$3)"),"DC→DC")</f>
        <v>DC→DC</v>
      </c>
    </row>
    <row r="37" ht="51.0" customHeight="1">
      <c r="A37" s="7" t="str">
        <f t="shared" si="5"/>
        <v>1W5Xi79pTKSHa64hynqrj4N0bI7jab8HcYYCsZZ6WW9o</v>
      </c>
      <c r="B37" s="1" t="s">
        <v>64</v>
      </c>
      <c r="C37" s="2">
        <f>IFERROR(__xludf.DUMMYFUNCTION("IMPORTRANGE(""https://docs.google.com/spreadsheets/d/""&amp;$A37&amp;""/edit#gid=156619080"",C$3)"),132.0)</f>
        <v>132</v>
      </c>
      <c r="D37" s="2">
        <f>IFERROR(__xludf.DUMMYFUNCTION("IMPORTRANGE(""https://docs.google.com/spreadsheets/d/""&amp;$A37&amp;""/edit#gid=156619080"",D$3)"),4452.0)</f>
        <v>4452</v>
      </c>
      <c r="E37" s="15">
        <f>IFERROR(__xludf.DUMMYFUNCTION("IMPORTRANGE(""https://docs.google.com/spreadsheets/d/""&amp;$A37&amp;""/edit#gid=156619080"",E$3)"),43882.0)</f>
        <v>43882</v>
      </c>
      <c r="F37" s="2">
        <f>IFERROR(__xludf.DUMMYFUNCTION("IMPORTRANGE(""https://docs.google.com/spreadsheets/d/""&amp;$A37&amp;""/edit#gid=156619080"",F$3)"),-118.0)</f>
        <v>-118</v>
      </c>
      <c r="G37" s="16">
        <f>IFERROR(__xludf.DUMMYFUNCTION("IMPORTRANGE(""https://docs.google.com/spreadsheets/d/""&amp;$A37&amp;""/edit#gid=156619080"",G$3)"),-1.38)</f>
        <v>-1.38</v>
      </c>
      <c r="H37" s="16">
        <f>IFERROR(__xludf.DUMMYFUNCTION("IMPORTRANGE(""https://docs.google.com/spreadsheets/d/""&amp;$A37&amp;""/edit#gid=156619080"",H$3)"),8485.0)</f>
        <v>8485</v>
      </c>
      <c r="I37" s="16">
        <f>IFERROR(__xludf.DUMMYFUNCTION("IMPORTRANGE(""https://docs.google.com/spreadsheets/d/""&amp;$A37&amp;""/edit#gid=156619080"",I$3)"),40.0)</f>
        <v>40</v>
      </c>
      <c r="J37" s="16">
        <f>IFERROR(__xludf.DUMMYFUNCTION("IMPORTRANGE(""https://docs.google.com/spreadsheets/d/""&amp;$A37&amp;""/edit#gid=156619080"",J$3)"),8511.0)</f>
        <v>8511</v>
      </c>
      <c r="K37" s="16">
        <f>IFERROR(__xludf.DUMMYFUNCTION("IMPORTRANGE(""https://docs.google.com/spreadsheets/d/""&amp;$A37&amp;""/edit#gid=156619080"",K$3)"),0.37569444444444444)</f>
        <v>0.3756944444</v>
      </c>
      <c r="L37" s="16">
        <f>IFERROR(__xludf.DUMMYFUNCTION("IMPORTRANGE(""https://docs.google.com/spreadsheets/d/""&amp;$A37&amp;""/edit#gid=156619080"",L$3)"),8400.0)</f>
        <v>8400</v>
      </c>
      <c r="M37" s="16">
        <f>IFERROR(__xludf.DUMMYFUNCTION("IMPORTRANGE(""https://docs.google.com/spreadsheets/d/""&amp;$A37&amp;""/edit#gid=156619080"",M$3)"),0.6236111111111111)</f>
        <v>0.6236111111</v>
      </c>
      <c r="N37" s="16">
        <f>IFERROR(__xludf.DUMMYFUNCTION("IMPORTRANGE(""https://docs.google.com/spreadsheets/d/""&amp;$A37&amp;""/edit#gid=156619080"",N$3)"),8407.0)</f>
        <v>8407</v>
      </c>
      <c r="O37" s="16" t="str">
        <f>IFERROR(__xludf.DUMMYFUNCTION("IMPORTRANGE(""https://docs.google.com/spreadsheets/d/""&amp;$A37&amp;""/edit#gid=156619080"",O$3)"),"997600株")</f>
        <v>997600株</v>
      </c>
      <c r="P37" s="16" t="str">
        <f>IFERROR(__xludf.DUMMYFUNCTION("IMPORTRANGE(""https://docs.google.com/spreadsheets/d/""&amp;$A37&amp;""/edit#gid=156619080"",P$3)"),"8415百万円")</f>
        <v>8415百万円</v>
      </c>
      <c r="Q37" s="16" t="str">
        <f>IFERROR(__xludf.DUMMYFUNCTION("IMPORTRANGE(""https://docs.google.com/spreadsheets/d/""&amp;$A37&amp;""/edit#gid=156619080"",Q$3)"),"3305回")</f>
        <v>3305回</v>
      </c>
      <c r="R37" s="16" t="str">
        <f>IFERROR(__xludf.DUMMYFUNCTION("IMPORTRANGE(""https://docs.google.com/spreadsheets/d/""&amp;$A37&amp;""/edit#gid=156619080"",R$3)"),"40522億円")</f>
        <v>40522億円</v>
      </c>
      <c r="S37" s="16" t="str">
        <f>IFERROR(__xludf.DUMMYFUNCTION("IMPORTRANGE(""https://docs.google.com/spreadsheets/d/""&amp;$A37&amp;""/edit#gid=156619080"",S$3)"),"陰線")</f>
        <v>陰線</v>
      </c>
      <c r="T37" s="16" t="str">
        <f>IFERROR(__xludf.DUMMYFUNCTION("IMPORTRANGE(""https://docs.google.com/spreadsheets/d/""&amp;$A37&amp;""/edit#gid=156619080"",T$3)"),"")</f>
        <v/>
      </c>
      <c r="U37" s="16">
        <f>IFERROR(__xludf.DUMMYFUNCTION("IMPORTRANGE(""https://docs.google.com/spreadsheets/d/""&amp;$A37&amp;""/edit#gid=156619080"",U$3)"),8535.8)</f>
        <v>8535.8</v>
      </c>
      <c r="V37" s="16">
        <f>IFERROR(__xludf.DUMMYFUNCTION("IMPORTRANGE(""https://docs.google.com/spreadsheets/d/""&amp;$A37&amp;""/edit#gid=156619080"",V$3)"),8603.3)</f>
        <v>8603.3</v>
      </c>
      <c r="W37" s="16">
        <f>IFERROR(__xludf.DUMMYFUNCTION("IMPORTRANGE(""https://docs.google.com/spreadsheets/d/""&amp;$A37&amp;""/edit#gid=156619080"",W$3)"),8735.0)</f>
        <v>8735</v>
      </c>
      <c r="X37" s="2">
        <f>IFERROR(__xludf.DUMMYFUNCTION("IMPORTRANGE(""https://docs.google.com/spreadsheets/d/""&amp;$A37&amp;""/edit#gid=156619080"",X$3)"),8539.6)</f>
        <v>8539.6</v>
      </c>
      <c r="Y37" s="17">
        <f>IFERROR(__xludf.DUMMYFUNCTION("IMPORTRANGE(""https://docs.google.com/spreadsheets/d/""&amp;$A37&amp;""/edit#gid=156619080"",Y$3)"),-0.015089388223716497)</f>
        <v>-0.01508938822</v>
      </c>
      <c r="Z37" s="2">
        <f>IFERROR(__xludf.DUMMYFUNCTION("IMPORTRANGE(""https://docs.google.com/spreadsheets/d/""&amp;$A37&amp;""/edit#gid=156619080"",Z$3)"),9158.18)</f>
        <v>9158.18</v>
      </c>
      <c r="AA37" s="2">
        <f>IFERROR(__xludf.DUMMYFUNCTION("IMPORTRANGE(""https://docs.google.com/spreadsheets/d/""&amp;$A37&amp;""/edit#gid=156619080"",AA$3)"),9105.28)</f>
        <v>9105.28</v>
      </c>
      <c r="AB37" s="2">
        <f>IFERROR(__xludf.DUMMYFUNCTION("IMPORTRANGE(""https://docs.google.com/spreadsheets/d/""&amp;$A37&amp;""/edit#gid=156619080"",AB$3)"),9052.39)</f>
        <v>9052.39</v>
      </c>
      <c r="AC37" s="18">
        <f>IFERROR(__xludf.DUMMYFUNCTION("IMPORTRANGE(""https://docs.google.com/spreadsheets/d/""&amp;$A37&amp;""/edit#gid=156619080"",AC$3)"),8999.49)</f>
        <v>8999.49</v>
      </c>
      <c r="AD37" s="18">
        <f>IFERROR(__xludf.DUMMYFUNCTION("IMPORTRANGE(""https://docs.google.com/spreadsheets/d/""&amp;$A37&amp;""/edit#gid=156619080"",AD$3)"),8946.59)</f>
        <v>8946.59</v>
      </c>
      <c r="AE37" s="18">
        <f>IFERROR(__xludf.DUMMYFUNCTION("IMPORTRANGE(""https://docs.google.com/spreadsheets/d/""&amp;$A37&amp;""/edit#gid=156619080"",AE$3)"),8735.0)</f>
        <v>8735</v>
      </c>
      <c r="AF37" s="2">
        <f>IFERROR(__xludf.DUMMYFUNCTION("IMPORTRANGE(""https://docs.google.com/spreadsheets/d/""&amp;$A37&amp;""/edit#gid=156619080"",AF$3)"),8523.41)</f>
        <v>8523.41</v>
      </c>
      <c r="AG37" s="2">
        <f>IFERROR(__xludf.DUMMYFUNCTION("IMPORTRANGE(""https://docs.google.com/spreadsheets/d/""&amp;$A37&amp;""/edit#gid=156619080"",AG$3)"),8470.51)</f>
        <v>8470.51</v>
      </c>
      <c r="AH37" s="2">
        <f>IFERROR(__xludf.DUMMYFUNCTION("IMPORTRANGE(""https://docs.google.com/spreadsheets/d/""&amp;$A37&amp;""/edit#gid=156619080"",AH$3)"),8417.61)</f>
        <v>8417.61</v>
      </c>
      <c r="AI37" s="2">
        <f>IFERROR(__xludf.DUMMYFUNCTION("IMPORTRANGE(""https://docs.google.com/spreadsheets/d/""&amp;$A37&amp;""/edit#gid=156619080"",AI$3)"),8364.72)</f>
        <v>8364.72</v>
      </c>
      <c r="AJ37" s="2">
        <f>IFERROR(__xludf.DUMMYFUNCTION("IMPORTRANGE(""https://docs.google.com/spreadsheets/d/""&amp;$A37&amp;""/edit#gid=156619080"",AJ$3)"),8311.82)</f>
        <v>8311.82</v>
      </c>
      <c r="AK37" s="2" t="str">
        <f>IFERROR(__xludf.DUMMYFUNCTION("IMPORTRANGE(""https://docs.google.com/spreadsheets/d/""&amp;$A37&amp;""/edit#gid=156619080"",AK$3)"),"-1.5σ〜-1.75σ")</f>
        <v>-1.5σ〜-1.75σ</v>
      </c>
      <c r="AL37" s="2">
        <f>IFERROR(__xludf.DUMMYFUNCTION("IMPORTRANGE(""https://docs.google.com/spreadsheets/d/""&amp;$A37&amp;""/edit#gid=156619080"",AL$3)"),-1.0)</f>
        <v>-1</v>
      </c>
      <c r="AM37" s="2" t="str">
        <f>IFERROR(__xludf.DUMMYFUNCTION("IMPORTRANGE(""https://docs.google.com/spreadsheets/d/""&amp;$A37&amp;""/edit#gid=156619080"",AM$3)"),"")</f>
        <v/>
      </c>
      <c r="AN37" s="2">
        <f>IFERROR(__xludf.DUMMYFUNCTION("IMPORTRANGE(""https://docs.google.com/spreadsheets/d/""&amp;$A37&amp;""/edit#gid=156619080"",AN$3)"),-1.0)</f>
        <v>-1</v>
      </c>
      <c r="AO37" s="2" t="str">
        <f>IFERROR(__xludf.DUMMYFUNCTION("IMPORTRANGE(""https://docs.google.com/spreadsheets/d/""&amp;$A37&amp;""/edit#gid=156619080"",AO$3)"),"")</f>
        <v/>
      </c>
      <c r="AP37" s="2">
        <f>IFERROR(__xludf.DUMMYFUNCTION("IMPORTRANGE(""https://docs.google.com/spreadsheets/d/""&amp;$A37&amp;""/edit#gid=156619080"",AP$3)"),-1.0)</f>
        <v>-1</v>
      </c>
      <c r="AQ37" s="2" t="str">
        <f>IFERROR(__xludf.DUMMYFUNCTION("IMPORTRANGE(""https://docs.google.com/spreadsheets/d/""&amp;$A37&amp;""/edit#gid=156619080"",AQ$3)"),"")</f>
        <v/>
      </c>
      <c r="AR37" s="18">
        <f>IFERROR(__xludf.DUMMYFUNCTION("IMPORTRANGE(""https://docs.google.com/spreadsheets/d/""&amp;$A37&amp;""/edit#gid=156619080"",AR$3)"),-70.0)</f>
        <v>-70</v>
      </c>
      <c r="AS37" s="19" t="str">
        <f>IFERROR(__xludf.DUMMYFUNCTION("IMPORTRANGE(""https://docs.google.com/spreadsheets/d/""&amp;$A37&amp;""/edit#gid=156619080"",AS$3)"),"80
-10
-60
-70
")</f>
        <v>80
-10
-60
-70
</v>
      </c>
      <c r="AT37" s="18">
        <f>IFERROR(__xludf.DUMMYFUNCTION("IMPORTRANGE(""https://docs.google.com/spreadsheets/d/""&amp;$A37&amp;""/edit#gid=156619080"",AT$3)"),-57.692307692307686)</f>
        <v>-57.69230769</v>
      </c>
      <c r="AU37" s="3" t="str">
        <f>IFERROR(__xludf.DUMMYFUNCTION("IMPORTRANGE(""https://docs.google.com/spreadsheets/d/""&amp;$A37&amp;""/edit#gid=156619080"",AU$3)"),"-54.95
-54.95
-53.85
-52.75
")</f>
        <v>-54.95
-54.95
-53.85
-52.75
</v>
      </c>
      <c r="AV37" s="18">
        <f>IFERROR(__xludf.DUMMYFUNCTION("IMPORTRANGE(""https://docs.google.com/spreadsheets/d/""&amp;$A37&amp;""/edit#gid=156619080"",AV$3)"),-88.18181818181819)</f>
        <v>-88.18181818</v>
      </c>
      <c r="AW37" s="19" t="str">
        <f>IFERROR(__xludf.DUMMYFUNCTION("IMPORTRANGE(""https://docs.google.com/spreadsheets/d/""&amp;$A37&amp;""/edit#gid=156619080"",AW$3)"),"-82.34
-84.68
-85.71
-88.18
")</f>
        <v>-82.34
-84.68
-85.71
-88.18
</v>
      </c>
      <c r="AX37" s="2">
        <f>IFERROR(__xludf.DUMMYFUNCTION("IMPORTRANGE(""https://docs.google.com/spreadsheets/d/""&amp;$A37&amp;""/edit#gid=156619080"",AX$3)"),7.51)</f>
        <v>7.51</v>
      </c>
      <c r="AY37" s="2">
        <f>IFERROR(__xludf.DUMMYFUNCTION("IMPORTRANGE(""https://docs.google.com/spreadsheets/d/""&amp;$A37&amp;""/edit#gid=156619080"",AY$3)"),26.419999999999998)</f>
        <v>26.42</v>
      </c>
      <c r="AZ37" s="2">
        <f>IFERROR(__xludf.DUMMYFUNCTION("IMPORTRANGE(""https://docs.google.com/spreadsheets/d/""&amp;$A37&amp;""/edit#gid=156619080"",AZ$3)"),8516.46)</f>
        <v>8516.46</v>
      </c>
      <c r="BA37" s="2">
        <f>IFERROR(__xludf.DUMMYFUNCTION("IMPORTRANGE(""https://docs.google.com/spreadsheets/d/""&amp;$A37&amp;""/edit#gid=156619080"",BA$3)"),-178.47000000000116)</f>
        <v>-178.47</v>
      </c>
      <c r="BB37" s="2">
        <f>IFERROR(__xludf.DUMMYFUNCTION("IMPORTRANGE(""https://docs.google.com/spreadsheets/d/""&amp;$A37&amp;""/edit#gid=156619080"",BB$3)"),-139.08)</f>
        <v>-139.08</v>
      </c>
      <c r="BC37" s="2" t="str">
        <f>IFERROR(__xludf.DUMMYFUNCTION("IMPORTRANGE(""https://docs.google.com/spreadsheets/d/""&amp;$A37&amp;""/edit#gid=156619080"",BC$3)"),"DC→DC")</f>
        <v>DC→DC</v>
      </c>
    </row>
    <row r="38" ht="51.0" customHeight="1">
      <c r="A38" s="7" t="str">
        <f t="shared" si="5"/>
        <v>1oePM108J0A0oNvfJRkKMCEbtjsIBXaH7SWmFOF23pM4</v>
      </c>
      <c r="B38" s="1" t="s">
        <v>65</v>
      </c>
      <c r="C38" s="2">
        <f>IFERROR(__xludf.DUMMYFUNCTION("IMPORTRANGE(""https://docs.google.com/spreadsheets/d/""&amp;$A38&amp;""/edit#gid=156619080"",C$3)"),132.0)</f>
        <v>132</v>
      </c>
      <c r="D38" s="2">
        <f>IFERROR(__xludf.DUMMYFUNCTION("IMPORTRANGE(""https://docs.google.com/spreadsheets/d/""&amp;$A38&amp;""/edit#gid=156619080"",D$3)"),4631.0)</f>
        <v>4631</v>
      </c>
      <c r="E38" s="15">
        <f>IFERROR(__xludf.DUMMYFUNCTION("IMPORTRANGE(""https://docs.google.com/spreadsheets/d/""&amp;$A38&amp;""/edit#gid=156619080"",E$3)"),43882.0)</f>
        <v>43882</v>
      </c>
      <c r="F38" s="2">
        <f>IFERROR(__xludf.DUMMYFUNCTION("IMPORTRANGE(""https://docs.google.com/spreadsheets/d/""&amp;$A38&amp;""/edit#gid=156619080"",F$3)"),-18.0)</f>
        <v>-18</v>
      </c>
      <c r="G38" s="16">
        <f>IFERROR(__xludf.DUMMYFUNCTION("IMPORTRANGE(""https://docs.google.com/spreadsheets/d/""&amp;$A38&amp;""/edit#gid=156619080"",G$3)"),-0.61)</f>
        <v>-0.61</v>
      </c>
      <c r="H38" s="16">
        <f>IFERROR(__xludf.DUMMYFUNCTION("IMPORTRANGE(""https://docs.google.com/spreadsheets/d/""&amp;$A38&amp;""/edit#gid=156619080"",H$3)"),2917.0)</f>
        <v>2917</v>
      </c>
      <c r="I38" s="16">
        <f>IFERROR(__xludf.DUMMYFUNCTION("IMPORTRANGE(""https://docs.google.com/spreadsheets/d/""&amp;$A38&amp;""/edit#gid=156619080"",I$3)"),10.0)</f>
        <v>10</v>
      </c>
      <c r="J38" s="16">
        <f>IFERROR(__xludf.DUMMYFUNCTION("IMPORTRANGE(""https://docs.google.com/spreadsheets/d/""&amp;$A38&amp;""/edit#gid=156619080"",J$3)"),2953.0)</f>
        <v>2953</v>
      </c>
      <c r="K38" s="16">
        <f>IFERROR(__xludf.DUMMYFUNCTION("IMPORTRANGE(""https://docs.google.com/spreadsheets/d/""&amp;$A38&amp;""/edit#gid=156619080"",K$3)"),0.38680555555555557)</f>
        <v>0.3868055556</v>
      </c>
      <c r="L38" s="16">
        <f>IFERROR(__xludf.DUMMYFUNCTION("IMPORTRANGE(""https://docs.google.com/spreadsheets/d/""&amp;$A38&amp;""/edit#gid=156619080"",L$3)"),2905.0)</f>
        <v>2905</v>
      </c>
      <c r="M38" s="16">
        <f>IFERROR(__xludf.DUMMYFUNCTION("IMPORTRANGE(""https://docs.google.com/spreadsheets/d/""&amp;$A38&amp;""/edit#gid=156619080"",M$3)"),0.6201388888888889)</f>
        <v>0.6201388889</v>
      </c>
      <c r="N38" s="16">
        <f>IFERROR(__xludf.DUMMYFUNCTION("IMPORTRANGE(""https://docs.google.com/spreadsheets/d/""&amp;$A38&amp;""/edit#gid=156619080"",N$3)"),2909.0)</f>
        <v>2909</v>
      </c>
      <c r="O38" s="16" t="str">
        <f>IFERROR(__xludf.DUMMYFUNCTION("IMPORTRANGE(""https://docs.google.com/spreadsheets/d/""&amp;$A38&amp;""/edit#gid=156619080"",O$3)"),"266900株")</f>
        <v>266900株</v>
      </c>
      <c r="P38" s="16" t="str">
        <f>IFERROR(__xludf.DUMMYFUNCTION("IMPORTRANGE(""https://docs.google.com/spreadsheets/d/""&amp;$A38&amp;""/edit#gid=156619080"",P$3)"),"780百万円")</f>
        <v>780百万円</v>
      </c>
      <c r="Q38" s="16" t="str">
        <f>IFERROR(__xludf.DUMMYFUNCTION("IMPORTRANGE(""https://docs.google.com/spreadsheets/d/""&amp;$A38&amp;""/edit#gid=156619080"",Q$3)"),"1117回")</f>
        <v>1117回</v>
      </c>
      <c r="R38" s="16" t="str">
        <f>IFERROR(__xludf.DUMMYFUNCTION("IMPORTRANGE(""https://docs.google.com/spreadsheets/d/""&amp;$A38&amp;""/edit#gid=156619080"",R$3)"),"2768億円")</f>
        <v>2768億円</v>
      </c>
      <c r="S38" s="16" t="str">
        <f>IFERROR(__xludf.DUMMYFUNCTION("IMPORTRANGE(""https://docs.google.com/spreadsheets/d/""&amp;$A38&amp;""/edit#gid=156619080"",S$3)"),"陰線")</f>
        <v>陰線</v>
      </c>
      <c r="T38" s="16" t="str">
        <f>IFERROR(__xludf.DUMMYFUNCTION("IMPORTRANGE(""https://docs.google.com/spreadsheets/d/""&amp;$A38&amp;""/edit#gid=156619080"",T$3)"),"")</f>
        <v/>
      </c>
      <c r="U38" s="16">
        <f>IFERROR(__xludf.DUMMYFUNCTION("IMPORTRANGE(""https://docs.google.com/spreadsheets/d/""&amp;$A38&amp;""/edit#gid=156619080"",U$3)"),2959.8)</f>
        <v>2959.8</v>
      </c>
      <c r="V38" s="16">
        <f>IFERROR(__xludf.DUMMYFUNCTION("IMPORTRANGE(""https://docs.google.com/spreadsheets/d/""&amp;$A38&amp;""/edit#gid=156619080"",V$3)"),2964.8)</f>
        <v>2964.8</v>
      </c>
      <c r="W38" s="16">
        <f>IFERROR(__xludf.DUMMYFUNCTION("IMPORTRANGE(""https://docs.google.com/spreadsheets/d/""&amp;$A38&amp;""/edit#gid=156619080"",W$3)"),2953.6)</f>
        <v>2953.6</v>
      </c>
      <c r="X38" s="2">
        <f>IFERROR(__xludf.DUMMYFUNCTION("IMPORTRANGE(""https://docs.google.com/spreadsheets/d/""&amp;$A38&amp;""/edit#gid=156619080"",X$3)"),3008.2)</f>
        <v>3008.2</v>
      </c>
      <c r="Y38" s="17">
        <f>IFERROR(__xludf.DUMMYFUNCTION("IMPORTRANGE(""https://docs.google.com/spreadsheets/d/""&amp;$A38&amp;""/edit#gid=156619080"",Y$3)"),-0.01716332184607074)</f>
        <v>-0.01716332185</v>
      </c>
      <c r="Z38" s="2">
        <f>IFERROR(__xludf.DUMMYFUNCTION("IMPORTRANGE(""https://docs.google.com/spreadsheets/d/""&amp;$A38&amp;""/edit#gid=156619080"",Z$3)"),3068.93)</f>
        <v>3068.93</v>
      </c>
      <c r="AA38" s="2">
        <f>IFERROR(__xludf.DUMMYFUNCTION("IMPORTRANGE(""https://docs.google.com/spreadsheets/d/""&amp;$A38&amp;""/edit#gid=156619080"",AA$3)"),3054.51)</f>
        <v>3054.51</v>
      </c>
      <c r="AB38" s="2">
        <f>IFERROR(__xludf.DUMMYFUNCTION("IMPORTRANGE(""https://docs.google.com/spreadsheets/d/""&amp;$A38&amp;""/edit#gid=156619080"",AB$3)"),3040.09)</f>
        <v>3040.09</v>
      </c>
      <c r="AC38" s="18">
        <f>IFERROR(__xludf.DUMMYFUNCTION("IMPORTRANGE(""https://docs.google.com/spreadsheets/d/""&amp;$A38&amp;""/edit#gid=156619080"",AC$3)"),3025.68)</f>
        <v>3025.68</v>
      </c>
      <c r="AD38" s="18">
        <f>IFERROR(__xludf.DUMMYFUNCTION("IMPORTRANGE(""https://docs.google.com/spreadsheets/d/""&amp;$A38&amp;""/edit#gid=156619080"",AD$3)"),3011.26)</f>
        <v>3011.26</v>
      </c>
      <c r="AE38" s="18">
        <f>IFERROR(__xludf.DUMMYFUNCTION("IMPORTRANGE(""https://docs.google.com/spreadsheets/d/""&amp;$A38&amp;""/edit#gid=156619080"",AE$3)"),2953.6)</f>
        <v>2953.6</v>
      </c>
      <c r="AF38" s="2">
        <f>IFERROR(__xludf.DUMMYFUNCTION("IMPORTRANGE(""https://docs.google.com/spreadsheets/d/""&amp;$A38&amp;""/edit#gid=156619080"",AF$3)"),2895.94)</f>
        <v>2895.94</v>
      </c>
      <c r="AG38" s="2">
        <f>IFERROR(__xludf.DUMMYFUNCTION("IMPORTRANGE(""https://docs.google.com/spreadsheets/d/""&amp;$A38&amp;""/edit#gid=156619080"",AG$3)"),2881.52)</f>
        <v>2881.52</v>
      </c>
      <c r="AH38" s="2">
        <f>IFERROR(__xludf.DUMMYFUNCTION("IMPORTRANGE(""https://docs.google.com/spreadsheets/d/""&amp;$A38&amp;""/edit#gid=156619080"",AH$3)"),2867.11)</f>
        <v>2867.11</v>
      </c>
      <c r="AI38" s="2">
        <f>IFERROR(__xludf.DUMMYFUNCTION("IMPORTRANGE(""https://docs.google.com/spreadsheets/d/""&amp;$A38&amp;""/edit#gid=156619080"",AI$3)"),2852.69)</f>
        <v>2852.69</v>
      </c>
      <c r="AJ38" s="2">
        <f>IFERROR(__xludf.DUMMYFUNCTION("IMPORTRANGE(""https://docs.google.com/spreadsheets/d/""&amp;$A38&amp;""/edit#gid=156619080"",AJ$3)"),2838.27)</f>
        <v>2838.27</v>
      </c>
      <c r="AK38" s="2" t="str">
        <f>IFERROR(__xludf.DUMMYFUNCTION("IMPORTRANGE(""https://docs.google.com/spreadsheets/d/""&amp;$A38&amp;""/edit#gid=156619080"",AK$3)"),"")</f>
        <v/>
      </c>
      <c r="AL38" s="2">
        <f>IFERROR(__xludf.DUMMYFUNCTION("IMPORTRANGE(""https://docs.google.com/spreadsheets/d/""&amp;$A38&amp;""/edit#gid=156619080"",AL$3)"),-1.0)</f>
        <v>-1</v>
      </c>
      <c r="AM38" s="2" t="str">
        <f>IFERROR(__xludf.DUMMYFUNCTION("IMPORTRANGE(""https://docs.google.com/spreadsheets/d/""&amp;$A38&amp;""/edit#gid=156619080"",AM$3)"),"bs1")</f>
        <v>bs1</v>
      </c>
      <c r="AN38" s="2">
        <f>IFERROR(__xludf.DUMMYFUNCTION("IMPORTRANGE(""https://docs.google.com/spreadsheets/d/""&amp;$A38&amp;""/edit#gid=156619080"",AN$3)"),1.0)</f>
        <v>1</v>
      </c>
      <c r="AO38" s="2" t="str">
        <f>IFERROR(__xludf.DUMMYFUNCTION("IMPORTRANGE(""https://docs.google.com/spreadsheets/d/""&amp;$A38&amp;""/edit#gid=156619080"",AO$3)"),"")</f>
        <v/>
      </c>
      <c r="AP38" s="2">
        <f>IFERROR(__xludf.DUMMYFUNCTION("IMPORTRANGE(""https://docs.google.com/spreadsheets/d/""&amp;$A38&amp;""/edit#gid=156619080"",AP$3)"),1.0)</f>
        <v>1</v>
      </c>
      <c r="AQ38" s="2" t="str">
        <f>IFERROR(__xludf.DUMMYFUNCTION("IMPORTRANGE(""https://docs.google.com/spreadsheets/d/""&amp;$A38&amp;""/edit#gid=156619080"",AQ$3)"),"")</f>
        <v/>
      </c>
      <c r="AR38" s="18">
        <f>IFERROR(__xludf.DUMMYFUNCTION("IMPORTRANGE(""https://docs.google.com/spreadsheets/d/""&amp;$A38&amp;""/edit#gid=156619080"",AR$3)"),-100.0)</f>
        <v>-100</v>
      </c>
      <c r="AS38" s="19" t="str">
        <f>IFERROR(__xludf.DUMMYFUNCTION("IMPORTRANGE(""https://docs.google.com/spreadsheets/d/""&amp;$A38&amp;""/edit#gid=156619080"",AS$3)"),"60
60
0
-100
")</f>
        <v>60
60
0
-100
</v>
      </c>
      <c r="AT38" s="18">
        <f>IFERROR(__xludf.DUMMYFUNCTION("IMPORTRANGE(""https://docs.google.com/spreadsheets/d/""&amp;$A38&amp;""/edit#gid=156619080"",AT$3)"),7.692307692307687)</f>
        <v>7.692307692</v>
      </c>
      <c r="AU38" s="3" t="str">
        <f>IFERROR(__xludf.DUMMYFUNCTION("IMPORTRANGE(""https://docs.google.com/spreadsheets/d/""&amp;$A38&amp;""/edit#gid=156619080"",AU$3)"),"75.14
77.88
65.8
43.41
")</f>
        <v>75.14
77.88
65.8
43.41
</v>
      </c>
      <c r="AV38" s="18">
        <f>IFERROR(__xludf.DUMMYFUNCTION("IMPORTRANGE(""https://docs.google.com/spreadsheets/d/""&amp;$A38&amp;""/edit#gid=156619080"",AV$3)"),15.84415584415585)</f>
        <v>15.84415584</v>
      </c>
      <c r="AW38" s="19" t="str">
        <f>IFERROR(__xludf.DUMMYFUNCTION("IMPORTRANGE(""https://docs.google.com/spreadsheets/d/""&amp;$A38&amp;""/edit#gid=156619080"",AW$3)"),"-14.19
-5.84
5.97
12.73
")</f>
        <v>-14.19
-5.84
5.97
12.73
</v>
      </c>
      <c r="AX38" s="2">
        <f>IFERROR(__xludf.DUMMYFUNCTION("IMPORTRANGE(""https://docs.google.com/spreadsheets/d/""&amp;$A38&amp;""/edit#gid=156619080"",AX$3)"),0.0)</f>
        <v>0</v>
      </c>
      <c r="AY38" s="2">
        <f>IFERROR(__xludf.DUMMYFUNCTION("IMPORTRANGE(""https://docs.google.com/spreadsheets/d/""&amp;$A38&amp;""/edit#gid=156619080"",AY$3)"),42.63)</f>
        <v>42.63</v>
      </c>
      <c r="AZ38" s="2">
        <f>IFERROR(__xludf.DUMMYFUNCTION("IMPORTRANGE(""https://docs.google.com/spreadsheets/d/""&amp;$A38&amp;""/edit#gid=156619080"",AZ$3)"),2946.94)</f>
        <v>2946.94</v>
      </c>
      <c r="BA38" s="2">
        <f>IFERROR(__xludf.DUMMYFUNCTION("IMPORTRANGE(""https://docs.google.com/spreadsheets/d/""&amp;$A38&amp;""/edit#gid=156619080"",BA$3)"),-20.920000000000073)</f>
        <v>-20.92</v>
      </c>
      <c r="BB38" s="2">
        <f>IFERROR(__xludf.DUMMYFUNCTION("IMPORTRANGE(""https://docs.google.com/spreadsheets/d/""&amp;$A38&amp;""/edit#gid=156619080"",BB$3)"),-7.46)</f>
        <v>-7.46</v>
      </c>
      <c r="BC38" s="2" t="str">
        <f>IFERROR(__xludf.DUMMYFUNCTION("IMPORTRANGE(""https://docs.google.com/spreadsheets/d/""&amp;$A38&amp;""/edit#gid=156619080"",BC$3)"),"DC→DC")</f>
        <v>DC→DC</v>
      </c>
    </row>
    <row r="39" ht="51.0" customHeight="1">
      <c r="A39" s="7" t="str">
        <f t="shared" si="5"/>
        <v>1ojPpi17c8L5wHYVub9CTti6rnC_bJhceCTnGRUb1PPA</v>
      </c>
      <c r="B39" s="1" t="s">
        <v>66</v>
      </c>
      <c r="C39" s="2">
        <f>IFERROR(__xludf.DUMMYFUNCTION("IMPORTRANGE(""https://docs.google.com/spreadsheets/d/""&amp;$A39&amp;""/edit#gid=156619080"",C$3)"),132.0)</f>
        <v>132</v>
      </c>
      <c r="D39" s="2">
        <f>IFERROR(__xludf.DUMMYFUNCTION("IMPORTRANGE(""https://docs.google.com/spreadsheets/d/""&amp;$A39&amp;""/edit#gid=156619080"",D$3)"),4901.0)</f>
        <v>4901</v>
      </c>
      <c r="E39" s="15">
        <f>IFERROR(__xludf.DUMMYFUNCTION("IMPORTRANGE(""https://docs.google.com/spreadsheets/d/""&amp;$A39&amp;""/edit#gid=156619080"",E$3)"),43882.0)</f>
        <v>43882</v>
      </c>
      <c r="F39" s="2">
        <f>IFERROR(__xludf.DUMMYFUNCTION("IMPORTRANGE(""https://docs.google.com/spreadsheets/d/""&amp;$A39&amp;""/edit#gid=156619080"",F$3)"),50.0)</f>
        <v>50</v>
      </c>
      <c r="G39" s="16">
        <f>IFERROR(__xludf.DUMMYFUNCTION("IMPORTRANGE(""https://docs.google.com/spreadsheets/d/""&amp;$A39&amp;""/edit#gid=156619080"",G$3)"),0.93)</f>
        <v>0.93</v>
      </c>
      <c r="H39" s="16">
        <f>IFERROR(__xludf.DUMMYFUNCTION("IMPORTRANGE(""https://docs.google.com/spreadsheets/d/""&amp;$A39&amp;""/edit#gid=156619080"",H$3)"),5447.0)</f>
        <v>5447</v>
      </c>
      <c r="I39" s="16">
        <f>IFERROR(__xludf.DUMMYFUNCTION("IMPORTRANGE(""https://docs.google.com/spreadsheets/d/""&amp;$A39&amp;""/edit#gid=156619080"",I$3)"),-83.0)</f>
        <v>-83</v>
      </c>
      <c r="J39" s="16">
        <f>IFERROR(__xludf.DUMMYFUNCTION("IMPORTRANGE(""https://docs.google.com/spreadsheets/d/""&amp;$A39&amp;""/edit#gid=156619080"",J$3)"),5479.0)</f>
        <v>5479</v>
      </c>
      <c r="K39" s="16">
        <f>IFERROR(__xludf.DUMMYFUNCTION("IMPORTRANGE(""https://docs.google.com/spreadsheets/d/""&amp;$A39&amp;""/edit#gid=156619080"",K$3)"),0.5236111111111111)</f>
        <v>0.5236111111</v>
      </c>
      <c r="L39" s="16">
        <f>IFERROR(__xludf.DUMMYFUNCTION("IMPORTRANGE(""https://docs.google.com/spreadsheets/d/""&amp;$A39&amp;""/edit#gid=156619080"",L$3)"),5403.0)</f>
        <v>5403</v>
      </c>
      <c r="M39" s="16">
        <f>IFERROR(__xludf.DUMMYFUNCTION("IMPORTRANGE(""https://docs.google.com/spreadsheets/d/""&amp;$A39&amp;""/edit#gid=156619080"",M$3)"),0.37777777777777777)</f>
        <v>0.3777777778</v>
      </c>
      <c r="N39" s="16">
        <f>IFERROR(__xludf.DUMMYFUNCTION("IMPORTRANGE(""https://docs.google.com/spreadsheets/d/""&amp;$A39&amp;""/edit#gid=156619080"",N$3)"),5414.0)</f>
        <v>5414</v>
      </c>
      <c r="O39" s="16" t="str">
        <f>IFERROR(__xludf.DUMMYFUNCTION("IMPORTRANGE(""https://docs.google.com/spreadsheets/d/""&amp;$A39&amp;""/edit#gid=156619080"",O$3)"),"2271300株")</f>
        <v>2271300株</v>
      </c>
      <c r="P39" s="16" t="str">
        <f>IFERROR(__xludf.DUMMYFUNCTION("IMPORTRANGE(""https://docs.google.com/spreadsheets/d/""&amp;$A39&amp;""/edit#gid=156619080"",P$3)"),"12354百万円")</f>
        <v>12354百万円</v>
      </c>
      <c r="Q39" s="16" t="str">
        <f>IFERROR(__xludf.DUMMYFUNCTION("IMPORTRANGE(""https://docs.google.com/spreadsheets/d/""&amp;$A39&amp;""/edit#gid=156619080"",Q$3)"),"6272回")</f>
        <v>6272回</v>
      </c>
      <c r="R39" s="16" t="str">
        <f>IFERROR(__xludf.DUMMYFUNCTION("IMPORTRANGE(""https://docs.google.com/spreadsheets/d/""&amp;$A39&amp;""/edit#gid=156619080"",R$3)"),"27862億円")</f>
        <v>27862億円</v>
      </c>
      <c r="S39" s="16" t="str">
        <f>IFERROR(__xludf.DUMMYFUNCTION("IMPORTRANGE(""https://docs.google.com/spreadsheets/d/""&amp;$A39&amp;""/edit#gid=156619080"",S$3)"),"陰線")</f>
        <v>陰線</v>
      </c>
      <c r="T39" s="16" t="str">
        <f>IFERROR(__xludf.DUMMYFUNCTION("IMPORTRANGE(""https://docs.google.com/spreadsheets/d/""&amp;$A39&amp;""/edit#gid=156619080"",T$3)"),"")</f>
        <v/>
      </c>
      <c r="U39" s="16">
        <f>IFERROR(__xludf.DUMMYFUNCTION("IMPORTRANGE(""https://docs.google.com/spreadsheets/d/""&amp;$A39&amp;""/edit#gid=156619080"",U$3)"),5383.6)</f>
        <v>5383.6</v>
      </c>
      <c r="V39" s="16">
        <f>IFERROR(__xludf.DUMMYFUNCTION("IMPORTRANGE(""https://docs.google.com/spreadsheets/d/""&amp;$A39&amp;""/edit#gid=156619080"",V$3)"),5401.4)</f>
        <v>5401.4</v>
      </c>
      <c r="W39" s="16">
        <f>IFERROR(__xludf.DUMMYFUNCTION("IMPORTRANGE(""https://docs.google.com/spreadsheets/d/""&amp;$A39&amp;""/edit#gid=156619080"",W$3)"),5470.8)</f>
        <v>5470.8</v>
      </c>
      <c r="X39" s="2">
        <f>IFERROR(__xludf.DUMMYFUNCTION("IMPORTRANGE(""https://docs.google.com/spreadsheets/d/""&amp;$A39&amp;""/edit#gid=156619080"",X$3)"),5093.6)</f>
        <v>5093.6</v>
      </c>
      <c r="Y39" s="17">
        <f>IFERROR(__xludf.DUMMYFUNCTION("IMPORTRANGE(""https://docs.google.com/spreadsheets/d/""&amp;$A39&amp;""/edit#gid=156619080"",Y$3)"),0.0056467791069172366)</f>
        <v>0.005646779107</v>
      </c>
      <c r="Z39" s="2">
        <f>IFERROR(__xludf.DUMMYFUNCTION("IMPORTRANGE(""https://docs.google.com/spreadsheets/d/""&amp;$A39&amp;""/edit#gid=156619080"",Z$3)"),5728.75)</f>
        <v>5728.75</v>
      </c>
      <c r="AA39" s="2">
        <f>IFERROR(__xludf.DUMMYFUNCTION("IMPORTRANGE(""https://docs.google.com/spreadsheets/d/""&amp;$A39&amp;""/edit#gid=156619080"",AA$3)"),5696.51)</f>
        <v>5696.51</v>
      </c>
      <c r="AB39" s="2">
        <f>IFERROR(__xludf.DUMMYFUNCTION("IMPORTRANGE(""https://docs.google.com/spreadsheets/d/""&amp;$A39&amp;""/edit#gid=156619080"",AB$3)"),5664.26)</f>
        <v>5664.26</v>
      </c>
      <c r="AC39" s="18">
        <f>IFERROR(__xludf.DUMMYFUNCTION("IMPORTRANGE(""https://docs.google.com/spreadsheets/d/""&amp;$A39&amp;""/edit#gid=156619080"",AC$3)"),5632.02)</f>
        <v>5632.02</v>
      </c>
      <c r="AD39" s="18">
        <f>IFERROR(__xludf.DUMMYFUNCTION("IMPORTRANGE(""https://docs.google.com/spreadsheets/d/""&amp;$A39&amp;""/edit#gid=156619080"",AD$3)"),5599.78)</f>
        <v>5599.78</v>
      </c>
      <c r="AE39" s="18">
        <f>IFERROR(__xludf.DUMMYFUNCTION("IMPORTRANGE(""https://docs.google.com/spreadsheets/d/""&amp;$A39&amp;""/edit#gid=156619080"",AE$3)"),5470.8)</f>
        <v>5470.8</v>
      </c>
      <c r="AF39" s="2">
        <f>IFERROR(__xludf.DUMMYFUNCTION("IMPORTRANGE(""https://docs.google.com/spreadsheets/d/""&amp;$A39&amp;""/edit#gid=156619080"",AF$3)"),5341.82)</f>
        <v>5341.82</v>
      </c>
      <c r="AG39" s="2">
        <f>IFERROR(__xludf.DUMMYFUNCTION("IMPORTRANGE(""https://docs.google.com/spreadsheets/d/""&amp;$A39&amp;""/edit#gid=156619080"",AG$3)"),5309.58)</f>
        <v>5309.58</v>
      </c>
      <c r="AH39" s="2">
        <f>IFERROR(__xludf.DUMMYFUNCTION("IMPORTRANGE(""https://docs.google.com/spreadsheets/d/""&amp;$A39&amp;""/edit#gid=156619080"",AH$3)"),5277.34)</f>
        <v>5277.34</v>
      </c>
      <c r="AI39" s="2">
        <f>IFERROR(__xludf.DUMMYFUNCTION("IMPORTRANGE(""https://docs.google.com/spreadsheets/d/""&amp;$A39&amp;""/edit#gid=156619080"",AI$3)"),5245.09)</f>
        <v>5245.09</v>
      </c>
      <c r="AJ39" s="2">
        <f>IFERROR(__xludf.DUMMYFUNCTION("IMPORTRANGE(""https://docs.google.com/spreadsheets/d/""&amp;$A39&amp;""/edit#gid=156619080"",AJ$3)"),5212.85)</f>
        <v>5212.85</v>
      </c>
      <c r="AK39" s="2" t="str">
        <f>IFERROR(__xludf.DUMMYFUNCTION("IMPORTRANGE(""https://docs.google.com/spreadsheets/d/""&amp;$A39&amp;""/edit#gid=156619080"",AK$3)"),"")</f>
        <v/>
      </c>
      <c r="AL39" s="2">
        <f>IFERROR(__xludf.DUMMYFUNCTION("IMPORTRANGE(""https://docs.google.com/spreadsheets/d/""&amp;$A39&amp;""/edit#gid=156619080"",AL$3)"),-1.0)</f>
        <v>-1</v>
      </c>
      <c r="AM39" s="2" t="str">
        <f>IFERROR(__xludf.DUMMYFUNCTION("IMPORTRANGE(""https://docs.google.com/spreadsheets/d/""&amp;$A39&amp;""/edit#gid=156619080"",AM$3)"),"")</f>
        <v/>
      </c>
      <c r="AN39" s="2">
        <f>IFERROR(__xludf.DUMMYFUNCTION("IMPORTRANGE(""https://docs.google.com/spreadsheets/d/""&amp;$A39&amp;""/edit#gid=156619080"",AN$3)"),-1.0)</f>
        <v>-1</v>
      </c>
      <c r="AO39" s="2" t="str">
        <f>IFERROR(__xludf.DUMMYFUNCTION("IMPORTRANGE(""https://docs.google.com/spreadsheets/d/""&amp;$A39&amp;""/edit#gid=156619080"",AO$3)"),"")</f>
        <v/>
      </c>
      <c r="AP39" s="2">
        <f>IFERROR(__xludf.DUMMYFUNCTION("IMPORTRANGE(""https://docs.google.com/spreadsheets/d/""&amp;$A39&amp;""/edit#gid=156619080"",AP$3)"),-1.0)</f>
        <v>-1</v>
      </c>
      <c r="AQ39" s="2" t="str">
        <f>IFERROR(__xludf.DUMMYFUNCTION("IMPORTRANGE(""https://docs.google.com/spreadsheets/d/""&amp;$A39&amp;""/edit#gid=156619080"",AQ$3)"),"")</f>
        <v/>
      </c>
      <c r="AR39" s="18">
        <f>IFERROR(__xludf.DUMMYFUNCTION("IMPORTRANGE(""https://docs.google.com/spreadsheets/d/""&amp;$A39&amp;""/edit#gid=156619080"",AR$3)"),30.000000000000004)</f>
        <v>30</v>
      </c>
      <c r="AS39" s="19" t="str">
        <f>IFERROR(__xludf.DUMMYFUNCTION("IMPORTRANGE(""https://docs.google.com/spreadsheets/d/""&amp;$A39&amp;""/edit#gid=156619080"",AS$3)"),"-30
70
90
30
")</f>
        <v>-30
70
90
30
</v>
      </c>
      <c r="AT39" s="18">
        <f>IFERROR(__xludf.DUMMYFUNCTION("IMPORTRANGE(""https://docs.google.com/spreadsheets/d/""&amp;$A39&amp;""/edit#gid=156619080"",AT$3)"),-51.098901098901095)</f>
        <v>-51.0989011</v>
      </c>
      <c r="AU39" s="3" t="str">
        <f>IFERROR(__xludf.DUMMYFUNCTION("IMPORTRANGE(""https://docs.google.com/spreadsheets/d/""&amp;$A39&amp;""/edit#gid=156619080"",AU$3)"),"-75.27
-73.08
-71.98
-68.13
")</f>
        <v>-75.27
-73.08
-71.98
-68.13
</v>
      </c>
      <c r="AV39" s="18">
        <f>IFERROR(__xludf.DUMMYFUNCTION("IMPORTRANGE(""https://docs.google.com/spreadsheets/d/""&amp;$A39&amp;""/edit#gid=156619080"",AV$3)"),-83.24675324675326)</f>
        <v>-83.24675325</v>
      </c>
      <c r="AW39" s="19" t="str">
        <f>IFERROR(__xludf.DUMMYFUNCTION("IMPORTRANGE(""https://docs.google.com/spreadsheets/d/""&amp;$A39&amp;""/edit#gid=156619080"",AW$3)"),"-92.34
-91.17
-89.35
-87.92
")</f>
        <v>-92.34
-91.17
-89.35
-87.92
</v>
      </c>
      <c r="AX39" s="2">
        <f>IFERROR(__xludf.DUMMYFUNCTION("IMPORTRANGE(""https://docs.google.com/spreadsheets/d/""&amp;$A39&amp;""/edit#gid=156619080"",AX$3)"),87.88)</f>
        <v>87.88</v>
      </c>
      <c r="AY39" s="2">
        <f>IFERROR(__xludf.DUMMYFUNCTION("IMPORTRANGE(""https://docs.google.com/spreadsheets/d/""&amp;$A39&amp;""/edit#gid=156619080"",AY$3)"),36.730000000000004)</f>
        <v>36.73</v>
      </c>
      <c r="AZ39" s="2">
        <f>IFERROR(__xludf.DUMMYFUNCTION("IMPORTRANGE(""https://docs.google.com/spreadsheets/d/""&amp;$A39&amp;""/edit#gid=156619080"",AZ$3)"),5382.84)</f>
        <v>5382.84</v>
      </c>
      <c r="BA39" s="2">
        <f>IFERROR(__xludf.DUMMYFUNCTION("IMPORTRANGE(""https://docs.google.com/spreadsheets/d/""&amp;$A39&amp;""/edit#gid=156619080"",BA$3)"),-51.86999999999989)</f>
        <v>-51.87</v>
      </c>
      <c r="BB39" s="2">
        <f>IFERROR(__xludf.DUMMYFUNCTION("IMPORTRANGE(""https://docs.google.com/spreadsheets/d/""&amp;$A39&amp;""/edit#gid=156619080"",BB$3)"),-51.36)</f>
        <v>-51.36</v>
      </c>
      <c r="BC39" s="2" t="str">
        <f>IFERROR(__xludf.DUMMYFUNCTION("IMPORTRANGE(""https://docs.google.com/spreadsheets/d/""&amp;$A39&amp;""/edit#gid=156619080"",BC$3)"),"DC→DC")</f>
        <v>DC→DC</v>
      </c>
    </row>
    <row r="40" ht="51.0" customHeight="1">
      <c r="A40" s="7" t="str">
        <f t="shared" si="5"/>
        <v>1eQPlVfaD7IT5rBOQZevKy6dL-6z1IL7X4uRHyd7Yu10</v>
      </c>
      <c r="B40" s="1" t="s">
        <v>67</v>
      </c>
      <c r="C40" s="2">
        <f>IFERROR(__xludf.DUMMYFUNCTION("IMPORTRANGE(""https://docs.google.com/spreadsheets/d/""&amp;$A40&amp;""/edit#gid=156619080"",C$3)"),132.0)</f>
        <v>132</v>
      </c>
      <c r="D40" s="2">
        <f>IFERROR(__xludf.DUMMYFUNCTION("IMPORTRANGE(""https://docs.google.com/spreadsheets/d/""&amp;$A40&amp;""/edit#gid=156619080"",D$3)"),4911.0)</f>
        <v>4911</v>
      </c>
      <c r="E40" s="15">
        <f>IFERROR(__xludf.DUMMYFUNCTION("IMPORTRANGE(""https://docs.google.com/spreadsheets/d/""&amp;$A40&amp;""/edit#gid=156619080"",E$3)"),43882.0)</f>
        <v>43882</v>
      </c>
      <c r="F40" s="2">
        <f>IFERROR(__xludf.DUMMYFUNCTION("IMPORTRANGE(""https://docs.google.com/spreadsheets/d/""&amp;$A40&amp;""/edit#gid=156619080"",F$3)"),-47.0)</f>
        <v>-47</v>
      </c>
      <c r="G40" s="16">
        <f>IFERROR(__xludf.DUMMYFUNCTION("IMPORTRANGE(""https://docs.google.com/spreadsheets/d/""&amp;$A40&amp;""/edit#gid=156619080"",G$3)"),-0.67)</f>
        <v>-0.67</v>
      </c>
      <c r="H40" s="16">
        <f>IFERROR(__xludf.DUMMYFUNCTION("IMPORTRANGE(""https://docs.google.com/spreadsheets/d/""&amp;$A40&amp;""/edit#gid=156619080"",H$3)"),7027.0)</f>
        <v>7027</v>
      </c>
      <c r="I40" s="16">
        <f>IFERROR(__xludf.DUMMYFUNCTION("IMPORTRANGE(""https://docs.google.com/spreadsheets/d/""&amp;$A40&amp;""/edit#gid=156619080"",I$3)"),-42.0)</f>
        <v>-42</v>
      </c>
      <c r="J40" s="16">
        <f>IFERROR(__xludf.DUMMYFUNCTION("IMPORTRANGE(""https://docs.google.com/spreadsheets/d/""&amp;$A40&amp;""/edit#gid=156619080"",J$3)"),7059.0)</f>
        <v>7059</v>
      </c>
      <c r="K40" s="16">
        <f>IFERROR(__xludf.DUMMYFUNCTION("IMPORTRANGE(""https://docs.google.com/spreadsheets/d/""&amp;$A40&amp;""/edit#gid=156619080"",K$3)"),0.38125)</f>
        <v>0.38125</v>
      </c>
      <c r="L40" s="16">
        <f>IFERROR(__xludf.DUMMYFUNCTION("IMPORTRANGE(""https://docs.google.com/spreadsheets/d/""&amp;$A40&amp;""/edit#gid=156619080"",L$3)"),6924.0)</f>
        <v>6924</v>
      </c>
      <c r="M40" s="16">
        <f>IFERROR(__xludf.DUMMYFUNCTION("IMPORTRANGE(""https://docs.google.com/spreadsheets/d/""&amp;$A40&amp;""/edit#gid=156619080"",M$3)"),0.6208333333333333)</f>
        <v>0.6208333333</v>
      </c>
      <c r="N40" s="16">
        <f>IFERROR(__xludf.DUMMYFUNCTION("IMPORTRANGE(""https://docs.google.com/spreadsheets/d/""&amp;$A40&amp;""/edit#gid=156619080"",N$3)"),6938.0)</f>
        <v>6938</v>
      </c>
      <c r="O40" s="16" t="str">
        <f>IFERROR(__xludf.DUMMYFUNCTION("IMPORTRANGE(""https://docs.google.com/spreadsheets/d/""&amp;$A40&amp;""/edit#gid=156619080"",O$3)"),"2022900株")</f>
        <v>2022900株</v>
      </c>
      <c r="P40" s="16" t="str">
        <f>IFERROR(__xludf.DUMMYFUNCTION("IMPORTRANGE(""https://docs.google.com/spreadsheets/d/""&amp;$A40&amp;""/edit#gid=156619080"",P$3)"),"14138百万円")</f>
        <v>14138百万円</v>
      </c>
      <c r="Q40" s="16" t="str">
        <f>IFERROR(__xludf.DUMMYFUNCTION("IMPORTRANGE(""https://docs.google.com/spreadsheets/d/""&amp;$A40&amp;""/edit#gid=156619080"",Q$3)"),"5268回")</f>
        <v>5268回</v>
      </c>
      <c r="R40" s="16" t="str">
        <f>IFERROR(__xludf.DUMMYFUNCTION("IMPORTRANGE(""https://docs.google.com/spreadsheets/d/""&amp;$A40&amp;""/edit#gid=156619080"",R$3)"),"27752億円")</f>
        <v>27752億円</v>
      </c>
      <c r="S40" s="16" t="str">
        <f>IFERROR(__xludf.DUMMYFUNCTION("IMPORTRANGE(""https://docs.google.com/spreadsheets/d/""&amp;$A40&amp;""/edit#gid=156619080"",S$3)"),"陰線")</f>
        <v>陰線</v>
      </c>
      <c r="T40" s="16" t="str">
        <f>IFERROR(__xludf.DUMMYFUNCTION("IMPORTRANGE(""https://docs.google.com/spreadsheets/d/""&amp;$A40&amp;""/edit#gid=156619080"",T$3)"),"")</f>
        <v/>
      </c>
      <c r="U40" s="16">
        <f>IFERROR(__xludf.DUMMYFUNCTION("IMPORTRANGE(""https://docs.google.com/spreadsheets/d/""&amp;$A40&amp;""/edit#gid=156619080"",U$3)"),6997.8)</f>
        <v>6997.8</v>
      </c>
      <c r="V40" s="16">
        <f>IFERROR(__xludf.DUMMYFUNCTION("IMPORTRANGE(""https://docs.google.com/spreadsheets/d/""&amp;$A40&amp;""/edit#gid=156619080"",V$3)"),7060.6)</f>
        <v>7060.6</v>
      </c>
      <c r="W40" s="16">
        <f>IFERROR(__xludf.DUMMYFUNCTION("IMPORTRANGE(""https://docs.google.com/spreadsheets/d/""&amp;$A40&amp;""/edit#gid=156619080"",W$3)"),7105.0)</f>
        <v>7105</v>
      </c>
      <c r="X40" s="2">
        <f>IFERROR(__xludf.DUMMYFUNCTION("IMPORTRANGE(""https://docs.google.com/spreadsheets/d/""&amp;$A40&amp;""/edit#gid=156619080"",X$3)"),7913.5)</f>
        <v>7913.5</v>
      </c>
      <c r="Y40" s="17">
        <f>IFERROR(__xludf.DUMMYFUNCTION("IMPORTRANGE(""https://docs.google.com/spreadsheets/d/""&amp;$A40&amp;""/edit#gid=156619080"",Y$3)"),-0.00854554288490671)</f>
        <v>-0.008545542885</v>
      </c>
      <c r="Z40" s="2">
        <f>IFERROR(__xludf.DUMMYFUNCTION("IMPORTRANGE(""https://docs.google.com/spreadsheets/d/""&amp;$A40&amp;""/edit#gid=156619080"",Z$3)"),7407.04)</f>
        <v>7407.04</v>
      </c>
      <c r="AA40" s="2">
        <f>IFERROR(__xludf.DUMMYFUNCTION("IMPORTRANGE(""https://docs.google.com/spreadsheets/d/""&amp;$A40&amp;""/edit#gid=156619080"",AA$3)"),7369.28)</f>
        <v>7369.28</v>
      </c>
      <c r="AB40" s="2">
        <f>IFERROR(__xludf.DUMMYFUNCTION("IMPORTRANGE(""https://docs.google.com/spreadsheets/d/""&amp;$A40&amp;""/edit#gid=156619080"",AB$3)"),7331.53)</f>
        <v>7331.53</v>
      </c>
      <c r="AC40" s="18">
        <f>IFERROR(__xludf.DUMMYFUNCTION("IMPORTRANGE(""https://docs.google.com/spreadsheets/d/""&amp;$A40&amp;""/edit#gid=156619080"",AC$3)"),7293.77)</f>
        <v>7293.77</v>
      </c>
      <c r="AD40" s="18">
        <f>IFERROR(__xludf.DUMMYFUNCTION("IMPORTRANGE(""https://docs.google.com/spreadsheets/d/""&amp;$A40&amp;""/edit#gid=156619080"",AD$3)"),7256.02)</f>
        <v>7256.02</v>
      </c>
      <c r="AE40" s="18">
        <f>IFERROR(__xludf.DUMMYFUNCTION("IMPORTRANGE(""https://docs.google.com/spreadsheets/d/""&amp;$A40&amp;""/edit#gid=156619080"",AE$3)"),7105.0)</f>
        <v>7105</v>
      </c>
      <c r="AF40" s="2">
        <f>IFERROR(__xludf.DUMMYFUNCTION("IMPORTRANGE(""https://docs.google.com/spreadsheets/d/""&amp;$A40&amp;""/edit#gid=156619080"",AF$3)"),6953.98)</f>
        <v>6953.98</v>
      </c>
      <c r="AG40" s="2">
        <f>IFERROR(__xludf.DUMMYFUNCTION("IMPORTRANGE(""https://docs.google.com/spreadsheets/d/""&amp;$A40&amp;""/edit#gid=156619080"",AG$3)"),6916.23)</f>
        <v>6916.23</v>
      </c>
      <c r="AH40" s="2">
        <f>IFERROR(__xludf.DUMMYFUNCTION("IMPORTRANGE(""https://docs.google.com/spreadsheets/d/""&amp;$A40&amp;""/edit#gid=156619080"",AH$3)"),6878.47)</f>
        <v>6878.47</v>
      </c>
      <c r="AI40" s="2">
        <f>IFERROR(__xludf.DUMMYFUNCTION("IMPORTRANGE(""https://docs.google.com/spreadsheets/d/""&amp;$A40&amp;""/edit#gid=156619080"",AI$3)"),6840.72)</f>
        <v>6840.72</v>
      </c>
      <c r="AJ40" s="2">
        <f>IFERROR(__xludf.DUMMYFUNCTION("IMPORTRANGE(""https://docs.google.com/spreadsheets/d/""&amp;$A40&amp;""/edit#gid=156619080"",AJ$3)"),6802.96)</f>
        <v>6802.96</v>
      </c>
      <c r="AK40" s="2" t="str">
        <f>IFERROR(__xludf.DUMMYFUNCTION("IMPORTRANGE(""https://docs.google.com/spreadsheets/d/""&amp;$A40&amp;""/edit#gid=156619080"",AK$3)"),"-1〜-1.25σ")</f>
        <v>-1〜-1.25σ</v>
      </c>
      <c r="AL40" s="2">
        <f>IFERROR(__xludf.DUMMYFUNCTION("IMPORTRANGE(""https://docs.google.com/spreadsheets/d/""&amp;$A40&amp;""/edit#gid=156619080"",AL$3)"),-1.0)</f>
        <v>-1</v>
      </c>
      <c r="AM40" s="2" t="str">
        <f>IFERROR(__xludf.DUMMYFUNCTION("IMPORTRANGE(""https://docs.google.com/spreadsheets/d/""&amp;$A40&amp;""/edit#gid=156619080"",AM$3)"),"")</f>
        <v/>
      </c>
      <c r="AN40" s="2">
        <f>IFERROR(__xludf.DUMMYFUNCTION("IMPORTRANGE(""https://docs.google.com/spreadsheets/d/""&amp;$A40&amp;""/edit#gid=156619080"",AN$3)"),-1.0)</f>
        <v>-1</v>
      </c>
      <c r="AO40" s="2" t="str">
        <f>IFERROR(__xludf.DUMMYFUNCTION("IMPORTRANGE(""https://docs.google.com/spreadsheets/d/""&amp;$A40&amp;""/edit#gid=156619080"",AO$3)"),"")</f>
        <v/>
      </c>
      <c r="AP40" s="2">
        <f>IFERROR(__xludf.DUMMYFUNCTION("IMPORTRANGE(""https://docs.google.com/spreadsheets/d/""&amp;$A40&amp;""/edit#gid=156619080"",AP$3)"),-1.0)</f>
        <v>-1</v>
      </c>
      <c r="AQ40" s="2" t="str">
        <f>IFERROR(__xludf.DUMMYFUNCTION("IMPORTRANGE(""https://docs.google.com/spreadsheets/d/""&amp;$A40&amp;""/edit#gid=156619080"",AQ$3)"),"")</f>
        <v/>
      </c>
      <c r="AR40" s="18">
        <f>IFERROR(__xludf.DUMMYFUNCTION("IMPORTRANGE(""https://docs.google.com/spreadsheets/d/""&amp;$A40&amp;""/edit#gid=156619080"",AR$3)"),-89.99999999999999)</f>
        <v>-90</v>
      </c>
      <c r="AS40" s="19" t="str">
        <f>IFERROR(__xludf.DUMMYFUNCTION("IMPORTRANGE(""https://docs.google.com/spreadsheets/d/""&amp;$A40&amp;""/edit#gid=156619080"",AS$3)"),"-20
-70
-90
-90
")</f>
        <v>-20
-70
-90
-90
</v>
      </c>
      <c r="AT40" s="18">
        <f>IFERROR(__xludf.DUMMYFUNCTION("IMPORTRANGE(""https://docs.google.com/spreadsheets/d/""&amp;$A40&amp;""/edit#gid=156619080"",AT$3)"),-38.598901098901095)</f>
        <v>-38.5989011</v>
      </c>
      <c r="AU40" s="3" t="str">
        <f>IFERROR(__xludf.DUMMYFUNCTION("IMPORTRANGE(""https://docs.google.com/spreadsheets/d/""&amp;$A40&amp;""/edit#gid=156619080"",AU$3)"),"21.84
32.28
19.09
4.26
")</f>
        <v>21.84
32.28
19.09
4.26
</v>
      </c>
      <c r="AV40" s="18">
        <f>IFERROR(__xludf.DUMMYFUNCTION("IMPORTRANGE(""https://docs.google.com/spreadsheets/d/""&amp;$A40&amp;""/edit#gid=156619080"",AV$3)"),-53.44155844155844)</f>
        <v>-53.44155844</v>
      </c>
      <c r="AW40" s="19" t="str">
        <f>IFERROR(__xludf.DUMMYFUNCTION("IMPORTRANGE(""https://docs.google.com/spreadsheets/d/""&amp;$A40&amp;""/edit#gid=156619080"",AW$3)"),"-61.88
-59.42
-56.56
-55.13
")</f>
        <v>-61.88
-59.42
-56.56
-55.13
</v>
      </c>
      <c r="AX40" s="2">
        <f>IFERROR(__xludf.DUMMYFUNCTION("IMPORTRANGE(""https://docs.google.com/spreadsheets/d/""&amp;$A40&amp;""/edit#gid=156619080"",AX$3)"),11.88)</f>
        <v>11.88</v>
      </c>
      <c r="AY40" s="2">
        <f>IFERROR(__xludf.DUMMYFUNCTION("IMPORTRANGE(""https://docs.google.com/spreadsheets/d/""&amp;$A40&amp;""/edit#gid=156619080"",AY$3)"),33.739999999999995)</f>
        <v>33.74</v>
      </c>
      <c r="AZ40" s="2">
        <f>IFERROR(__xludf.DUMMYFUNCTION("IMPORTRANGE(""https://docs.google.com/spreadsheets/d/""&amp;$A40&amp;""/edit#gid=156619080"",AZ$3)"),7000.15)</f>
        <v>7000.15</v>
      </c>
      <c r="BA40" s="2">
        <f>IFERROR(__xludf.DUMMYFUNCTION("IMPORTRANGE(""https://docs.google.com/spreadsheets/d/""&amp;$A40&amp;""/edit#gid=156619080"",BA$3)"),-164.82000000000062)</f>
        <v>-164.82</v>
      </c>
      <c r="BB40" s="2">
        <f>IFERROR(__xludf.DUMMYFUNCTION("IMPORTRANGE(""https://docs.google.com/spreadsheets/d/""&amp;$A40&amp;""/edit#gid=156619080"",BB$3)"),-187.94)</f>
        <v>-187.94</v>
      </c>
      <c r="BC40" s="2" t="str">
        <f>IFERROR(__xludf.DUMMYFUNCTION("IMPORTRANGE(""https://docs.google.com/spreadsheets/d/""&amp;$A40&amp;""/edit#gid=156619080"",BC$3)"),"GC→GC")</f>
        <v>GC→GC</v>
      </c>
    </row>
    <row r="41" ht="51.0" customHeight="1">
      <c r="A41" s="7" t="str">
        <f t="shared" si="5"/>
        <v>1ueC2FVRGc9knvyX5ns68qFy52nLg3cHeYclfnFWgwhM</v>
      </c>
      <c r="B41" s="1" t="s">
        <v>68</v>
      </c>
      <c r="C41" s="2">
        <f>IFERROR(__xludf.DUMMYFUNCTION("IMPORTRANGE(""https://docs.google.com/spreadsheets/d/""&amp;$A41&amp;""/edit#gid=156619080"",C$3)"),132.0)</f>
        <v>132</v>
      </c>
      <c r="D41" s="2">
        <f>IFERROR(__xludf.DUMMYFUNCTION("IMPORTRANGE(""https://docs.google.com/spreadsheets/d/""&amp;$A41&amp;""/edit#gid=156619080"",D$3)"),4151.0)</f>
        <v>4151</v>
      </c>
      <c r="E41" s="15">
        <f>IFERROR(__xludf.DUMMYFUNCTION("IMPORTRANGE(""https://docs.google.com/spreadsheets/d/""&amp;$A41&amp;""/edit#gid=156619080"",E$3)"),43882.0)</f>
        <v>43882</v>
      </c>
      <c r="F41" s="2">
        <f>IFERROR(__xludf.DUMMYFUNCTION("IMPORTRANGE(""https://docs.google.com/spreadsheets/d/""&amp;$A41&amp;""/edit#gid=156619080"",F$3)"),-8.0)</f>
        <v>-8</v>
      </c>
      <c r="G41" s="16">
        <f>IFERROR(__xludf.DUMMYFUNCTION("IMPORTRANGE(""https://docs.google.com/spreadsheets/d/""&amp;$A41&amp;""/edit#gid=156619080"",G$3)"),-0.3)</f>
        <v>-0.3</v>
      </c>
      <c r="H41" s="16">
        <f>IFERROR(__xludf.DUMMYFUNCTION("IMPORTRANGE(""https://docs.google.com/spreadsheets/d/""&amp;$A41&amp;""/edit#gid=156619080"",H$3)"),2731.0)</f>
        <v>2731</v>
      </c>
      <c r="I41" s="16">
        <f>IFERROR(__xludf.DUMMYFUNCTION("IMPORTRANGE(""https://docs.google.com/spreadsheets/d/""&amp;$A41&amp;""/edit#gid=156619080"",I$3)"),-21.0)</f>
        <v>-21</v>
      </c>
      <c r="J41" s="16">
        <f>IFERROR(__xludf.DUMMYFUNCTION("IMPORTRANGE(""https://docs.google.com/spreadsheets/d/""&amp;$A41&amp;""/edit#gid=156619080"",J$3)"),2757.0)</f>
        <v>2757</v>
      </c>
      <c r="K41" s="16">
        <f>IFERROR(__xludf.DUMMYFUNCTION("IMPORTRANGE(""https://docs.google.com/spreadsheets/d/""&amp;$A41&amp;""/edit#gid=156619080"",K$3)"),0.3763888888888889)</f>
        <v>0.3763888889</v>
      </c>
      <c r="L41" s="16">
        <f>IFERROR(__xludf.DUMMYFUNCTION("IMPORTRANGE(""https://docs.google.com/spreadsheets/d/""&amp;$A41&amp;""/edit#gid=156619080"",L$3)"),2696.0)</f>
        <v>2696</v>
      </c>
      <c r="M41" s="16">
        <f>IFERROR(__xludf.DUMMYFUNCTION("IMPORTRANGE(""https://docs.google.com/spreadsheets/d/""&amp;$A41&amp;""/edit#gid=156619080"",M$3)"),0.47847222222222224)</f>
        <v>0.4784722222</v>
      </c>
      <c r="N41" s="16">
        <f>IFERROR(__xludf.DUMMYFUNCTION("IMPORTRANGE(""https://docs.google.com/spreadsheets/d/""&amp;$A41&amp;""/edit#gid=156619080"",N$3)"),2702.0)</f>
        <v>2702</v>
      </c>
      <c r="O41" s="16" t="str">
        <f>IFERROR(__xludf.DUMMYFUNCTION("IMPORTRANGE(""https://docs.google.com/spreadsheets/d/""&amp;$A41&amp;""/edit#gid=156619080"",O$3)"),"1331200株")</f>
        <v>1331200株</v>
      </c>
      <c r="P41" s="16" t="str">
        <f>IFERROR(__xludf.DUMMYFUNCTION("IMPORTRANGE(""https://docs.google.com/spreadsheets/d/""&amp;$A41&amp;""/edit#gid=156619080"",P$3)"),"3608百万円")</f>
        <v>3608百万円</v>
      </c>
      <c r="Q41" s="16" t="str">
        <f>IFERROR(__xludf.DUMMYFUNCTION("IMPORTRANGE(""https://docs.google.com/spreadsheets/d/""&amp;$A41&amp;""/edit#gid=156619080"",Q$3)"),"3057回")</f>
        <v>3057回</v>
      </c>
      <c r="R41" s="16" t="str">
        <f>IFERROR(__xludf.DUMMYFUNCTION("IMPORTRANGE(""https://docs.google.com/spreadsheets/d/""&amp;$A41&amp;""/edit#gid=156619080"",R$3)"),"14591億円")</f>
        <v>14591億円</v>
      </c>
      <c r="S41" s="16" t="str">
        <f>IFERROR(__xludf.DUMMYFUNCTION("IMPORTRANGE(""https://docs.google.com/spreadsheets/d/""&amp;$A41&amp;""/edit#gid=156619080"",S$3)"),"陰線")</f>
        <v>陰線</v>
      </c>
      <c r="T41" s="16" t="str">
        <f>IFERROR(__xludf.DUMMYFUNCTION("IMPORTRANGE(""https://docs.google.com/spreadsheets/d/""&amp;$A41&amp;""/edit#gid=156619080"",T$3)"),"")</f>
        <v/>
      </c>
      <c r="U41" s="16">
        <f>IFERROR(__xludf.DUMMYFUNCTION("IMPORTRANGE(""https://docs.google.com/spreadsheets/d/""&amp;$A41&amp;""/edit#gid=156619080"",U$3)"),2748.4)</f>
        <v>2748.4</v>
      </c>
      <c r="V41" s="16">
        <f>IFERROR(__xludf.DUMMYFUNCTION("IMPORTRANGE(""https://docs.google.com/spreadsheets/d/""&amp;$A41&amp;""/edit#gid=156619080"",V$3)"),2752.2)</f>
        <v>2752.2</v>
      </c>
      <c r="W41" s="16">
        <f>IFERROR(__xludf.DUMMYFUNCTION("IMPORTRANGE(""https://docs.google.com/spreadsheets/d/""&amp;$A41&amp;""/edit#gid=156619080"",W$3)"),2703.8)</f>
        <v>2703.8</v>
      </c>
      <c r="X41" s="2">
        <f>IFERROR(__xludf.DUMMYFUNCTION("IMPORTRANGE(""https://docs.google.com/spreadsheets/d/""&amp;$A41&amp;""/edit#gid=156619080"",X$3)"),2321.1)</f>
        <v>2321.1</v>
      </c>
      <c r="Y41" s="17">
        <f>IFERROR(__xludf.DUMMYFUNCTION("IMPORTRANGE(""https://docs.google.com/spreadsheets/d/""&amp;$A41&amp;""/edit#gid=156619080"",Y$3)"),-0.016882549847183848)</f>
        <v>-0.01688254985</v>
      </c>
      <c r="Z41" s="2">
        <f>IFERROR(__xludf.DUMMYFUNCTION("IMPORTRANGE(""https://docs.google.com/spreadsheets/d/""&amp;$A41&amp;""/edit#gid=156619080"",Z$3)"),2863.12)</f>
        <v>2863.12</v>
      </c>
      <c r="AA41" s="2">
        <f>IFERROR(__xludf.DUMMYFUNCTION("IMPORTRANGE(""https://docs.google.com/spreadsheets/d/""&amp;$A41&amp;""/edit#gid=156619080"",AA$3)"),2843.2)</f>
        <v>2843.2</v>
      </c>
      <c r="AB41" s="2">
        <f>IFERROR(__xludf.DUMMYFUNCTION("IMPORTRANGE(""https://docs.google.com/spreadsheets/d/""&amp;$A41&amp;""/edit#gid=156619080"",AB$3)"),2823.29)</f>
        <v>2823.29</v>
      </c>
      <c r="AC41" s="18">
        <f>IFERROR(__xludf.DUMMYFUNCTION("IMPORTRANGE(""https://docs.google.com/spreadsheets/d/""&amp;$A41&amp;""/edit#gid=156619080"",AC$3)"),2803.37)</f>
        <v>2803.37</v>
      </c>
      <c r="AD41" s="18">
        <f>IFERROR(__xludf.DUMMYFUNCTION("IMPORTRANGE(""https://docs.google.com/spreadsheets/d/""&amp;$A41&amp;""/edit#gid=156619080"",AD$3)"),2783.46)</f>
        <v>2783.46</v>
      </c>
      <c r="AE41" s="18">
        <f>IFERROR(__xludf.DUMMYFUNCTION("IMPORTRANGE(""https://docs.google.com/spreadsheets/d/""&amp;$A41&amp;""/edit#gid=156619080"",AE$3)"),2703.8)</f>
        <v>2703.8</v>
      </c>
      <c r="AF41" s="2">
        <f>IFERROR(__xludf.DUMMYFUNCTION("IMPORTRANGE(""https://docs.google.com/spreadsheets/d/""&amp;$A41&amp;""/edit#gid=156619080"",AF$3)"),2624.14)</f>
        <v>2624.14</v>
      </c>
      <c r="AG41" s="2">
        <f>IFERROR(__xludf.DUMMYFUNCTION("IMPORTRANGE(""https://docs.google.com/spreadsheets/d/""&amp;$A41&amp;""/edit#gid=156619080"",AG$3)"),2604.23)</f>
        <v>2604.23</v>
      </c>
      <c r="AH41" s="2">
        <f>IFERROR(__xludf.DUMMYFUNCTION("IMPORTRANGE(""https://docs.google.com/spreadsheets/d/""&amp;$A41&amp;""/edit#gid=156619080"",AH$3)"),2584.31)</f>
        <v>2584.31</v>
      </c>
      <c r="AI41" s="2">
        <f>IFERROR(__xludf.DUMMYFUNCTION("IMPORTRANGE(""https://docs.google.com/spreadsheets/d/""&amp;$A41&amp;""/edit#gid=156619080"",AI$3)"),2564.4)</f>
        <v>2564.4</v>
      </c>
      <c r="AJ41" s="2">
        <f>IFERROR(__xludf.DUMMYFUNCTION("IMPORTRANGE(""https://docs.google.com/spreadsheets/d/""&amp;$A41&amp;""/edit#gid=156619080"",AJ$3)"),2544.48)</f>
        <v>2544.48</v>
      </c>
      <c r="AK41" s="2" t="str">
        <f>IFERROR(__xludf.DUMMYFUNCTION("IMPORTRANGE(""https://docs.google.com/spreadsheets/d/""&amp;$A41&amp;""/edit#gid=156619080"",AK$3)"),"")</f>
        <v/>
      </c>
      <c r="AL41" s="2">
        <f>IFERROR(__xludf.DUMMYFUNCTION("IMPORTRANGE(""https://docs.google.com/spreadsheets/d/""&amp;$A41&amp;""/edit#gid=156619080"",AL$3)"),-1.0)</f>
        <v>-1</v>
      </c>
      <c r="AM41" s="2" t="str">
        <f>IFERROR(__xludf.DUMMYFUNCTION("IMPORTRANGE(""https://docs.google.com/spreadsheets/d/""&amp;$A41&amp;""/edit#gid=156619080"",AM$3)"),"bs1")</f>
        <v>bs1</v>
      </c>
      <c r="AN41" s="2">
        <f>IFERROR(__xludf.DUMMYFUNCTION("IMPORTRANGE(""https://docs.google.com/spreadsheets/d/""&amp;$A41&amp;""/edit#gid=156619080"",AN$3)"),1.0)</f>
        <v>1</v>
      </c>
      <c r="AO41" s="2" t="str">
        <f>IFERROR(__xludf.DUMMYFUNCTION("IMPORTRANGE(""https://docs.google.com/spreadsheets/d/""&amp;$A41&amp;""/edit#gid=156619080"",AO$3)"),"")</f>
        <v/>
      </c>
      <c r="AP41" s="2">
        <f>IFERROR(__xludf.DUMMYFUNCTION("IMPORTRANGE(""https://docs.google.com/spreadsheets/d/""&amp;$A41&amp;""/edit#gid=156619080"",AP$3)"),1.0)</f>
        <v>1</v>
      </c>
      <c r="AQ41" s="2" t="str">
        <f>IFERROR(__xludf.DUMMYFUNCTION("IMPORTRANGE(""https://docs.google.com/spreadsheets/d/""&amp;$A41&amp;""/edit#gid=156619080"",AQ$3)"),"")</f>
        <v/>
      </c>
      <c r="AR41" s="18">
        <f>IFERROR(__xludf.DUMMYFUNCTION("IMPORTRANGE(""https://docs.google.com/spreadsheets/d/""&amp;$A41&amp;""/edit#gid=156619080"",AR$3)"),-100.0)</f>
        <v>-100</v>
      </c>
      <c r="AS41" s="19" t="str">
        <f>IFERROR(__xludf.DUMMYFUNCTION("IMPORTRANGE(""https://docs.google.com/spreadsheets/d/""&amp;$A41&amp;""/edit#gid=156619080"",AS$3)"),"90
-10
-70
-100
")</f>
        <v>90
-10
-70
-100
</v>
      </c>
      <c r="AT41" s="18">
        <f>IFERROR(__xludf.DUMMYFUNCTION("IMPORTRANGE(""https://docs.google.com/spreadsheets/d/""&amp;$A41&amp;""/edit#gid=156619080"",AT$3)"),6.730769230769229)</f>
        <v>6.730769231</v>
      </c>
      <c r="AU41" s="3" t="str">
        <f>IFERROR(__xludf.DUMMYFUNCTION("IMPORTRANGE(""https://docs.google.com/spreadsheets/d/""&amp;$A41&amp;""/edit#gid=156619080"",AU$3)"),"87.36
79.12
61.68
36.95
")</f>
        <v>87.36
79.12
61.68
36.95
</v>
      </c>
      <c r="AV41" s="18">
        <f>IFERROR(__xludf.DUMMYFUNCTION("IMPORTRANGE(""https://docs.google.com/spreadsheets/d/""&amp;$A41&amp;""/edit#gid=156619080"",AV$3)"),64.70779220779221)</f>
        <v>64.70779221</v>
      </c>
      <c r="AW41" s="19" t="str">
        <f>IFERROR(__xludf.DUMMYFUNCTION("IMPORTRANGE(""https://docs.google.com/spreadsheets/d/""&amp;$A41&amp;""/edit#gid=156619080"",AW$3)"),"62.21
61.95
64.97
65.36
")</f>
        <v>62.21
61.95
64.97
65.36
</v>
      </c>
      <c r="AX41" s="2">
        <f>IFERROR(__xludf.DUMMYFUNCTION("IMPORTRANGE(""https://docs.google.com/spreadsheets/d/""&amp;$A41&amp;""/edit#gid=156619080"",AX$3)"),0.0)</f>
        <v>0</v>
      </c>
      <c r="AY41" s="2">
        <f>IFERROR(__xludf.DUMMYFUNCTION("IMPORTRANGE(""https://docs.google.com/spreadsheets/d/""&amp;$A41&amp;""/edit#gid=156619080"",AY$3)"),53.65)</f>
        <v>53.65</v>
      </c>
      <c r="AZ41" s="2">
        <f>IFERROR(__xludf.DUMMYFUNCTION("IMPORTRANGE(""https://docs.google.com/spreadsheets/d/""&amp;$A41&amp;""/edit#gid=156619080"",AZ$3)"),2736.05)</f>
        <v>2736.05</v>
      </c>
      <c r="BA41" s="2">
        <f>IFERROR(__xludf.DUMMYFUNCTION("IMPORTRANGE(""https://docs.google.com/spreadsheets/d/""&amp;$A41&amp;""/edit#gid=156619080"",BA$3)"),27.640000000000327)</f>
        <v>27.64</v>
      </c>
      <c r="BB41" s="2">
        <f>IFERROR(__xludf.DUMMYFUNCTION("IMPORTRANGE(""https://docs.google.com/spreadsheets/d/""&amp;$A41&amp;""/edit#gid=156619080"",BB$3)"),63.66)</f>
        <v>63.66</v>
      </c>
      <c r="BC41" s="2" t="str">
        <f>IFERROR(__xludf.DUMMYFUNCTION("IMPORTRANGE(""https://docs.google.com/spreadsheets/d/""&amp;$A41&amp;""/edit#gid=156619080"",BC$3)"),"DC→DC")</f>
        <v>DC→DC</v>
      </c>
    </row>
    <row r="42" ht="51.0" customHeight="1">
      <c r="A42" s="7" t="str">
        <f t="shared" si="5"/>
        <v>1VFYDn2HIuGD8Mybk8wE6pZHKj-YPgfl9F7DHXqcKy_w</v>
      </c>
      <c r="B42" s="1" t="s">
        <v>69</v>
      </c>
      <c r="C42" s="2">
        <f>IFERROR(__xludf.DUMMYFUNCTION("IMPORTRANGE(""https://docs.google.com/spreadsheets/d/""&amp;$A42&amp;""/edit#gid=156619080"",C$3)"),132.0)</f>
        <v>132</v>
      </c>
      <c r="D42" s="2">
        <f>IFERROR(__xludf.DUMMYFUNCTION("IMPORTRANGE(""https://docs.google.com/spreadsheets/d/""&amp;$A42&amp;""/edit#gid=156619080"",D$3)"),4502.0)</f>
        <v>4502</v>
      </c>
      <c r="E42" s="15">
        <f>IFERROR(__xludf.DUMMYFUNCTION("IMPORTRANGE(""https://docs.google.com/spreadsheets/d/""&amp;$A42&amp;""/edit#gid=156619080"",E$3)"),43882.0)</f>
        <v>43882</v>
      </c>
      <c r="F42" s="2">
        <f>IFERROR(__xludf.DUMMYFUNCTION("IMPORTRANGE(""https://docs.google.com/spreadsheets/d/""&amp;$A42&amp;""/edit#gid=156619080"",F$3)"),66.0)</f>
        <v>66</v>
      </c>
      <c r="G42" s="16">
        <f>IFERROR(__xludf.DUMMYFUNCTION("IMPORTRANGE(""https://docs.google.com/spreadsheets/d/""&amp;$A42&amp;""/edit#gid=156619080"",G$3)"),1.59)</f>
        <v>1.59</v>
      </c>
      <c r="H42" s="16">
        <f>IFERROR(__xludf.DUMMYFUNCTION("IMPORTRANGE(""https://docs.google.com/spreadsheets/d/""&amp;$A42&amp;""/edit#gid=156619080"",H$3)"),4164.0)</f>
        <v>4164</v>
      </c>
      <c r="I42" s="16">
        <f>IFERROR(__xludf.DUMMYFUNCTION("IMPORTRANGE(""https://docs.google.com/spreadsheets/d/""&amp;$A42&amp;""/edit#gid=156619080"",I$3)"),-1.0)</f>
        <v>-1</v>
      </c>
      <c r="J42" s="16">
        <f>IFERROR(__xludf.DUMMYFUNCTION("IMPORTRANGE(""https://docs.google.com/spreadsheets/d/""&amp;$A42&amp;""/edit#gid=156619080"",J$3)"),4235.0)</f>
        <v>4235</v>
      </c>
      <c r="K42" s="16">
        <f>IFERROR(__xludf.DUMMYFUNCTION("IMPORTRANGE(""https://docs.google.com/spreadsheets/d/""&amp;$A42&amp;""/edit#gid=156619080"",K$3)"),0.6131944444444445)</f>
        <v>0.6131944444</v>
      </c>
      <c r="L42" s="16">
        <f>IFERROR(__xludf.DUMMYFUNCTION("IMPORTRANGE(""https://docs.google.com/spreadsheets/d/""&amp;$A42&amp;""/edit#gid=156619080"",L$3)"),4157.0)</f>
        <v>4157</v>
      </c>
      <c r="M42" s="16">
        <f>IFERROR(__xludf.DUMMYFUNCTION("IMPORTRANGE(""https://docs.google.com/spreadsheets/d/""&amp;$A42&amp;""/edit#gid=156619080"",M$3)"),0.375)</f>
        <v>0.375</v>
      </c>
      <c r="N42" s="16">
        <f>IFERROR(__xludf.DUMMYFUNCTION("IMPORTRANGE(""https://docs.google.com/spreadsheets/d/""&amp;$A42&amp;""/edit#gid=156619080"",N$3)"),4229.0)</f>
        <v>4229</v>
      </c>
      <c r="O42" s="16" t="str">
        <f>IFERROR(__xludf.DUMMYFUNCTION("IMPORTRANGE(""https://docs.google.com/spreadsheets/d/""&amp;$A42&amp;""/edit#gid=156619080"",O$3)"),"4441500株")</f>
        <v>4441500株</v>
      </c>
      <c r="P42" s="16" t="str">
        <f>IFERROR(__xludf.DUMMYFUNCTION("IMPORTRANGE(""https://docs.google.com/spreadsheets/d/""&amp;$A42&amp;""/edit#gid=156619080"",P$3)"),"18680百万円")</f>
        <v>18680百万円</v>
      </c>
      <c r="Q42" s="16" t="str">
        <f>IFERROR(__xludf.DUMMYFUNCTION("IMPORTRANGE(""https://docs.google.com/spreadsheets/d/""&amp;$A42&amp;""/edit#gid=156619080"",Q$3)"),"6338回")</f>
        <v>6338回</v>
      </c>
      <c r="R42" s="16" t="str">
        <f>IFERROR(__xludf.DUMMYFUNCTION("IMPORTRANGE(""https://docs.google.com/spreadsheets/d/""&amp;$A42&amp;""/edit#gid=156619080"",R$3)"),"66664億円")</f>
        <v>66664億円</v>
      </c>
      <c r="S42" s="16" t="str">
        <f>IFERROR(__xludf.DUMMYFUNCTION("IMPORTRANGE(""https://docs.google.com/spreadsheets/d/""&amp;$A42&amp;""/edit#gid=156619080"",S$3)"),"陽線")</f>
        <v>陽線</v>
      </c>
      <c r="T42" s="16" t="str">
        <f>IFERROR(__xludf.DUMMYFUNCTION("IMPORTRANGE(""https://docs.google.com/spreadsheets/d/""&amp;$A42&amp;""/edit#gid=156619080"",T$3)"),"")</f>
        <v/>
      </c>
      <c r="U42" s="16">
        <f>IFERROR(__xludf.DUMMYFUNCTION("IMPORTRANGE(""https://docs.google.com/spreadsheets/d/""&amp;$A42&amp;""/edit#gid=156619080"",U$3)"),4209.0)</f>
        <v>4209</v>
      </c>
      <c r="V42" s="16">
        <f>IFERROR(__xludf.DUMMYFUNCTION("IMPORTRANGE(""https://docs.google.com/spreadsheets/d/""&amp;$A42&amp;""/edit#gid=156619080"",V$3)"),4302.5)</f>
        <v>4302.5</v>
      </c>
      <c r="W42" s="16">
        <f>IFERROR(__xludf.DUMMYFUNCTION("IMPORTRANGE(""https://docs.google.com/spreadsheets/d/""&amp;$A42&amp;""/edit#gid=156619080"",W$3)"),4294.9)</f>
        <v>4294.9</v>
      </c>
      <c r="X42" s="2">
        <f>IFERROR(__xludf.DUMMYFUNCTION("IMPORTRANGE(""https://docs.google.com/spreadsheets/d/""&amp;$A42&amp;""/edit#gid=156619080"",X$3)"),4151.2)</f>
        <v>4151.2</v>
      </c>
      <c r="Y42" s="17">
        <f>IFERROR(__xludf.DUMMYFUNCTION("IMPORTRANGE(""https://docs.google.com/spreadsheets/d/""&amp;$A42&amp;""/edit#gid=156619080"",Y$3)"),0.004751722499406035)</f>
        <v>0.004751722499</v>
      </c>
      <c r="Z42" s="2">
        <f>IFERROR(__xludf.DUMMYFUNCTION("IMPORTRANGE(""https://docs.google.com/spreadsheets/d/""&amp;$A42&amp;""/edit#gid=156619080"",Z$3)"),4465.95)</f>
        <v>4465.95</v>
      </c>
      <c r="AA42" s="2">
        <f>IFERROR(__xludf.DUMMYFUNCTION("IMPORTRANGE(""https://docs.google.com/spreadsheets/d/""&amp;$A42&amp;""/edit#gid=156619080"",AA$3)"),4444.57)</f>
        <v>4444.57</v>
      </c>
      <c r="AB42" s="2">
        <f>IFERROR(__xludf.DUMMYFUNCTION("IMPORTRANGE(""https://docs.google.com/spreadsheets/d/""&amp;$A42&amp;""/edit#gid=156619080"",AB$3)"),4423.18)</f>
        <v>4423.18</v>
      </c>
      <c r="AC42" s="18">
        <f>IFERROR(__xludf.DUMMYFUNCTION("IMPORTRANGE(""https://docs.google.com/spreadsheets/d/""&amp;$A42&amp;""/edit#gid=156619080"",AC$3)"),4401.8)</f>
        <v>4401.8</v>
      </c>
      <c r="AD42" s="18">
        <f>IFERROR(__xludf.DUMMYFUNCTION("IMPORTRANGE(""https://docs.google.com/spreadsheets/d/""&amp;$A42&amp;""/edit#gid=156619080"",AD$3)"),4380.42)</f>
        <v>4380.42</v>
      </c>
      <c r="AE42" s="18">
        <f>IFERROR(__xludf.DUMMYFUNCTION("IMPORTRANGE(""https://docs.google.com/spreadsheets/d/""&amp;$A42&amp;""/edit#gid=156619080"",AE$3)"),4294.9)</f>
        <v>4294.9</v>
      </c>
      <c r="AF42" s="2">
        <f>IFERROR(__xludf.DUMMYFUNCTION("IMPORTRANGE(""https://docs.google.com/spreadsheets/d/""&amp;$A42&amp;""/edit#gid=156619080"",AF$3)"),4209.38)</f>
        <v>4209.38</v>
      </c>
      <c r="AG42" s="2">
        <f>IFERROR(__xludf.DUMMYFUNCTION("IMPORTRANGE(""https://docs.google.com/spreadsheets/d/""&amp;$A42&amp;""/edit#gid=156619080"",AG$3)"),4188.0)</f>
        <v>4188</v>
      </c>
      <c r="AH42" s="2">
        <f>IFERROR(__xludf.DUMMYFUNCTION("IMPORTRANGE(""https://docs.google.com/spreadsheets/d/""&amp;$A42&amp;""/edit#gid=156619080"",AH$3)"),4166.62)</f>
        <v>4166.62</v>
      </c>
      <c r="AI42" s="2">
        <f>IFERROR(__xludf.DUMMYFUNCTION("IMPORTRANGE(""https://docs.google.com/spreadsheets/d/""&amp;$A42&amp;""/edit#gid=156619080"",AI$3)"),4145.23)</f>
        <v>4145.23</v>
      </c>
      <c r="AJ42" s="2">
        <f>IFERROR(__xludf.DUMMYFUNCTION("IMPORTRANGE(""https://docs.google.com/spreadsheets/d/""&amp;$A42&amp;""/edit#gid=156619080"",AJ$3)"),4123.85)</f>
        <v>4123.85</v>
      </c>
      <c r="AK42" s="2" t="str">
        <f>IFERROR(__xludf.DUMMYFUNCTION("IMPORTRANGE(""https://docs.google.com/spreadsheets/d/""&amp;$A42&amp;""/edit#gid=156619080"",AK$3)"),"")</f>
        <v/>
      </c>
      <c r="AL42" s="2">
        <f>IFERROR(__xludf.DUMMYFUNCTION("IMPORTRANGE(""https://docs.google.com/spreadsheets/d/""&amp;$A42&amp;""/edit#gid=156619080"",AL$3)"),-1.0)</f>
        <v>-1</v>
      </c>
      <c r="AM42" s="2" t="str">
        <f>IFERROR(__xludf.DUMMYFUNCTION("IMPORTRANGE(""https://docs.google.com/spreadsheets/d/""&amp;$A42&amp;""/edit#gid=156619080"",AM$3)"),"")</f>
        <v/>
      </c>
      <c r="AN42" s="2">
        <f>IFERROR(__xludf.DUMMYFUNCTION("IMPORTRANGE(""https://docs.google.com/spreadsheets/d/""&amp;$A42&amp;""/edit#gid=156619080"",AN$3)"),-1.0)</f>
        <v>-1</v>
      </c>
      <c r="AO42" s="2" t="str">
        <f>IFERROR(__xludf.DUMMYFUNCTION("IMPORTRANGE(""https://docs.google.com/spreadsheets/d/""&amp;$A42&amp;""/edit#gid=156619080"",AO$3)"),"")</f>
        <v/>
      </c>
      <c r="AP42" s="2">
        <f>IFERROR(__xludf.DUMMYFUNCTION("IMPORTRANGE(""https://docs.google.com/spreadsheets/d/""&amp;$A42&amp;""/edit#gid=156619080"",AP$3)"),1.0)</f>
        <v>1</v>
      </c>
      <c r="AQ42" s="2" t="str">
        <f>IFERROR(__xludf.DUMMYFUNCTION("IMPORTRANGE(""https://docs.google.com/spreadsheets/d/""&amp;$A42&amp;""/edit#gid=156619080"",AQ$3)"),"ws3")</f>
        <v>ws3</v>
      </c>
      <c r="AR42" s="18">
        <f>IFERROR(__xludf.DUMMYFUNCTION("IMPORTRANGE(""https://docs.google.com/spreadsheets/d/""&amp;$A42&amp;""/edit#gid=156619080"",AR$3)"),-39.99999999999999)</f>
        <v>-40</v>
      </c>
      <c r="AS42" s="19" t="str">
        <f>IFERROR(__xludf.DUMMYFUNCTION("IMPORTRANGE(""https://docs.google.com/spreadsheets/d/""&amp;$A42&amp;""/edit#gid=156619080"",AS$3)"),"-90
-100
-100
-100
")</f>
        <v>-90
-100
-100
-100
</v>
      </c>
      <c r="AT42" s="18">
        <f>IFERROR(__xludf.DUMMYFUNCTION("IMPORTRANGE(""https://docs.google.com/spreadsheets/d/""&amp;$A42&amp;""/edit#gid=156619080"",AT$3)"),-63.73626373626373)</f>
        <v>-63.73626374</v>
      </c>
      <c r="AU42" s="3" t="str">
        <f>IFERROR(__xludf.DUMMYFUNCTION("IMPORTRANGE(""https://docs.google.com/spreadsheets/d/""&amp;$A42&amp;""/edit#gid=156619080"",AU$3)"),"32.42
13.19
-7.69
-37.36
")</f>
        <v>32.42
13.19
-7.69
-37.36
</v>
      </c>
      <c r="AV42" s="18">
        <f>IFERROR(__xludf.DUMMYFUNCTION("IMPORTRANGE(""https://docs.google.com/spreadsheets/d/""&amp;$A42&amp;""/edit#gid=156619080"",AV$3)"),-31.785714285714285)</f>
        <v>-31.78571429</v>
      </c>
      <c r="AW42" s="19" t="str">
        <f>IFERROR(__xludf.DUMMYFUNCTION("IMPORTRANGE(""https://docs.google.com/spreadsheets/d/""&amp;$A42&amp;""/edit#gid=156619080"",AW$3)"),"-26.72
-29.32
-31.4
-34.64
")</f>
        <v>-26.72
-29.32
-31.4
-34.64
</v>
      </c>
      <c r="AX42" s="2">
        <f>IFERROR(__xludf.DUMMYFUNCTION("IMPORTRANGE(""https://docs.google.com/spreadsheets/d/""&amp;$A42&amp;""/edit#gid=156619080"",AX$3)"),32.84)</f>
        <v>32.84</v>
      </c>
      <c r="AY42" s="2">
        <f>IFERROR(__xludf.DUMMYFUNCTION("IMPORTRANGE(""https://docs.google.com/spreadsheets/d/""&amp;$A42&amp;""/edit#gid=156619080"",AY$3)"),41.730000000000004)</f>
        <v>41.73</v>
      </c>
      <c r="AZ42" s="2">
        <f>IFERROR(__xludf.DUMMYFUNCTION("IMPORTRANGE(""https://docs.google.com/spreadsheets/d/""&amp;$A42&amp;""/edit#gid=156619080"",AZ$3)"),4224.32)</f>
        <v>4224.32</v>
      </c>
      <c r="BA42" s="2">
        <f>IFERROR(__xludf.DUMMYFUNCTION("IMPORTRANGE(""https://docs.google.com/spreadsheets/d/""&amp;$A42&amp;""/edit#gid=156619080"",BA$3)"),-67.97000000000025)</f>
        <v>-67.97</v>
      </c>
      <c r="BB42" s="2">
        <f>IFERROR(__xludf.DUMMYFUNCTION("IMPORTRANGE(""https://docs.google.com/spreadsheets/d/""&amp;$A42&amp;""/edit#gid=156619080"",BB$3)"),-33.31)</f>
        <v>-33.31</v>
      </c>
      <c r="BC42" s="2" t="str">
        <f>IFERROR(__xludf.DUMMYFUNCTION("IMPORTRANGE(""https://docs.google.com/spreadsheets/d/""&amp;$A42&amp;""/edit#gid=156619080"",BC$3)"),"DC→DC")</f>
        <v>DC→DC</v>
      </c>
    </row>
    <row r="43" ht="51.0" customHeight="1">
      <c r="A43" s="7" t="str">
        <f t="shared" si="5"/>
        <v>1Ba8KO2OwJaBNhwHSyQ53QiJnojB-bhdvXIPPSd0DSsw</v>
      </c>
      <c r="B43" s="1" t="s">
        <v>70</v>
      </c>
      <c r="C43" s="2">
        <f>IFERROR(__xludf.DUMMYFUNCTION("IMPORTRANGE(""https://docs.google.com/spreadsheets/d/""&amp;$A43&amp;""/edit#gid=156619080"",C$3)"),132.0)</f>
        <v>132</v>
      </c>
      <c r="D43" s="2">
        <f>IFERROR(__xludf.DUMMYFUNCTION("IMPORTRANGE(""https://docs.google.com/spreadsheets/d/""&amp;$A43&amp;""/edit#gid=156619080"",D$3)"),4503.0)</f>
        <v>4503</v>
      </c>
      <c r="E43" s="15">
        <f>IFERROR(__xludf.DUMMYFUNCTION("IMPORTRANGE(""https://docs.google.com/spreadsheets/d/""&amp;$A43&amp;""/edit#gid=156619080"",E$3)"),43882.0)</f>
        <v>43882</v>
      </c>
      <c r="F43" s="2">
        <f>IFERROR(__xludf.DUMMYFUNCTION("IMPORTRANGE(""https://docs.google.com/spreadsheets/d/""&amp;$A43&amp;""/edit#gid=156619080"",F$3)"),2.5)</f>
        <v>2.5</v>
      </c>
      <c r="G43" s="16">
        <f>IFERROR(__xludf.DUMMYFUNCTION("IMPORTRANGE(""https://docs.google.com/spreadsheets/d/""&amp;$A43&amp;""/edit#gid=156619080"",G$3)"),0.13)</f>
        <v>0.13</v>
      </c>
      <c r="H43" s="16">
        <f>IFERROR(__xludf.DUMMYFUNCTION("IMPORTRANGE(""https://docs.google.com/spreadsheets/d/""&amp;$A43&amp;""/edit#gid=156619080"",H$3)"),1937.0)</f>
        <v>1937</v>
      </c>
      <c r="I43" s="16">
        <f>IFERROR(__xludf.DUMMYFUNCTION("IMPORTRANGE(""https://docs.google.com/spreadsheets/d/""&amp;$A43&amp;""/edit#gid=156619080"",I$3)"),-24.0)</f>
        <v>-24</v>
      </c>
      <c r="J43" s="16">
        <f>IFERROR(__xludf.DUMMYFUNCTION("IMPORTRANGE(""https://docs.google.com/spreadsheets/d/""&amp;$A43&amp;""/edit#gid=156619080"",J$3)"),1944.5)</f>
        <v>1944.5</v>
      </c>
      <c r="K43" s="16">
        <f>IFERROR(__xludf.DUMMYFUNCTION("IMPORTRANGE(""https://docs.google.com/spreadsheets/d/""&amp;$A43&amp;""/edit#gid=156619080"",K$3)"),0.375)</f>
        <v>0.375</v>
      </c>
      <c r="L43" s="16">
        <f>IFERROR(__xludf.DUMMYFUNCTION("IMPORTRANGE(""https://docs.google.com/spreadsheets/d/""&amp;$A43&amp;""/edit#gid=156619080"",L$3)"),1912.5)</f>
        <v>1912.5</v>
      </c>
      <c r="M43" s="16">
        <f>IFERROR(__xludf.DUMMYFUNCTION("IMPORTRANGE(""https://docs.google.com/spreadsheets/d/""&amp;$A43&amp;""/edit#gid=156619080"",M$3)"),0.45416666666666666)</f>
        <v>0.4541666667</v>
      </c>
      <c r="N43" s="16">
        <f>IFERROR(__xludf.DUMMYFUNCTION("IMPORTRANGE(""https://docs.google.com/spreadsheets/d/""&amp;$A43&amp;""/edit#gid=156619080"",N$3)"),1915.5)</f>
        <v>1915.5</v>
      </c>
      <c r="O43" s="16" t="str">
        <f>IFERROR(__xludf.DUMMYFUNCTION("IMPORTRANGE(""https://docs.google.com/spreadsheets/d/""&amp;$A43&amp;""/edit#gid=156619080"",O$3)"),"3629700株")</f>
        <v>3629700株</v>
      </c>
      <c r="P43" s="16" t="str">
        <f>IFERROR(__xludf.DUMMYFUNCTION("IMPORTRANGE(""https://docs.google.com/spreadsheets/d/""&amp;$A43&amp;""/edit#gid=156619080"",P$3)"),"6977百万円")</f>
        <v>6977百万円</v>
      </c>
      <c r="Q43" s="16" t="str">
        <f>IFERROR(__xludf.DUMMYFUNCTION("IMPORTRANGE(""https://docs.google.com/spreadsheets/d/""&amp;$A43&amp;""/edit#gid=156619080"",Q$3)"),"3689回")</f>
        <v>3689回</v>
      </c>
      <c r="R43" s="16" t="str">
        <f>IFERROR(__xludf.DUMMYFUNCTION("IMPORTRANGE(""https://docs.google.com/spreadsheets/d/""&amp;$A43&amp;""/edit#gid=156619080"",R$3)"),"35663億円")</f>
        <v>35663億円</v>
      </c>
      <c r="S43" s="16" t="str">
        <f>IFERROR(__xludf.DUMMYFUNCTION("IMPORTRANGE(""https://docs.google.com/spreadsheets/d/""&amp;$A43&amp;""/edit#gid=156619080"",S$3)"),"陰線")</f>
        <v>陰線</v>
      </c>
      <c r="T43" s="16" t="str">
        <f>IFERROR(__xludf.DUMMYFUNCTION("IMPORTRANGE(""https://docs.google.com/spreadsheets/d/""&amp;$A43&amp;""/edit#gid=156619080"",T$3)"),"")</f>
        <v/>
      </c>
      <c r="U43" s="16">
        <f>IFERROR(__xludf.DUMMYFUNCTION("IMPORTRANGE(""https://docs.google.com/spreadsheets/d/""&amp;$A43&amp;""/edit#gid=156619080"",U$3)"),1898.0)</f>
        <v>1898</v>
      </c>
      <c r="V43" s="16">
        <f>IFERROR(__xludf.DUMMYFUNCTION("IMPORTRANGE(""https://docs.google.com/spreadsheets/d/""&amp;$A43&amp;""/edit#gid=156619080"",V$3)"),1918.0)</f>
        <v>1918</v>
      </c>
      <c r="W43" s="16">
        <f>IFERROR(__xludf.DUMMYFUNCTION("IMPORTRANGE(""https://docs.google.com/spreadsheets/d/""&amp;$A43&amp;""/edit#gid=156619080"",W$3)"),1911.0)</f>
        <v>1911</v>
      </c>
      <c r="X43" s="2">
        <f>IFERROR(__xludf.DUMMYFUNCTION("IMPORTRANGE(""https://docs.google.com/spreadsheets/d/""&amp;$A43&amp;""/edit#gid=156619080"",X$3)"),1781.8)</f>
        <v>1781.8</v>
      </c>
      <c r="Y43" s="17">
        <f>IFERROR(__xludf.DUMMYFUNCTION("IMPORTRANGE(""https://docs.google.com/spreadsheets/d/""&amp;$A43&amp;""/edit#gid=156619080"",Y$3)"),0.00922023182297155)</f>
        <v>0.009220231823</v>
      </c>
      <c r="Z43" s="2">
        <f>IFERROR(__xludf.DUMMYFUNCTION("IMPORTRANGE(""https://docs.google.com/spreadsheets/d/""&amp;$A43&amp;""/edit#gid=156619080"",Z$3)"),1982.78)</f>
        <v>1982.78</v>
      </c>
      <c r="AA43" s="2">
        <f>IFERROR(__xludf.DUMMYFUNCTION("IMPORTRANGE(""https://docs.google.com/spreadsheets/d/""&amp;$A43&amp;""/edit#gid=156619080"",AA$3)"),1973.81)</f>
        <v>1973.81</v>
      </c>
      <c r="AB43" s="2">
        <f>IFERROR(__xludf.DUMMYFUNCTION("IMPORTRANGE(""https://docs.google.com/spreadsheets/d/""&amp;$A43&amp;""/edit#gid=156619080"",AB$3)"),1964.84)</f>
        <v>1964.84</v>
      </c>
      <c r="AC43" s="18">
        <f>IFERROR(__xludf.DUMMYFUNCTION("IMPORTRANGE(""https://docs.google.com/spreadsheets/d/""&amp;$A43&amp;""/edit#gid=156619080"",AC$3)"),1955.86)</f>
        <v>1955.86</v>
      </c>
      <c r="AD43" s="18">
        <f>IFERROR(__xludf.DUMMYFUNCTION("IMPORTRANGE(""https://docs.google.com/spreadsheets/d/""&amp;$A43&amp;""/edit#gid=156619080"",AD$3)"),1946.89)</f>
        <v>1946.89</v>
      </c>
      <c r="AE43" s="18">
        <f>IFERROR(__xludf.DUMMYFUNCTION("IMPORTRANGE(""https://docs.google.com/spreadsheets/d/""&amp;$A43&amp;""/edit#gid=156619080"",AE$3)"),1911.0)</f>
        <v>1911</v>
      </c>
      <c r="AF43" s="2">
        <f>IFERROR(__xludf.DUMMYFUNCTION("IMPORTRANGE(""https://docs.google.com/spreadsheets/d/""&amp;$A43&amp;""/edit#gid=156619080"",AF$3)"),1875.11)</f>
        <v>1875.11</v>
      </c>
      <c r="AG43" s="2">
        <f>IFERROR(__xludf.DUMMYFUNCTION("IMPORTRANGE(""https://docs.google.com/spreadsheets/d/""&amp;$A43&amp;""/edit#gid=156619080"",AG$3)"),1866.14)</f>
        <v>1866.14</v>
      </c>
      <c r="AH43" s="2">
        <f>IFERROR(__xludf.DUMMYFUNCTION("IMPORTRANGE(""https://docs.google.com/spreadsheets/d/""&amp;$A43&amp;""/edit#gid=156619080"",AH$3)"),1857.16)</f>
        <v>1857.16</v>
      </c>
      <c r="AI43" s="2">
        <f>IFERROR(__xludf.DUMMYFUNCTION("IMPORTRANGE(""https://docs.google.com/spreadsheets/d/""&amp;$A43&amp;""/edit#gid=156619080"",AI$3)"),1848.19)</f>
        <v>1848.19</v>
      </c>
      <c r="AJ43" s="2">
        <f>IFERROR(__xludf.DUMMYFUNCTION("IMPORTRANGE(""https://docs.google.com/spreadsheets/d/""&amp;$A43&amp;""/edit#gid=156619080"",AJ$3)"),1839.22)</f>
        <v>1839.22</v>
      </c>
      <c r="AK43" s="2" t="str">
        <f>IFERROR(__xludf.DUMMYFUNCTION("IMPORTRANGE(""https://docs.google.com/spreadsheets/d/""&amp;$A43&amp;""/edit#gid=156619080"",AK$3)"),"")</f>
        <v/>
      </c>
      <c r="AL43" s="2">
        <f>IFERROR(__xludf.DUMMYFUNCTION("IMPORTRANGE(""https://docs.google.com/spreadsheets/d/""&amp;$A43&amp;""/edit#gid=156619080"",AL$3)"),-1.0)</f>
        <v>-1</v>
      </c>
      <c r="AM43" s="2" t="str">
        <f>IFERROR(__xludf.DUMMYFUNCTION("IMPORTRANGE(""https://docs.google.com/spreadsheets/d/""&amp;$A43&amp;""/edit#gid=156619080"",AM$3)"),"")</f>
        <v/>
      </c>
      <c r="AN43" s="2">
        <f>IFERROR(__xludf.DUMMYFUNCTION("IMPORTRANGE(""https://docs.google.com/spreadsheets/d/""&amp;$A43&amp;""/edit#gid=156619080"",AN$3)"),-1.0)</f>
        <v>-1</v>
      </c>
      <c r="AO43" s="2" t="str">
        <f>IFERROR(__xludf.DUMMYFUNCTION("IMPORTRANGE(""https://docs.google.com/spreadsheets/d/""&amp;$A43&amp;""/edit#gid=156619080"",AO$3)"),"")</f>
        <v/>
      </c>
      <c r="AP43" s="2">
        <f>IFERROR(__xludf.DUMMYFUNCTION("IMPORTRANGE(""https://docs.google.com/spreadsheets/d/""&amp;$A43&amp;""/edit#gid=156619080"",AP$3)"),1.0)</f>
        <v>1</v>
      </c>
      <c r="AQ43" s="2" t="str">
        <f>IFERROR(__xludf.DUMMYFUNCTION("IMPORTRANGE(""https://docs.google.com/spreadsheets/d/""&amp;$A43&amp;""/edit#gid=156619080"",AQ$3)"),"")</f>
        <v/>
      </c>
      <c r="AR43" s="18">
        <f>IFERROR(__xludf.DUMMYFUNCTION("IMPORTRANGE(""https://docs.google.com/spreadsheets/d/""&amp;$A43&amp;""/edit#gid=156619080"",AR$3)"),90.0)</f>
        <v>90</v>
      </c>
      <c r="AS43" s="19" t="str">
        <f>IFERROR(__xludf.DUMMYFUNCTION("IMPORTRANGE(""https://docs.google.com/spreadsheets/d/""&amp;$A43&amp;""/edit#gid=156619080"",AS$3)"),"-100
-100
-70
30
")</f>
        <v>-100
-100
-70
30
</v>
      </c>
      <c r="AT43" s="18">
        <f>IFERROR(__xludf.DUMMYFUNCTION("IMPORTRANGE(""https://docs.google.com/spreadsheets/d/""&amp;$A43&amp;""/edit#gid=156619080"",AT$3)"),-8.241758241758234)</f>
        <v>-8.241758242</v>
      </c>
      <c r="AU43" s="3" t="str">
        <f>IFERROR(__xludf.DUMMYFUNCTION("IMPORTRANGE(""https://docs.google.com/spreadsheets/d/""&amp;$A43&amp;""/edit#gid=156619080"",AU$3)"),"24.18
4.95
-2.2
13.19
")</f>
        <v>24.18
4.95
-2.2
13.19
</v>
      </c>
      <c r="AV43" s="18">
        <f>IFERROR(__xludf.DUMMYFUNCTION("IMPORTRANGE(""https://docs.google.com/spreadsheets/d/""&amp;$A43&amp;""/edit#gid=156619080"",AV$3)"),20.90909090909091)</f>
        <v>20.90909091</v>
      </c>
      <c r="AW43" s="19" t="str">
        <f>IFERROR(__xludf.DUMMYFUNCTION("IMPORTRANGE(""https://docs.google.com/spreadsheets/d/""&amp;$A43&amp;""/edit#gid=156619080"",AW$3)"),"40
30.13
25.71
23.51
")</f>
        <v>40
30.13
25.71
23.51
</v>
      </c>
      <c r="AX43" s="2">
        <f>IFERROR(__xludf.DUMMYFUNCTION("IMPORTRANGE(""https://docs.google.com/spreadsheets/d/""&amp;$A43&amp;""/edit#gid=156619080"",AX$3)"),55.42)</f>
        <v>55.42</v>
      </c>
      <c r="AY43" s="2">
        <f>IFERROR(__xludf.DUMMYFUNCTION("IMPORTRANGE(""https://docs.google.com/spreadsheets/d/""&amp;$A43&amp;""/edit#gid=156619080"",AY$3)"),52.27)</f>
        <v>52.27</v>
      </c>
      <c r="AZ43" s="2">
        <f>IFERROR(__xludf.DUMMYFUNCTION("IMPORTRANGE(""https://docs.google.com/spreadsheets/d/""&amp;$A43&amp;""/edit#gid=156619080"",AZ$3)"),1908.06)</f>
        <v>1908.06</v>
      </c>
      <c r="BA43" s="2">
        <f>IFERROR(__xludf.DUMMYFUNCTION("IMPORTRANGE(""https://docs.google.com/spreadsheets/d/""&amp;$A43&amp;""/edit#gid=156619080"",BA$3)"),0.6099999999999)</f>
        <v>0.61</v>
      </c>
      <c r="BB43" s="2">
        <f>IFERROR(__xludf.DUMMYFUNCTION("IMPORTRANGE(""https://docs.google.com/spreadsheets/d/""&amp;$A43&amp;""/edit#gid=156619080"",BB$3)"),8.81)</f>
        <v>8.81</v>
      </c>
      <c r="BC43" s="2" t="str">
        <f>IFERROR(__xludf.DUMMYFUNCTION("IMPORTRANGE(""https://docs.google.com/spreadsheets/d/""&amp;$A43&amp;""/edit#gid=156619080"",BC$3)"),"DC→DC")</f>
        <v>DC→DC</v>
      </c>
    </row>
    <row r="44" ht="51.0" customHeight="1">
      <c r="A44" s="7" t="str">
        <f t="shared" si="5"/>
        <v>1CyLyLzvLhlIvkZq93oaC6WZKn1z-6jqQKIWn2ir-D8I</v>
      </c>
      <c r="B44" s="1" t="s">
        <v>71</v>
      </c>
      <c r="C44" s="2">
        <f>IFERROR(__xludf.DUMMYFUNCTION("IMPORTRANGE(""https://docs.google.com/spreadsheets/d/""&amp;$A44&amp;""/edit#gid=156619080"",C$3)"),132.0)</f>
        <v>132</v>
      </c>
      <c r="D44" s="2">
        <f>IFERROR(__xludf.DUMMYFUNCTION("IMPORTRANGE(""https://docs.google.com/spreadsheets/d/""&amp;$A44&amp;""/edit#gid=156619080"",D$3)"),4506.0)</f>
        <v>4506</v>
      </c>
      <c r="E44" s="15">
        <f>IFERROR(__xludf.DUMMYFUNCTION("IMPORTRANGE(""https://docs.google.com/spreadsheets/d/""&amp;$A44&amp;""/edit#gid=156619080"",E$3)"),43882.0)</f>
        <v>43882</v>
      </c>
      <c r="F44" s="2">
        <f>IFERROR(__xludf.DUMMYFUNCTION("IMPORTRANGE(""https://docs.google.com/spreadsheets/d/""&amp;$A44&amp;""/edit#gid=156619080"",F$3)"),-10.0)</f>
        <v>-10</v>
      </c>
      <c r="G44" s="16">
        <f>IFERROR(__xludf.DUMMYFUNCTION("IMPORTRANGE(""https://docs.google.com/spreadsheets/d/""&amp;$A44&amp;""/edit#gid=156619080"",G$3)"),-0.58)</f>
        <v>-0.58</v>
      </c>
      <c r="H44" s="16">
        <f>IFERROR(__xludf.DUMMYFUNCTION("IMPORTRANGE(""https://docs.google.com/spreadsheets/d/""&amp;$A44&amp;""/edit#gid=156619080"",H$3)"),1718.0)</f>
        <v>1718</v>
      </c>
      <c r="I44" s="16">
        <f>IFERROR(__xludf.DUMMYFUNCTION("IMPORTRANGE(""https://docs.google.com/spreadsheets/d/""&amp;$A44&amp;""/edit#gid=156619080"",I$3)"),4.0)</f>
        <v>4</v>
      </c>
      <c r="J44" s="16">
        <f>IFERROR(__xludf.DUMMYFUNCTION("IMPORTRANGE(""https://docs.google.com/spreadsheets/d/""&amp;$A44&amp;""/edit#gid=156619080"",J$3)"),1740.0)</f>
        <v>1740</v>
      </c>
      <c r="K44" s="16">
        <f>IFERROR(__xludf.DUMMYFUNCTION("IMPORTRANGE(""https://docs.google.com/spreadsheets/d/""&amp;$A44&amp;""/edit#gid=156619080"",K$3)"),0.3770833333333333)</f>
        <v>0.3770833333</v>
      </c>
      <c r="L44" s="16">
        <f>IFERROR(__xludf.DUMMYFUNCTION("IMPORTRANGE(""https://docs.google.com/spreadsheets/d/""&amp;$A44&amp;""/edit#gid=156619080"",L$3)"),1708.0)</f>
        <v>1708</v>
      </c>
      <c r="M44" s="16">
        <f>IFERROR(__xludf.DUMMYFUNCTION("IMPORTRANGE(""https://docs.google.com/spreadsheets/d/""&amp;$A44&amp;""/edit#gid=156619080"",M$3)"),0.4791666666666667)</f>
        <v>0.4791666667</v>
      </c>
      <c r="N44" s="16">
        <f>IFERROR(__xludf.DUMMYFUNCTION("IMPORTRANGE(""https://docs.google.com/spreadsheets/d/""&amp;$A44&amp;""/edit#gid=156619080"",N$3)"),1712.0)</f>
        <v>1712</v>
      </c>
      <c r="O44" s="16" t="str">
        <f>IFERROR(__xludf.DUMMYFUNCTION("IMPORTRANGE(""https://docs.google.com/spreadsheets/d/""&amp;$A44&amp;""/edit#gid=156619080"",O$3)"),"739300株")</f>
        <v>739300株</v>
      </c>
      <c r="P44" s="16" t="str">
        <f>IFERROR(__xludf.DUMMYFUNCTION("IMPORTRANGE(""https://docs.google.com/spreadsheets/d/""&amp;$A44&amp;""/edit#gid=156619080"",P$3)"),"1270百万円")</f>
        <v>1270百万円</v>
      </c>
      <c r="Q44" s="16" t="str">
        <f>IFERROR(__xludf.DUMMYFUNCTION("IMPORTRANGE(""https://docs.google.com/spreadsheets/d/""&amp;$A44&amp;""/edit#gid=156619080"",Q$3)"),"1470回")</f>
        <v>1470回</v>
      </c>
      <c r="R44" s="16" t="str">
        <f>IFERROR(__xludf.DUMMYFUNCTION("IMPORTRANGE(""https://docs.google.com/spreadsheets/d/""&amp;$A44&amp;""/edit#gid=156619080"",R$3)"),"6812億円")</f>
        <v>6812億円</v>
      </c>
      <c r="S44" s="16" t="str">
        <f>IFERROR(__xludf.DUMMYFUNCTION("IMPORTRANGE(""https://docs.google.com/spreadsheets/d/""&amp;$A44&amp;""/edit#gid=156619080"",S$3)"),"陰線")</f>
        <v>陰線</v>
      </c>
      <c r="T44" s="16" t="str">
        <f>IFERROR(__xludf.DUMMYFUNCTION("IMPORTRANGE(""https://docs.google.com/spreadsheets/d/""&amp;$A44&amp;""/edit#gid=156619080"",T$3)"),"")</f>
        <v/>
      </c>
      <c r="U44" s="16">
        <f>IFERROR(__xludf.DUMMYFUNCTION("IMPORTRANGE(""https://docs.google.com/spreadsheets/d/""&amp;$A44&amp;""/edit#gid=156619080"",U$3)"),1733.6)</f>
        <v>1733.6</v>
      </c>
      <c r="V44" s="16">
        <f>IFERROR(__xludf.DUMMYFUNCTION("IMPORTRANGE(""https://docs.google.com/spreadsheets/d/""&amp;$A44&amp;""/edit#gid=156619080"",V$3)"),1806.0)</f>
        <v>1806</v>
      </c>
      <c r="W44" s="16">
        <f>IFERROR(__xludf.DUMMYFUNCTION("IMPORTRANGE(""https://docs.google.com/spreadsheets/d/""&amp;$A44&amp;""/edit#gid=156619080"",W$3)"),1875.8)</f>
        <v>1875.8</v>
      </c>
      <c r="X44" s="2">
        <f>IFERROR(__xludf.DUMMYFUNCTION("IMPORTRANGE(""https://docs.google.com/spreadsheets/d/""&amp;$A44&amp;""/edit#gid=156619080"",X$3)"),1932.3)</f>
        <v>1932.3</v>
      </c>
      <c r="Y44" s="17">
        <f>IFERROR(__xludf.DUMMYFUNCTION("IMPORTRANGE(""https://docs.google.com/spreadsheets/d/""&amp;$A44&amp;""/edit#gid=156619080"",Y$3)"),-0.012459621596677382)</f>
        <v>-0.0124596216</v>
      </c>
      <c r="Z44" s="2">
        <f>IFERROR(__xludf.DUMMYFUNCTION("IMPORTRANGE(""https://docs.google.com/spreadsheets/d/""&amp;$A44&amp;""/edit#gid=156619080"",Z$3)"),2108.63)</f>
        <v>2108.63</v>
      </c>
      <c r="AA44" s="2">
        <f>IFERROR(__xludf.DUMMYFUNCTION("IMPORTRANGE(""https://docs.google.com/spreadsheets/d/""&amp;$A44&amp;""/edit#gid=156619080"",AA$3)"),2079.53)</f>
        <v>2079.53</v>
      </c>
      <c r="AB44" s="2">
        <f>IFERROR(__xludf.DUMMYFUNCTION("IMPORTRANGE(""https://docs.google.com/spreadsheets/d/""&amp;$A44&amp;""/edit#gid=156619080"",AB$3)"),2050.42)</f>
        <v>2050.42</v>
      </c>
      <c r="AC44" s="18">
        <f>IFERROR(__xludf.DUMMYFUNCTION("IMPORTRANGE(""https://docs.google.com/spreadsheets/d/""&amp;$A44&amp;""/edit#gid=156619080"",AC$3)"),2021.32)</f>
        <v>2021.32</v>
      </c>
      <c r="AD44" s="18">
        <f>IFERROR(__xludf.DUMMYFUNCTION("IMPORTRANGE(""https://docs.google.com/spreadsheets/d/""&amp;$A44&amp;""/edit#gid=156619080"",AD$3)"),1992.22)</f>
        <v>1992.22</v>
      </c>
      <c r="AE44" s="18">
        <f>IFERROR(__xludf.DUMMYFUNCTION("IMPORTRANGE(""https://docs.google.com/spreadsheets/d/""&amp;$A44&amp;""/edit#gid=156619080"",AE$3)"),1875.8)</f>
        <v>1875.8</v>
      </c>
      <c r="AF44" s="2">
        <f>IFERROR(__xludf.DUMMYFUNCTION("IMPORTRANGE(""https://docs.google.com/spreadsheets/d/""&amp;$A44&amp;""/edit#gid=156619080"",AF$3)"),1759.38)</f>
        <v>1759.38</v>
      </c>
      <c r="AG44" s="2">
        <f>IFERROR(__xludf.DUMMYFUNCTION("IMPORTRANGE(""https://docs.google.com/spreadsheets/d/""&amp;$A44&amp;""/edit#gid=156619080"",AG$3)"),1730.28)</f>
        <v>1730.28</v>
      </c>
      <c r="AH44" s="2">
        <f>IFERROR(__xludf.DUMMYFUNCTION("IMPORTRANGE(""https://docs.google.com/spreadsheets/d/""&amp;$A44&amp;""/edit#gid=156619080"",AH$3)"),1701.18)</f>
        <v>1701.18</v>
      </c>
      <c r="AI44" s="2">
        <f>IFERROR(__xludf.DUMMYFUNCTION("IMPORTRANGE(""https://docs.google.com/spreadsheets/d/""&amp;$A44&amp;""/edit#gid=156619080"",AI$3)"),1672.07)</f>
        <v>1672.07</v>
      </c>
      <c r="AJ44" s="2">
        <f>IFERROR(__xludf.DUMMYFUNCTION("IMPORTRANGE(""https://docs.google.com/spreadsheets/d/""&amp;$A44&amp;""/edit#gid=156619080"",AJ$3)"),1642.97)</f>
        <v>1642.97</v>
      </c>
      <c r="AK44" s="2" t="str">
        <f>IFERROR(__xludf.DUMMYFUNCTION("IMPORTRANGE(""https://docs.google.com/spreadsheets/d/""&amp;$A44&amp;""/edit#gid=156619080"",AK$3)"),"-1.25σ〜-1.5σ")</f>
        <v>-1.25σ〜-1.5σ</v>
      </c>
      <c r="AL44" s="2">
        <f>IFERROR(__xludf.DUMMYFUNCTION("IMPORTRANGE(""https://docs.google.com/spreadsheets/d/""&amp;$A44&amp;""/edit#gid=156619080"",AL$3)"),-1.0)</f>
        <v>-1</v>
      </c>
      <c r="AM44" s="2" t="str">
        <f>IFERROR(__xludf.DUMMYFUNCTION("IMPORTRANGE(""https://docs.google.com/spreadsheets/d/""&amp;$A44&amp;""/edit#gid=156619080"",AM$3)"),"")</f>
        <v/>
      </c>
      <c r="AN44" s="2">
        <f>IFERROR(__xludf.DUMMYFUNCTION("IMPORTRANGE(""https://docs.google.com/spreadsheets/d/""&amp;$A44&amp;""/edit#gid=156619080"",AN$3)"),-1.0)</f>
        <v>-1</v>
      </c>
      <c r="AO44" s="2" t="str">
        <f>IFERROR(__xludf.DUMMYFUNCTION("IMPORTRANGE(""https://docs.google.com/spreadsheets/d/""&amp;$A44&amp;""/edit#gid=156619080"",AO$3)"),"")</f>
        <v/>
      </c>
      <c r="AP44" s="2">
        <f>IFERROR(__xludf.DUMMYFUNCTION("IMPORTRANGE(""https://docs.google.com/spreadsheets/d/""&amp;$A44&amp;""/edit#gid=156619080"",AP$3)"),-1.0)</f>
        <v>-1</v>
      </c>
      <c r="AQ44" s="2" t="str">
        <f>IFERROR(__xludf.DUMMYFUNCTION("IMPORTRANGE(""https://docs.google.com/spreadsheets/d/""&amp;$A44&amp;""/edit#gid=156619080"",AQ$3)"),"")</f>
        <v/>
      </c>
      <c r="AR44" s="18">
        <f>IFERROR(__xludf.DUMMYFUNCTION("IMPORTRANGE(""https://docs.google.com/spreadsheets/d/""&amp;$A44&amp;""/edit#gid=156619080"",AR$3)"),-89.99999999999999)</f>
        <v>-90</v>
      </c>
      <c r="AS44" s="19" t="str">
        <f>IFERROR(__xludf.DUMMYFUNCTION("IMPORTRANGE(""https://docs.google.com/spreadsheets/d/""&amp;$A44&amp;""/edit#gid=156619080"",AS$3)"),"-100
-100
-100
-90
")</f>
        <v>-100
-100
-100
-90
</v>
      </c>
      <c r="AT44" s="18">
        <f>IFERROR(__xludf.DUMMYFUNCTION("IMPORTRANGE(""https://docs.google.com/spreadsheets/d/""&amp;$A44&amp;""/edit#gid=156619080"",AT$3)"),-78.02197802197801)</f>
        <v>-78.02197802</v>
      </c>
      <c r="AU44" s="3" t="str">
        <f>IFERROR(__xludf.DUMMYFUNCTION("IMPORTRANGE(""https://docs.google.com/spreadsheets/d/""&amp;$A44&amp;""/edit#gid=156619080"",AU$3)"),"-64.84
-64.84
-64.84
-67.03
")</f>
        <v>-64.84
-64.84
-64.84
-67.03
</v>
      </c>
      <c r="AV44" s="18">
        <f>IFERROR(__xludf.DUMMYFUNCTION("IMPORTRANGE(""https://docs.google.com/spreadsheets/d/""&amp;$A44&amp;""/edit#gid=156619080"",AV$3)"),-91.55844155844154)</f>
        <v>-91.55844156</v>
      </c>
      <c r="AW44" s="19" t="str">
        <f>IFERROR(__xludf.DUMMYFUNCTION("IMPORTRANGE(""https://docs.google.com/spreadsheets/d/""&amp;$A44&amp;""/edit#gid=156619080"",AW$3)"),"-91.17
-91.56
-91.69
-91.56
")</f>
        <v>-91.17
-91.56
-91.69
-91.56
</v>
      </c>
      <c r="AX44" s="2">
        <f>IFERROR(__xludf.DUMMYFUNCTION("IMPORTRANGE(""https://docs.google.com/spreadsheets/d/""&amp;$A44&amp;""/edit#gid=156619080"",AX$3)"),7.89)</f>
        <v>7.89</v>
      </c>
      <c r="AY44" s="2">
        <f>IFERROR(__xludf.DUMMYFUNCTION("IMPORTRANGE(""https://docs.google.com/spreadsheets/d/""&amp;$A44&amp;""/edit#gid=156619080"",AY$3)"),17.84)</f>
        <v>17.84</v>
      </c>
      <c r="AZ44" s="2">
        <f>IFERROR(__xludf.DUMMYFUNCTION("IMPORTRANGE(""https://docs.google.com/spreadsheets/d/""&amp;$A44&amp;""/edit#gid=156619080"",AZ$3)"),1738.55)</f>
        <v>1738.55</v>
      </c>
      <c r="BA44" s="2">
        <f>IFERROR(__xludf.DUMMYFUNCTION("IMPORTRANGE(""https://docs.google.com/spreadsheets/d/""&amp;$A44&amp;""/edit#gid=156619080"",BA$3)"),-122.75)</f>
        <v>-122.75</v>
      </c>
      <c r="BB44" s="2">
        <f>IFERROR(__xludf.DUMMYFUNCTION("IMPORTRANGE(""https://docs.google.com/spreadsheets/d/""&amp;$A44&amp;""/edit#gid=156619080"",BB$3)"),-104.19)</f>
        <v>-104.19</v>
      </c>
      <c r="BC44" s="2" t="str">
        <f>IFERROR(__xludf.DUMMYFUNCTION("IMPORTRANGE(""https://docs.google.com/spreadsheets/d/""&amp;$A44&amp;""/edit#gid=156619080"",BC$3)"),"DC→DC")</f>
        <v>DC→DC</v>
      </c>
    </row>
    <row r="45" ht="51.0" customHeight="1">
      <c r="A45" s="7" t="str">
        <f t="shared" si="5"/>
        <v>1l_NDYNXKMHjlUUFMQa871s07zZKCu5KgfpyfBHIZlOo</v>
      </c>
      <c r="B45" s="1" t="s">
        <v>72</v>
      </c>
      <c r="C45" s="2">
        <f>IFERROR(__xludf.DUMMYFUNCTION("IMPORTRANGE(""https://docs.google.com/spreadsheets/d/""&amp;$A45&amp;""/edit#gid=156619080"",C$3)"),132.0)</f>
        <v>132</v>
      </c>
      <c r="D45" s="2">
        <f>IFERROR(__xludf.DUMMYFUNCTION("IMPORTRANGE(""https://docs.google.com/spreadsheets/d/""&amp;$A45&amp;""/edit#gid=156619080"",D$3)"),4507.0)</f>
        <v>4507</v>
      </c>
      <c r="E45" s="15">
        <f>IFERROR(__xludf.DUMMYFUNCTION("IMPORTRANGE(""https://docs.google.com/spreadsheets/d/""&amp;$A45&amp;""/edit#gid=156619080"",E$3)"),43882.0)</f>
        <v>43882</v>
      </c>
      <c r="F45" s="2">
        <f>IFERROR(__xludf.DUMMYFUNCTION("IMPORTRANGE(""https://docs.google.com/spreadsheets/d/""&amp;$A45&amp;""/edit#gid=156619080"",F$3)"),1.0)</f>
        <v>1</v>
      </c>
      <c r="G45" s="16">
        <f>IFERROR(__xludf.DUMMYFUNCTION("IMPORTRANGE(""https://docs.google.com/spreadsheets/d/""&amp;$A45&amp;""/edit#gid=156619080"",G$3)"),0.02)</f>
        <v>0.02</v>
      </c>
      <c r="H45" s="16">
        <f>IFERROR(__xludf.DUMMYFUNCTION("IMPORTRANGE(""https://docs.google.com/spreadsheets/d/""&amp;$A45&amp;""/edit#gid=156619080"",H$3)"),6505.0)</f>
        <v>6505</v>
      </c>
      <c r="I45" s="16">
        <f>IFERROR(__xludf.DUMMYFUNCTION("IMPORTRANGE(""https://docs.google.com/spreadsheets/d/""&amp;$A45&amp;""/edit#gid=156619080"",I$3)"),-46.0)</f>
        <v>-46</v>
      </c>
      <c r="J45" s="16">
        <f>IFERROR(__xludf.DUMMYFUNCTION("IMPORTRANGE(""https://docs.google.com/spreadsheets/d/""&amp;$A45&amp;""/edit#gid=156619080"",J$3)"),6578.0)</f>
        <v>6578</v>
      </c>
      <c r="K45" s="16">
        <f>IFERROR(__xludf.DUMMYFUNCTION("IMPORTRANGE(""https://docs.google.com/spreadsheets/d/""&amp;$A45&amp;""/edit#gid=156619080"",K$3)"),0.3784722222222222)</f>
        <v>0.3784722222</v>
      </c>
      <c r="L45" s="16">
        <f>IFERROR(__xludf.DUMMYFUNCTION("IMPORTRANGE(""https://docs.google.com/spreadsheets/d/""&amp;$A45&amp;""/edit#gid=156619080"",L$3)"),6434.0)</f>
        <v>6434</v>
      </c>
      <c r="M45" s="16">
        <f>IFERROR(__xludf.DUMMYFUNCTION("IMPORTRANGE(""https://docs.google.com/spreadsheets/d/""&amp;$A45&amp;""/edit#gid=156619080"",M$3)"),0.5326388888888889)</f>
        <v>0.5326388889</v>
      </c>
      <c r="N45" s="16">
        <f>IFERROR(__xludf.DUMMYFUNCTION("IMPORTRANGE(""https://docs.google.com/spreadsheets/d/""&amp;$A45&amp;""/edit#gid=156619080"",N$3)"),6460.0)</f>
        <v>6460</v>
      </c>
      <c r="O45" s="16" t="str">
        <f>IFERROR(__xludf.DUMMYFUNCTION("IMPORTRANGE(""https://docs.google.com/spreadsheets/d/""&amp;$A45&amp;""/edit#gid=156619080"",O$3)"),"1237700株")</f>
        <v>1237700株</v>
      </c>
      <c r="P45" s="16" t="str">
        <f>IFERROR(__xludf.DUMMYFUNCTION("IMPORTRANGE(""https://docs.google.com/spreadsheets/d/""&amp;$A45&amp;""/edit#gid=156619080"",P$3)"),"8021百万円")</f>
        <v>8021百万円</v>
      </c>
      <c r="Q45" s="16" t="str">
        <f>IFERROR(__xludf.DUMMYFUNCTION("IMPORTRANGE(""https://docs.google.com/spreadsheets/d/""&amp;$A45&amp;""/edit#gid=156619080"",Q$3)"),"4093回")</f>
        <v>4093回</v>
      </c>
      <c r="R45" s="16" t="str">
        <f>IFERROR(__xludf.DUMMYFUNCTION("IMPORTRANGE(""https://docs.google.com/spreadsheets/d/""&amp;$A45&amp;""/edit#gid=156619080"",R$3)"),"20464億円")</f>
        <v>20464億円</v>
      </c>
      <c r="S45" s="16" t="str">
        <f>IFERROR(__xludf.DUMMYFUNCTION("IMPORTRANGE(""https://docs.google.com/spreadsheets/d/""&amp;$A45&amp;""/edit#gid=156619080"",S$3)"),"陰線")</f>
        <v>陰線</v>
      </c>
      <c r="T45" s="16" t="str">
        <f>IFERROR(__xludf.DUMMYFUNCTION("IMPORTRANGE(""https://docs.google.com/spreadsheets/d/""&amp;$A45&amp;""/edit#gid=156619080"",T$3)"),"")</f>
        <v/>
      </c>
      <c r="U45" s="16">
        <f>IFERROR(__xludf.DUMMYFUNCTION("IMPORTRANGE(""https://docs.google.com/spreadsheets/d/""&amp;$A45&amp;""/edit#gid=156619080"",U$3)"),6469.0)</f>
        <v>6469</v>
      </c>
      <c r="V45" s="16">
        <f>IFERROR(__xludf.DUMMYFUNCTION("IMPORTRANGE(""https://docs.google.com/spreadsheets/d/""&amp;$A45&amp;""/edit#gid=156619080"",V$3)"),6515.1)</f>
        <v>6515.1</v>
      </c>
      <c r="W45" s="16">
        <f>IFERROR(__xludf.DUMMYFUNCTION("IMPORTRANGE(""https://docs.google.com/spreadsheets/d/""&amp;$A45&amp;""/edit#gid=156619080"",W$3)"),6567.9)</f>
        <v>6567.9</v>
      </c>
      <c r="X45" s="2">
        <f>IFERROR(__xludf.DUMMYFUNCTION("IMPORTRANGE(""https://docs.google.com/spreadsheets/d/""&amp;$A45&amp;""/edit#gid=156619080"",X$3)"),6357.6)</f>
        <v>6357.6</v>
      </c>
      <c r="Y45" s="17">
        <f>IFERROR(__xludf.DUMMYFUNCTION("IMPORTRANGE(""https://docs.google.com/spreadsheets/d/""&amp;$A45&amp;""/edit#gid=156619080"",Y$3)"),-0.0013912505796877415)</f>
        <v>-0.00139125058</v>
      </c>
      <c r="Z45" s="2">
        <f>IFERROR(__xludf.DUMMYFUNCTION("IMPORTRANGE(""https://docs.google.com/spreadsheets/d/""&amp;$A45&amp;""/edit#gid=156619080"",Z$3)"),6811.16)</f>
        <v>6811.16</v>
      </c>
      <c r="AA45" s="2">
        <f>IFERROR(__xludf.DUMMYFUNCTION("IMPORTRANGE(""https://docs.google.com/spreadsheets/d/""&amp;$A45&amp;""/edit#gid=156619080"",AA$3)"),6780.75)</f>
        <v>6780.75</v>
      </c>
      <c r="AB45" s="2">
        <f>IFERROR(__xludf.DUMMYFUNCTION("IMPORTRANGE(""https://docs.google.com/spreadsheets/d/""&amp;$A45&amp;""/edit#gid=156619080"",AB$3)"),6750.34)</f>
        <v>6750.34</v>
      </c>
      <c r="AC45" s="18">
        <f>IFERROR(__xludf.DUMMYFUNCTION("IMPORTRANGE(""https://docs.google.com/spreadsheets/d/""&amp;$A45&amp;""/edit#gid=156619080"",AC$3)"),6719.94)</f>
        <v>6719.94</v>
      </c>
      <c r="AD45" s="18">
        <f>IFERROR(__xludf.DUMMYFUNCTION("IMPORTRANGE(""https://docs.google.com/spreadsheets/d/""&amp;$A45&amp;""/edit#gid=156619080"",AD$3)"),6689.53)</f>
        <v>6689.53</v>
      </c>
      <c r="AE45" s="18">
        <f>IFERROR(__xludf.DUMMYFUNCTION("IMPORTRANGE(""https://docs.google.com/spreadsheets/d/""&amp;$A45&amp;""/edit#gid=156619080"",AE$3)"),6567.9)</f>
        <v>6567.9</v>
      </c>
      <c r="AF45" s="2">
        <f>IFERROR(__xludf.DUMMYFUNCTION("IMPORTRANGE(""https://docs.google.com/spreadsheets/d/""&amp;$A45&amp;""/edit#gid=156619080"",AF$3)"),6446.27)</f>
        <v>6446.27</v>
      </c>
      <c r="AG45" s="2">
        <f>IFERROR(__xludf.DUMMYFUNCTION("IMPORTRANGE(""https://docs.google.com/spreadsheets/d/""&amp;$A45&amp;""/edit#gid=156619080"",AG$3)"),6415.86)</f>
        <v>6415.86</v>
      </c>
      <c r="AH45" s="2">
        <f>IFERROR(__xludf.DUMMYFUNCTION("IMPORTRANGE(""https://docs.google.com/spreadsheets/d/""&amp;$A45&amp;""/edit#gid=156619080"",AH$3)"),6385.46)</f>
        <v>6385.46</v>
      </c>
      <c r="AI45" s="2">
        <f>IFERROR(__xludf.DUMMYFUNCTION("IMPORTRANGE(""https://docs.google.com/spreadsheets/d/""&amp;$A45&amp;""/edit#gid=156619080"",AI$3)"),6355.05)</f>
        <v>6355.05</v>
      </c>
      <c r="AJ45" s="2">
        <f>IFERROR(__xludf.DUMMYFUNCTION("IMPORTRANGE(""https://docs.google.com/spreadsheets/d/""&amp;$A45&amp;""/edit#gid=156619080"",AJ$3)"),6324.64)</f>
        <v>6324.64</v>
      </c>
      <c r="AK45" s="2" t="str">
        <f>IFERROR(__xludf.DUMMYFUNCTION("IMPORTRANGE(""https://docs.google.com/spreadsheets/d/""&amp;$A45&amp;""/edit#gid=156619080"",AK$3)"),"")</f>
        <v/>
      </c>
      <c r="AL45" s="2">
        <f>IFERROR(__xludf.DUMMYFUNCTION("IMPORTRANGE(""https://docs.google.com/spreadsheets/d/""&amp;$A45&amp;""/edit#gid=156619080"",AL$3)"),-1.0)</f>
        <v>-1</v>
      </c>
      <c r="AM45" s="2" t="str">
        <f>IFERROR(__xludf.DUMMYFUNCTION("IMPORTRANGE(""https://docs.google.com/spreadsheets/d/""&amp;$A45&amp;""/edit#gid=156619080"",AM$3)"),"")</f>
        <v/>
      </c>
      <c r="AN45" s="2">
        <f>IFERROR(__xludf.DUMMYFUNCTION("IMPORTRANGE(""https://docs.google.com/spreadsheets/d/""&amp;$A45&amp;""/edit#gid=156619080"",AN$3)"),-1.0)</f>
        <v>-1</v>
      </c>
      <c r="AO45" s="2" t="str">
        <f>IFERROR(__xludf.DUMMYFUNCTION("IMPORTRANGE(""https://docs.google.com/spreadsheets/d/""&amp;$A45&amp;""/edit#gid=156619080"",AO$3)"),"")</f>
        <v/>
      </c>
      <c r="AP45" s="2">
        <f>IFERROR(__xludf.DUMMYFUNCTION("IMPORTRANGE(""https://docs.google.com/spreadsheets/d/""&amp;$A45&amp;""/edit#gid=156619080"",AP$3)"),-1.0)</f>
        <v>-1</v>
      </c>
      <c r="AQ45" s="2" t="str">
        <f>IFERROR(__xludf.DUMMYFUNCTION("IMPORTRANGE(""https://docs.google.com/spreadsheets/d/""&amp;$A45&amp;""/edit#gid=156619080"",AQ$3)"),"")</f>
        <v/>
      </c>
      <c r="AR45" s="18">
        <f>IFERROR(__xludf.DUMMYFUNCTION("IMPORTRANGE(""https://docs.google.com/spreadsheets/d/""&amp;$A45&amp;""/edit#gid=156619080"",AR$3)"),19.999999999999996)</f>
        <v>20</v>
      </c>
      <c r="AS45" s="19" t="str">
        <f>IFERROR(__xludf.DUMMYFUNCTION("IMPORTRANGE(""https://docs.google.com/spreadsheets/d/""&amp;$A45&amp;""/edit#gid=156619080"",AS$3)"),"-90
-30
70
20
")</f>
        <v>-90
-30
70
20
</v>
      </c>
      <c r="AT45" s="18">
        <f>IFERROR(__xludf.DUMMYFUNCTION("IMPORTRANGE(""https://docs.google.com/spreadsheets/d/""&amp;$A45&amp;""/edit#gid=156619080"",AT$3)"),-26.785714285714278)</f>
        <v>-26.78571429</v>
      </c>
      <c r="AU45" s="3" t="str">
        <f>IFERROR(__xludf.DUMMYFUNCTION("IMPORTRANGE(""https://docs.google.com/spreadsheets/d/""&amp;$A45&amp;""/edit#gid=156619080"",AU$3)"),"-48.35
-39.56
-24.73
-25.27
")</f>
        <v>-48.35
-39.56
-24.73
-25.27
</v>
      </c>
      <c r="AV45" s="18">
        <f>IFERROR(__xludf.DUMMYFUNCTION("IMPORTRANGE(""https://docs.google.com/spreadsheets/d/""&amp;$A45&amp;""/edit#gid=156619080"",AV$3)"),-66.1038961038961)</f>
        <v>-66.1038961</v>
      </c>
      <c r="AW45" s="19" t="str">
        <f>IFERROR(__xludf.DUMMYFUNCTION("IMPORTRANGE(""https://docs.google.com/spreadsheets/d/""&amp;$A45&amp;""/edit#gid=156619080"",AW$3)"),"-79.25
-76.27
-70.55
-68.73
")</f>
        <v>-79.25
-76.27
-70.55
-68.73
</v>
      </c>
      <c r="AX45" s="2">
        <f>IFERROR(__xludf.DUMMYFUNCTION("IMPORTRANGE(""https://docs.google.com/spreadsheets/d/""&amp;$A45&amp;""/edit#gid=156619080"",AX$3)"),49.45)</f>
        <v>49.45</v>
      </c>
      <c r="AY45" s="2">
        <f>IFERROR(__xludf.DUMMYFUNCTION("IMPORTRANGE(""https://docs.google.com/spreadsheets/d/""&amp;$A45&amp;""/edit#gid=156619080"",AY$3)"),38.080000000000005)</f>
        <v>38.08</v>
      </c>
      <c r="AZ45" s="2">
        <f>IFERROR(__xludf.DUMMYFUNCTION("IMPORTRANGE(""https://docs.google.com/spreadsheets/d/""&amp;$A45&amp;""/edit#gid=156619080"",AZ$3)"),6480.08)</f>
        <v>6480.08</v>
      </c>
      <c r="BA45" s="2">
        <f>IFERROR(__xludf.DUMMYFUNCTION("IMPORTRANGE(""https://docs.google.com/spreadsheets/d/""&amp;$A45&amp;""/edit#gid=156619080"",BA$3)"),-90.01000000000022)</f>
        <v>-90.01</v>
      </c>
      <c r="BB45" s="2">
        <f>IFERROR(__xludf.DUMMYFUNCTION("IMPORTRANGE(""https://docs.google.com/spreadsheets/d/""&amp;$A45&amp;""/edit#gid=156619080"",BB$3)"),-85.03)</f>
        <v>-85.03</v>
      </c>
      <c r="BC45" s="2" t="str">
        <f>IFERROR(__xludf.DUMMYFUNCTION("IMPORTRANGE(""https://docs.google.com/spreadsheets/d/""&amp;$A45&amp;""/edit#gid=156619080"",BC$3)"),"DC→DC")</f>
        <v>DC→DC</v>
      </c>
    </row>
    <row r="46" ht="51.0" customHeight="1">
      <c r="A46" s="7" t="str">
        <f t="shared" si="5"/>
        <v>1U2-p14HLpcXG9_NvsvEbeG4W00PbuRNQOzKuiIFXEMU</v>
      </c>
      <c r="B46" s="1" t="s">
        <v>73</v>
      </c>
      <c r="C46" s="2">
        <f>IFERROR(__xludf.DUMMYFUNCTION("IMPORTRANGE(""https://docs.google.com/spreadsheets/d/""&amp;$A46&amp;""/edit#gid=156619080"",C$3)"),132.0)</f>
        <v>132</v>
      </c>
      <c r="D46" s="2">
        <f>IFERROR(__xludf.DUMMYFUNCTION("IMPORTRANGE(""https://docs.google.com/spreadsheets/d/""&amp;$A46&amp;""/edit#gid=156619080"",D$3)"),4519.0)</f>
        <v>4519</v>
      </c>
      <c r="E46" s="15">
        <f>IFERROR(__xludf.DUMMYFUNCTION("IMPORTRANGE(""https://docs.google.com/spreadsheets/d/""&amp;$A46&amp;""/edit#gid=156619080"",E$3)"),43882.0)</f>
        <v>43882</v>
      </c>
      <c r="F46" s="2">
        <f>IFERROR(__xludf.DUMMYFUNCTION("IMPORTRANGE(""https://docs.google.com/spreadsheets/d/""&amp;$A46&amp;""/edit#gid=156619080"",F$3)"),170.0)</f>
        <v>170</v>
      </c>
      <c r="G46" s="16">
        <f>IFERROR(__xludf.DUMMYFUNCTION("IMPORTRANGE(""https://docs.google.com/spreadsheets/d/""&amp;$A46&amp;""/edit#gid=156619080"",G$3)"),1.41)</f>
        <v>1.41</v>
      </c>
      <c r="H46" s="16">
        <f>IFERROR(__xludf.DUMMYFUNCTION("IMPORTRANGE(""https://docs.google.com/spreadsheets/d/""&amp;$A46&amp;""/edit#gid=156619080"",H$3)"),12170.0)</f>
        <v>12170</v>
      </c>
      <c r="I46" s="16">
        <f>IFERROR(__xludf.DUMMYFUNCTION("IMPORTRANGE(""https://docs.google.com/spreadsheets/d/""&amp;$A46&amp;""/edit#gid=156619080"",I$3)"),-85.0)</f>
        <v>-85</v>
      </c>
      <c r="J46" s="16">
        <f>IFERROR(__xludf.DUMMYFUNCTION("IMPORTRANGE(""https://docs.google.com/spreadsheets/d/""&amp;$A46&amp;""/edit#gid=156619080"",J$3)"),12375.0)</f>
        <v>12375</v>
      </c>
      <c r="K46" s="16">
        <f>IFERROR(__xludf.DUMMYFUNCTION("IMPORTRANGE(""https://docs.google.com/spreadsheets/d/""&amp;$A46&amp;""/edit#gid=156619080"",K$3)"),0.5854166666666667)</f>
        <v>0.5854166667</v>
      </c>
      <c r="L46" s="16">
        <f>IFERROR(__xludf.DUMMYFUNCTION("IMPORTRANGE(""https://docs.google.com/spreadsheets/d/""&amp;$A46&amp;""/edit#gid=156619080"",L$3)"),12165.0)</f>
        <v>12165</v>
      </c>
      <c r="M46" s="16">
        <f>IFERROR(__xludf.DUMMYFUNCTION("IMPORTRANGE(""https://docs.google.com/spreadsheets/d/""&amp;$A46&amp;""/edit#gid=156619080"",M$3)"),0.4097222222222222)</f>
        <v>0.4097222222</v>
      </c>
      <c r="N46" s="16">
        <f>IFERROR(__xludf.DUMMYFUNCTION("IMPORTRANGE(""https://docs.google.com/spreadsheets/d/""&amp;$A46&amp;""/edit#gid=156619080"",N$3)"),12255.0)</f>
        <v>12255</v>
      </c>
      <c r="O46" s="16" t="str">
        <f>IFERROR(__xludf.DUMMYFUNCTION("IMPORTRANGE(""https://docs.google.com/spreadsheets/d/""&amp;$A46&amp;""/edit#gid=156619080"",O$3)"),"931700株")</f>
        <v>931700株</v>
      </c>
      <c r="P46" s="16" t="str">
        <f>IFERROR(__xludf.DUMMYFUNCTION("IMPORTRANGE(""https://docs.google.com/spreadsheets/d/""&amp;$A46&amp;""/edit#gid=156619080"",P$3)"),"11430百万円")</f>
        <v>11430百万円</v>
      </c>
      <c r="Q46" s="16" t="str">
        <f>IFERROR(__xludf.DUMMYFUNCTION("IMPORTRANGE(""https://docs.google.com/spreadsheets/d/""&amp;$A46&amp;""/edit#gid=156619080"",Q$3)"),"2488回")</f>
        <v>2488回</v>
      </c>
      <c r="R46" s="16" t="str">
        <f>IFERROR(__xludf.DUMMYFUNCTION("IMPORTRANGE(""https://docs.google.com/spreadsheets/d/""&amp;$A46&amp;""/edit#gid=156619080"",R$3)"),"68590億円")</f>
        <v>68590億円</v>
      </c>
      <c r="S46" s="16" t="str">
        <f>IFERROR(__xludf.DUMMYFUNCTION("IMPORTRANGE(""https://docs.google.com/spreadsheets/d/""&amp;$A46&amp;""/edit#gid=156619080"",S$3)"),"陽線")</f>
        <v>陽線</v>
      </c>
      <c r="T46" s="16" t="str">
        <f>IFERROR(__xludf.DUMMYFUNCTION("IMPORTRANGE(""https://docs.google.com/spreadsheets/d/""&amp;$A46&amp;""/edit#gid=156619080"",T$3)"),"")</f>
        <v/>
      </c>
      <c r="U46" s="16">
        <f>IFERROR(__xludf.DUMMYFUNCTION("IMPORTRANGE(""https://docs.google.com/spreadsheets/d/""&amp;$A46&amp;""/edit#gid=156619080"",U$3)"),11991.0)</f>
        <v>11991</v>
      </c>
      <c r="V46" s="16">
        <f>IFERROR(__xludf.DUMMYFUNCTION("IMPORTRANGE(""https://docs.google.com/spreadsheets/d/""&amp;$A46&amp;""/edit#gid=156619080"",V$3)"),11976.9)</f>
        <v>11976.9</v>
      </c>
      <c r="W46" s="16">
        <f>IFERROR(__xludf.DUMMYFUNCTION("IMPORTRANGE(""https://docs.google.com/spreadsheets/d/""&amp;$A46&amp;""/edit#gid=156619080"",W$3)"),11526.4)</f>
        <v>11526.4</v>
      </c>
      <c r="X46" s="2">
        <f>IFERROR(__xludf.DUMMYFUNCTION("IMPORTRANGE(""https://docs.google.com/spreadsheets/d/""&amp;$A46&amp;""/edit#gid=156619080"",X$3)"),9637.4)</f>
        <v>9637.4</v>
      </c>
      <c r="Y46" s="17">
        <f>IFERROR(__xludf.DUMMYFUNCTION("IMPORTRANGE(""https://docs.google.com/spreadsheets/d/""&amp;$A46&amp;""/edit#gid=156619080"",Y$3)"),0.022016512384288218)</f>
        <v>0.02201651238</v>
      </c>
      <c r="Z46" s="2">
        <f>IFERROR(__xludf.DUMMYFUNCTION("IMPORTRANGE(""https://docs.google.com/spreadsheets/d/""&amp;$A46&amp;""/edit#gid=156619080"",Z$3)"),12800.72)</f>
        <v>12800.72</v>
      </c>
      <c r="AA46" s="2">
        <f>IFERROR(__xludf.DUMMYFUNCTION("IMPORTRANGE(""https://docs.google.com/spreadsheets/d/""&amp;$A46&amp;""/edit#gid=156619080"",AA$3)"),12641.43)</f>
        <v>12641.43</v>
      </c>
      <c r="AB46" s="2">
        <f>IFERROR(__xludf.DUMMYFUNCTION("IMPORTRANGE(""https://docs.google.com/spreadsheets/d/""&amp;$A46&amp;""/edit#gid=156619080"",AB$3)"),12482.14)</f>
        <v>12482.14</v>
      </c>
      <c r="AC46" s="18">
        <f>IFERROR(__xludf.DUMMYFUNCTION("IMPORTRANGE(""https://docs.google.com/spreadsheets/d/""&amp;$A46&amp;""/edit#gid=156619080"",AC$3)"),12322.85)</f>
        <v>12322.85</v>
      </c>
      <c r="AD46" s="18">
        <f>IFERROR(__xludf.DUMMYFUNCTION("IMPORTRANGE(""https://docs.google.com/spreadsheets/d/""&amp;$A46&amp;""/edit#gid=156619080"",AD$3)"),12163.56)</f>
        <v>12163.56</v>
      </c>
      <c r="AE46" s="18">
        <f>IFERROR(__xludf.DUMMYFUNCTION("IMPORTRANGE(""https://docs.google.com/spreadsheets/d/""&amp;$A46&amp;""/edit#gid=156619080"",AE$3)"),11526.4)</f>
        <v>11526.4</v>
      </c>
      <c r="AF46" s="2">
        <f>IFERROR(__xludf.DUMMYFUNCTION("IMPORTRANGE(""https://docs.google.com/spreadsheets/d/""&amp;$A46&amp;""/edit#gid=156619080"",AF$3)"),10889.24)</f>
        <v>10889.24</v>
      </c>
      <c r="AG46" s="2">
        <f>IFERROR(__xludf.DUMMYFUNCTION("IMPORTRANGE(""https://docs.google.com/spreadsheets/d/""&amp;$A46&amp;""/edit#gid=156619080"",AG$3)"),10729.95)</f>
        <v>10729.95</v>
      </c>
      <c r="AH46" s="2">
        <f>IFERROR(__xludf.DUMMYFUNCTION("IMPORTRANGE(""https://docs.google.com/spreadsheets/d/""&amp;$A46&amp;""/edit#gid=156619080"",AH$3)"),10570.66)</f>
        <v>10570.66</v>
      </c>
      <c r="AI46" s="2">
        <f>IFERROR(__xludf.DUMMYFUNCTION("IMPORTRANGE(""https://docs.google.com/spreadsheets/d/""&amp;$A46&amp;""/edit#gid=156619080"",AI$3)"),10411.37)</f>
        <v>10411.37</v>
      </c>
      <c r="AJ46" s="2">
        <f>IFERROR(__xludf.DUMMYFUNCTION("IMPORTRANGE(""https://docs.google.com/spreadsheets/d/""&amp;$A46&amp;""/edit#gid=156619080"",AJ$3)"),10252.08)</f>
        <v>10252.08</v>
      </c>
      <c r="AK46" s="2" t="str">
        <f>IFERROR(__xludf.DUMMYFUNCTION("IMPORTRANGE(""https://docs.google.com/spreadsheets/d/""&amp;$A46&amp;""/edit#gid=156619080"",AK$3)"),"1〜1.25σ")</f>
        <v>1〜1.25σ</v>
      </c>
      <c r="AL46" s="2">
        <f>IFERROR(__xludf.DUMMYFUNCTION("IMPORTRANGE(""https://docs.google.com/spreadsheets/d/""&amp;$A46&amp;""/edit#gid=156619080"",AL$3)"),1.0)</f>
        <v>1</v>
      </c>
      <c r="AM46" s="2" t="str">
        <f>IFERROR(__xludf.DUMMYFUNCTION("IMPORTRANGE(""https://docs.google.com/spreadsheets/d/""&amp;$A46&amp;""/edit#gid=156619080"",AM$3)"),"ws1")</f>
        <v>ws1</v>
      </c>
      <c r="AN46" s="2">
        <f>IFERROR(__xludf.DUMMYFUNCTION("IMPORTRANGE(""https://docs.google.com/spreadsheets/d/""&amp;$A46&amp;""/edit#gid=156619080"",AN$3)"),1.0)</f>
        <v>1</v>
      </c>
      <c r="AO46" s="2" t="str">
        <f>IFERROR(__xludf.DUMMYFUNCTION("IMPORTRANGE(""https://docs.google.com/spreadsheets/d/""&amp;$A46&amp;""/edit#gid=156619080"",AO$3)"),"")</f>
        <v/>
      </c>
      <c r="AP46" s="2">
        <f>IFERROR(__xludf.DUMMYFUNCTION("IMPORTRANGE(""https://docs.google.com/spreadsheets/d/""&amp;$A46&amp;""/edit#gid=156619080"",AP$3)"),1.0)</f>
        <v>1</v>
      </c>
      <c r="AQ46" s="2" t="str">
        <f>IFERROR(__xludf.DUMMYFUNCTION("IMPORTRANGE(""https://docs.google.com/spreadsheets/d/""&amp;$A46&amp;""/edit#gid=156619080"",AQ$3)"),"")</f>
        <v/>
      </c>
      <c r="AR46" s="18">
        <f>IFERROR(__xludf.DUMMYFUNCTION("IMPORTRANGE(""https://docs.google.com/spreadsheets/d/""&amp;$A46&amp;""/edit#gid=156619080"",AR$3)"),90.0)</f>
        <v>90</v>
      </c>
      <c r="AS46" s="19" t="str">
        <f>IFERROR(__xludf.DUMMYFUNCTION("IMPORTRANGE(""https://docs.google.com/spreadsheets/d/""&amp;$A46&amp;""/edit#gid=156619080"",AS$3)"),"-100
-100
-40
60
")</f>
        <v>-100
-100
-40
60
</v>
      </c>
      <c r="AT46" s="18">
        <f>IFERROR(__xludf.DUMMYFUNCTION("IMPORTRANGE(""https://docs.google.com/spreadsheets/d/""&amp;$A46&amp;""/edit#gid=156619080"",AT$3)"),36.26373626373627)</f>
        <v>36.26373626</v>
      </c>
      <c r="AU46" s="3" t="str">
        <f>IFERROR(__xludf.DUMMYFUNCTION("IMPORTRANGE(""https://docs.google.com/spreadsheets/d/""&amp;$A46&amp;""/edit#gid=156619080"",AU$3)"),"76.37
61.54
49.45
41.21
")</f>
        <v>76.37
61.54
49.45
41.21
</v>
      </c>
      <c r="AV46" s="18">
        <f>IFERROR(__xludf.DUMMYFUNCTION("IMPORTRANGE(""https://docs.google.com/spreadsheets/d/""&amp;$A46&amp;""/edit#gid=156619080"",AV$3)"),82.07792207792208)</f>
        <v>82.07792208</v>
      </c>
      <c r="AW46" s="19" t="str">
        <f>IFERROR(__xludf.DUMMYFUNCTION("IMPORTRANGE(""https://docs.google.com/spreadsheets/d/""&amp;$A46&amp;""/edit#gid=156619080"",AW$3)"),"80.91
78.96
80.78
81.3
")</f>
        <v>80.91
78.96
80.78
81.3
</v>
      </c>
      <c r="AX46" s="2">
        <f>IFERROR(__xludf.DUMMYFUNCTION("IMPORTRANGE(""https://docs.google.com/spreadsheets/d/""&amp;$A46&amp;""/edit#gid=156619080"",AX$3)"),75.91)</f>
        <v>75.91</v>
      </c>
      <c r="AY46" s="2">
        <f>IFERROR(__xludf.DUMMYFUNCTION("IMPORTRANGE(""https://docs.google.com/spreadsheets/d/""&amp;$A46&amp;""/edit#gid=156619080"",AY$3)"),74.33)</f>
        <v>74.33</v>
      </c>
      <c r="AZ46" s="2">
        <f>IFERROR(__xludf.DUMMYFUNCTION("IMPORTRANGE(""https://docs.google.com/spreadsheets/d/""&amp;$A46&amp;""/edit#gid=156619080"",AZ$3)"),12066.21)</f>
        <v>12066.21</v>
      </c>
      <c r="BA46" s="2">
        <f>IFERROR(__xludf.DUMMYFUNCTION("IMPORTRANGE(""https://docs.google.com/spreadsheets/d/""&amp;$A46&amp;""/edit#gid=156619080"",BA$3)"),473.7999999999993)</f>
        <v>473.8</v>
      </c>
      <c r="BB46" s="2">
        <f>IFERROR(__xludf.DUMMYFUNCTION("IMPORTRANGE(""https://docs.google.com/spreadsheets/d/""&amp;$A46&amp;""/edit#gid=156619080"",BB$3)"),521.09)</f>
        <v>521.09</v>
      </c>
      <c r="BC46" s="2" t="str">
        <f>IFERROR(__xludf.DUMMYFUNCTION("IMPORTRANGE(""https://docs.google.com/spreadsheets/d/""&amp;$A46&amp;""/edit#gid=156619080"",BC$3)"),"DC→DC")</f>
        <v>DC→DC</v>
      </c>
    </row>
    <row r="47" ht="51.0" customHeight="1">
      <c r="A47" s="7" t="str">
        <f t="shared" si="5"/>
        <v>1PhtR_SxrBhphsPIkmdz6XshXILARw_VpNZw_jXpfexI</v>
      </c>
      <c r="B47" s="1" t="s">
        <v>74</v>
      </c>
      <c r="C47" s="2">
        <f>IFERROR(__xludf.DUMMYFUNCTION("IMPORTRANGE(""https://docs.google.com/spreadsheets/d/""&amp;$A47&amp;""/edit#gid=156619080"",C$3)"),132.0)</f>
        <v>132</v>
      </c>
      <c r="D47" s="2">
        <f>IFERROR(__xludf.DUMMYFUNCTION("IMPORTRANGE(""https://docs.google.com/spreadsheets/d/""&amp;$A47&amp;""/edit#gid=156619080"",D$3)"),4523.0)</f>
        <v>4523</v>
      </c>
      <c r="E47" s="15">
        <f>IFERROR(__xludf.DUMMYFUNCTION("IMPORTRANGE(""https://docs.google.com/spreadsheets/d/""&amp;$A47&amp;""/edit#gid=156619080"",E$3)"),43882.0)</f>
        <v>43882</v>
      </c>
      <c r="F47" s="2">
        <f>IFERROR(__xludf.DUMMYFUNCTION("IMPORTRANGE(""https://docs.google.com/spreadsheets/d/""&amp;$A47&amp;""/edit#gid=156619080"",F$3)"),29.0)</f>
        <v>29</v>
      </c>
      <c r="G47" s="16">
        <f>IFERROR(__xludf.DUMMYFUNCTION("IMPORTRANGE(""https://docs.google.com/spreadsheets/d/""&amp;$A47&amp;""/edit#gid=156619080"",G$3)"),0.32)</f>
        <v>0.32</v>
      </c>
      <c r="H47" s="16">
        <f>IFERROR(__xludf.DUMMYFUNCTION("IMPORTRANGE(""https://docs.google.com/spreadsheets/d/""&amp;$A47&amp;""/edit#gid=156619080"",H$3)"),8993.0)</f>
        <v>8993</v>
      </c>
      <c r="I47" s="16">
        <f>IFERROR(__xludf.DUMMYFUNCTION("IMPORTRANGE(""https://docs.google.com/spreadsheets/d/""&amp;$A47&amp;""/edit#gid=156619080"",I$3)"),-25.0)</f>
        <v>-25</v>
      </c>
      <c r="J47" s="16">
        <f>IFERROR(__xludf.DUMMYFUNCTION("IMPORTRANGE(""https://docs.google.com/spreadsheets/d/""&amp;$A47&amp;""/edit#gid=156619080"",J$3)"),9092.0)</f>
        <v>9092</v>
      </c>
      <c r="K47" s="16">
        <f>IFERROR(__xludf.DUMMYFUNCTION("IMPORTRANGE(""https://docs.google.com/spreadsheets/d/""&amp;$A47&amp;""/edit#gid=156619080"",K$3)"),0.37569444444444444)</f>
        <v>0.3756944444</v>
      </c>
      <c r="L47" s="16">
        <f>IFERROR(__xludf.DUMMYFUNCTION("IMPORTRANGE(""https://docs.google.com/spreadsheets/d/""&amp;$A47&amp;""/edit#gid=156619080"",L$3)"),8922.0)</f>
        <v>8922</v>
      </c>
      <c r="M47" s="16">
        <f>IFERROR(__xludf.DUMMYFUNCTION("IMPORTRANGE(""https://docs.google.com/spreadsheets/d/""&amp;$A47&amp;""/edit#gid=156619080"",M$3)"),0.47847222222222224)</f>
        <v>0.4784722222</v>
      </c>
      <c r="N47" s="16">
        <f>IFERROR(__xludf.DUMMYFUNCTION("IMPORTRANGE(""https://docs.google.com/spreadsheets/d/""&amp;$A47&amp;""/edit#gid=156619080"",N$3)"),8997.0)</f>
        <v>8997</v>
      </c>
      <c r="O47" s="16" t="str">
        <f>IFERROR(__xludf.DUMMYFUNCTION("IMPORTRANGE(""https://docs.google.com/spreadsheets/d/""&amp;$A47&amp;""/edit#gid=156619080"",O$3)"),"584400株")</f>
        <v>584400株</v>
      </c>
      <c r="P47" s="16" t="str">
        <f>IFERROR(__xludf.DUMMYFUNCTION("IMPORTRANGE(""https://docs.google.com/spreadsheets/d/""&amp;$A47&amp;""/edit#gid=156619080"",P$3)"),"5262百万円")</f>
        <v>5262百万円</v>
      </c>
      <c r="Q47" s="16" t="str">
        <f>IFERROR(__xludf.DUMMYFUNCTION("IMPORTRANGE(""https://docs.google.com/spreadsheets/d/""&amp;$A47&amp;""/edit#gid=156619080"",Q$3)"),"2521回")</f>
        <v>2521回</v>
      </c>
      <c r="R47" s="16" t="str">
        <f>IFERROR(__xludf.DUMMYFUNCTION("IMPORTRANGE(""https://docs.google.com/spreadsheets/d/""&amp;$A47&amp;""/edit#gid=156619080"",R$3)"),"26682億円")</f>
        <v>26682億円</v>
      </c>
      <c r="S47" s="16" t="str">
        <f>IFERROR(__xludf.DUMMYFUNCTION("IMPORTRANGE(""https://docs.google.com/spreadsheets/d/""&amp;$A47&amp;""/edit#gid=156619080"",S$3)"),"陽線")</f>
        <v>陽線</v>
      </c>
      <c r="T47" s="16" t="str">
        <f>IFERROR(__xludf.DUMMYFUNCTION("IMPORTRANGE(""https://docs.google.com/spreadsheets/d/""&amp;$A47&amp;""/edit#gid=156619080"",T$3)"),"")</f>
        <v/>
      </c>
      <c r="U47" s="16">
        <f>IFERROR(__xludf.DUMMYFUNCTION("IMPORTRANGE(""https://docs.google.com/spreadsheets/d/""&amp;$A47&amp;""/edit#gid=156619080"",U$3)"),8909.0)</f>
        <v>8909</v>
      </c>
      <c r="V47" s="16">
        <f>IFERROR(__xludf.DUMMYFUNCTION("IMPORTRANGE(""https://docs.google.com/spreadsheets/d/""&amp;$A47&amp;""/edit#gid=156619080"",V$3)"),9028.1)</f>
        <v>9028.1</v>
      </c>
      <c r="W47" s="16">
        <f>IFERROR(__xludf.DUMMYFUNCTION("IMPORTRANGE(""https://docs.google.com/spreadsheets/d/""&amp;$A47&amp;""/edit#gid=156619080"",W$3)"),8764.6)</f>
        <v>8764.6</v>
      </c>
      <c r="X47" s="2">
        <f>IFERROR(__xludf.DUMMYFUNCTION("IMPORTRANGE(""https://docs.google.com/spreadsheets/d/""&amp;$A47&amp;""/edit#gid=156619080"",X$3)"),7475.8)</f>
        <v>7475.8</v>
      </c>
      <c r="Y47" s="17">
        <f>IFERROR(__xludf.DUMMYFUNCTION("IMPORTRANGE(""https://docs.google.com/spreadsheets/d/""&amp;$A47&amp;""/edit#gid=156619080"",Y$3)"),0.0098776518127736)</f>
        <v>0.009877651813</v>
      </c>
      <c r="Z47" s="2">
        <f>IFERROR(__xludf.DUMMYFUNCTION("IMPORTRANGE(""https://docs.google.com/spreadsheets/d/""&amp;$A47&amp;""/edit#gid=156619080"",Z$3)"),9513.71)</f>
        <v>9513.71</v>
      </c>
      <c r="AA47" s="2">
        <f>IFERROR(__xludf.DUMMYFUNCTION("IMPORTRANGE(""https://docs.google.com/spreadsheets/d/""&amp;$A47&amp;""/edit#gid=156619080"",AA$3)"),9420.07)</f>
        <v>9420.07</v>
      </c>
      <c r="AB47" s="2">
        <f>IFERROR(__xludf.DUMMYFUNCTION("IMPORTRANGE(""https://docs.google.com/spreadsheets/d/""&amp;$A47&amp;""/edit#gid=156619080"",AB$3)"),9326.43)</f>
        <v>9326.43</v>
      </c>
      <c r="AC47" s="18">
        <f>IFERROR(__xludf.DUMMYFUNCTION("IMPORTRANGE(""https://docs.google.com/spreadsheets/d/""&amp;$A47&amp;""/edit#gid=156619080"",AC$3)"),9232.79)</f>
        <v>9232.79</v>
      </c>
      <c r="AD47" s="18">
        <f>IFERROR(__xludf.DUMMYFUNCTION("IMPORTRANGE(""https://docs.google.com/spreadsheets/d/""&amp;$A47&amp;""/edit#gid=156619080"",AD$3)"),9139.15)</f>
        <v>9139.15</v>
      </c>
      <c r="AE47" s="18">
        <f>IFERROR(__xludf.DUMMYFUNCTION("IMPORTRANGE(""https://docs.google.com/spreadsheets/d/""&amp;$A47&amp;""/edit#gid=156619080"",AE$3)"),8764.6)</f>
        <v>8764.6</v>
      </c>
      <c r="AF47" s="2">
        <f>IFERROR(__xludf.DUMMYFUNCTION("IMPORTRANGE(""https://docs.google.com/spreadsheets/d/""&amp;$A47&amp;""/edit#gid=156619080"",AF$3)"),8390.05)</f>
        <v>8390.05</v>
      </c>
      <c r="AG47" s="2">
        <f>IFERROR(__xludf.DUMMYFUNCTION("IMPORTRANGE(""https://docs.google.com/spreadsheets/d/""&amp;$A47&amp;""/edit#gid=156619080"",AG$3)"),8296.41)</f>
        <v>8296.41</v>
      </c>
      <c r="AH47" s="2">
        <f>IFERROR(__xludf.DUMMYFUNCTION("IMPORTRANGE(""https://docs.google.com/spreadsheets/d/""&amp;$A47&amp;""/edit#gid=156619080"",AH$3)"),8202.77)</f>
        <v>8202.77</v>
      </c>
      <c r="AI47" s="2">
        <f>IFERROR(__xludf.DUMMYFUNCTION("IMPORTRANGE(""https://docs.google.com/spreadsheets/d/""&amp;$A47&amp;""/edit#gid=156619080"",AI$3)"),8109.13)</f>
        <v>8109.13</v>
      </c>
      <c r="AJ47" s="2">
        <f>IFERROR(__xludf.DUMMYFUNCTION("IMPORTRANGE(""https://docs.google.com/spreadsheets/d/""&amp;$A47&amp;""/edit#gid=156619080"",AJ$3)"),8015.49)</f>
        <v>8015.49</v>
      </c>
      <c r="AK47" s="2" t="str">
        <f>IFERROR(__xludf.DUMMYFUNCTION("IMPORTRANGE(""https://docs.google.com/spreadsheets/d/""&amp;$A47&amp;""/edit#gid=156619080"",AK$3)"),"")</f>
        <v/>
      </c>
      <c r="AL47" s="2">
        <f>IFERROR(__xludf.DUMMYFUNCTION("IMPORTRANGE(""https://docs.google.com/spreadsheets/d/""&amp;$A47&amp;""/edit#gid=156619080"",AL$3)"),-1.0)</f>
        <v>-1</v>
      </c>
      <c r="AM47" s="2" t="str">
        <f>IFERROR(__xludf.DUMMYFUNCTION("IMPORTRANGE(""https://docs.google.com/spreadsheets/d/""&amp;$A47&amp;""/edit#gid=156619080"",AM$3)"),"")</f>
        <v/>
      </c>
      <c r="AN47" s="2">
        <f>IFERROR(__xludf.DUMMYFUNCTION("IMPORTRANGE(""https://docs.google.com/spreadsheets/d/""&amp;$A47&amp;""/edit#gid=156619080"",AN$3)"),1.0)</f>
        <v>1</v>
      </c>
      <c r="AO47" s="2" t="str">
        <f>IFERROR(__xludf.DUMMYFUNCTION("IMPORTRANGE(""https://docs.google.com/spreadsheets/d/""&amp;$A47&amp;""/edit#gid=156619080"",AO$3)"),"")</f>
        <v/>
      </c>
      <c r="AP47" s="2">
        <f>IFERROR(__xludf.DUMMYFUNCTION("IMPORTRANGE(""https://docs.google.com/spreadsheets/d/""&amp;$A47&amp;""/edit#gid=156619080"",AP$3)"),1.0)</f>
        <v>1</v>
      </c>
      <c r="AQ47" s="2" t="str">
        <f>IFERROR(__xludf.DUMMYFUNCTION("IMPORTRANGE(""https://docs.google.com/spreadsheets/d/""&amp;$A47&amp;""/edit#gid=156619080"",AQ$3)"),"")</f>
        <v/>
      </c>
      <c r="AR47" s="18">
        <f>IFERROR(__xludf.DUMMYFUNCTION("IMPORTRANGE(""https://docs.google.com/spreadsheets/d/""&amp;$A47&amp;""/edit#gid=156619080"",AR$3)"),90.0)</f>
        <v>90</v>
      </c>
      <c r="AS47" s="19" t="str">
        <f>IFERROR(__xludf.DUMMYFUNCTION("IMPORTRANGE(""https://docs.google.com/spreadsheets/d/""&amp;$A47&amp;""/edit#gid=156619080"",AS$3)"),"-100
-100
-70
30
")</f>
        <v>-100
-100
-70
30
</v>
      </c>
      <c r="AT47" s="18">
        <f>IFERROR(__xludf.DUMMYFUNCTION("IMPORTRANGE(""https://docs.google.com/spreadsheets/d/""&amp;$A47&amp;""/edit#gid=156619080"",AT$3)"),-37.91208791208791)</f>
        <v>-37.91208791</v>
      </c>
      <c r="AU47" s="3" t="str">
        <f>IFERROR(__xludf.DUMMYFUNCTION("IMPORTRANGE(""https://docs.google.com/spreadsheets/d/""&amp;$A47&amp;""/edit#gid=156619080"",AU$3)"),"62.09
37.91
14.84
-9.89
")</f>
        <v>62.09
37.91
14.84
-9.89
</v>
      </c>
      <c r="AV47" s="18">
        <f>IFERROR(__xludf.DUMMYFUNCTION("IMPORTRANGE(""https://docs.google.com/spreadsheets/d/""&amp;$A47&amp;""/edit#gid=156619080"",AV$3)"),61.68831168831168)</f>
        <v>61.68831169</v>
      </c>
      <c r="AW47" s="19" t="str">
        <f>IFERROR(__xludf.DUMMYFUNCTION("IMPORTRANGE(""https://docs.google.com/spreadsheets/d/""&amp;$A47&amp;""/edit#gid=156619080"",AW$3)"),"69.64
68.57
68.05
65.06
")</f>
        <v>69.64
68.57
68.05
65.06
</v>
      </c>
      <c r="AX47" s="2">
        <f>IFERROR(__xludf.DUMMYFUNCTION("IMPORTRANGE(""https://docs.google.com/spreadsheets/d/""&amp;$A47&amp;""/edit#gid=156619080"",AX$3)"),55.779999999999994)</f>
        <v>55.78</v>
      </c>
      <c r="AY47" s="2">
        <f>IFERROR(__xludf.DUMMYFUNCTION("IMPORTRANGE(""https://docs.google.com/spreadsheets/d/""&amp;$A47&amp;""/edit#gid=156619080"",AY$3)"),63.89)</f>
        <v>63.89</v>
      </c>
      <c r="AZ47" s="2">
        <f>IFERROR(__xludf.DUMMYFUNCTION("IMPORTRANGE(""https://docs.google.com/spreadsheets/d/""&amp;$A47&amp;""/edit#gid=156619080"",AZ$3)"),8958.39)</f>
        <v>8958.39</v>
      </c>
      <c r="BA47" s="2">
        <f>IFERROR(__xludf.DUMMYFUNCTION("IMPORTRANGE(""https://docs.google.com/spreadsheets/d/""&amp;$A47&amp;""/edit#gid=156619080"",BA$3)"),166.48999999999978)</f>
        <v>166.49</v>
      </c>
      <c r="BB47" s="2">
        <f>IFERROR(__xludf.DUMMYFUNCTION("IMPORTRANGE(""https://docs.google.com/spreadsheets/d/""&amp;$A47&amp;""/edit#gid=156619080"",BB$3)"),240.55)</f>
        <v>240.55</v>
      </c>
      <c r="BC47" s="2" t="str">
        <f>IFERROR(__xludf.DUMMYFUNCTION("IMPORTRANGE(""https://docs.google.com/spreadsheets/d/""&amp;$A47&amp;""/edit#gid=156619080"",BC$3)"),"DC→DC")</f>
        <v>DC→DC</v>
      </c>
    </row>
    <row r="48" ht="51.0" customHeight="1">
      <c r="A48" s="7" t="str">
        <f t="shared" si="5"/>
        <v>1WQZ6DY7O_jISUlDzn44G5XJIpPwpU8uq_GeywzR3BMo</v>
      </c>
      <c r="B48" s="1" t="s">
        <v>75</v>
      </c>
      <c r="C48" s="2">
        <f>IFERROR(__xludf.DUMMYFUNCTION("IMPORTRANGE(""https://docs.google.com/spreadsheets/d/""&amp;$A48&amp;""/edit#gid=156619080"",C$3)"),132.0)</f>
        <v>132</v>
      </c>
      <c r="D48" s="2">
        <f>IFERROR(__xludf.DUMMYFUNCTION("IMPORTRANGE(""https://docs.google.com/spreadsheets/d/""&amp;$A48&amp;""/edit#gid=156619080"",D$3)"),4568.0)</f>
        <v>4568</v>
      </c>
      <c r="E48" s="15">
        <f>IFERROR(__xludf.DUMMYFUNCTION("IMPORTRANGE(""https://docs.google.com/spreadsheets/d/""&amp;$A48&amp;""/edit#gid=156619080"",E$3)"),43882.0)</f>
        <v>43882</v>
      </c>
      <c r="F48" s="2">
        <f>IFERROR(__xludf.DUMMYFUNCTION("IMPORTRANGE(""https://docs.google.com/spreadsheets/d/""&amp;$A48&amp;""/edit#gid=156619080"",F$3)"),-60.0)</f>
        <v>-60</v>
      </c>
      <c r="G48" s="16">
        <f>IFERROR(__xludf.DUMMYFUNCTION("IMPORTRANGE(""https://docs.google.com/spreadsheets/d/""&amp;$A48&amp;""/edit#gid=156619080"",G$3)"),-0.78)</f>
        <v>-0.78</v>
      </c>
      <c r="H48" s="16">
        <f>IFERROR(__xludf.DUMMYFUNCTION("IMPORTRANGE(""https://docs.google.com/spreadsheets/d/""&amp;$A48&amp;""/edit#gid=156619080"",H$3)"),7693.0)</f>
        <v>7693</v>
      </c>
      <c r="I48" s="16">
        <f>IFERROR(__xludf.DUMMYFUNCTION("IMPORTRANGE(""https://docs.google.com/spreadsheets/d/""&amp;$A48&amp;""/edit#gid=156619080"",I$3)"),22.0)</f>
        <v>22</v>
      </c>
      <c r="J48" s="16">
        <f>IFERROR(__xludf.DUMMYFUNCTION("IMPORTRANGE(""https://docs.google.com/spreadsheets/d/""&amp;$A48&amp;""/edit#gid=156619080"",J$3)"),7768.0)</f>
        <v>7768</v>
      </c>
      <c r="K48" s="16">
        <f>IFERROR(__xludf.DUMMYFUNCTION("IMPORTRANGE(""https://docs.google.com/spreadsheets/d/""&amp;$A48&amp;""/edit#gid=156619080"",K$3)"),0.40555555555555556)</f>
        <v>0.4055555556</v>
      </c>
      <c r="L48" s="16">
        <f>IFERROR(__xludf.DUMMYFUNCTION("IMPORTRANGE(""https://docs.google.com/spreadsheets/d/""&amp;$A48&amp;""/edit#gid=156619080"",L$3)"),7641.0)</f>
        <v>7641</v>
      </c>
      <c r="M48" s="16">
        <f>IFERROR(__xludf.DUMMYFUNCTION("IMPORTRANGE(""https://docs.google.com/spreadsheets/d/""&amp;$A48&amp;""/edit#gid=156619080"",M$3)"),0.5625)</f>
        <v>0.5625</v>
      </c>
      <c r="N48" s="16">
        <f>IFERROR(__xludf.DUMMYFUNCTION("IMPORTRANGE(""https://docs.google.com/spreadsheets/d/""&amp;$A48&amp;""/edit#gid=156619080"",N$3)"),7655.0)</f>
        <v>7655</v>
      </c>
      <c r="O48" s="16" t="str">
        <f>IFERROR(__xludf.DUMMYFUNCTION("IMPORTRANGE(""https://docs.google.com/spreadsheets/d/""&amp;$A48&amp;""/edit#gid=156619080"",O$3)"),"1006400株")</f>
        <v>1006400株</v>
      </c>
      <c r="P48" s="16" t="str">
        <f>IFERROR(__xludf.DUMMYFUNCTION("IMPORTRANGE(""https://docs.google.com/spreadsheets/d/""&amp;$A48&amp;""/edit#gid=156619080"",P$3)"),"7738百万円")</f>
        <v>7738百万円</v>
      </c>
      <c r="Q48" s="16" t="str">
        <f>IFERROR(__xludf.DUMMYFUNCTION("IMPORTRANGE(""https://docs.google.com/spreadsheets/d/""&amp;$A48&amp;""/edit#gid=156619080"",Q$3)"),"3848回")</f>
        <v>3848回</v>
      </c>
      <c r="R48" s="16" t="str">
        <f>IFERROR(__xludf.DUMMYFUNCTION("IMPORTRANGE(""https://docs.google.com/spreadsheets/d/""&amp;$A48&amp;""/edit#gid=156619080"",R$3)"),"54275億円")</f>
        <v>54275億円</v>
      </c>
      <c r="S48" s="16" t="str">
        <f>IFERROR(__xludf.DUMMYFUNCTION("IMPORTRANGE(""https://docs.google.com/spreadsheets/d/""&amp;$A48&amp;""/edit#gid=156619080"",S$3)"),"陰線")</f>
        <v>陰線</v>
      </c>
      <c r="T48" s="16" t="str">
        <f>IFERROR(__xludf.DUMMYFUNCTION("IMPORTRANGE(""https://docs.google.com/spreadsheets/d/""&amp;$A48&amp;""/edit#gid=156619080"",T$3)"),"")</f>
        <v/>
      </c>
      <c r="U48" s="16">
        <f>IFERROR(__xludf.DUMMYFUNCTION("IMPORTRANGE(""https://docs.google.com/spreadsheets/d/""&amp;$A48&amp;""/edit#gid=156619080"",U$3)"),7644.8)</f>
        <v>7644.8</v>
      </c>
      <c r="V48" s="16">
        <f>IFERROR(__xludf.DUMMYFUNCTION("IMPORTRANGE(""https://docs.google.com/spreadsheets/d/""&amp;$A48&amp;""/edit#gid=156619080"",V$3)"),7848.4)</f>
        <v>7848.4</v>
      </c>
      <c r="W48" s="16">
        <f>IFERROR(__xludf.DUMMYFUNCTION("IMPORTRANGE(""https://docs.google.com/spreadsheets/d/""&amp;$A48&amp;""/edit#gid=156619080"",W$3)"),7696.9)</f>
        <v>7696.9</v>
      </c>
      <c r="X48" s="2">
        <f>IFERROR(__xludf.DUMMYFUNCTION("IMPORTRANGE(""https://docs.google.com/spreadsheets/d/""&amp;$A48&amp;""/edit#gid=156619080"",X$3)"),7034.3)</f>
        <v>7034.3</v>
      </c>
      <c r="Y48" s="17">
        <f>IFERROR(__xludf.DUMMYFUNCTION("IMPORTRANGE(""https://docs.google.com/spreadsheets/d/""&amp;$A48&amp;""/edit#gid=156619080"",Y$3)"),0.0013342402678944926)</f>
        <v>0.001334240268</v>
      </c>
      <c r="Z48" s="2">
        <f>IFERROR(__xludf.DUMMYFUNCTION("IMPORTRANGE(""https://docs.google.com/spreadsheets/d/""&amp;$A48&amp;""/edit#gid=156619080"",Z$3)"),8209.26)</f>
        <v>8209.26</v>
      </c>
      <c r="AA48" s="2">
        <f>IFERROR(__xludf.DUMMYFUNCTION("IMPORTRANGE(""https://docs.google.com/spreadsheets/d/""&amp;$A48&amp;""/edit#gid=156619080"",AA$3)"),8145.22)</f>
        <v>8145.22</v>
      </c>
      <c r="AB48" s="2">
        <f>IFERROR(__xludf.DUMMYFUNCTION("IMPORTRANGE(""https://docs.google.com/spreadsheets/d/""&amp;$A48&amp;""/edit#gid=156619080"",AB$3)"),8081.17)</f>
        <v>8081.17</v>
      </c>
      <c r="AC48" s="18">
        <f>IFERROR(__xludf.DUMMYFUNCTION("IMPORTRANGE(""https://docs.google.com/spreadsheets/d/""&amp;$A48&amp;""/edit#gid=156619080"",AC$3)"),8017.13)</f>
        <v>8017.13</v>
      </c>
      <c r="AD48" s="18">
        <f>IFERROR(__xludf.DUMMYFUNCTION("IMPORTRANGE(""https://docs.google.com/spreadsheets/d/""&amp;$A48&amp;""/edit#gid=156619080"",AD$3)"),7953.08)</f>
        <v>7953.08</v>
      </c>
      <c r="AE48" s="18">
        <f>IFERROR(__xludf.DUMMYFUNCTION("IMPORTRANGE(""https://docs.google.com/spreadsheets/d/""&amp;$A48&amp;""/edit#gid=156619080"",AE$3)"),7696.9)</f>
        <v>7696.9</v>
      </c>
      <c r="AF48" s="2">
        <f>IFERROR(__xludf.DUMMYFUNCTION("IMPORTRANGE(""https://docs.google.com/spreadsheets/d/""&amp;$A48&amp;""/edit#gid=156619080"",AF$3)"),7440.72)</f>
        <v>7440.72</v>
      </c>
      <c r="AG48" s="2">
        <f>IFERROR(__xludf.DUMMYFUNCTION("IMPORTRANGE(""https://docs.google.com/spreadsheets/d/""&amp;$A48&amp;""/edit#gid=156619080"",AG$3)"),7376.67)</f>
        <v>7376.67</v>
      </c>
      <c r="AH48" s="2">
        <f>IFERROR(__xludf.DUMMYFUNCTION("IMPORTRANGE(""https://docs.google.com/spreadsheets/d/""&amp;$A48&amp;""/edit#gid=156619080"",AH$3)"),7312.63)</f>
        <v>7312.63</v>
      </c>
      <c r="AI48" s="2">
        <f>IFERROR(__xludf.DUMMYFUNCTION("IMPORTRANGE(""https://docs.google.com/spreadsheets/d/""&amp;$A48&amp;""/edit#gid=156619080"",AI$3)"),7248.58)</f>
        <v>7248.58</v>
      </c>
      <c r="AJ48" s="2">
        <f>IFERROR(__xludf.DUMMYFUNCTION("IMPORTRANGE(""https://docs.google.com/spreadsheets/d/""&amp;$A48&amp;""/edit#gid=156619080"",AJ$3)"),7184.54)</f>
        <v>7184.54</v>
      </c>
      <c r="AK48" s="2" t="str">
        <f>IFERROR(__xludf.DUMMYFUNCTION("IMPORTRANGE(""https://docs.google.com/spreadsheets/d/""&amp;$A48&amp;""/edit#gid=156619080"",AK$3)"),"")</f>
        <v/>
      </c>
      <c r="AL48" s="2">
        <f>IFERROR(__xludf.DUMMYFUNCTION("IMPORTRANGE(""https://docs.google.com/spreadsheets/d/""&amp;$A48&amp;""/edit#gid=156619080"",AL$3)"),-1.0)</f>
        <v>-1</v>
      </c>
      <c r="AM48" s="2" t="str">
        <f>IFERROR(__xludf.DUMMYFUNCTION("IMPORTRANGE(""https://docs.google.com/spreadsheets/d/""&amp;$A48&amp;""/edit#gid=156619080"",AM$3)"),"")</f>
        <v/>
      </c>
      <c r="AN48" s="2">
        <f>IFERROR(__xludf.DUMMYFUNCTION("IMPORTRANGE(""https://docs.google.com/spreadsheets/d/""&amp;$A48&amp;""/edit#gid=156619080"",AN$3)"),-1.0)</f>
        <v>-1</v>
      </c>
      <c r="AO48" s="2" t="str">
        <f>IFERROR(__xludf.DUMMYFUNCTION("IMPORTRANGE(""https://docs.google.com/spreadsheets/d/""&amp;$A48&amp;""/edit#gid=156619080"",AO$3)"),"")</f>
        <v/>
      </c>
      <c r="AP48" s="2">
        <f>IFERROR(__xludf.DUMMYFUNCTION("IMPORTRANGE(""https://docs.google.com/spreadsheets/d/""&amp;$A48&amp;""/edit#gid=156619080"",AP$3)"),1.0)</f>
        <v>1</v>
      </c>
      <c r="AQ48" s="2" t="str">
        <f>IFERROR(__xludf.DUMMYFUNCTION("IMPORTRANGE(""https://docs.google.com/spreadsheets/d/""&amp;$A48&amp;""/edit#gid=156619080"",AQ$3)"),"")</f>
        <v/>
      </c>
      <c r="AR48" s="18">
        <f>IFERROR(__xludf.DUMMYFUNCTION("IMPORTRANGE(""https://docs.google.com/spreadsheets/d/""&amp;$A48&amp;""/edit#gid=156619080"",AR$3)"),50.0)</f>
        <v>50</v>
      </c>
      <c r="AS48" s="19" t="str">
        <f>IFERROR(__xludf.DUMMYFUNCTION("IMPORTRANGE(""https://docs.google.com/spreadsheets/d/""&amp;$A48&amp;""/edit#gid=156619080"",AS$3)"),"-100
-100
-70
-20
")</f>
        <v>-100
-100
-70
-20
</v>
      </c>
      <c r="AT48" s="18">
        <f>IFERROR(__xludf.DUMMYFUNCTION("IMPORTRANGE(""https://docs.google.com/spreadsheets/d/""&amp;$A48&amp;""/edit#gid=156619080"",AT$3)"),-77.47252747252746)</f>
        <v>-77.47252747</v>
      </c>
      <c r="AU48" s="3" t="str">
        <f>IFERROR(__xludf.DUMMYFUNCTION("IMPORTRANGE(""https://docs.google.com/spreadsheets/d/""&amp;$A48&amp;""/edit#gid=156619080"",AU$3)"),"46.7
18.13
-10.44
-43.96
")</f>
        <v>46.7
18.13
-10.44
-43.96
</v>
      </c>
      <c r="AV48" s="18">
        <f>IFERROR(__xludf.DUMMYFUNCTION("IMPORTRANGE(""https://docs.google.com/spreadsheets/d/""&amp;$A48&amp;""/edit#gid=156619080"",AV$3)"),50.129870129870135)</f>
        <v>50.12987013</v>
      </c>
      <c r="AW48" s="19" t="str">
        <f>IFERROR(__xludf.DUMMYFUNCTION("IMPORTRANGE(""https://docs.google.com/spreadsheets/d/""&amp;$A48&amp;""/edit#gid=156619080"",AW$3)"),"78.44
69.48
63.9
55.97
")</f>
        <v>78.44
69.48
63.9
55.97
</v>
      </c>
      <c r="AX48" s="2">
        <f>IFERROR(__xludf.DUMMYFUNCTION("IMPORTRANGE(""https://docs.google.com/spreadsheets/d/""&amp;$A48&amp;""/edit#gid=156619080"",AX$3)"),41.3)</f>
        <v>41.3</v>
      </c>
      <c r="AY48" s="2">
        <f>IFERROR(__xludf.DUMMYFUNCTION("IMPORTRANGE(""https://docs.google.com/spreadsheets/d/""&amp;$A48&amp;""/edit#gid=156619080"",AY$3)"),53.66)</f>
        <v>53.66</v>
      </c>
      <c r="AZ48" s="2">
        <f>IFERROR(__xludf.DUMMYFUNCTION("IMPORTRANGE(""https://docs.google.com/spreadsheets/d/""&amp;$A48&amp;""/edit#gid=156619080"",AZ$3)"),7692.47)</f>
        <v>7692.47</v>
      </c>
      <c r="BA48" s="2">
        <f>IFERROR(__xludf.DUMMYFUNCTION("IMPORTRANGE(""https://docs.google.com/spreadsheets/d/""&amp;$A48&amp;""/edit#gid=156619080"",BA$3)"),27.51000000000022)</f>
        <v>27.51</v>
      </c>
      <c r="BB48" s="2">
        <f>IFERROR(__xludf.DUMMYFUNCTION("IMPORTRANGE(""https://docs.google.com/spreadsheets/d/""&amp;$A48&amp;""/edit#gid=156619080"",BB$3)"),143.39)</f>
        <v>143.39</v>
      </c>
      <c r="BC48" s="2" t="str">
        <f>IFERROR(__xludf.DUMMYFUNCTION("IMPORTRANGE(""https://docs.google.com/spreadsheets/d/""&amp;$A48&amp;""/edit#gid=156619080"",BC$3)"),"DC→DC")</f>
        <v>DC→DC</v>
      </c>
    </row>
    <row r="49" ht="51.0" customHeight="1">
      <c r="A49" s="7" t="str">
        <f t="shared" si="5"/>
        <v>1mev6My-S7MaTy3Sd7u7ZGXF0VVppv6e-kcZJbPua7Rg</v>
      </c>
      <c r="B49" s="1" t="s">
        <v>76</v>
      </c>
      <c r="C49" s="2">
        <f>IFERROR(__xludf.DUMMYFUNCTION("IMPORTRANGE(""https://docs.google.com/spreadsheets/d/""&amp;$A49&amp;""/edit#gid=156619080"",C$3)"),132.0)</f>
        <v>132</v>
      </c>
      <c r="D49" s="2">
        <f>IFERROR(__xludf.DUMMYFUNCTION("IMPORTRANGE(""https://docs.google.com/spreadsheets/d/""&amp;$A49&amp;""/edit#gid=156619080"",D$3)"),4578.0)</f>
        <v>4578</v>
      </c>
      <c r="E49" s="15">
        <f>IFERROR(__xludf.DUMMYFUNCTION("IMPORTRANGE(""https://docs.google.com/spreadsheets/d/""&amp;$A49&amp;""/edit#gid=156619080"",E$3)"),43882.0)</f>
        <v>43882</v>
      </c>
      <c r="F49" s="2">
        <f>IFERROR(__xludf.DUMMYFUNCTION("IMPORTRANGE(""https://docs.google.com/spreadsheets/d/""&amp;$A49&amp;""/edit#gid=156619080"",F$3)"),1.0)</f>
        <v>1</v>
      </c>
      <c r="G49" s="16">
        <f>IFERROR(__xludf.DUMMYFUNCTION("IMPORTRANGE(""https://docs.google.com/spreadsheets/d/""&amp;$A49&amp;""/edit#gid=156619080"",G$3)"),0.02)</f>
        <v>0.02</v>
      </c>
      <c r="H49" s="16">
        <f>IFERROR(__xludf.DUMMYFUNCTION("IMPORTRANGE(""https://docs.google.com/spreadsheets/d/""&amp;$A49&amp;""/edit#gid=156619080"",H$3)"),4500.0)</f>
        <v>4500</v>
      </c>
      <c r="I49" s="16">
        <f>IFERROR(__xludf.DUMMYFUNCTION("IMPORTRANGE(""https://docs.google.com/spreadsheets/d/""&amp;$A49&amp;""/edit#gid=156619080"",I$3)"),-9.0)</f>
        <v>-9</v>
      </c>
      <c r="J49" s="16">
        <f>IFERROR(__xludf.DUMMYFUNCTION("IMPORTRANGE(""https://docs.google.com/spreadsheets/d/""&amp;$A49&amp;""/edit#gid=156619080"",J$3)"),4528.0)</f>
        <v>4528</v>
      </c>
      <c r="K49" s="16">
        <f>IFERROR(__xludf.DUMMYFUNCTION("IMPORTRANGE(""https://docs.google.com/spreadsheets/d/""&amp;$A49&amp;""/edit#gid=156619080"",K$3)"),0.375)</f>
        <v>0.375</v>
      </c>
      <c r="L49" s="16">
        <f>IFERROR(__xludf.DUMMYFUNCTION("IMPORTRANGE(""https://docs.google.com/spreadsheets/d/""&amp;$A49&amp;""/edit#gid=156619080"",L$3)"),4477.0)</f>
        <v>4477</v>
      </c>
      <c r="M49" s="16">
        <f>IFERROR(__xludf.DUMMYFUNCTION("IMPORTRANGE(""https://docs.google.com/spreadsheets/d/""&amp;$A49&amp;""/edit#gid=156619080"",M$3)"),0.4618055555555556)</f>
        <v>0.4618055556</v>
      </c>
      <c r="N49" s="16">
        <f>IFERROR(__xludf.DUMMYFUNCTION("IMPORTRANGE(""https://docs.google.com/spreadsheets/d/""&amp;$A49&amp;""/edit#gid=156619080"",N$3)"),4492.0)</f>
        <v>4492</v>
      </c>
      <c r="O49" s="16" t="str">
        <f>IFERROR(__xludf.DUMMYFUNCTION("IMPORTRANGE(""https://docs.google.com/spreadsheets/d/""&amp;$A49&amp;""/edit#gid=156619080"",O$3)"),"1202500株")</f>
        <v>1202500株</v>
      </c>
      <c r="P49" s="16" t="str">
        <f>IFERROR(__xludf.DUMMYFUNCTION("IMPORTRANGE(""https://docs.google.com/spreadsheets/d/""&amp;$A49&amp;""/edit#gid=156619080"",P$3)"),"5408百万円")</f>
        <v>5408百万円</v>
      </c>
      <c r="Q49" s="16" t="str">
        <f>IFERROR(__xludf.DUMMYFUNCTION("IMPORTRANGE(""https://docs.google.com/spreadsheets/d/""&amp;$A49&amp;""/edit#gid=156619080"",Q$3)"),"4266回")</f>
        <v>4266回</v>
      </c>
      <c r="R49" s="16" t="str">
        <f>IFERROR(__xludf.DUMMYFUNCTION("IMPORTRANGE(""https://docs.google.com/spreadsheets/d/""&amp;$A49&amp;""/edit#gid=156619080"",R$3)"),"25058億円")</f>
        <v>25058億円</v>
      </c>
      <c r="S49" s="16" t="str">
        <f>IFERROR(__xludf.DUMMYFUNCTION("IMPORTRANGE(""https://docs.google.com/spreadsheets/d/""&amp;$A49&amp;""/edit#gid=156619080"",S$3)"),"陰線")</f>
        <v>陰線</v>
      </c>
      <c r="T49" s="16" t="str">
        <f>IFERROR(__xludf.DUMMYFUNCTION("IMPORTRANGE(""https://docs.google.com/spreadsheets/d/""&amp;$A49&amp;""/edit#gid=156619080"",T$3)"),"")</f>
        <v/>
      </c>
      <c r="U49" s="16">
        <f>IFERROR(__xludf.DUMMYFUNCTION("IMPORTRANGE(""https://docs.google.com/spreadsheets/d/""&amp;$A49&amp;""/edit#gid=156619080"",U$3)"),4533.8)</f>
        <v>4533.8</v>
      </c>
      <c r="V49" s="16">
        <f>IFERROR(__xludf.DUMMYFUNCTION("IMPORTRANGE(""https://docs.google.com/spreadsheets/d/""&amp;$A49&amp;""/edit#gid=156619080"",V$3)"),4794.2)</f>
        <v>4794.2</v>
      </c>
      <c r="W49" s="16">
        <f>IFERROR(__xludf.DUMMYFUNCTION("IMPORTRANGE(""https://docs.google.com/spreadsheets/d/""&amp;$A49&amp;""/edit#gid=156619080"",W$3)"),4829.4)</f>
        <v>4829.4</v>
      </c>
      <c r="X49" s="2">
        <f>IFERROR(__xludf.DUMMYFUNCTION("IMPORTRANGE(""https://docs.google.com/spreadsheets/d/""&amp;$A49&amp;""/edit#gid=156619080"",X$3)"),4669.1)</f>
        <v>4669.1</v>
      </c>
      <c r="Y49" s="17">
        <f>IFERROR(__xludf.DUMMYFUNCTION("IMPORTRANGE(""https://docs.google.com/spreadsheets/d/""&amp;$A49&amp;""/edit#gid=156619080"",Y$3)"),-0.009219639154792928)</f>
        <v>-0.009219639155</v>
      </c>
      <c r="Z49" s="2">
        <f>IFERROR(__xludf.DUMMYFUNCTION("IMPORTRANGE(""https://docs.google.com/spreadsheets/d/""&amp;$A49&amp;""/edit#gid=156619080"",Z$3)"),5198.75)</f>
        <v>5198.75</v>
      </c>
      <c r="AA49" s="2">
        <f>IFERROR(__xludf.DUMMYFUNCTION("IMPORTRANGE(""https://docs.google.com/spreadsheets/d/""&amp;$A49&amp;""/edit#gid=156619080"",AA$3)"),5152.58)</f>
        <v>5152.58</v>
      </c>
      <c r="AB49" s="2">
        <f>IFERROR(__xludf.DUMMYFUNCTION("IMPORTRANGE(""https://docs.google.com/spreadsheets/d/""&amp;$A49&amp;""/edit#gid=156619080"",AB$3)"),5106.41)</f>
        <v>5106.41</v>
      </c>
      <c r="AC49" s="18">
        <f>IFERROR(__xludf.DUMMYFUNCTION("IMPORTRANGE(""https://docs.google.com/spreadsheets/d/""&amp;$A49&amp;""/edit#gid=156619080"",AC$3)"),5060.25)</f>
        <v>5060.25</v>
      </c>
      <c r="AD49" s="18">
        <f>IFERROR(__xludf.DUMMYFUNCTION("IMPORTRANGE(""https://docs.google.com/spreadsheets/d/""&amp;$A49&amp;""/edit#gid=156619080"",AD$3)"),5014.08)</f>
        <v>5014.08</v>
      </c>
      <c r="AE49" s="18">
        <f>IFERROR(__xludf.DUMMYFUNCTION("IMPORTRANGE(""https://docs.google.com/spreadsheets/d/""&amp;$A49&amp;""/edit#gid=156619080"",AE$3)"),4829.4)</f>
        <v>4829.4</v>
      </c>
      <c r="AF49" s="2">
        <f>IFERROR(__xludf.DUMMYFUNCTION("IMPORTRANGE(""https://docs.google.com/spreadsheets/d/""&amp;$A49&amp;""/edit#gid=156619080"",AF$3)"),4644.72)</f>
        <v>4644.72</v>
      </c>
      <c r="AG49" s="2">
        <f>IFERROR(__xludf.DUMMYFUNCTION("IMPORTRANGE(""https://docs.google.com/spreadsheets/d/""&amp;$A49&amp;""/edit#gid=156619080"",AG$3)"),4598.55)</f>
        <v>4598.55</v>
      </c>
      <c r="AH49" s="2">
        <f>IFERROR(__xludf.DUMMYFUNCTION("IMPORTRANGE(""https://docs.google.com/spreadsheets/d/""&amp;$A49&amp;""/edit#gid=156619080"",AH$3)"),4552.39)</f>
        <v>4552.39</v>
      </c>
      <c r="AI49" s="2">
        <f>IFERROR(__xludf.DUMMYFUNCTION("IMPORTRANGE(""https://docs.google.com/spreadsheets/d/""&amp;$A49&amp;""/edit#gid=156619080"",AI$3)"),4506.22)</f>
        <v>4506.22</v>
      </c>
      <c r="AJ49" s="2">
        <f>IFERROR(__xludf.DUMMYFUNCTION("IMPORTRANGE(""https://docs.google.com/spreadsheets/d/""&amp;$A49&amp;""/edit#gid=156619080"",AJ$3)"),4460.05)</f>
        <v>4460.05</v>
      </c>
      <c r="AK49" s="2" t="str">
        <f>IFERROR(__xludf.DUMMYFUNCTION("IMPORTRANGE(""https://docs.google.com/spreadsheets/d/""&amp;$A49&amp;""/edit#gid=156619080"",AK$3)"),"-1.75σ〜-2σ")</f>
        <v>-1.75σ〜-2σ</v>
      </c>
      <c r="AL49" s="2">
        <f>IFERROR(__xludf.DUMMYFUNCTION("IMPORTRANGE(""https://docs.google.com/spreadsheets/d/""&amp;$A49&amp;""/edit#gid=156619080"",AL$3)"),-1.0)</f>
        <v>-1</v>
      </c>
      <c r="AM49" s="2" t="str">
        <f>IFERROR(__xludf.DUMMYFUNCTION("IMPORTRANGE(""https://docs.google.com/spreadsheets/d/""&amp;$A49&amp;""/edit#gid=156619080"",AM$3)"),"")</f>
        <v/>
      </c>
      <c r="AN49" s="2">
        <f>IFERROR(__xludf.DUMMYFUNCTION("IMPORTRANGE(""https://docs.google.com/spreadsheets/d/""&amp;$A49&amp;""/edit#gid=156619080"",AN$3)"),-1.0)</f>
        <v>-1</v>
      </c>
      <c r="AO49" s="2" t="str">
        <f>IFERROR(__xludf.DUMMYFUNCTION("IMPORTRANGE(""https://docs.google.com/spreadsheets/d/""&amp;$A49&amp;""/edit#gid=156619080"",AO$3)"),"")</f>
        <v/>
      </c>
      <c r="AP49" s="2">
        <f>IFERROR(__xludf.DUMMYFUNCTION("IMPORTRANGE(""https://docs.google.com/spreadsheets/d/""&amp;$A49&amp;""/edit#gid=156619080"",AP$3)"),-1.0)</f>
        <v>-1</v>
      </c>
      <c r="AQ49" s="2" t="str">
        <f>IFERROR(__xludf.DUMMYFUNCTION("IMPORTRANGE(""https://docs.google.com/spreadsheets/d/""&amp;$A49&amp;""/edit#gid=156619080"",AQ$3)"),"")</f>
        <v/>
      </c>
      <c r="AR49" s="18">
        <f>IFERROR(__xludf.DUMMYFUNCTION("IMPORTRANGE(""https://docs.google.com/spreadsheets/d/""&amp;$A49&amp;""/edit#gid=156619080"",AR$3)"),-89.99999999999999)</f>
        <v>-90</v>
      </c>
      <c r="AS49" s="19" t="str">
        <f>IFERROR(__xludf.DUMMYFUNCTION("IMPORTRANGE(""https://docs.google.com/spreadsheets/d/""&amp;$A49&amp;""/edit#gid=156619080"",AS$3)"),"-100
-100
-100
-100
")</f>
        <v>-100
-100
-100
-100
</v>
      </c>
      <c r="AT49" s="18">
        <f>IFERROR(__xludf.DUMMYFUNCTION("IMPORTRANGE(""https://docs.google.com/spreadsheets/d/""&amp;$A49&amp;""/edit#gid=156619080"",AT$3)"),-84.61538461538463)</f>
        <v>-84.61538462</v>
      </c>
      <c r="AU49" s="3" t="str">
        <f>IFERROR(__xludf.DUMMYFUNCTION("IMPORTRANGE(""https://docs.google.com/spreadsheets/d/""&amp;$A49&amp;""/edit#gid=156619080"",AU$3)"),"-3.85
-29.67
-51.65
-69.78
")</f>
        <v>-3.85
-29.67
-51.65
-69.78
</v>
      </c>
      <c r="AV49" s="18">
        <f>IFERROR(__xludf.DUMMYFUNCTION("IMPORTRANGE(""https://docs.google.com/spreadsheets/d/""&amp;$A49&amp;""/edit#gid=156619080"",AV$3)"),-46.883116883116884)</f>
        <v>-46.88311688</v>
      </c>
      <c r="AW49" s="19" t="str">
        <f>IFERROR(__xludf.DUMMYFUNCTION("IMPORTRANGE(""https://docs.google.com/spreadsheets/d/""&amp;$A49&amp;""/edit#gid=156619080"",AW$3)"),"-6.85
-21.95
-29.74
-40.78
")</f>
        <v>-6.85
-21.95
-29.74
-40.78
</v>
      </c>
      <c r="AX49" s="2">
        <f>IFERROR(__xludf.DUMMYFUNCTION("IMPORTRANGE(""https://docs.google.com/spreadsheets/d/""&amp;$A49&amp;""/edit#gid=156619080"",AX$3)"),0.4)</f>
        <v>0.4</v>
      </c>
      <c r="AY49" s="2">
        <f>IFERROR(__xludf.DUMMYFUNCTION("IMPORTRANGE(""https://docs.google.com/spreadsheets/d/""&amp;$A49&amp;""/edit#gid=156619080"",AY$3)"),31.069999999999997)</f>
        <v>31.07</v>
      </c>
      <c r="AZ49" s="2">
        <f>IFERROR(__xludf.DUMMYFUNCTION("IMPORTRANGE(""https://docs.google.com/spreadsheets/d/""&amp;$A49&amp;""/edit#gid=156619080"",AZ$3)"),4564.14)</f>
        <v>4564.14</v>
      </c>
      <c r="BA49" s="2">
        <f>IFERROR(__xludf.DUMMYFUNCTION("IMPORTRANGE(""https://docs.google.com/spreadsheets/d/""&amp;$A49&amp;""/edit#gid=156619080"",BA$3)"),-210.04999999999927)</f>
        <v>-210.05</v>
      </c>
      <c r="BB49" s="2">
        <f>IFERROR(__xludf.DUMMYFUNCTION("IMPORTRANGE(""https://docs.google.com/spreadsheets/d/""&amp;$A49&amp;""/edit#gid=156619080"",BB$3)"),-85.95)</f>
        <v>-85.95</v>
      </c>
      <c r="BC49" s="2" t="str">
        <f>IFERROR(__xludf.DUMMYFUNCTION("IMPORTRANGE(""https://docs.google.com/spreadsheets/d/""&amp;$A49&amp;""/edit#gid=156619080"",BC$3)"),"DC→DC")</f>
        <v>DC→DC</v>
      </c>
    </row>
    <row r="50" ht="51.0" customHeight="1">
      <c r="A50" s="7" t="str">
        <f t="shared" si="5"/>
        <v>1i0_gVQt1ysW6jYZeNGahiysqgfoSnhHL8xnTaD6QZZg</v>
      </c>
      <c r="B50" s="1" t="s">
        <v>77</v>
      </c>
      <c r="C50" s="2">
        <f>IFERROR(__xludf.DUMMYFUNCTION("IMPORTRANGE(""https://docs.google.com/spreadsheets/d/""&amp;$A50&amp;""/edit#gid=156619080"",C$3)"),132.0)</f>
        <v>132</v>
      </c>
      <c r="D50" s="2">
        <f>IFERROR(__xludf.DUMMYFUNCTION("IMPORTRANGE(""https://docs.google.com/spreadsheets/d/""&amp;$A50&amp;""/edit#gid=156619080"",D$3)"),5019.0)</f>
        <v>5019</v>
      </c>
      <c r="E50" s="15">
        <f>IFERROR(__xludf.DUMMYFUNCTION("IMPORTRANGE(""https://docs.google.com/spreadsheets/d/""&amp;$A50&amp;""/edit#gid=156619080"",E$3)"),43882.0)</f>
        <v>43882</v>
      </c>
      <c r="F50" s="2">
        <f>IFERROR(__xludf.DUMMYFUNCTION("IMPORTRANGE(""https://docs.google.com/spreadsheets/d/""&amp;$A50&amp;""/edit#gid=156619080"",F$3)"),19.0)</f>
        <v>19</v>
      </c>
      <c r="G50" s="16">
        <f>IFERROR(__xludf.DUMMYFUNCTION("IMPORTRANGE(""https://docs.google.com/spreadsheets/d/""&amp;$A50&amp;""/edit#gid=156619080"",G$3)"),0.65)</f>
        <v>0.65</v>
      </c>
      <c r="H50" s="16">
        <f>IFERROR(__xludf.DUMMYFUNCTION("IMPORTRANGE(""https://docs.google.com/spreadsheets/d/""&amp;$A50&amp;""/edit#gid=156619080"",H$3)"),2910.0)</f>
        <v>2910</v>
      </c>
      <c r="I50" s="16">
        <f>IFERROR(__xludf.DUMMYFUNCTION("IMPORTRANGE(""https://docs.google.com/spreadsheets/d/""&amp;$A50&amp;""/edit#gid=156619080"",I$3)"),-7.0)</f>
        <v>-7</v>
      </c>
      <c r="J50" s="16">
        <f>IFERROR(__xludf.DUMMYFUNCTION("IMPORTRANGE(""https://docs.google.com/spreadsheets/d/""&amp;$A50&amp;""/edit#gid=156619080"",J$3)"),2933.0)</f>
        <v>2933</v>
      </c>
      <c r="K50" s="16">
        <f>IFERROR(__xludf.DUMMYFUNCTION("IMPORTRANGE(""https://docs.google.com/spreadsheets/d/""&amp;$A50&amp;""/edit#gid=156619080"",K$3)"),0.40347222222222223)</f>
        <v>0.4034722222</v>
      </c>
      <c r="L50" s="16">
        <f>IFERROR(__xludf.DUMMYFUNCTION("IMPORTRANGE(""https://docs.google.com/spreadsheets/d/""&amp;$A50&amp;""/edit#gid=156619080"",L$3)"),2910.0)</f>
        <v>2910</v>
      </c>
      <c r="M50" s="16">
        <f>IFERROR(__xludf.DUMMYFUNCTION("IMPORTRANGE(""https://docs.google.com/spreadsheets/d/""&amp;$A50&amp;""/edit#gid=156619080"",M$3)"),0.375)</f>
        <v>0.375</v>
      </c>
      <c r="N50" s="16">
        <f>IFERROR(__xludf.DUMMYFUNCTION("IMPORTRANGE(""https://docs.google.com/spreadsheets/d/""&amp;$A50&amp;""/edit#gid=156619080"",N$3)"),2922.0)</f>
        <v>2922</v>
      </c>
      <c r="O50" s="16" t="str">
        <f>IFERROR(__xludf.DUMMYFUNCTION("IMPORTRANGE(""https://docs.google.com/spreadsheets/d/""&amp;$A50&amp;""/edit#gid=156619080"",O$3)"),"1261200株")</f>
        <v>1261200株</v>
      </c>
      <c r="P50" s="16" t="str">
        <f>IFERROR(__xludf.DUMMYFUNCTION("IMPORTRANGE(""https://docs.google.com/spreadsheets/d/""&amp;$A50&amp;""/edit#gid=156619080"",P$3)"),"3687百万円")</f>
        <v>3687百万円</v>
      </c>
      <c r="Q50" s="16" t="str">
        <f>IFERROR(__xludf.DUMMYFUNCTION("IMPORTRANGE(""https://docs.google.com/spreadsheets/d/""&amp;$A50&amp;""/edit#gid=156619080"",Q$3)"),"2659回")</f>
        <v>2659回</v>
      </c>
      <c r="R50" s="16" t="str">
        <f>IFERROR(__xludf.DUMMYFUNCTION("IMPORTRANGE(""https://docs.google.com/spreadsheets/d/""&amp;$A50&amp;""/edit#gid=156619080"",R$3)"),"8822億円")</f>
        <v>8822億円</v>
      </c>
      <c r="S50" s="16" t="str">
        <f>IFERROR(__xludf.DUMMYFUNCTION("IMPORTRANGE(""https://docs.google.com/spreadsheets/d/""&amp;$A50&amp;""/edit#gid=156619080"",S$3)"),"陽線")</f>
        <v>陽線</v>
      </c>
      <c r="T50" s="16" t="str">
        <f>IFERROR(__xludf.DUMMYFUNCTION("IMPORTRANGE(""https://docs.google.com/spreadsheets/d/""&amp;$A50&amp;""/edit#gid=156619080"",T$3)"),"")</f>
        <v/>
      </c>
      <c r="U50" s="16">
        <f>IFERROR(__xludf.DUMMYFUNCTION("IMPORTRANGE(""https://docs.google.com/spreadsheets/d/""&amp;$A50&amp;""/edit#gid=156619080"",U$3)"),2877.6)</f>
        <v>2877.6</v>
      </c>
      <c r="V50" s="16">
        <f>IFERROR(__xludf.DUMMYFUNCTION("IMPORTRANGE(""https://docs.google.com/spreadsheets/d/""&amp;$A50&amp;""/edit#gid=156619080"",V$3)"),2835.5)</f>
        <v>2835.5</v>
      </c>
      <c r="W50" s="16">
        <f>IFERROR(__xludf.DUMMYFUNCTION("IMPORTRANGE(""https://docs.google.com/spreadsheets/d/""&amp;$A50&amp;""/edit#gid=156619080"",W$3)"),2828.0)</f>
        <v>2828</v>
      </c>
      <c r="X50" s="2">
        <f>IFERROR(__xludf.DUMMYFUNCTION("IMPORTRANGE(""https://docs.google.com/spreadsheets/d/""&amp;$A50&amp;""/edit#gid=156619080"",X$3)"),2995.6)</f>
        <v>2995.6</v>
      </c>
      <c r="Y50" s="17">
        <f>IFERROR(__xludf.DUMMYFUNCTION("IMPORTRANGE(""https://docs.google.com/spreadsheets/d/""&amp;$A50&amp;""/edit#gid=156619080"",Y$3)"),0.015429524603836562)</f>
        <v>0.0154295246</v>
      </c>
      <c r="Z50" s="2">
        <f>IFERROR(__xludf.DUMMYFUNCTION("IMPORTRANGE(""https://docs.google.com/spreadsheets/d/""&amp;$A50&amp;""/edit#gid=156619080"",Z$3)"),2932.67)</f>
        <v>2932.67</v>
      </c>
      <c r="AA50" s="2">
        <f>IFERROR(__xludf.DUMMYFUNCTION("IMPORTRANGE(""https://docs.google.com/spreadsheets/d/""&amp;$A50&amp;""/edit#gid=156619080"",AA$3)"),2919.58)</f>
        <v>2919.58</v>
      </c>
      <c r="AB50" s="2">
        <f>IFERROR(__xludf.DUMMYFUNCTION("IMPORTRANGE(""https://docs.google.com/spreadsheets/d/""&amp;$A50&amp;""/edit#gid=156619080"",AB$3)"),2906.5)</f>
        <v>2906.5</v>
      </c>
      <c r="AC50" s="18">
        <f>IFERROR(__xludf.DUMMYFUNCTION("IMPORTRANGE(""https://docs.google.com/spreadsheets/d/""&amp;$A50&amp;""/edit#gid=156619080"",AC$3)"),2893.42)</f>
        <v>2893.42</v>
      </c>
      <c r="AD50" s="18">
        <f>IFERROR(__xludf.DUMMYFUNCTION("IMPORTRANGE(""https://docs.google.com/spreadsheets/d/""&amp;$A50&amp;""/edit#gid=156619080"",AD$3)"),2880.33)</f>
        <v>2880.33</v>
      </c>
      <c r="AE50" s="18">
        <f>IFERROR(__xludf.DUMMYFUNCTION("IMPORTRANGE(""https://docs.google.com/spreadsheets/d/""&amp;$A50&amp;""/edit#gid=156619080"",AE$3)"),2828.0)</f>
        <v>2828</v>
      </c>
      <c r="AF50" s="2">
        <f>IFERROR(__xludf.DUMMYFUNCTION("IMPORTRANGE(""https://docs.google.com/spreadsheets/d/""&amp;$A50&amp;""/edit#gid=156619080"",AF$3)"),2775.67)</f>
        <v>2775.67</v>
      </c>
      <c r="AG50" s="2">
        <f>IFERROR(__xludf.DUMMYFUNCTION("IMPORTRANGE(""https://docs.google.com/spreadsheets/d/""&amp;$A50&amp;""/edit#gid=156619080"",AG$3)"),2762.58)</f>
        <v>2762.58</v>
      </c>
      <c r="AH50" s="2">
        <f>IFERROR(__xludf.DUMMYFUNCTION("IMPORTRANGE(""https://docs.google.com/spreadsheets/d/""&amp;$A50&amp;""/edit#gid=156619080"",AH$3)"),2749.5)</f>
        <v>2749.5</v>
      </c>
      <c r="AI50" s="2">
        <f>IFERROR(__xludf.DUMMYFUNCTION("IMPORTRANGE(""https://docs.google.com/spreadsheets/d/""&amp;$A50&amp;""/edit#gid=156619080"",AI$3)"),2736.42)</f>
        <v>2736.42</v>
      </c>
      <c r="AJ50" s="2">
        <f>IFERROR(__xludf.DUMMYFUNCTION("IMPORTRANGE(""https://docs.google.com/spreadsheets/d/""&amp;$A50&amp;""/edit#gid=156619080"",AJ$3)"),2723.33)</f>
        <v>2723.33</v>
      </c>
      <c r="AK50" s="2" t="str">
        <f>IFERROR(__xludf.DUMMYFUNCTION("IMPORTRANGE(""https://docs.google.com/spreadsheets/d/""&amp;$A50&amp;""/edit#gid=156619080"",AK$3)"),"1.75σ〜2σ")</f>
        <v>1.75σ〜2σ</v>
      </c>
      <c r="AL50" s="2">
        <f>IFERROR(__xludf.DUMMYFUNCTION("IMPORTRANGE(""https://docs.google.com/spreadsheets/d/""&amp;$A50&amp;""/edit#gid=156619080"",AL$3)"),1.0)</f>
        <v>1</v>
      </c>
      <c r="AM50" s="2" t="str">
        <f>IFERROR(__xludf.DUMMYFUNCTION("IMPORTRANGE(""https://docs.google.com/spreadsheets/d/""&amp;$A50&amp;""/edit#gid=156619080"",AM$3)"),"")</f>
        <v/>
      </c>
      <c r="AN50" s="2">
        <f>IFERROR(__xludf.DUMMYFUNCTION("IMPORTRANGE(""https://docs.google.com/spreadsheets/d/""&amp;$A50&amp;""/edit#gid=156619080"",AN$3)"),1.0)</f>
        <v>1</v>
      </c>
      <c r="AO50" s="2" t="str">
        <f>IFERROR(__xludf.DUMMYFUNCTION("IMPORTRANGE(""https://docs.google.com/spreadsheets/d/""&amp;$A50&amp;""/edit#gid=156619080"",AO$3)"),"")</f>
        <v/>
      </c>
      <c r="AP50" s="2">
        <f>IFERROR(__xludf.DUMMYFUNCTION("IMPORTRANGE(""https://docs.google.com/spreadsheets/d/""&amp;$A50&amp;""/edit#gid=156619080"",AP$3)"),1.0)</f>
        <v>1</v>
      </c>
      <c r="AQ50" s="2" t="str">
        <f>IFERROR(__xludf.DUMMYFUNCTION("IMPORTRANGE(""https://docs.google.com/spreadsheets/d/""&amp;$A50&amp;""/edit#gid=156619080"",AQ$3)"),"ws3")</f>
        <v>ws3</v>
      </c>
      <c r="AR50" s="18">
        <f>IFERROR(__xludf.DUMMYFUNCTION("IMPORTRANGE(""https://docs.google.com/spreadsheets/d/""&amp;$A50&amp;""/edit#gid=156619080"",AR$3)"),100.0)</f>
        <v>100</v>
      </c>
      <c r="AS50" s="19" t="str">
        <f>IFERROR(__xludf.DUMMYFUNCTION("IMPORTRANGE(""https://docs.google.com/spreadsheets/d/""&amp;$A50&amp;""/edit#gid=156619080"",AS$3)"),"90
90
90
100
")</f>
        <v>90
90
90
100
</v>
      </c>
      <c r="AT50" s="18">
        <f>IFERROR(__xludf.DUMMYFUNCTION("IMPORTRANGE(""https://docs.google.com/spreadsheets/d/""&amp;$A50&amp;""/edit#gid=156619080"",AT$3)"),82.41758241758241)</f>
        <v>82.41758242</v>
      </c>
      <c r="AU50" s="3" t="str">
        <f>IFERROR(__xludf.DUMMYFUNCTION("IMPORTRANGE(""https://docs.google.com/spreadsheets/d/""&amp;$A50&amp;""/edit#gid=156619080"",AU$3)"),"67.03
75.27
80.77
82.42
")</f>
        <v>67.03
75.27
80.77
82.42
</v>
      </c>
      <c r="AV50" s="18">
        <f>IFERROR(__xludf.DUMMYFUNCTION("IMPORTRANGE(""https://docs.google.com/spreadsheets/d/""&amp;$A50&amp;""/edit#gid=156619080"",AV$3)"),29.220779220779225)</f>
        <v>29.22077922</v>
      </c>
      <c r="AW50" s="19" t="str">
        <f>IFERROR(__xludf.DUMMYFUNCTION("IMPORTRANGE(""https://docs.google.com/spreadsheets/d/""&amp;$A50&amp;""/edit#gid=156619080"",AW$3)"),"-50.88
-35.58
-17.92
1.95
")</f>
        <v>-50.88
-35.58
-17.92
1.95
</v>
      </c>
      <c r="AX50" s="2">
        <f>IFERROR(__xludf.DUMMYFUNCTION("IMPORTRANGE(""https://docs.google.com/spreadsheets/d/""&amp;$A50&amp;""/edit#gid=156619080"",AX$3)"),100.0)</f>
        <v>100</v>
      </c>
      <c r="AY50" s="2">
        <f>IFERROR(__xludf.DUMMYFUNCTION("IMPORTRANGE(""https://docs.google.com/spreadsheets/d/""&amp;$A50&amp;""/edit#gid=156619080"",AY$3)"),47.12)</f>
        <v>47.12</v>
      </c>
      <c r="AZ50" s="2">
        <f>IFERROR(__xludf.DUMMYFUNCTION("IMPORTRANGE(""https://docs.google.com/spreadsheets/d/""&amp;$A50&amp;""/edit#gid=156619080"",AZ$3)"),2884.51)</f>
        <v>2884.51</v>
      </c>
      <c r="BA50" s="2">
        <f>IFERROR(__xludf.DUMMYFUNCTION("IMPORTRANGE(""https://docs.google.com/spreadsheets/d/""&amp;$A50&amp;""/edit#gid=156619080"",BA$3)"),21.800000000000182)</f>
        <v>21.8</v>
      </c>
      <c r="BB50" s="2">
        <f>IFERROR(__xludf.DUMMYFUNCTION("IMPORTRANGE(""https://docs.google.com/spreadsheets/d/""&amp;$A50&amp;""/edit#gid=156619080"",BB$3)"),-27.49)</f>
        <v>-27.49</v>
      </c>
      <c r="BC50" s="2" t="str">
        <f>IFERROR(__xludf.DUMMYFUNCTION("IMPORTRANGE(""https://docs.google.com/spreadsheets/d/""&amp;$A50&amp;""/edit#gid=156619080"",BC$3)"),"GC→GC")</f>
        <v>GC→GC</v>
      </c>
    </row>
    <row r="51" ht="51.0" customHeight="1">
      <c r="A51" s="7" t="str">
        <f t="shared" si="5"/>
        <v>11pKFGc6Sp88UTQ1K98FV1RRCv-Lhw2H1HYjzA39A13k</v>
      </c>
      <c r="B51" s="1" t="s">
        <v>78</v>
      </c>
      <c r="C51" s="2">
        <f>IFERROR(__xludf.DUMMYFUNCTION("IMPORTRANGE(""https://docs.google.com/spreadsheets/d/""&amp;$A51&amp;""/edit#gid=156619080"",C$3)"),132.0)</f>
        <v>132</v>
      </c>
      <c r="D51" s="2">
        <f>IFERROR(__xludf.DUMMYFUNCTION("IMPORTRANGE(""https://docs.google.com/spreadsheets/d/""&amp;$A51&amp;""/edit#gid=156619080"",D$3)"),5020.0)</f>
        <v>5020</v>
      </c>
      <c r="E51" s="15">
        <f>IFERROR(__xludf.DUMMYFUNCTION("IMPORTRANGE(""https://docs.google.com/spreadsheets/d/""&amp;$A51&amp;""/edit#gid=156619080"",E$3)"),43882.0)</f>
        <v>43882</v>
      </c>
      <c r="F51" s="2">
        <f>IFERROR(__xludf.DUMMYFUNCTION("IMPORTRANGE(""https://docs.google.com/spreadsheets/d/""&amp;$A51&amp;""/edit#gid=156619080"",F$3)"),5.3)</f>
        <v>5.3</v>
      </c>
      <c r="G51" s="16">
        <f>IFERROR(__xludf.DUMMYFUNCTION("IMPORTRANGE(""https://docs.google.com/spreadsheets/d/""&amp;$A51&amp;""/edit#gid=156619080"",G$3)"),1.13)</f>
        <v>1.13</v>
      </c>
      <c r="H51" s="16">
        <f>IFERROR(__xludf.DUMMYFUNCTION("IMPORTRANGE(""https://docs.google.com/spreadsheets/d/""&amp;$A51&amp;""/edit#gid=156619080"",H$3)"),472.7)</f>
        <v>472.7</v>
      </c>
      <c r="I51" s="16">
        <f>IFERROR(__xludf.DUMMYFUNCTION("IMPORTRANGE(""https://docs.google.com/spreadsheets/d/""&amp;$A51&amp;""/edit#gid=156619080"",I$3)"),-4.399999999999977)</f>
        <v>-4.4</v>
      </c>
      <c r="J51" s="16">
        <f>IFERROR(__xludf.DUMMYFUNCTION("IMPORTRANGE(""https://docs.google.com/spreadsheets/d/""&amp;$A51&amp;""/edit#gid=156619080"",J$3)"),477.2)</f>
        <v>477.2</v>
      </c>
      <c r="K51" s="16">
        <f>IFERROR(__xludf.DUMMYFUNCTION("IMPORTRANGE(""https://docs.google.com/spreadsheets/d/""&amp;$A51&amp;""/edit#gid=156619080"",K$3)"),0.4041666666666667)</f>
        <v>0.4041666667</v>
      </c>
      <c r="L51" s="16">
        <f>IFERROR(__xludf.DUMMYFUNCTION("IMPORTRANGE(""https://docs.google.com/spreadsheets/d/""&amp;$A51&amp;""/edit#gid=156619080"",L$3)"),471.7)</f>
        <v>471.7</v>
      </c>
      <c r="M51" s="16">
        <f>IFERROR(__xludf.DUMMYFUNCTION("IMPORTRANGE(""https://docs.google.com/spreadsheets/d/""&amp;$A51&amp;""/edit#gid=156619080"",M$3)"),0.37569444444444444)</f>
        <v>0.3756944444</v>
      </c>
      <c r="N51" s="16">
        <f>IFERROR(__xludf.DUMMYFUNCTION("IMPORTRANGE(""https://docs.google.com/spreadsheets/d/""&amp;$A51&amp;""/edit#gid=156619080"",N$3)"),473.6)</f>
        <v>473.6</v>
      </c>
      <c r="O51" s="16" t="str">
        <f>IFERROR(__xludf.DUMMYFUNCTION("IMPORTRANGE(""https://docs.google.com/spreadsheets/d/""&amp;$A51&amp;""/edit#gid=156619080"",O$3)"),"13637700株")</f>
        <v>13637700株</v>
      </c>
      <c r="P51" s="16" t="str">
        <f>IFERROR(__xludf.DUMMYFUNCTION("IMPORTRANGE(""https://docs.google.com/spreadsheets/d/""&amp;$A51&amp;""/edit#gid=156619080"",P$3)"),"6472百万円")</f>
        <v>6472百万円</v>
      </c>
      <c r="Q51" s="16" t="str">
        <f>IFERROR(__xludf.DUMMYFUNCTION("IMPORTRANGE(""https://docs.google.com/spreadsheets/d/""&amp;$A51&amp;""/edit#gid=156619080"",Q$3)"),"9262回")</f>
        <v>9262回</v>
      </c>
      <c r="R51" s="16" t="str">
        <f>IFERROR(__xludf.DUMMYFUNCTION("IMPORTRANGE(""https://docs.google.com/spreadsheets/d/""&amp;$A51&amp;""/edit#gid=156619080"",R$3)"),"15299億円")</f>
        <v>15299億円</v>
      </c>
      <c r="S51" s="16" t="str">
        <f>IFERROR(__xludf.DUMMYFUNCTION("IMPORTRANGE(""https://docs.google.com/spreadsheets/d/""&amp;$A51&amp;""/edit#gid=156619080"",S$3)"),"陽線")</f>
        <v>陽線</v>
      </c>
      <c r="T51" s="16" t="str">
        <f>IFERROR(__xludf.DUMMYFUNCTION("IMPORTRANGE(""https://docs.google.com/spreadsheets/d/""&amp;$A51&amp;""/edit#gid=156619080"",T$3)"),"")</f>
        <v/>
      </c>
      <c r="U51" s="16">
        <f>IFERROR(__xludf.DUMMYFUNCTION("IMPORTRANGE(""https://docs.google.com/spreadsheets/d/""&amp;$A51&amp;""/edit#gid=156619080"",U$3)"),469.82)</f>
        <v>469.82</v>
      </c>
      <c r="V51" s="16">
        <f>IFERROR(__xludf.DUMMYFUNCTION("IMPORTRANGE(""https://docs.google.com/spreadsheets/d/""&amp;$A51&amp;""/edit#gid=156619080"",V$3)"),473.8)</f>
        <v>473.8</v>
      </c>
      <c r="W51" s="16">
        <f>IFERROR(__xludf.DUMMYFUNCTION("IMPORTRANGE(""https://docs.google.com/spreadsheets/d/""&amp;$A51&amp;""/edit#gid=156619080"",W$3)"),474.2)</f>
        <v>474.2</v>
      </c>
      <c r="X51" s="2">
        <f>IFERROR(__xludf.DUMMYFUNCTION("IMPORTRANGE(""https://docs.google.com/spreadsheets/d/""&amp;$A51&amp;""/edit#gid=156619080"",X$3)"),489.6)</f>
        <v>489.6</v>
      </c>
      <c r="Y51" s="17">
        <f>IFERROR(__xludf.DUMMYFUNCTION("IMPORTRANGE(""https://docs.google.com/spreadsheets/d/""&amp;$A51&amp;""/edit#gid=156619080"",Y$3)"),0.008045634498318568)</f>
        <v>0.008045634498</v>
      </c>
      <c r="Z51" s="2">
        <f>IFERROR(__xludf.DUMMYFUNCTION("IMPORTRANGE(""https://docs.google.com/spreadsheets/d/""&amp;$A51&amp;""/edit#gid=156619080"",Z$3)"),487.02)</f>
        <v>487.02</v>
      </c>
      <c r="AA51" s="2">
        <f>IFERROR(__xludf.DUMMYFUNCTION("IMPORTRANGE(""https://docs.google.com/spreadsheets/d/""&amp;$A51&amp;""/edit#gid=156619080"",AA$3)"),485.42)</f>
        <v>485.42</v>
      </c>
      <c r="AB51" s="2">
        <f>IFERROR(__xludf.DUMMYFUNCTION("IMPORTRANGE(""https://docs.google.com/spreadsheets/d/""&amp;$A51&amp;""/edit#gid=156619080"",AB$3)"),483.82)</f>
        <v>483.82</v>
      </c>
      <c r="AC51" s="18">
        <f>IFERROR(__xludf.DUMMYFUNCTION("IMPORTRANGE(""https://docs.google.com/spreadsheets/d/""&amp;$A51&amp;""/edit#gid=156619080"",AC$3)"),482.21)</f>
        <v>482.21</v>
      </c>
      <c r="AD51" s="18">
        <f>IFERROR(__xludf.DUMMYFUNCTION("IMPORTRANGE(""https://docs.google.com/spreadsheets/d/""&amp;$A51&amp;""/edit#gid=156619080"",AD$3)"),480.61)</f>
        <v>480.61</v>
      </c>
      <c r="AE51" s="18">
        <f>IFERROR(__xludf.DUMMYFUNCTION("IMPORTRANGE(""https://docs.google.com/spreadsheets/d/""&amp;$A51&amp;""/edit#gid=156619080"",AE$3)"),474.2)</f>
        <v>474.2</v>
      </c>
      <c r="AF51" s="2">
        <f>IFERROR(__xludf.DUMMYFUNCTION("IMPORTRANGE(""https://docs.google.com/spreadsheets/d/""&amp;$A51&amp;""/edit#gid=156619080"",AF$3)"),467.79)</f>
        <v>467.79</v>
      </c>
      <c r="AG51" s="2">
        <f>IFERROR(__xludf.DUMMYFUNCTION("IMPORTRANGE(""https://docs.google.com/spreadsheets/d/""&amp;$A51&amp;""/edit#gid=156619080"",AG$3)"),466.19)</f>
        <v>466.19</v>
      </c>
      <c r="AH51" s="2">
        <f>IFERROR(__xludf.DUMMYFUNCTION("IMPORTRANGE(""https://docs.google.com/spreadsheets/d/""&amp;$A51&amp;""/edit#gid=156619080"",AH$3)"),464.58)</f>
        <v>464.58</v>
      </c>
      <c r="AI51" s="2">
        <f>IFERROR(__xludf.DUMMYFUNCTION("IMPORTRANGE(""https://docs.google.com/spreadsheets/d/""&amp;$A51&amp;""/edit#gid=156619080"",AI$3)"),462.98)</f>
        <v>462.98</v>
      </c>
      <c r="AJ51" s="2">
        <f>IFERROR(__xludf.DUMMYFUNCTION("IMPORTRANGE(""https://docs.google.com/spreadsheets/d/""&amp;$A51&amp;""/edit#gid=156619080"",AJ$3)"),461.38)</f>
        <v>461.38</v>
      </c>
      <c r="AK51" s="2" t="str">
        <f>IFERROR(__xludf.DUMMYFUNCTION("IMPORTRANGE(""https://docs.google.com/spreadsheets/d/""&amp;$A51&amp;""/edit#gid=156619080"",AK$3)"),"")</f>
        <v/>
      </c>
      <c r="AL51" s="2">
        <f>IFERROR(__xludf.DUMMYFUNCTION("IMPORTRANGE(""https://docs.google.com/spreadsheets/d/""&amp;$A51&amp;""/edit#gid=156619080"",AL$3)"),-1.0)</f>
        <v>-1</v>
      </c>
      <c r="AM51" s="2" t="str">
        <f>IFERROR(__xludf.DUMMYFUNCTION("IMPORTRANGE(""https://docs.google.com/spreadsheets/d/""&amp;$A51&amp;""/edit#gid=156619080"",AM$3)"),"")</f>
        <v/>
      </c>
      <c r="AN51" s="2">
        <f>IFERROR(__xludf.DUMMYFUNCTION("IMPORTRANGE(""https://docs.google.com/spreadsheets/d/""&amp;$A51&amp;""/edit#gid=156619080"",AN$3)"),-1.0)</f>
        <v>-1</v>
      </c>
      <c r="AO51" s="2" t="str">
        <f>IFERROR(__xludf.DUMMYFUNCTION("IMPORTRANGE(""https://docs.google.com/spreadsheets/d/""&amp;$A51&amp;""/edit#gid=156619080"",AO$3)"),"")</f>
        <v/>
      </c>
      <c r="AP51" s="2">
        <f>IFERROR(__xludf.DUMMYFUNCTION("IMPORTRANGE(""https://docs.google.com/spreadsheets/d/""&amp;$A51&amp;""/edit#gid=156619080"",AP$3)"),-1.0)</f>
        <v>-1</v>
      </c>
      <c r="AQ51" s="2" t="str">
        <f>IFERROR(__xludf.DUMMYFUNCTION("IMPORTRANGE(""https://docs.google.com/spreadsheets/d/""&amp;$A51&amp;""/edit#gid=156619080"",AQ$3)"),"")</f>
        <v/>
      </c>
      <c r="AR51" s="18">
        <f>IFERROR(__xludf.DUMMYFUNCTION("IMPORTRANGE(""https://docs.google.com/spreadsheets/d/""&amp;$A51&amp;""/edit#gid=156619080"",AR$3)"),-10.000000000000009)</f>
        <v>-10</v>
      </c>
      <c r="AS51" s="19" t="str">
        <f>IFERROR(__xludf.DUMMYFUNCTION("IMPORTRANGE(""https://docs.google.com/spreadsheets/d/""&amp;$A51&amp;""/edit#gid=156619080"",AS$3)"),"-50
-70
-100
-70
")</f>
        <v>-50
-70
-100
-70
</v>
      </c>
      <c r="AT51" s="18">
        <f>IFERROR(__xludf.DUMMYFUNCTION("IMPORTRANGE(""https://docs.google.com/spreadsheets/d/""&amp;$A51&amp;""/edit#gid=156619080"",AT$3)"),-27.472527472527464)</f>
        <v>-27.47252747</v>
      </c>
      <c r="AU51" s="3" t="str">
        <f>IFERROR(__xludf.DUMMYFUNCTION("IMPORTRANGE(""https://docs.google.com/spreadsheets/d/""&amp;$A51&amp;""/edit#gid=156619080"",AU$3)"),"52.34
31.32
6.59
-0.55
")</f>
        <v>52.34
31.32
6.59
-0.55
</v>
      </c>
      <c r="AV51" s="18">
        <f>IFERROR(__xludf.DUMMYFUNCTION("IMPORTRANGE(""https://docs.google.com/spreadsheets/d/""&amp;$A51&amp;""/edit#gid=156619080"",AV$3)"),-29.448051948051955)</f>
        <v>-29.44805195</v>
      </c>
      <c r="AW51" s="19" t="str">
        <f>IFERROR(__xludf.DUMMYFUNCTION("IMPORTRANGE(""https://docs.google.com/spreadsheets/d/""&amp;$A51&amp;""/edit#gid=156619080"",AW$3)"),"-49.45
-46.98
-45.55
-40.88
")</f>
        <v>-49.45
-46.98
-45.55
-40.88
</v>
      </c>
      <c r="AX51" s="2">
        <f>IFERROR(__xludf.DUMMYFUNCTION("IMPORTRANGE(""https://docs.google.com/spreadsheets/d/""&amp;$A51&amp;""/edit#gid=156619080"",AX$3)"),44.15)</f>
        <v>44.15</v>
      </c>
      <c r="AY51" s="2">
        <f>IFERROR(__xludf.DUMMYFUNCTION("IMPORTRANGE(""https://docs.google.com/spreadsheets/d/""&amp;$A51&amp;""/edit#gid=156619080"",AY$3)"),40.150000000000006)</f>
        <v>40.15</v>
      </c>
      <c r="AZ51" s="2">
        <f>IFERROR(__xludf.DUMMYFUNCTION("IMPORTRANGE(""https://docs.google.com/spreadsheets/d/""&amp;$A51&amp;""/edit#gid=156619080"",AZ$3)"),471.13)</f>
        <v>471.13</v>
      </c>
      <c r="BA51" s="2">
        <f>IFERROR(__xludf.DUMMYFUNCTION("IMPORTRANGE(""https://docs.google.com/spreadsheets/d/""&amp;$A51&amp;""/edit#gid=156619080"",BA$3)"),-5.550000000000011)</f>
        <v>-5.55</v>
      </c>
      <c r="BB51" s="2">
        <f>IFERROR(__xludf.DUMMYFUNCTION("IMPORTRANGE(""https://docs.google.com/spreadsheets/d/""&amp;$A51&amp;""/edit#gid=156619080"",BB$3)"),-6.39)</f>
        <v>-6.39</v>
      </c>
      <c r="BC51" s="2" t="str">
        <f>IFERROR(__xludf.DUMMYFUNCTION("IMPORTRANGE(""https://docs.google.com/spreadsheets/d/""&amp;$A51&amp;""/edit#gid=156619080"",BC$3)"),"DC→GC")</f>
        <v>DC→GC</v>
      </c>
    </row>
    <row r="52" ht="51.0" customHeight="1">
      <c r="A52" s="7" t="str">
        <f t="shared" si="5"/>
        <v>1twyMrPGgJNMiHEUiE4roXJaNZRDAA_OHzcC9znhia1M</v>
      </c>
      <c r="B52" s="1" t="s">
        <v>79</v>
      </c>
      <c r="C52" s="2">
        <f>IFERROR(__xludf.DUMMYFUNCTION("IMPORTRANGE(""https://docs.google.com/spreadsheets/d/""&amp;$A52&amp;""/edit#gid=156619080"",C$3)"),132.0)</f>
        <v>132</v>
      </c>
      <c r="D52" s="2">
        <f>IFERROR(__xludf.DUMMYFUNCTION("IMPORTRANGE(""https://docs.google.com/spreadsheets/d/""&amp;$A52&amp;""/edit#gid=156619080"",D$3)"),5101.0)</f>
        <v>5101</v>
      </c>
      <c r="E52" s="15">
        <f>IFERROR(__xludf.DUMMYFUNCTION("IMPORTRANGE(""https://docs.google.com/spreadsheets/d/""&amp;$A52&amp;""/edit#gid=156619080"",E$3)"),43882.0)</f>
        <v>43882</v>
      </c>
      <c r="F52" s="2">
        <f>IFERROR(__xludf.DUMMYFUNCTION("IMPORTRANGE(""https://docs.google.com/spreadsheets/d/""&amp;$A52&amp;""/edit#gid=156619080"",F$3)"),-3.0)</f>
        <v>-3</v>
      </c>
      <c r="G52" s="16">
        <f>IFERROR(__xludf.DUMMYFUNCTION("IMPORTRANGE(""https://docs.google.com/spreadsheets/d/""&amp;$A52&amp;""/edit#gid=156619080"",G$3)"),-0.15)</f>
        <v>-0.15</v>
      </c>
      <c r="H52" s="16">
        <f>IFERROR(__xludf.DUMMYFUNCTION("IMPORTRANGE(""https://docs.google.com/spreadsheets/d/""&amp;$A52&amp;""/edit#gid=156619080"",H$3)"),2008.0)</f>
        <v>2008</v>
      </c>
      <c r="I52" s="16">
        <f>IFERROR(__xludf.DUMMYFUNCTION("IMPORTRANGE(""https://docs.google.com/spreadsheets/d/""&amp;$A52&amp;""/edit#gid=156619080"",I$3)"),9.0)</f>
        <v>9</v>
      </c>
      <c r="J52" s="16">
        <f>IFERROR(__xludf.DUMMYFUNCTION("IMPORTRANGE(""https://docs.google.com/spreadsheets/d/""&amp;$A52&amp;""/edit#gid=156619080"",J$3)"),2031.0)</f>
        <v>2031</v>
      </c>
      <c r="K52" s="16">
        <f>IFERROR(__xludf.DUMMYFUNCTION("IMPORTRANGE(""https://docs.google.com/spreadsheets/d/""&amp;$A52&amp;""/edit#gid=156619080"",K$3)"),0.5236111111111111)</f>
        <v>0.5236111111</v>
      </c>
      <c r="L52" s="16">
        <f>IFERROR(__xludf.DUMMYFUNCTION("IMPORTRANGE(""https://docs.google.com/spreadsheets/d/""&amp;$A52&amp;""/edit#gid=156619080"",L$3)"),1996.0)</f>
        <v>1996</v>
      </c>
      <c r="M52" s="16">
        <f>IFERROR(__xludf.DUMMYFUNCTION("IMPORTRANGE(""https://docs.google.com/spreadsheets/d/""&amp;$A52&amp;""/edit#gid=156619080"",M$3)"),0.37569444444444444)</f>
        <v>0.3756944444</v>
      </c>
      <c r="N52" s="16">
        <f>IFERROR(__xludf.DUMMYFUNCTION("IMPORTRANGE(""https://docs.google.com/spreadsheets/d/""&amp;$A52&amp;""/edit#gid=156619080"",N$3)"),2014.0)</f>
        <v>2014</v>
      </c>
      <c r="O52" s="16" t="str">
        <f>IFERROR(__xludf.DUMMYFUNCTION("IMPORTRANGE(""https://docs.google.com/spreadsheets/d/""&amp;$A52&amp;""/edit#gid=156619080"",O$3)"),"590900株")</f>
        <v>590900株</v>
      </c>
      <c r="P52" s="16" t="str">
        <f>IFERROR(__xludf.DUMMYFUNCTION("IMPORTRANGE(""https://docs.google.com/spreadsheets/d/""&amp;$A52&amp;""/edit#gid=156619080"",P$3)"),"1191百万円")</f>
        <v>1191百万円</v>
      </c>
      <c r="Q52" s="16" t="str">
        <f>IFERROR(__xludf.DUMMYFUNCTION("IMPORTRANGE(""https://docs.google.com/spreadsheets/d/""&amp;$A52&amp;""/edit#gid=156619080"",Q$3)"),"1660回")</f>
        <v>1660回</v>
      </c>
      <c r="R52" s="16" t="str">
        <f>IFERROR(__xludf.DUMMYFUNCTION("IMPORTRANGE(""https://docs.google.com/spreadsheets/d/""&amp;$A52&amp;""/edit#gid=156619080"",R$3)"),"3415億円")</f>
        <v>3415億円</v>
      </c>
      <c r="S52" s="16" t="str">
        <f>IFERROR(__xludf.DUMMYFUNCTION("IMPORTRANGE(""https://docs.google.com/spreadsheets/d/""&amp;$A52&amp;""/edit#gid=156619080"",S$3)"),"陽線")</f>
        <v>陽線</v>
      </c>
      <c r="T52" s="16" t="str">
        <f>IFERROR(__xludf.DUMMYFUNCTION("IMPORTRANGE(""https://docs.google.com/spreadsheets/d/""&amp;$A52&amp;""/edit#gid=156619080"",T$3)"),"")</f>
        <v/>
      </c>
      <c r="U52" s="16">
        <f>IFERROR(__xludf.DUMMYFUNCTION("IMPORTRANGE(""https://docs.google.com/spreadsheets/d/""&amp;$A52&amp;""/edit#gid=156619080"",U$3)"),2012.6)</f>
        <v>2012.6</v>
      </c>
      <c r="V52" s="16">
        <f>IFERROR(__xludf.DUMMYFUNCTION("IMPORTRANGE(""https://docs.google.com/spreadsheets/d/""&amp;$A52&amp;""/edit#gid=156619080"",V$3)"),1934.0)</f>
        <v>1934</v>
      </c>
      <c r="W52" s="16">
        <f>IFERROR(__xludf.DUMMYFUNCTION("IMPORTRANGE(""https://docs.google.com/spreadsheets/d/""&amp;$A52&amp;""/edit#gid=156619080"",W$3)"),1926.4)</f>
        <v>1926.4</v>
      </c>
      <c r="X52" s="2">
        <f>IFERROR(__xludf.DUMMYFUNCTION("IMPORTRANGE(""https://docs.google.com/spreadsheets/d/""&amp;$A52&amp;""/edit#gid=156619080"",X$3)"),2161.4)</f>
        <v>2161.4</v>
      </c>
      <c r="Y52" s="17">
        <f>IFERROR(__xludf.DUMMYFUNCTION("IMPORTRANGE(""https://docs.google.com/spreadsheets/d/""&amp;$A52&amp;""/edit#gid=156619080"",Y$3)"),6.956176090629489E-4)</f>
        <v>0.0006956176091</v>
      </c>
      <c r="Z52" s="2">
        <f>IFERROR(__xludf.DUMMYFUNCTION("IMPORTRANGE(""https://docs.google.com/spreadsheets/d/""&amp;$A52&amp;""/edit#gid=156619080"",Z$3)"),2043.06)</f>
        <v>2043.06</v>
      </c>
      <c r="AA52" s="2">
        <f>IFERROR(__xludf.DUMMYFUNCTION("IMPORTRANGE(""https://docs.google.com/spreadsheets/d/""&amp;$A52&amp;""/edit#gid=156619080"",AA$3)"),2028.47)</f>
        <v>2028.47</v>
      </c>
      <c r="AB52" s="2">
        <f>IFERROR(__xludf.DUMMYFUNCTION("IMPORTRANGE(""https://docs.google.com/spreadsheets/d/""&amp;$A52&amp;""/edit#gid=156619080"",AB$3)"),2013.89)</f>
        <v>2013.89</v>
      </c>
      <c r="AC52" s="18">
        <f>IFERROR(__xludf.DUMMYFUNCTION("IMPORTRANGE(""https://docs.google.com/spreadsheets/d/""&amp;$A52&amp;""/edit#gid=156619080"",AC$3)"),1999.31)</f>
        <v>1999.31</v>
      </c>
      <c r="AD52" s="18">
        <f>IFERROR(__xludf.DUMMYFUNCTION("IMPORTRANGE(""https://docs.google.com/spreadsheets/d/""&amp;$A52&amp;""/edit#gid=156619080"",AD$3)"),1984.73)</f>
        <v>1984.73</v>
      </c>
      <c r="AE52" s="18">
        <f>IFERROR(__xludf.DUMMYFUNCTION("IMPORTRANGE(""https://docs.google.com/spreadsheets/d/""&amp;$A52&amp;""/edit#gid=156619080"",AE$3)"),1926.4)</f>
        <v>1926.4</v>
      </c>
      <c r="AF52" s="2">
        <f>IFERROR(__xludf.DUMMYFUNCTION("IMPORTRANGE(""https://docs.google.com/spreadsheets/d/""&amp;$A52&amp;""/edit#gid=156619080"",AF$3)"),1868.07)</f>
        <v>1868.07</v>
      </c>
      <c r="AG52" s="2">
        <f>IFERROR(__xludf.DUMMYFUNCTION("IMPORTRANGE(""https://docs.google.com/spreadsheets/d/""&amp;$A52&amp;""/edit#gid=156619080"",AG$3)"),1853.49)</f>
        <v>1853.49</v>
      </c>
      <c r="AH52" s="2">
        <f>IFERROR(__xludf.DUMMYFUNCTION("IMPORTRANGE(""https://docs.google.com/spreadsheets/d/""&amp;$A52&amp;""/edit#gid=156619080"",AH$3)"),1838.91)</f>
        <v>1838.91</v>
      </c>
      <c r="AI52" s="2">
        <f>IFERROR(__xludf.DUMMYFUNCTION("IMPORTRANGE(""https://docs.google.com/spreadsheets/d/""&amp;$A52&amp;""/edit#gid=156619080"",AI$3)"),1824.33)</f>
        <v>1824.33</v>
      </c>
      <c r="AJ52" s="2">
        <f>IFERROR(__xludf.DUMMYFUNCTION("IMPORTRANGE(""https://docs.google.com/spreadsheets/d/""&amp;$A52&amp;""/edit#gid=156619080"",AJ$3)"),1809.74)</f>
        <v>1809.74</v>
      </c>
      <c r="AK52" s="2" t="str">
        <f>IFERROR(__xludf.DUMMYFUNCTION("IMPORTRANGE(""https://docs.google.com/spreadsheets/d/""&amp;$A52&amp;""/edit#gid=156619080"",AK$3)"),"1.5σ〜1.75σ")</f>
        <v>1.5σ〜1.75σ</v>
      </c>
      <c r="AL52" s="2">
        <f>IFERROR(__xludf.DUMMYFUNCTION("IMPORTRANGE(""https://docs.google.com/spreadsheets/d/""&amp;$A52&amp;""/edit#gid=156619080"",AL$3)"),1.0)</f>
        <v>1</v>
      </c>
      <c r="AM52" s="2" t="str">
        <f>IFERROR(__xludf.DUMMYFUNCTION("IMPORTRANGE(""https://docs.google.com/spreadsheets/d/""&amp;$A52&amp;""/edit#gid=156619080"",AM$3)"),"")</f>
        <v/>
      </c>
      <c r="AN52" s="2">
        <f>IFERROR(__xludf.DUMMYFUNCTION("IMPORTRANGE(""https://docs.google.com/spreadsheets/d/""&amp;$A52&amp;""/edit#gid=156619080"",AN$3)"),1.0)</f>
        <v>1</v>
      </c>
      <c r="AO52" s="2" t="str">
        <f>IFERROR(__xludf.DUMMYFUNCTION("IMPORTRANGE(""https://docs.google.com/spreadsheets/d/""&amp;$A52&amp;""/edit#gid=156619080"",AO$3)"),"")</f>
        <v/>
      </c>
      <c r="AP52" s="2">
        <f>IFERROR(__xludf.DUMMYFUNCTION("IMPORTRANGE(""https://docs.google.com/spreadsheets/d/""&amp;$A52&amp;""/edit#gid=156619080"",AP$3)"),1.0)</f>
        <v>1</v>
      </c>
      <c r="AQ52" s="2" t="str">
        <f>IFERROR(__xludf.DUMMYFUNCTION("IMPORTRANGE(""https://docs.google.com/spreadsheets/d/""&amp;$A52&amp;""/edit#gid=156619080"",AQ$3)"),"ws3")</f>
        <v>ws3</v>
      </c>
      <c r="AR52" s="18">
        <f>IFERROR(__xludf.DUMMYFUNCTION("IMPORTRANGE(""https://docs.google.com/spreadsheets/d/""&amp;$A52&amp;""/edit#gid=156619080"",AR$3)"),60.0)</f>
        <v>60</v>
      </c>
      <c r="AS52" s="19" t="str">
        <f>IFERROR(__xludf.DUMMYFUNCTION("IMPORTRANGE(""https://docs.google.com/spreadsheets/d/""&amp;$A52&amp;""/edit#gid=156619080"",AS$3)"),"70
100
100
90
")</f>
        <v>70
100
100
90
</v>
      </c>
      <c r="AT52" s="18">
        <f>IFERROR(__xludf.DUMMYFUNCTION("IMPORTRANGE(""https://docs.google.com/spreadsheets/d/""&amp;$A52&amp;""/edit#gid=156619080"",AT$3)"),69.78021978021978)</f>
        <v>69.78021978</v>
      </c>
      <c r="AU52" s="3" t="str">
        <f>IFERROR(__xludf.DUMMYFUNCTION("IMPORTRANGE(""https://docs.google.com/spreadsheets/d/""&amp;$A52&amp;""/edit#gid=156619080"",AU$3)"),"10.44
37.36
46.7
60.99
")</f>
        <v>10.44
37.36
46.7
60.99
</v>
      </c>
      <c r="AV52" s="18">
        <f>IFERROR(__xludf.DUMMYFUNCTION("IMPORTRANGE(""https://docs.google.com/spreadsheets/d/""&amp;$A52&amp;""/edit#gid=156619080"",AV$3)"),31.818181818181824)</f>
        <v>31.81818182</v>
      </c>
      <c r="AW52" s="19" t="str">
        <f>IFERROR(__xludf.DUMMYFUNCTION("IMPORTRANGE(""https://docs.google.com/spreadsheets/d/""&amp;$A52&amp;""/edit#gid=156619080"",AW$3)"),"-61.69
-41.82
-17.14
10
")</f>
        <v>-61.69
-41.82
-17.14
10
</v>
      </c>
      <c r="AX52" s="2">
        <f>IFERROR(__xludf.DUMMYFUNCTION("IMPORTRANGE(""https://docs.google.com/spreadsheets/d/""&amp;$A52&amp;""/edit#gid=156619080"",AX$3)"),92.80000000000001)</f>
        <v>92.8</v>
      </c>
      <c r="AY52" s="2">
        <f>IFERROR(__xludf.DUMMYFUNCTION("IMPORTRANGE(""https://docs.google.com/spreadsheets/d/""&amp;$A52&amp;""/edit#gid=156619080"",AY$3)"),50.0)</f>
        <v>50</v>
      </c>
      <c r="AZ52" s="2">
        <f>IFERROR(__xludf.DUMMYFUNCTION("IMPORTRANGE(""https://docs.google.com/spreadsheets/d/""&amp;$A52&amp;""/edit#gid=156619080"",AZ$3)"),1997.57)</f>
        <v>1997.57</v>
      </c>
      <c r="BA52" s="2">
        <f>IFERROR(__xludf.DUMMYFUNCTION("IMPORTRANGE(""https://docs.google.com/spreadsheets/d/""&amp;$A52&amp;""/edit#gid=156619080"",BA$3)"),30.61999999999989)</f>
        <v>30.62</v>
      </c>
      <c r="BB52" s="2">
        <f>IFERROR(__xludf.DUMMYFUNCTION("IMPORTRANGE(""https://docs.google.com/spreadsheets/d/""&amp;$A52&amp;""/edit#gid=156619080"",BB$3)"),-28.24)</f>
        <v>-28.24</v>
      </c>
      <c r="BC52" s="2" t="str">
        <f>IFERROR(__xludf.DUMMYFUNCTION("IMPORTRANGE(""https://docs.google.com/spreadsheets/d/""&amp;$A52&amp;""/edit#gid=156619080"",BC$3)"),"GC→GC")</f>
        <v>GC→GC</v>
      </c>
    </row>
    <row r="53" ht="51.0" customHeight="1">
      <c r="A53" s="7" t="str">
        <f t="shared" si="5"/>
        <v>1GNHLLA4L9ueO-9zi2ZZGD01LODQazXI-6CXjcCDNZEo</v>
      </c>
      <c r="B53" s="1" t="s">
        <v>80</v>
      </c>
      <c r="C53" s="2">
        <f>IFERROR(__xludf.DUMMYFUNCTION("IMPORTRANGE(""https://docs.google.com/spreadsheets/d/""&amp;$A53&amp;""/edit#gid=156619080"",C$3)"),132.0)</f>
        <v>132</v>
      </c>
      <c r="D53" s="2">
        <f>IFERROR(__xludf.DUMMYFUNCTION("IMPORTRANGE(""https://docs.google.com/spreadsheets/d/""&amp;$A53&amp;""/edit#gid=156619080"",D$3)"),5108.0)</f>
        <v>5108</v>
      </c>
      <c r="E53" s="15">
        <f>IFERROR(__xludf.DUMMYFUNCTION("IMPORTRANGE(""https://docs.google.com/spreadsheets/d/""&amp;$A53&amp;""/edit#gid=156619080"",E$3)"),43882.0)</f>
        <v>43882</v>
      </c>
      <c r="F53" s="2">
        <f>IFERROR(__xludf.DUMMYFUNCTION("IMPORTRANGE(""https://docs.google.com/spreadsheets/d/""&amp;$A53&amp;""/edit#gid=156619080"",F$3)"),-29.0)</f>
        <v>-29</v>
      </c>
      <c r="G53" s="16">
        <f>IFERROR(__xludf.DUMMYFUNCTION("IMPORTRANGE(""https://docs.google.com/spreadsheets/d/""&amp;$A53&amp;""/edit#gid=156619080"",G$3)"),-0.73)</f>
        <v>-0.73</v>
      </c>
      <c r="H53" s="16">
        <f>IFERROR(__xludf.DUMMYFUNCTION("IMPORTRANGE(""https://docs.google.com/spreadsheets/d/""&amp;$A53&amp;""/edit#gid=156619080"",H$3)"),3966.0)</f>
        <v>3966</v>
      </c>
      <c r="I53" s="16">
        <f>IFERROR(__xludf.DUMMYFUNCTION("IMPORTRANGE(""https://docs.google.com/spreadsheets/d/""&amp;$A53&amp;""/edit#gid=156619080"",I$3)"),17.0)</f>
        <v>17</v>
      </c>
      <c r="J53" s="16">
        <f>IFERROR(__xludf.DUMMYFUNCTION("IMPORTRANGE(""https://docs.google.com/spreadsheets/d/""&amp;$A53&amp;""/edit#gid=156619080"",J$3)"),3995.0)</f>
        <v>3995</v>
      </c>
      <c r="K53" s="16">
        <f>IFERROR(__xludf.DUMMYFUNCTION("IMPORTRANGE(""https://docs.google.com/spreadsheets/d/""&amp;$A53&amp;""/edit#gid=156619080"",K$3)"),0.3923611111111111)</f>
        <v>0.3923611111</v>
      </c>
      <c r="L53" s="16">
        <f>IFERROR(__xludf.DUMMYFUNCTION("IMPORTRANGE(""https://docs.google.com/spreadsheets/d/""&amp;$A53&amp;""/edit#gid=156619080"",L$3)"),3954.0)</f>
        <v>3954</v>
      </c>
      <c r="M53" s="16">
        <f>IFERROR(__xludf.DUMMYFUNCTION("IMPORTRANGE(""https://docs.google.com/spreadsheets/d/""&amp;$A53&amp;""/edit#gid=156619080"",M$3)"),0.6243055555555556)</f>
        <v>0.6243055556</v>
      </c>
      <c r="N53" s="16">
        <f>IFERROR(__xludf.DUMMYFUNCTION("IMPORTRANGE(""https://docs.google.com/spreadsheets/d/""&amp;$A53&amp;""/edit#gid=156619080"",N$3)"),3954.0)</f>
        <v>3954</v>
      </c>
      <c r="O53" s="16" t="str">
        <f>IFERROR(__xludf.DUMMYFUNCTION("IMPORTRANGE(""https://docs.google.com/spreadsheets/d/""&amp;$A53&amp;""/edit#gid=156619080"",O$3)"),"2011500株")</f>
        <v>2011500株</v>
      </c>
      <c r="P53" s="16" t="str">
        <f>IFERROR(__xludf.DUMMYFUNCTION("IMPORTRANGE(""https://docs.google.com/spreadsheets/d/""&amp;$A53&amp;""/edit#gid=156619080"",P$3)"),"7982百万円")</f>
        <v>7982百万円</v>
      </c>
      <c r="Q53" s="16" t="str">
        <f>IFERROR(__xludf.DUMMYFUNCTION("IMPORTRANGE(""https://docs.google.com/spreadsheets/d/""&amp;$A53&amp;""/edit#gid=156619080"",Q$3)"),"3023回")</f>
        <v>3023回</v>
      </c>
      <c r="R53" s="16" t="str">
        <f>IFERROR(__xludf.DUMMYFUNCTION("IMPORTRANGE(""https://docs.google.com/spreadsheets/d/""&amp;$A53&amp;""/edit#gid=156619080"",R$3)"),"28220億円")</f>
        <v>28220億円</v>
      </c>
      <c r="S53" s="16" t="str">
        <f>IFERROR(__xludf.DUMMYFUNCTION("IMPORTRANGE(""https://docs.google.com/spreadsheets/d/""&amp;$A53&amp;""/edit#gid=156619080"",S$3)"),"陰線")</f>
        <v>陰線</v>
      </c>
      <c r="T53" s="16" t="str">
        <f>IFERROR(__xludf.DUMMYFUNCTION("IMPORTRANGE(""https://docs.google.com/spreadsheets/d/""&amp;$A53&amp;""/edit#gid=156619080"",T$3)"),"BSV2")</f>
        <v>BSV2</v>
      </c>
      <c r="U53" s="16">
        <f>IFERROR(__xludf.DUMMYFUNCTION("IMPORTRANGE(""https://docs.google.com/spreadsheets/d/""&amp;$A53&amp;""/edit#gid=156619080"",U$3)"),3946.2)</f>
        <v>3946.2</v>
      </c>
      <c r="V53" s="16">
        <f>IFERROR(__xludf.DUMMYFUNCTION("IMPORTRANGE(""https://docs.google.com/spreadsheets/d/""&amp;$A53&amp;""/edit#gid=156619080"",V$3)"),3937.0)</f>
        <v>3937</v>
      </c>
      <c r="W53" s="16">
        <f>IFERROR(__xludf.DUMMYFUNCTION("IMPORTRANGE(""https://docs.google.com/spreadsheets/d/""&amp;$A53&amp;""/edit#gid=156619080"",W$3)"),3925.0)</f>
        <v>3925</v>
      </c>
      <c r="X53" s="2">
        <f>IFERROR(__xludf.DUMMYFUNCTION("IMPORTRANGE(""https://docs.google.com/spreadsheets/d/""&amp;$A53&amp;""/edit#gid=156619080"",X$3)"),4178.3)</f>
        <v>4178.3</v>
      </c>
      <c r="Y53" s="17">
        <f>IFERROR(__xludf.DUMMYFUNCTION("IMPORTRANGE(""https://docs.google.com/spreadsheets/d/""&amp;$A53&amp;""/edit#gid=156619080"",Y$3)"),0.0019765850691805236)</f>
        <v>0.001976585069</v>
      </c>
      <c r="Z53" s="2">
        <f>IFERROR(__xludf.DUMMYFUNCTION("IMPORTRANGE(""https://docs.google.com/spreadsheets/d/""&amp;$A53&amp;""/edit#gid=156619080"",Z$3)"),4007.85)</f>
        <v>4007.85</v>
      </c>
      <c r="AA53" s="2">
        <f>IFERROR(__xludf.DUMMYFUNCTION("IMPORTRANGE(""https://docs.google.com/spreadsheets/d/""&amp;$A53&amp;""/edit#gid=156619080"",AA$3)"),3997.49)</f>
        <v>3997.49</v>
      </c>
      <c r="AB53" s="2">
        <f>IFERROR(__xludf.DUMMYFUNCTION("IMPORTRANGE(""https://docs.google.com/spreadsheets/d/""&amp;$A53&amp;""/edit#gid=156619080"",AB$3)"),3987.14)</f>
        <v>3987.14</v>
      </c>
      <c r="AC53" s="18">
        <f>IFERROR(__xludf.DUMMYFUNCTION("IMPORTRANGE(""https://docs.google.com/spreadsheets/d/""&amp;$A53&amp;""/edit#gid=156619080"",AC$3)"),3976.78)</f>
        <v>3976.78</v>
      </c>
      <c r="AD53" s="18">
        <f>IFERROR(__xludf.DUMMYFUNCTION("IMPORTRANGE(""https://docs.google.com/spreadsheets/d/""&amp;$A53&amp;""/edit#gid=156619080"",AD$3)"),3966.42)</f>
        <v>3966.42</v>
      </c>
      <c r="AE53" s="18">
        <f>IFERROR(__xludf.DUMMYFUNCTION("IMPORTRANGE(""https://docs.google.com/spreadsheets/d/""&amp;$A53&amp;""/edit#gid=156619080"",AE$3)"),3925.0)</f>
        <v>3925</v>
      </c>
      <c r="AF53" s="2">
        <f>IFERROR(__xludf.DUMMYFUNCTION("IMPORTRANGE(""https://docs.google.com/spreadsheets/d/""&amp;$A53&amp;""/edit#gid=156619080"",AF$3)"),3883.58)</f>
        <v>3883.58</v>
      </c>
      <c r="AG53" s="2">
        <f>IFERROR(__xludf.DUMMYFUNCTION("IMPORTRANGE(""https://docs.google.com/spreadsheets/d/""&amp;$A53&amp;""/edit#gid=156619080"",AG$3)"),3873.22)</f>
        <v>3873.22</v>
      </c>
      <c r="AH53" s="2">
        <f>IFERROR(__xludf.DUMMYFUNCTION("IMPORTRANGE(""https://docs.google.com/spreadsheets/d/""&amp;$A53&amp;""/edit#gid=156619080"",AH$3)"),3862.86)</f>
        <v>3862.86</v>
      </c>
      <c r="AI53" s="2">
        <f>IFERROR(__xludf.DUMMYFUNCTION("IMPORTRANGE(""https://docs.google.com/spreadsheets/d/""&amp;$A53&amp;""/edit#gid=156619080"",AI$3)"),3852.51)</f>
        <v>3852.51</v>
      </c>
      <c r="AJ53" s="2">
        <f>IFERROR(__xludf.DUMMYFUNCTION("IMPORTRANGE(""https://docs.google.com/spreadsheets/d/""&amp;$A53&amp;""/edit#gid=156619080"",AJ$3)"),3842.15)</f>
        <v>3842.15</v>
      </c>
      <c r="AK53" s="2" t="str">
        <f>IFERROR(__xludf.DUMMYFUNCTION("IMPORTRANGE(""https://docs.google.com/spreadsheets/d/""&amp;$A53&amp;""/edit#gid=156619080"",AK$3)"),"")</f>
        <v/>
      </c>
      <c r="AL53" s="2">
        <f>IFERROR(__xludf.DUMMYFUNCTION("IMPORTRANGE(""https://docs.google.com/spreadsheets/d/""&amp;$A53&amp;""/edit#gid=156619080"",AL$3)"),1.0)</f>
        <v>1</v>
      </c>
      <c r="AM53" s="2" t="str">
        <f>IFERROR(__xludf.DUMMYFUNCTION("IMPORTRANGE(""https://docs.google.com/spreadsheets/d/""&amp;$A53&amp;""/edit#gid=156619080"",AM$3)"),"")</f>
        <v/>
      </c>
      <c r="AN53" s="2">
        <f>IFERROR(__xludf.DUMMYFUNCTION("IMPORTRANGE(""https://docs.google.com/spreadsheets/d/""&amp;$A53&amp;""/edit#gid=156619080"",AN$3)"),1.0)</f>
        <v>1</v>
      </c>
      <c r="AO53" s="2" t="str">
        <f>IFERROR(__xludf.DUMMYFUNCTION("IMPORTRANGE(""https://docs.google.com/spreadsheets/d/""&amp;$A53&amp;""/edit#gid=156619080"",AO$3)"),"")</f>
        <v/>
      </c>
      <c r="AP53" s="2">
        <f>IFERROR(__xludf.DUMMYFUNCTION("IMPORTRANGE(""https://docs.google.com/spreadsheets/d/""&amp;$A53&amp;""/edit#gid=156619080"",AP$3)"),1.0)</f>
        <v>1</v>
      </c>
      <c r="AQ53" s="2" t="str">
        <f>IFERROR(__xludf.DUMMYFUNCTION("IMPORTRANGE(""https://docs.google.com/spreadsheets/d/""&amp;$A53&amp;""/edit#gid=156619080"",AQ$3)"),"")</f>
        <v/>
      </c>
      <c r="AR53" s="18">
        <f>IFERROR(__xludf.DUMMYFUNCTION("IMPORTRANGE(""https://docs.google.com/spreadsheets/d/""&amp;$A53&amp;""/edit#gid=156619080"",AR$3)"),57.49999999999999)</f>
        <v>57.5</v>
      </c>
      <c r="AS53" s="19" t="str">
        <f>IFERROR(__xludf.DUMMYFUNCTION("IMPORTRANGE(""https://docs.google.com/spreadsheets/d/""&amp;$A53&amp;""/edit#gid=156619080"",AS$3)"),"0
90
90
87.5
")</f>
        <v>0
90
90
87.5
</v>
      </c>
      <c r="AT53" s="18">
        <f>IFERROR(__xludf.DUMMYFUNCTION("IMPORTRANGE(""https://docs.google.com/spreadsheets/d/""&amp;$A53&amp;""/edit#gid=156619080"",AT$3)"),6.593406593406592)</f>
        <v>6.593406593</v>
      </c>
      <c r="AU53" s="3" t="str">
        <f>IFERROR(__xludf.DUMMYFUNCTION("IMPORTRANGE(""https://docs.google.com/spreadsheets/d/""&amp;$A53&amp;""/edit#gid=156619080"",AU$3)"),"-15.8
-2.06
4.95
9.2
")</f>
        <v>-15.8
-2.06
4.95
9.2
</v>
      </c>
      <c r="AV53" s="18">
        <f>IFERROR(__xludf.DUMMYFUNCTION("IMPORTRANGE(""https://docs.google.com/spreadsheets/d/""&amp;$A53&amp;""/edit#gid=156619080"",AV$3)"),26.10389610389611)</f>
        <v>26.1038961</v>
      </c>
      <c r="AW53" s="19" t="str">
        <f>IFERROR(__xludf.DUMMYFUNCTION("IMPORTRANGE(""https://docs.google.com/spreadsheets/d/""&amp;$A53&amp;""/edit#gid=156619080"",AW$3)"),"-46.1
-35.84
-15.58
5.16
")</f>
        <v>-46.1
-35.84
-15.58
5.16
</v>
      </c>
      <c r="AX53" s="2">
        <f>IFERROR(__xludf.DUMMYFUNCTION("IMPORTRANGE(""https://docs.google.com/spreadsheets/d/""&amp;$A53&amp;""/edit#gid=156619080"",AX$3)"),74.05000000000001)</f>
        <v>74.05</v>
      </c>
      <c r="AY53" s="2">
        <f>IFERROR(__xludf.DUMMYFUNCTION("IMPORTRANGE(""https://docs.google.com/spreadsheets/d/""&amp;$A53&amp;""/edit#gid=156619080"",AY$3)"),47.53)</f>
        <v>47.53</v>
      </c>
      <c r="AZ53" s="2">
        <f>IFERROR(__xludf.DUMMYFUNCTION("IMPORTRANGE(""https://docs.google.com/spreadsheets/d/""&amp;$A53&amp;""/edit#gid=156619080"",AZ$3)"),3950.52)</f>
        <v>3950.52</v>
      </c>
      <c r="BA53" s="2">
        <f>IFERROR(__xludf.DUMMYFUNCTION("IMPORTRANGE(""https://docs.google.com/spreadsheets/d/""&amp;$A53&amp;""/edit#gid=156619080"",BA$3)"),-2.5900000000001455)</f>
        <v>-2.59</v>
      </c>
      <c r="BB53" s="2">
        <f>IFERROR(__xludf.DUMMYFUNCTION("IMPORTRANGE(""https://docs.google.com/spreadsheets/d/""&amp;$A53&amp;""/edit#gid=156619080"",BB$3)"),-36.6)</f>
        <v>-36.6</v>
      </c>
      <c r="BC53" s="2" t="str">
        <f>IFERROR(__xludf.DUMMYFUNCTION("IMPORTRANGE(""https://docs.google.com/spreadsheets/d/""&amp;$A53&amp;""/edit#gid=156619080"",BC$3)"),"GC→GC")</f>
        <v>GC→GC</v>
      </c>
    </row>
    <row r="54" ht="51.0" customHeight="1">
      <c r="A54" s="7" t="str">
        <f t="shared" si="5"/>
        <v>1stEhuhdWuiAObCGaJdHQQD0FkAxrEIF1TRzOtWFPjHs</v>
      </c>
      <c r="B54" s="1" t="s">
        <v>81</v>
      </c>
      <c r="C54" s="2">
        <f>IFERROR(__xludf.DUMMYFUNCTION("IMPORTRANGE(""https://docs.google.com/spreadsheets/d/""&amp;$A54&amp;""/edit#gid=156619080"",C$3)"),132.0)</f>
        <v>132</v>
      </c>
      <c r="D54" s="2">
        <f>IFERROR(__xludf.DUMMYFUNCTION("IMPORTRANGE(""https://docs.google.com/spreadsheets/d/""&amp;$A54&amp;""/edit#gid=156619080"",D$3)"),5201.0)</f>
        <v>5201</v>
      </c>
      <c r="E54" s="15">
        <f>IFERROR(__xludf.DUMMYFUNCTION("IMPORTRANGE(""https://docs.google.com/spreadsheets/d/""&amp;$A54&amp;""/edit#gid=156619080"",E$3)"),43882.0)</f>
        <v>43882</v>
      </c>
      <c r="F54" s="2">
        <f>IFERROR(__xludf.DUMMYFUNCTION("IMPORTRANGE(""https://docs.google.com/spreadsheets/d/""&amp;$A54&amp;""/edit#gid=156619080"",F$3)"),-10.0)</f>
        <v>-10</v>
      </c>
      <c r="G54" s="16">
        <f>IFERROR(__xludf.DUMMYFUNCTION("IMPORTRANGE(""https://docs.google.com/spreadsheets/d/""&amp;$A54&amp;""/edit#gid=156619080"",G$3)"),-0.29)</f>
        <v>-0.29</v>
      </c>
      <c r="H54" s="16">
        <f>IFERROR(__xludf.DUMMYFUNCTION("IMPORTRANGE(""https://docs.google.com/spreadsheets/d/""&amp;$A54&amp;""/edit#gid=156619080"",H$3)"),3450.0)</f>
        <v>3450</v>
      </c>
      <c r="I54" s="16">
        <f>IFERROR(__xludf.DUMMYFUNCTION("IMPORTRANGE(""https://docs.google.com/spreadsheets/d/""&amp;$A54&amp;""/edit#gid=156619080"",I$3)"),30.0)</f>
        <v>30</v>
      </c>
      <c r="J54" s="16">
        <f>IFERROR(__xludf.DUMMYFUNCTION("IMPORTRANGE(""https://docs.google.com/spreadsheets/d/""&amp;$A54&amp;""/edit#gid=156619080"",J$3)"),3505.0)</f>
        <v>3505</v>
      </c>
      <c r="K54" s="16">
        <f>IFERROR(__xludf.DUMMYFUNCTION("IMPORTRANGE(""https://docs.google.com/spreadsheets/d/""&amp;$A54&amp;""/edit#gid=156619080"",K$3)"),0.5486111111111112)</f>
        <v>0.5486111111</v>
      </c>
      <c r="L54" s="16">
        <f>IFERROR(__xludf.DUMMYFUNCTION("IMPORTRANGE(""https://docs.google.com/spreadsheets/d/""&amp;$A54&amp;""/edit#gid=156619080"",L$3)"),3450.0)</f>
        <v>3450</v>
      </c>
      <c r="M54" s="16">
        <f>IFERROR(__xludf.DUMMYFUNCTION("IMPORTRANGE(""https://docs.google.com/spreadsheets/d/""&amp;$A54&amp;""/edit#gid=156619080"",M$3)"),0.375)</f>
        <v>0.375</v>
      </c>
      <c r="N54" s="16">
        <f>IFERROR(__xludf.DUMMYFUNCTION("IMPORTRANGE(""https://docs.google.com/spreadsheets/d/""&amp;$A54&amp;""/edit#gid=156619080"",N$3)"),3470.0)</f>
        <v>3470</v>
      </c>
      <c r="O54" s="16" t="str">
        <f>IFERROR(__xludf.DUMMYFUNCTION("IMPORTRANGE(""https://docs.google.com/spreadsheets/d/""&amp;$A54&amp;""/edit#gid=156619080"",O$3)"),"685900株")</f>
        <v>685900株</v>
      </c>
      <c r="P54" s="16" t="str">
        <f>IFERROR(__xludf.DUMMYFUNCTION("IMPORTRANGE(""https://docs.google.com/spreadsheets/d/""&amp;$A54&amp;""/edit#gid=156619080"",P$3)"),"2384百万円")</f>
        <v>2384百万円</v>
      </c>
      <c r="Q54" s="16" t="str">
        <f>IFERROR(__xludf.DUMMYFUNCTION("IMPORTRANGE(""https://docs.google.com/spreadsheets/d/""&amp;$A54&amp;""/edit#gid=156619080"",Q$3)"),"1197回")</f>
        <v>1197回</v>
      </c>
      <c r="R54" s="16" t="str">
        <f>IFERROR(__xludf.DUMMYFUNCTION("IMPORTRANGE(""https://docs.google.com/spreadsheets/d/""&amp;$A54&amp;""/edit#gid=156619080"",R$3)"),"7892億円")</f>
        <v>7892億円</v>
      </c>
      <c r="S54" s="16" t="str">
        <f>IFERROR(__xludf.DUMMYFUNCTION("IMPORTRANGE(""https://docs.google.com/spreadsheets/d/""&amp;$A54&amp;""/edit#gid=156619080"",S$3)"),"陽線")</f>
        <v>陽線</v>
      </c>
      <c r="T54" s="16" t="str">
        <f>IFERROR(__xludf.DUMMYFUNCTION("IMPORTRANGE(""https://docs.google.com/spreadsheets/d/""&amp;$A54&amp;""/edit#gid=156619080"",T$3)"),"")</f>
        <v/>
      </c>
      <c r="U54" s="16">
        <f>IFERROR(__xludf.DUMMYFUNCTION("IMPORTRANGE(""https://docs.google.com/spreadsheets/d/""&amp;$A54&amp;""/edit#gid=156619080"",U$3)"),3470.0)</f>
        <v>3470</v>
      </c>
      <c r="V54" s="16">
        <f>IFERROR(__xludf.DUMMYFUNCTION("IMPORTRANGE(""https://docs.google.com/spreadsheets/d/""&amp;$A54&amp;""/edit#gid=156619080"",V$3)"),3553.8)</f>
        <v>3553.8</v>
      </c>
      <c r="W54" s="16">
        <f>IFERROR(__xludf.DUMMYFUNCTION("IMPORTRANGE(""https://docs.google.com/spreadsheets/d/""&amp;$A54&amp;""/edit#gid=156619080"",W$3)"),3664.5)</f>
        <v>3664.5</v>
      </c>
      <c r="X54" s="2">
        <f>IFERROR(__xludf.DUMMYFUNCTION("IMPORTRANGE(""https://docs.google.com/spreadsheets/d/""&amp;$A54&amp;""/edit#gid=156619080"",X$3)"),3715.2)</f>
        <v>3715.2</v>
      </c>
      <c r="Y54" s="17">
        <f>IFERROR(__xludf.DUMMYFUNCTION("IMPORTRANGE(""https://docs.google.com/spreadsheets/d/""&amp;$A54&amp;""/edit#gid=156619080"",Y$3)"),0.0)</f>
        <v>0</v>
      </c>
      <c r="Z54" s="2">
        <f>IFERROR(__xludf.DUMMYFUNCTION("IMPORTRANGE(""https://docs.google.com/spreadsheets/d/""&amp;$A54&amp;""/edit#gid=156619080"",Z$3)"),4012.64)</f>
        <v>4012.64</v>
      </c>
      <c r="AA54" s="2">
        <f>IFERROR(__xludf.DUMMYFUNCTION("IMPORTRANGE(""https://docs.google.com/spreadsheets/d/""&amp;$A54&amp;""/edit#gid=156619080"",AA$3)"),3969.12)</f>
        <v>3969.12</v>
      </c>
      <c r="AB54" s="2">
        <f>IFERROR(__xludf.DUMMYFUNCTION("IMPORTRANGE(""https://docs.google.com/spreadsheets/d/""&amp;$A54&amp;""/edit#gid=156619080"",AB$3)"),3925.6)</f>
        <v>3925.6</v>
      </c>
      <c r="AC54" s="18">
        <f>IFERROR(__xludf.DUMMYFUNCTION("IMPORTRANGE(""https://docs.google.com/spreadsheets/d/""&amp;$A54&amp;""/edit#gid=156619080"",AC$3)"),3882.09)</f>
        <v>3882.09</v>
      </c>
      <c r="AD54" s="18">
        <f>IFERROR(__xludf.DUMMYFUNCTION("IMPORTRANGE(""https://docs.google.com/spreadsheets/d/""&amp;$A54&amp;""/edit#gid=156619080"",AD$3)"),3838.57)</f>
        <v>3838.57</v>
      </c>
      <c r="AE54" s="18">
        <f>IFERROR(__xludf.DUMMYFUNCTION("IMPORTRANGE(""https://docs.google.com/spreadsheets/d/""&amp;$A54&amp;""/edit#gid=156619080"",AE$3)"),3664.5)</f>
        <v>3664.5</v>
      </c>
      <c r="AF54" s="2">
        <f>IFERROR(__xludf.DUMMYFUNCTION("IMPORTRANGE(""https://docs.google.com/spreadsheets/d/""&amp;$A54&amp;""/edit#gid=156619080"",AF$3)"),3490.43)</f>
        <v>3490.43</v>
      </c>
      <c r="AG54" s="2">
        <f>IFERROR(__xludf.DUMMYFUNCTION("IMPORTRANGE(""https://docs.google.com/spreadsheets/d/""&amp;$A54&amp;""/edit#gid=156619080"",AG$3)"),3446.91)</f>
        <v>3446.91</v>
      </c>
      <c r="AH54" s="2">
        <f>IFERROR(__xludf.DUMMYFUNCTION("IMPORTRANGE(""https://docs.google.com/spreadsheets/d/""&amp;$A54&amp;""/edit#gid=156619080"",AH$3)"),3403.4)</f>
        <v>3403.4</v>
      </c>
      <c r="AI54" s="2">
        <f>IFERROR(__xludf.DUMMYFUNCTION("IMPORTRANGE(""https://docs.google.com/spreadsheets/d/""&amp;$A54&amp;""/edit#gid=156619080"",AI$3)"),3359.88)</f>
        <v>3359.88</v>
      </c>
      <c r="AJ54" s="2">
        <f>IFERROR(__xludf.DUMMYFUNCTION("IMPORTRANGE(""https://docs.google.com/spreadsheets/d/""&amp;$A54&amp;""/edit#gid=156619080"",AJ$3)"),3316.36)</f>
        <v>3316.36</v>
      </c>
      <c r="AK54" s="2" t="str">
        <f>IFERROR(__xludf.DUMMYFUNCTION("IMPORTRANGE(""https://docs.google.com/spreadsheets/d/""&amp;$A54&amp;""/edit#gid=156619080"",AK$3)"),"-1〜-1.25σ")</f>
        <v>-1〜-1.25σ</v>
      </c>
      <c r="AL54" s="2">
        <f>IFERROR(__xludf.DUMMYFUNCTION("IMPORTRANGE(""https://docs.google.com/spreadsheets/d/""&amp;$A54&amp;""/edit#gid=156619080"",AL$3)"),-1.0)</f>
        <v>-1</v>
      </c>
      <c r="AM54" s="2" t="str">
        <f>IFERROR(__xludf.DUMMYFUNCTION("IMPORTRANGE(""https://docs.google.com/spreadsheets/d/""&amp;$A54&amp;""/edit#gid=156619080"",AM$3)"),"")</f>
        <v/>
      </c>
      <c r="AN54" s="2">
        <f>IFERROR(__xludf.DUMMYFUNCTION("IMPORTRANGE(""https://docs.google.com/spreadsheets/d/""&amp;$A54&amp;""/edit#gid=156619080"",AN$3)"),-1.0)</f>
        <v>-1</v>
      </c>
      <c r="AO54" s="2" t="str">
        <f>IFERROR(__xludf.DUMMYFUNCTION("IMPORTRANGE(""https://docs.google.com/spreadsheets/d/""&amp;$A54&amp;""/edit#gid=156619080"",AO$3)"),"")</f>
        <v/>
      </c>
      <c r="AP54" s="2">
        <f>IFERROR(__xludf.DUMMYFUNCTION("IMPORTRANGE(""https://docs.google.com/spreadsheets/d/""&amp;$A54&amp;""/edit#gid=156619080"",AP$3)"),-1.0)</f>
        <v>-1</v>
      </c>
      <c r="AQ54" s="2" t="str">
        <f>IFERROR(__xludf.DUMMYFUNCTION("IMPORTRANGE(""https://docs.google.com/spreadsheets/d/""&amp;$A54&amp;""/edit#gid=156619080"",AQ$3)"),"")</f>
        <v/>
      </c>
      <c r="AR54" s="18">
        <f>IFERROR(__xludf.DUMMYFUNCTION("IMPORTRANGE(""https://docs.google.com/spreadsheets/d/""&amp;$A54&amp;""/edit#gid=156619080"",AR$3)"),-19.999999999999996)</f>
        <v>-20</v>
      </c>
      <c r="AS54" s="19" t="str">
        <f>IFERROR(__xludf.DUMMYFUNCTION("IMPORTRANGE(""https://docs.google.com/spreadsheets/d/""&amp;$A54&amp;""/edit#gid=156619080"",AS$3)"),"-70
-70
-100
-70
")</f>
        <v>-70
-70
-100
-70
</v>
      </c>
      <c r="AT54" s="18">
        <f>IFERROR(__xludf.DUMMYFUNCTION("IMPORTRANGE(""https://docs.google.com/spreadsheets/d/""&amp;$A54&amp;""/edit#gid=156619080"",AT$3)"),-92.71978021978022)</f>
        <v>-92.71978022</v>
      </c>
      <c r="AU54" s="3" t="str">
        <f>IFERROR(__xludf.DUMMYFUNCTION("IMPORTRANGE(""https://docs.google.com/spreadsheets/d/""&amp;$A54&amp;""/edit#gid=156619080"",AU$3)"),"-88.87
-88.87
-97.12
-95.47
")</f>
        <v>-88.87
-88.87
-97.12
-95.47
</v>
      </c>
      <c r="AV54" s="18">
        <f>IFERROR(__xludf.DUMMYFUNCTION("IMPORTRANGE(""https://docs.google.com/spreadsheets/d/""&amp;$A54&amp;""/edit#gid=156619080"",AV$3)"),-96.2012987012987)</f>
        <v>-96.2012987</v>
      </c>
      <c r="AW54" s="19" t="str">
        <f>IFERROR(__xludf.DUMMYFUNCTION("IMPORTRANGE(""https://docs.google.com/spreadsheets/d/""&amp;$A54&amp;""/edit#gid=156619080"",AW$3)"),"-95.94
-97.24
-97.24
-96.85
")</f>
        <v>-95.94
-97.24
-97.24
-96.85
</v>
      </c>
      <c r="AX54" s="2">
        <f>IFERROR(__xludf.DUMMYFUNCTION("IMPORTRANGE(""https://docs.google.com/spreadsheets/d/""&amp;$A54&amp;""/edit#gid=156619080"",AX$3)"),31.25)</f>
        <v>31.25</v>
      </c>
      <c r="AY54" s="2">
        <f>IFERROR(__xludf.DUMMYFUNCTION("IMPORTRANGE(""https://docs.google.com/spreadsheets/d/""&amp;$A54&amp;""/edit#gid=156619080"",AY$3)"),14.84)</f>
        <v>14.84</v>
      </c>
      <c r="AZ54" s="2">
        <f>IFERROR(__xludf.DUMMYFUNCTION("IMPORTRANGE(""https://docs.google.com/spreadsheets/d/""&amp;$A54&amp;""/edit#gid=156619080"",AZ$3)"),3479.93)</f>
        <v>3479.93</v>
      </c>
      <c r="BA54" s="2">
        <f>IFERROR(__xludf.DUMMYFUNCTION("IMPORTRANGE(""https://docs.google.com/spreadsheets/d/""&amp;$A54&amp;""/edit#gid=156619080"",BA$3)"),-148.21000000000004)</f>
        <v>-148.21</v>
      </c>
      <c r="BB54" s="2">
        <f>IFERROR(__xludf.DUMMYFUNCTION("IMPORTRANGE(""https://docs.google.com/spreadsheets/d/""&amp;$A54&amp;""/edit#gid=156619080"",BB$3)"),-142.23)</f>
        <v>-142.23</v>
      </c>
      <c r="BC54" s="2" t="str">
        <f>IFERROR(__xludf.DUMMYFUNCTION("IMPORTRANGE(""https://docs.google.com/spreadsheets/d/""&amp;$A54&amp;""/edit#gid=156619080"",BC$3)"),"DC→DC")</f>
        <v>DC→DC</v>
      </c>
    </row>
    <row r="55" ht="51.0" customHeight="1">
      <c r="A55" s="7" t="str">
        <f t="shared" si="5"/>
        <v>14hH8QcRMRVDz1ZBeDzc4hlqb2bdPGJgUCeyXUTl_L5c</v>
      </c>
      <c r="B55" s="1" t="s">
        <v>82</v>
      </c>
      <c r="C55" s="2">
        <f>IFERROR(__xludf.DUMMYFUNCTION("IMPORTRANGE(""https://docs.google.com/spreadsheets/d/""&amp;$A55&amp;""/edit#gid=156619080"",C$3)"),132.0)</f>
        <v>132</v>
      </c>
      <c r="D55" s="2">
        <f>IFERROR(__xludf.DUMMYFUNCTION("IMPORTRANGE(""https://docs.google.com/spreadsheets/d/""&amp;$A55&amp;""/edit#gid=156619080"",D$3)"),5202.0)</f>
        <v>5202</v>
      </c>
      <c r="E55" s="15">
        <f>IFERROR(__xludf.DUMMYFUNCTION("IMPORTRANGE(""https://docs.google.com/spreadsheets/d/""&amp;$A55&amp;""/edit#gid=156619080"",E$3)"),43882.0)</f>
        <v>43882</v>
      </c>
      <c r="F55" s="2">
        <f>IFERROR(__xludf.DUMMYFUNCTION("IMPORTRANGE(""https://docs.google.com/spreadsheets/d/""&amp;$A55&amp;""/edit#gid=156619080"",F$3)"),-6.0)</f>
        <v>-6</v>
      </c>
      <c r="G55" s="16">
        <f>IFERROR(__xludf.DUMMYFUNCTION("IMPORTRANGE(""https://docs.google.com/spreadsheets/d/""&amp;$A55&amp;""/edit#gid=156619080"",G$3)"),-1.06)</f>
        <v>-1.06</v>
      </c>
      <c r="H55" s="16">
        <f>IFERROR(__xludf.DUMMYFUNCTION("IMPORTRANGE(""https://docs.google.com/spreadsheets/d/""&amp;$A55&amp;""/edit#gid=156619080"",H$3)"),566.0)</f>
        <v>566</v>
      </c>
      <c r="I55" s="16">
        <f>IFERROR(__xludf.DUMMYFUNCTION("IMPORTRANGE(""https://docs.google.com/spreadsheets/d/""&amp;$A55&amp;""/edit#gid=156619080"",I$3)"),1.0)</f>
        <v>1</v>
      </c>
      <c r="J55" s="16">
        <f>IFERROR(__xludf.DUMMYFUNCTION("IMPORTRANGE(""https://docs.google.com/spreadsheets/d/""&amp;$A55&amp;""/edit#gid=156619080"",J$3)"),569.0)</f>
        <v>569</v>
      </c>
      <c r="K55" s="16">
        <f>IFERROR(__xludf.DUMMYFUNCTION("IMPORTRANGE(""https://docs.google.com/spreadsheets/d/""&amp;$A55&amp;""/edit#gid=156619080"",K$3)"),0.3854166666666667)</f>
        <v>0.3854166667</v>
      </c>
      <c r="L55" s="16">
        <f>IFERROR(__xludf.DUMMYFUNCTION("IMPORTRANGE(""https://docs.google.com/spreadsheets/d/""&amp;$A55&amp;""/edit#gid=156619080"",L$3)"),559.0)</f>
        <v>559</v>
      </c>
      <c r="M55" s="16">
        <f>IFERROR(__xludf.DUMMYFUNCTION("IMPORTRANGE(""https://docs.google.com/spreadsheets/d/""&amp;$A55&amp;""/edit#gid=156619080"",M$3)"),0.6118055555555556)</f>
        <v>0.6118055556</v>
      </c>
      <c r="N55" s="16">
        <f>IFERROR(__xludf.DUMMYFUNCTION("IMPORTRANGE(""https://docs.google.com/spreadsheets/d/""&amp;$A55&amp;""/edit#gid=156619080"",N$3)"),561.0)</f>
        <v>561</v>
      </c>
      <c r="O55" s="16" t="str">
        <f>IFERROR(__xludf.DUMMYFUNCTION("IMPORTRANGE(""https://docs.google.com/spreadsheets/d/""&amp;$A55&amp;""/edit#gid=156619080"",O$3)"),"869500株")</f>
        <v>869500株</v>
      </c>
      <c r="P55" s="16" t="str">
        <f>IFERROR(__xludf.DUMMYFUNCTION("IMPORTRANGE(""https://docs.google.com/spreadsheets/d/""&amp;$A55&amp;""/edit#gid=156619080"",P$3)"),"490百万円")</f>
        <v>490百万円</v>
      </c>
      <c r="Q55" s="16" t="str">
        <f>IFERROR(__xludf.DUMMYFUNCTION("IMPORTRANGE(""https://docs.google.com/spreadsheets/d/""&amp;$A55&amp;""/edit#gid=156619080"",Q$3)"),"911回")</f>
        <v>911回</v>
      </c>
      <c r="R55" s="16" t="str">
        <f>IFERROR(__xludf.DUMMYFUNCTION("IMPORTRANGE(""https://docs.google.com/spreadsheets/d/""&amp;$A55&amp;""/edit#gid=156619080"",R$3)"),"508億円")</f>
        <v>508億円</v>
      </c>
      <c r="S55" s="16" t="str">
        <f>IFERROR(__xludf.DUMMYFUNCTION("IMPORTRANGE(""https://docs.google.com/spreadsheets/d/""&amp;$A55&amp;""/edit#gid=156619080"",S$3)"),"陰線")</f>
        <v>陰線</v>
      </c>
      <c r="T55" s="16" t="str">
        <f>IFERROR(__xludf.DUMMYFUNCTION("IMPORTRANGE(""https://docs.google.com/spreadsheets/d/""&amp;$A55&amp;""/edit#gid=156619080"",T$3)"),"")</f>
        <v/>
      </c>
      <c r="U55" s="16">
        <f>IFERROR(__xludf.DUMMYFUNCTION("IMPORTRANGE(""https://docs.google.com/spreadsheets/d/""&amp;$A55&amp;""/edit#gid=156619080"",U$3)"),569.4)</f>
        <v>569.4</v>
      </c>
      <c r="V55" s="16">
        <f>IFERROR(__xludf.DUMMYFUNCTION("IMPORTRANGE(""https://docs.google.com/spreadsheets/d/""&amp;$A55&amp;""/edit#gid=156619080"",V$3)"),584.2)</f>
        <v>584.2</v>
      </c>
      <c r="W55" s="16">
        <f>IFERROR(__xludf.DUMMYFUNCTION("IMPORTRANGE(""https://docs.google.com/spreadsheets/d/""&amp;$A55&amp;""/edit#gid=156619080"",W$3)"),603.4)</f>
        <v>603.4</v>
      </c>
      <c r="X55" s="2">
        <f>IFERROR(__xludf.DUMMYFUNCTION("IMPORTRANGE(""https://docs.google.com/spreadsheets/d/""&amp;$A55&amp;""/edit#gid=156619080"",X$3)"),645.7)</f>
        <v>645.7</v>
      </c>
      <c r="Y55" s="17">
        <f>IFERROR(__xludf.DUMMYFUNCTION("IMPORTRANGE(""https://docs.google.com/spreadsheets/d/""&amp;$A55&amp;""/edit#gid=156619080"",Y$3)"),-0.014752370916754439)</f>
        <v>-0.01475237092</v>
      </c>
      <c r="Z55" s="2">
        <f>IFERROR(__xludf.DUMMYFUNCTION("IMPORTRANGE(""https://docs.google.com/spreadsheets/d/""&amp;$A55&amp;""/edit#gid=156619080"",Z$3)"),669.6)</f>
        <v>669.6</v>
      </c>
      <c r="AA55" s="2">
        <f>IFERROR(__xludf.DUMMYFUNCTION("IMPORTRANGE(""https://docs.google.com/spreadsheets/d/""&amp;$A55&amp;""/edit#gid=156619080"",AA$3)"),661.32)</f>
        <v>661.32</v>
      </c>
      <c r="AB55" s="2">
        <f>IFERROR(__xludf.DUMMYFUNCTION("IMPORTRANGE(""https://docs.google.com/spreadsheets/d/""&amp;$A55&amp;""/edit#gid=156619080"",AB$3)"),653.05)</f>
        <v>653.05</v>
      </c>
      <c r="AC55" s="18">
        <f>IFERROR(__xludf.DUMMYFUNCTION("IMPORTRANGE(""https://docs.google.com/spreadsheets/d/""&amp;$A55&amp;""/edit#gid=156619080"",AC$3)"),644.77)</f>
        <v>644.77</v>
      </c>
      <c r="AD55" s="18">
        <f>IFERROR(__xludf.DUMMYFUNCTION("IMPORTRANGE(""https://docs.google.com/spreadsheets/d/""&amp;$A55&amp;""/edit#gid=156619080"",AD$3)"),636.5)</f>
        <v>636.5</v>
      </c>
      <c r="AE55" s="18">
        <f>IFERROR(__xludf.DUMMYFUNCTION("IMPORTRANGE(""https://docs.google.com/spreadsheets/d/""&amp;$A55&amp;""/edit#gid=156619080"",AE$3)"),603.4)</f>
        <v>603.4</v>
      </c>
      <c r="AF55" s="2">
        <f>IFERROR(__xludf.DUMMYFUNCTION("IMPORTRANGE(""https://docs.google.com/spreadsheets/d/""&amp;$A55&amp;""/edit#gid=156619080"",AF$3)"),570.3)</f>
        <v>570.3</v>
      </c>
      <c r="AG55" s="2">
        <f>IFERROR(__xludf.DUMMYFUNCTION("IMPORTRANGE(""https://docs.google.com/spreadsheets/d/""&amp;$A55&amp;""/edit#gid=156619080"",AG$3)"),562.03)</f>
        <v>562.03</v>
      </c>
      <c r="AH55" s="2">
        <f>IFERROR(__xludf.DUMMYFUNCTION("IMPORTRANGE(""https://docs.google.com/spreadsheets/d/""&amp;$A55&amp;""/edit#gid=156619080"",AH$3)"),553.75)</f>
        <v>553.75</v>
      </c>
      <c r="AI55" s="2">
        <f>IFERROR(__xludf.DUMMYFUNCTION("IMPORTRANGE(""https://docs.google.com/spreadsheets/d/""&amp;$A55&amp;""/edit#gid=156619080"",AI$3)"),545.48)</f>
        <v>545.48</v>
      </c>
      <c r="AJ55" s="2">
        <f>IFERROR(__xludf.DUMMYFUNCTION("IMPORTRANGE(""https://docs.google.com/spreadsheets/d/""&amp;$A55&amp;""/edit#gid=156619080"",AJ$3)"),537.2)</f>
        <v>537.2</v>
      </c>
      <c r="AK55" s="2" t="str">
        <f>IFERROR(__xludf.DUMMYFUNCTION("IMPORTRANGE(""https://docs.google.com/spreadsheets/d/""&amp;$A55&amp;""/edit#gid=156619080"",AK$3)"),"-1.25σ〜-1.5σ")</f>
        <v>-1.25σ〜-1.5σ</v>
      </c>
      <c r="AL55" s="2">
        <f>IFERROR(__xludf.DUMMYFUNCTION("IMPORTRANGE(""https://docs.google.com/spreadsheets/d/""&amp;$A55&amp;""/edit#gid=156619080"",AL$3)"),-1.0)</f>
        <v>-1</v>
      </c>
      <c r="AM55" s="2" t="str">
        <f>IFERROR(__xludf.DUMMYFUNCTION("IMPORTRANGE(""https://docs.google.com/spreadsheets/d/""&amp;$A55&amp;""/edit#gid=156619080"",AM$3)"),"")</f>
        <v/>
      </c>
      <c r="AN55" s="2">
        <f>IFERROR(__xludf.DUMMYFUNCTION("IMPORTRANGE(""https://docs.google.com/spreadsheets/d/""&amp;$A55&amp;""/edit#gid=156619080"",AN$3)"),-1.0)</f>
        <v>-1</v>
      </c>
      <c r="AO55" s="2" t="str">
        <f>IFERROR(__xludf.DUMMYFUNCTION("IMPORTRANGE(""https://docs.google.com/spreadsheets/d/""&amp;$A55&amp;""/edit#gid=156619080"",AO$3)"),"")</f>
        <v/>
      </c>
      <c r="AP55" s="2">
        <f>IFERROR(__xludf.DUMMYFUNCTION("IMPORTRANGE(""https://docs.google.com/spreadsheets/d/""&amp;$A55&amp;""/edit#gid=156619080"",AP$3)"),-1.0)</f>
        <v>-1</v>
      </c>
      <c r="AQ55" s="2" t="str">
        <f>IFERROR(__xludf.DUMMYFUNCTION("IMPORTRANGE(""https://docs.google.com/spreadsheets/d/""&amp;$A55&amp;""/edit#gid=156619080"",AQ$3)"),"")</f>
        <v/>
      </c>
      <c r="AR55" s="18">
        <f>IFERROR(__xludf.DUMMYFUNCTION("IMPORTRANGE(""https://docs.google.com/spreadsheets/d/""&amp;$A55&amp;""/edit#gid=156619080"",AR$3)"),-100.0)</f>
        <v>-100</v>
      </c>
      <c r="AS55" s="19" t="str">
        <f>IFERROR(__xludf.DUMMYFUNCTION("IMPORTRANGE(""https://docs.google.com/spreadsheets/d/""&amp;$A55&amp;""/edit#gid=156619080"",AS$3)"),"-70
-70
-100
-100
")</f>
        <v>-70
-70
-100
-100
</v>
      </c>
      <c r="AT55" s="18">
        <f>IFERROR(__xludf.DUMMYFUNCTION("IMPORTRANGE(""https://docs.google.com/spreadsheets/d/""&amp;$A55&amp;""/edit#gid=156619080"",AT$3)"),-81.31868131868131)</f>
        <v>-81.31868132</v>
      </c>
      <c r="AU55" s="3" t="str">
        <f>IFERROR(__xludf.DUMMYFUNCTION("IMPORTRANGE(""https://docs.google.com/spreadsheets/d/""&amp;$A55&amp;""/edit#gid=156619080"",AU$3)"),"-54.4
-48.9
-48.9
-51.1
")</f>
        <v>-54.4
-48.9
-48.9
-51.1
</v>
      </c>
      <c r="AV55" s="18">
        <f>IFERROR(__xludf.DUMMYFUNCTION("IMPORTRANGE(""https://docs.google.com/spreadsheets/d/""&amp;$A55&amp;""/edit#gid=156619080"",AV$3)"),-87.92207792207792)</f>
        <v>-87.92207792</v>
      </c>
      <c r="AW55" s="19" t="str">
        <f>IFERROR(__xludf.DUMMYFUNCTION("IMPORTRANGE(""https://docs.google.com/spreadsheets/d/""&amp;$A55&amp;""/edit#gid=156619080"",AW$3)"),"-87.53
-87.53
-87.79
-87.92
")</f>
        <v>-87.53
-87.53
-87.79
-87.92
</v>
      </c>
      <c r="AX55" s="2">
        <f>IFERROR(__xludf.DUMMYFUNCTION("IMPORTRANGE(""https://docs.google.com/spreadsheets/d/""&amp;$A55&amp;""/edit#gid=156619080"",AX$3)"),0.0)</f>
        <v>0</v>
      </c>
      <c r="AY55" s="2">
        <f>IFERROR(__xludf.DUMMYFUNCTION("IMPORTRANGE(""https://docs.google.com/spreadsheets/d/""&amp;$A55&amp;""/edit#gid=156619080"",AY$3)"),18.360000000000003)</f>
        <v>18.36</v>
      </c>
      <c r="AZ55" s="2">
        <f>IFERROR(__xludf.DUMMYFUNCTION("IMPORTRANGE(""https://docs.google.com/spreadsheets/d/""&amp;$A55&amp;""/edit#gid=156619080"",AZ$3)"),569.85)</f>
        <v>569.85</v>
      </c>
      <c r="BA55" s="2">
        <f>IFERROR(__xludf.DUMMYFUNCTION("IMPORTRANGE(""https://docs.google.com/spreadsheets/d/""&amp;$A55&amp;""/edit#gid=156619080"",BA$3)"),-30.819999999999936)</f>
        <v>-30.82</v>
      </c>
      <c r="BB55" s="2">
        <f>IFERROR(__xludf.DUMMYFUNCTION("IMPORTRANGE(""https://docs.google.com/spreadsheets/d/""&amp;$A55&amp;""/edit#gid=156619080"",BB$3)"),-28.74)</f>
        <v>-28.74</v>
      </c>
      <c r="BC55" s="2" t="str">
        <f>IFERROR(__xludf.DUMMYFUNCTION("IMPORTRANGE(""https://docs.google.com/spreadsheets/d/""&amp;$A55&amp;""/edit#gid=156619080"",BC$3)"),"DC→DC")</f>
        <v>DC→DC</v>
      </c>
    </row>
    <row r="56" ht="51.0" customHeight="1">
      <c r="A56" s="7" t="str">
        <f t="shared" si="5"/>
        <v>1s32q8bW9XPYT9UJwkU-ONW0z57vAjFxYM44eUSIg_Nc</v>
      </c>
      <c r="B56" s="1" t="s">
        <v>83</v>
      </c>
      <c r="C56" s="2">
        <f>IFERROR(__xludf.DUMMYFUNCTION("IMPORTRANGE(""https://docs.google.com/spreadsheets/d/""&amp;$A56&amp;""/edit#gid=156619080"",C$3)"),132.0)</f>
        <v>132</v>
      </c>
      <c r="D56" s="2">
        <f>IFERROR(__xludf.DUMMYFUNCTION("IMPORTRANGE(""https://docs.google.com/spreadsheets/d/""&amp;$A56&amp;""/edit#gid=156619080"",D$3)"),5214.0)</f>
        <v>5214</v>
      </c>
      <c r="E56" s="15">
        <f>IFERROR(__xludf.DUMMYFUNCTION("IMPORTRANGE(""https://docs.google.com/spreadsheets/d/""&amp;$A56&amp;""/edit#gid=156619080"",E$3)"),43882.0)</f>
        <v>43882</v>
      </c>
      <c r="F56" s="2">
        <f>IFERROR(__xludf.DUMMYFUNCTION("IMPORTRANGE(""https://docs.google.com/spreadsheets/d/""&amp;$A56&amp;""/edit#gid=156619080"",F$3)"),-16.0)</f>
        <v>-16</v>
      </c>
      <c r="G56" s="16">
        <f>IFERROR(__xludf.DUMMYFUNCTION("IMPORTRANGE(""https://docs.google.com/spreadsheets/d/""&amp;$A56&amp;""/edit#gid=156619080"",G$3)"),-0.78)</f>
        <v>-0.78</v>
      </c>
      <c r="H56" s="16">
        <f>IFERROR(__xludf.DUMMYFUNCTION("IMPORTRANGE(""https://docs.google.com/spreadsheets/d/""&amp;$A56&amp;""/edit#gid=156619080"",H$3)"),2056.0)</f>
        <v>2056</v>
      </c>
      <c r="I56" s="16">
        <f>IFERROR(__xludf.DUMMYFUNCTION("IMPORTRANGE(""https://docs.google.com/spreadsheets/d/""&amp;$A56&amp;""/edit#gid=156619080"",I$3)"),3.0)</f>
        <v>3</v>
      </c>
      <c r="J56" s="16">
        <f>IFERROR(__xludf.DUMMYFUNCTION("IMPORTRANGE(""https://docs.google.com/spreadsheets/d/""&amp;$A56&amp;""/edit#gid=156619080"",J$3)"),2076.0)</f>
        <v>2076</v>
      </c>
      <c r="K56" s="16">
        <f>IFERROR(__xludf.DUMMYFUNCTION("IMPORTRANGE(""https://docs.google.com/spreadsheets/d/""&amp;$A56&amp;""/edit#gid=156619080"",K$3)"),0.44513888888888886)</f>
        <v>0.4451388889</v>
      </c>
      <c r="L56" s="16">
        <f>IFERROR(__xludf.DUMMYFUNCTION("IMPORTRANGE(""https://docs.google.com/spreadsheets/d/""&amp;$A56&amp;""/edit#gid=156619080"",L$3)"),2042.0)</f>
        <v>2042</v>
      </c>
      <c r="M56" s="16">
        <f>IFERROR(__xludf.DUMMYFUNCTION("IMPORTRANGE(""https://docs.google.com/spreadsheets/d/""&amp;$A56&amp;""/edit#gid=156619080"",M$3)"),0.6229166666666667)</f>
        <v>0.6229166667</v>
      </c>
      <c r="N56" s="16">
        <f>IFERROR(__xludf.DUMMYFUNCTION("IMPORTRANGE(""https://docs.google.com/spreadsheets/d/""&amp;$A56&amp;""/edit#gid=156619080"",N$3)"),2043.0)</f>
        <v>2043</v>
      </c>
      <c r="O56" s="16" t="str">
        <f>IFERROR(__xludf.DUMMYFUNCTION("IMPORTRANGE(""https://docs.google.com/spreadsheets/d/""&amp;$A56&amp;""/edit#gid=156619080"",O$3)"),"828300株")</f>
        <v>828300株</v>
      </c>
      <c r="P56" s="16" t="str">
        <f>IFERROR(__xludf.DUMMYFUNCTION("IMPORTRANGE(""https://docs.google.com/spreadsheets/d/""&amp;$A56&amp;""/edit#gid=156619080"",P$3)"),"1702百万円")</f>
        <v>1702百万円</v>
      </c>
      <c r="Q56" s="16" t="str">
        <f>IFERROR(__xludf.DUMMYFUNCTION("IMPORTRANGE(""https://docs.google.com/spreadsheets/d/""&amp;$A56&amp;""/edit#gid=156619080"",Q$3)"),"2095回")</f>
        <v>2095回</v>
      </c>
      <c r="R56" s="16" t="str">
        <f>IFERROR(__xludf.DUMMYFUNCTION("IMPORTRANGE(""https://docs.google.com/spreadsheets/d/""&amp;$A56&amp;""/edit#gid=156619080"",R$3)"),"2033億円")</f>
        <v>2033億円</v>
      </c>
      <c r="S56" s="16" t="str">
        <f>IFERROR(__xludf.DUMMYFUNCTION("IMPORTRANGE(""https://docs.google.com/spreadsheets/d/""&amp;$A56&amp;""/edit#gid=156619080"",S$3)"),"陰線")</f>
        <v>陰線</v>
      </c>
      <c r="T56" s="16" t="str">
        <f>IFERROR(__xludf.DUMMYFUNCTION("IMPORTRANGE(""https://docs.google.com/spreadsheets/d/""&amp;$A56&amp;""/edit#gid=156619080"",T$3)"),"")</f>
        <v/>
      </c>
      <c r="U56" s="16">
        <f>IFERROR(__xludf.DUMMYFUNCTION("IMPORTRANGE(""https://docs.google.com/spreadsheets/d/""&amp;$A56&amp;""/edit#gid=156619080"",U$3)"),2056.8)</f>
        <v>2056.8</v>
      </c>
      <c r="V56" s="16">
        <f>IFERROR(__xludf.DUMMYFUNCTION("IMPORTRANGE(""https://docs.google.com/spreadsheets/d/""&amp;$A56&amp;""/edit#gid=156619080"",V$3)"),2112.5)</f>
        <v>2112.5</v>
      </c>
      <c r="W56" s="16">
        <f>IFERROR(__xludf.DUMMYFUNCTION("IMPORTRANGE(""https://docs.google.com/spreadsheets/d/""&amp;$A56&amp;""/edit#gid=156619080"",W$3)"),2148.9)</f>
        <v>2148.9</v>
      </c>
      <c r="X56" s="2">
        <f>IFERROR(__xludf.DUMMYFUNCTION("IMPORTRANGE(""https://docs.google.com/spreadsheets/d/""&amp;$A56&amp;""/edit#gid=156619080"",X$3)"),2335.1)</f>
        <v>2335.1</v>
      </c>
      <c r="Y56" s="17">
        <f>IFERROR(__xludf.DUMMYFUNCTION("IMPORTRANGE(""https://docs.google.com/spreadsheets/d/""&amp;$A56&amp;""/edit#gid=156619080"",Y$3)"),-0.006709451575262632)</f>
        <v>-0.006709451575</v>
      </c>
      <c r="Z56" s="2">
        <f>IFERROR(__xludf.DUMMYFUNCTION("IMPORTRANGE(""https://docs.google.com/spreadsheets/d/""&amp;$A56&amp;""/edit#gid=156619080"",Z$3)"),2296.49)</f>
        <v>2296.49</v>
      </c>
      <c r="AA56" s="2">
        <f>IFERROR(__xludf.DUMMYFUNCTION("IMPORTRANGE(""https://docs.google.com/spreadsheets/d/""&amp;$A56&amp;""/edit#gid=156619080"",AA$3)"),2278.04)</f>
        <v>2278.04</v>
      </c>
      <c r="AB56" s="2">
        <f>IFERROR(__xludf.DUMMYFUNCTION("IMPORTRANGE(""https://docs.google.com/spreadsheets/d/""&amp;$A56&amp;""/edit#gid=156619080"",AB$3)"),2259.59)</f>
        <v>2259.59</v>
      </c>
      <c r="AC56" s="18">
        <f>IFERROR(__xludf.DUMMYFUNCTION("IMPORTRANGE(""https://docs.google.com/spreadsheets/d/""&amp;$A56&amp;""/edit#gid=156619080"",AC$3)"),2241.14)</f>
        <v>2241.14</v>
      </c>
      <c r="AD56" s="18">
        <f>IFERROR(__xludf.DUMMYFUNCTION("IMPORTRANGE(""https://docs.google.com/spreadsheets/d/""&amp;$A56&amp;""/edit#gid=156619080"",AD$3)"),2222.69)</f>
        <v>2222.69</v>
      </c>
      <c r="AE56" s="18">
        <f>IFERROR(__xludf.DUMMYFUNCTION("IMPORTRANGE(""https://docs.google.com/spreadsheets/d/""&amp;$A56&amp;""/edit#gid=156619080"",AE$3)"),2148.9)</f>
        <v>2148.9</v>
      </c>
      <c r="AF56" s="2">
        <f>IFERROR(__xludf.DUMMYFUNCTION("IMPORTRANGE(""https://docs.google.com/spreadsheets/d/""&amp;$A56&amp;""/edit#gid=156619080"",AF$3)"),2075.11)</f>
        <v>2075.11</v>
      </c>
      <c r="AG56" s="2">
        <f>IFERROR(__xludf.DUMMYFUNCTION("IMPORTRANGE(""https://docs.google.com/spreadsheets/d/""&amp;$A56&amp;""/edit#gid=156619080"",AG$3)"),2056.66)</f>
        <v>2056.66</v>
      </c>
      <c r="AH56" s="2">
        <f>IFERROR(__xludf.DUMMYFUNCTION("IMPORTRANGE(""https://docs.google.com/spreadsheets/d/""&amp;$A56&amp;""/edit#gid=156619080"",AH$3)"),2038.21)</f>
        <v>2038.21</v>
      </c>
      <c r="AI56" s="2">
        <f>IFERROR(__xludf.DUMMYFUNCTION("IMPORTRANGE(""https://docs.google.com/spreadsheets/d/""&amp;$A56&amp;""/edit#gid=156619080"",AI$3)"),2019.76)</f>
        <v>2019.76</v>
      </c>
      <c r="AJ56" s="2">
        <f>IFERROR(__xludf.DUMMYFUNCTION("IMPORTRANGE(""https://docs.google.com/spreadsheets/d/""&amp;$A56&amp;""/edit#gid=156619080"",AJ$3)"),2001.31)</f>
        <v>2001.31</v>
      </c>
      <c r="AK56" s="2" t="str">
        <f>IFERROR(__xludf.DUMMYFUNCTION("IMPORTRANGE(""https://docs.google.com/spreadsheets/d/""&amp;$A56&amp;""/edit#gid=156619080"",AK$3)"),"-1.25σ〜-1.5σ")</f>
        <v>-1.25σ〜-1.5σ</v>
      </c>
      <c r="AL56" s="2">
        <f>IFERROR(__xludf.DUMMYFUNCTION("IMPORTRANGE(""https://docs.google.com/spreadsheets/d/""&amp;$A56&amp;""/edit#gid=156619080"",AL$3)"),-1.0)</f>
        <v>-1</v>
      </c>
      <c r="AM56" s="2" t="str">
        <f>IFERROR(__xludf.DUMMYFUNCTION("IMPORTRANGE(""https://docs.google.com/spreadsheets/d/""&amp;$A56&amp;""/edit#gid=156619080"",AM$3)"),"")</f>
        <v/>
      </c>
      <c r="AN56" s="2">
        <f>IFERROR(__xludf.DUMMYFUNCTION("IMPORTRANGE(""https://docs.google.com/spreadsheets/d/""&amp;$A56&amp;""/edit#gid=156619080"",AN$3)"),-1.0)</f>
        <v>-1</v>
      </c>
      <c r="AO56" s="2" t="str">
        <f>IFERROR(__xludf.DUMMYFUNCTION("IMPORTRANGE(""https://docs.google.com/spreadsheets/d/""&amp;$A56&amp;""/edit#gid=156619080"",AO$3)"),"")</f>
        <v/>
      </c>
      <c r="AP56" s="2">
        <f>IFERROR(__xludf.DUMMYFUNCTION("IMPORTRANGE(""https://docs.google.com/spreadsheets/d/""&amp;$A56&amp;""/edit#gid=156619080"",AP$3)"),-1.0)</f>
        <v>-1</v>
      </c>
      <c r="AQ56" s="2" t="str">
        <f>IFERROR(__xludf.DUMMYFUNCTION("IMPORTRANGE(""https://docs.google.com/spreadsheets/d/""&amp;$A56&amp;""/edit#gid=156619080"",AQ$3)"),"")</f>
        <v/>
      </c>
      <c r="AR56" s="18">
        <f>IFERROR(__xludf.DUMMYFUNCTION("IMPORTRANGE(""https://docs.google.com/spreadsheets/d/""&amp;$A56&amp;""/edit#gid=156619080"",AR$3)"),-89.99999999999999)</f>
        <v>-90</v>
      </c>
      <c r="AS56" s="19" t="str">
        <f>IFERROR(__xludf.DUMMYFUNCTION("IMPORTRANGE(""https://docs.google.com/spreadsheets/d/""&amp;$A56&amp;""/edit#gid=156619080"",AS$3)"),"-90
-90
-90
-90
")</f>
        <v>-90
-90
-90
-90
</v>
      </c>
      <c r="AT56" s="18">
        <f>IFERROR(__xludf.DUMMYFUNCTION("IMPORTRANGE(""https://docs.google.com/spreadsheets/d/""&amp;$A56&amp;""/edit#gid=156619080"",AT$3)"),-95.05494505494505)</f>
        <v>-95.05494505</v>
      </c>
      <c r="AU56" s="3" t="str">
        <f>IFERROR(__xludf.DUMMYFUNCTION("IMPORTRANGE(""https://docs.google.com/spreadsheets/d/""&amp;$A56&amp;""/edit#gid=156619080"",AU$3)"),"-70.88
-74.18
-82.42
-89.56
")</f>
        <v>-70.88
-74.18
-82.42
-89.56
</v>
      </c>
      <c r="AV56" s="18">
        <f>IFERROR(__xludf.DUMMYFUNCTION("IMPORTRANGE(""https://docs.google.com/spreadsheets/d/""&amp;$A56&amp;""/edit#gid=156619080"",AV$3)"),-91.03896103896103)</f>
        <v>-91.03896104</v>
      </c>
      <c r="AW56" s="19" t="str">
        <f>IFERROR(__xludf.DUMMYFUNCTION("IMPORTRANGE(""https://docs.google.com/spreadsheets/d/""&amp;$A56&amp;""/edit#gid=156619080"",AW$3)"),"-90.78
-91.17
-91.17
-91.04
")</f>
        <v>-90.78
-91.17
-91.17
-91.04
</v>
      </c>
      <c r="AX56" s="2">
        <f>IFERROR(__xludf.DUMMYFUNCTION("IMPORTRANGE(""https://docs.google.com/spreadsheets/d/""&amp;$A56&amp;""/edit#gid=156619080"",AX$3)"),14.08)</f>
        <v>14.08</v>
      </c>
      <c r="AY56" s="2">
        <f>IFERROR(__xludf.DUMMYFUNCTION("IMPORTRANGE(""https://docs.google.com/spreadsheets/d/""&amp;$A56&amp;""/edit#gid=156619080"",AY$3)"),21.08)</f>
        <v>21.08</v>
      </c>
      <c r="AZ56" s="2">
        <f>IFERROR(__xludf.DUMMYFUNCTION("IMPORTRANGE(""https://docs.google.com/spreadsheets/d/""&amp;$A56&amp;""/edit#gid=156619080"",AZ$3)"),2060.63)</f>
        <v>2060.63</v>
      </c>
      <c r="BA56" s="2">
        <f>IFERROR(__xludf.DUMMYFUNCTION("IMPORTRANGE(""https://docs.google.com/spreadsheets/d/""&amp;$A56&amp;""/edit#gid=156619080"",BA$3)"),-89.44000000000005)</f>
        <v>-89.44</v>
      </c>
      <c r="BB56" s="2">
        <f>IFERROR(__xludf.DUMMYFUNCTION("IMPORTRANGE(""https://docs.google.com/spreadsheets/d/""&amp;$A56&amp;""/edit#gid=156619080"",BB$3)"),-87.36)</f>
        <v>-87.36</v>
      </c>
      <c r="BC56" s="2" t="str">
        <f>IFERROR(__xludf.DUMMYFUNCTION("IMPORTRANGE(""https://docs.google.com/spreadsheets/d/""&amp;$A56&amp;""/edit#gid=156619080"",BC$3)"),"DC→DC")</f>
        <v>DC→DC</v>
      </c>
    </row>
    <row r="57" ht="51.0" customHeight="1">
      <c r="A57" s="7" t="str">
        <f t="shared" si="5"/>
        <v>1hmO494dBnWVfNkd2z_aKu-DcKCHl6LBSLU4W-_q0ezQ</v>
      </c>
      <c r="B57" s="1" t="s">
        <v>84</v>
      </c>
      <c r="C57" s="2">
        <f>IFERROR(__xludf.DUMMYFUNCTION("IMPORTRANGE(""https://docs.google.com/spreadsheets/d/""&amp;$A57&amp;""/edit#gid=156619080"",C$3)"),132.0)</f>
        <v>132</v>
      </c>
      <c r="D57" s="2">
        <f>IFERROR(__xludf.DUMMYFUNCTION("IMPORTRANGE(""https://docs.google.com/spreadsheets/d/""&amp;$A57&amp;""/edit#gid=156619080"",D$3)"),5232.0)</f>
        <v>5232</v>
      </c>
      <c r="E57" s="15">
        <f>IFERROR(__xludf.DUMMYFUNCTION("IMPORTRANGE(""https://docs.google.com/spreadsheets/d/""&amp;$A57&amp;""/edit#gid=156619080"",E$3)"),43882.0)</f>
        <v>43882</v>
      </c>
      <c r="F57" s="2">
        <f>IFERROR(__xludf.DUMMYFUNCTION("IMPORTRANGE(""https://docs.google.com/spreadsheets/d/""&amp;$A57&amp;""/edit#gid=156619080"",F$3)"),-25.0)</f>
        <v>-25</v>
      </c>
      <c r="G57" s="16">
        <f>IFERROR(__xludf.DUMMYFUNCTION("IMPORTRANGE(""https://docs.google.com/spreadsheets/d/""&amp;$A57&amp;""/edit#gid=156619080"",G$3)"),-0.6)</f>
        <v>-0.6</v>
      </c>
      <c r="H57" s="16">
        <f>IFERROR(__xludf.DUMMYFUNCTION("IMPORTRANGE(""https://docs.google.com/spreadsheets/d/""&amp;$A57&amp;""/edit#gid=156619080"",H$3)"),4155.0)</f>
        <v>4155</v>
      </c>
      <c r="I57" s="16">
        <f>IFERROR(__xludf.DUMMYFUNCTION("IMPORTRANGE(""https://docs.google.com/spreadsheets/d/""&amp;$A57&amp;""/edit#gid=156619080"",I$3)"),15.0)</f>
        <v>15</v>
      </c>
      <c r="J57" s="16">
        <f>IFERROR(__xludf.DUMMYFUNCTION("IMPORTRANGE(""https://docs.google.com/spreadsheets/d/""&amp;$A57&amp;""/edit#gid=156619080"",J$3)"),4190.0)</f>
        <v>4190</v>
      </c>
      <c r="K57" s="16">
        <f>IFERROR(__xludf.DUMMYFUNCTION("IMPORTRANGE(""https://docs.google.com/spreadsheets/d/""&amp;$A57&amp;""/edit#gid=156619080"",K$3)"),0.4340277777777778)</f>
        <v>0.4340277778</v>
      </c>
      <c r="L57" s="16">
        <f>IFERROR(__xludf.DUMMYFUNCTION("IMPORTRANGE(""https://docs.google.com/spreadsheets/d/""&amp;$A57&amp;""/edit#gid=156619080"",L$3)"),4145.0)</f>
        <v>4145</v>
      </c>
      <c r="M57" s="16">
        <f>IFERROR(__xludf.DUMMYFUNCTION("IMPORTRANGE(""https://docs.google.com/spreadsheets/d/""&amp;$A57&amp;""/edit#gid=156619080"",M$3)"),0.37569444444444444)</f>
        <v>0.3756944444</v>
      </c>
      <c r="N57" s="16">
        <f>IFERROR(__xludf.DUMMYFUNCTION("IMPORTRANGE(""https://docs.google.com/spreadsheets/d/""&amp;$A57&amp;""/edit#gid=156619080"",N$3)"),4145.0)</f>
        <v>4145</v>
      </c>
      <c r="O57" s="16" t="str">
        <f>IFERROR(__xludf.DUMMYFUNCTION("IMPORTRANGE(""https://docs.google.com/spreadsheets/d/""&amp;$A57&amp;""/edit#gid=156619080"",O$3)"),"145000株")</f>
        <v>145000株</v>
      </c>
      <c r="P57" s="16" t="str">
        <f>IFERROR(__xludf.DUMMYFUNCTION("IMPORTRANGE(""https://docs.google.com/spreadsheets/d/""&amp;$A57&amp;""/edit#gid=156619080"",P$3)"),"603百万円")</f>
        <v>603百万円</v>
      </c>
      <c r="Q57" s="16" t="str">
        <f>IFERROR(__xludf.DUMMYFUNCTION("IMPORTRANGE(""https://docs.google.com/spreadsheets/d/""&amp;$A57&amp;""/edit#gid=156619080"",Q$3)"),"410回")</f>
        <v>410回</v>
      </c>
      <c r="R57" s="16" t="str">
        <f>IFERROR(__xludf.DUMMYFUNCTION("IMPORTRANGE(""https://docs.google.com/spreadsheets/d/""&amp;$A57&amp;""/edit#gid=156619080"",R$3)"),"1685億円")</f>
        <v>1685億円</v>
      </c>
      <c r="S57" s="16" t="str">
        <f>IFERROR(__xludf.DUMMYFUNCTION("IMPORTRANGE(""https://docs.google.com/spreadsheets/d/""&amp;$A57&amp;""/edit#gid=156619080"",S$3)"),"陰線")</f>
        <v>陰線</v>
      </c>
      <c r="T57" s="16" t="str">
        <f>IFERROR(__xludf.DUMMYFUNCTION("IMPORTRANGE(""https://docs.google.com/spreadsheets/d/""&amp;$A57&amp;""/edit#gid=156619080"",T$3)"),"")</f>
        <v/>
      </c>
      <c r="U57" s="16">
        <f>IFERROR(__xludf.DUMMYFUNCTION("IMPORTRANGE(""https://docs.google.com/spreadsheets/d/""&amp;$A57&amp;""/edit#gid=156619080"",U$3)"),4155.0)</f>
        <v>4155</v>
      </c>
      <c r="V57" s="16">
        <f>IFERROR(__xludf.DUMMYFUNCTION("IMPORTRANGE(""https://docs.google.com/spreadsheets/d/""&amp;$A57&amp;""/edit#gid=156619080"",V$3)"),4313.5)</f>
        <v>4313.5</v>
      </c>
      <c r="W57" s="16">
        <f>IFERROR(__xludf.DUMMYFUNCTION("IMPORTRANGE(""https://docs.google.com/spreadsheets/d/""&amp;$A57&amp;""/edit#gid=156619080"",W$3)"),4395.7)</f>
        <v>4395.7</v>
      </c>
      <c r="X57" s="2">
        <f>IFERROR(__xludf.DUMMYFUNCTION("IMPORTRANGE(""https://docs.google.com/spreadsheets/d/""&amp;$A57&amp;""/edit#gid=156619080"",X$3)"),4639.6)</f>
        <v>4639.6</v>
      </c>
      <c r="Y57" s="17">
        <f>IFERROR(__xludf.DUMMYFUNCTION("IMPORTRANGE(""https://docs.google.com/spreadsheets/d/""&amp;$A57&amp;""/edit#gid=156619080"",Y$3)"),-0.0024067388688327317)</f>
        <v>-0.002406738869</v>
      </c>
      <c r="Z57" s="2">
        <f>IFERROR(__xludf.DUMMYFUNCTION("IMPORTRANGE(""https://docs.google.com/spreadsheets/d/""&amp;$A57&amp;""/edit#gid=156619080"",Z$3)"),4736.04)</f>
        <v>4736.04</v>
      </c>
      <c r="AA57" s="2">
        <f>IFERROR(__xludf.DUMMYFUNCTION("IMPORTRANGE(""https://docs.google.com/spreadsheets/d/""&amp;$A57&amp;""/edit#gid=156619080"",AA$3)"),4693.5)</f>
        <v>4693.5</v>
      </c>
      <c r="AB57" s="2">
        <f>IFERROR(__xludf.DUMMYFUNCTION("IMPORTRANGE(""https://docs.google.com/spreadsheets/d/""&amp;$A57&amp;""/edit#gid=156619080"",AB$3)"),4650.95)</f>
        <v>4650.95</v>
      </c>
      <c r="AC57" s="18">
        <f>IFERROR(__xludf.DUMMYFUNCTION("IMPORTRANGE(""https://docs.google.com/spreadsheets/d/""&amp;$A57&amp;""/edit#gid=156619080"",AC$3)"),4608.41)</f>
        <v>4608.41</v>
      </c>
      <c r="AD57" s="18">
        <f>IFERROR(__xludf.DUMMYFUNCTION("IMPORTRANGE(""https://docs.google.com/spreadsheets/d/""&amp;$A57&amp;""/edit#gid=156619080"",AD$3)"),4565.87)</f>
        <v>4565.87</v>
      </c>
      <c r="AE57" s="18">
        <f>IFERROR(__xludf.DUMMYFUNCTION("IMPORTRANGE(""https://docs.google.com/spreadsheets/d/""&amp;$A57&amp;""/edit#gid=156619080"",AE$3)"),4395.7)</f>
        <v>4395.7</v>
      </c>
      <c r="AF57" s="2">
        <f>IFERROR(__xludf.DUMMYFUNCTION("IMPORTRANGE(""https://docs.google.com/spreadsheets/d/""&amp;$A57&amp;""/edit#gid=156619080"",AF$3)"),4225.53)</f>
        <v>4225.53</v>
      </c>
      <c r="AG57" s="2">
        <f>IFERROR(__xludf.DUMMYFUNCTION("IMPORTRANGE(""https://docs.google.com/spreadsheets/d/""&amp;$A57&amp;""/edit#gid=156619080"",AG$3)"),4182.99)</f>
        <v>4182.99</v>
      </c>
      <c r="AH57" s="2">
        <f>IFERROR(__xludf.DUMMYFUNCTION("IMPORTRANGE(""https://docs.google.com/spreadsheets/d/""&amp;$A57&amp;""/edit#gid=156619080"",AH$3)"),4140.45)</f>
        <v>4140.45</v>
      </c>
      <c r="AI57" s="2">
        <f>IFERROR(__xludf.DUMMYFUNCTION("IMPORTRANGE(""https://docs.google.com/spreadsheets/d/""&amp;$A57&amp;""/edit#gid=156619080"",AI$3)"),4097.9)</f>
        <v>4097.9</v>
      </c>
      <c r="AJ57" s="2">
        <f>IFERROR(__xludf.DUMMYFUNCTION("IMPORTRANGE(""https://docs.google.com/spreadsheets/d/""&amp;$A57&amp;""/edit#gid=156619080"",AJ$3)"),4055.36)</f>
        <v>4055.36</v>
      </c>
      <c r="AK57" s="2" t="str">
        <f>IFERROR(__xludf.DUMMYFUNCTION("IMPORTRANGE(""https://docs.google.com/spreadsheets/d/""&amp;$A57&amp;""/edit#gid=156619080"",AK$3)"),"-1.25σ〜-1.5σ")</f>
        <v>-1.25σ〜-1.5σ</v>
      </c>
      <c r="AL57" s="2">
        <f>IFERROR(__xludf.DUMMYFUNCTION("IMPORTRANGE(""https://docs.google.com/spreadsheets/d/""&amp;$A57&amp;""/edit#gid=156619080"",AL$3)"),-1.0)</f>
        <v>-1</v>
      </c>
      <c r="AM57" s="2" t="str">
        <f>IFERROR(__xludf.DUMMYFUNCTION("IMPORTRANGE(""https://docs.google.com/spreadsheets/d/""&amp;$A57&amp;""/edit#gid=156619080"",AM$3)"),"")</f>
        <v/>
      </c>
      <c r="AN57" s="2">
        <f>IFERROR(__xludf.DUMMYFUNCTION("IMPORTRANGE(""https://docs.google.com/spreadsheets/d/""&amp;$A57&amp;""/edit#gid=156619080"",AN$3)"),-1.0)</f>
        <v>-1</v>
      </c>
      <c r="AO57" s="2" t="str">
        <f>IFERROR(__xludf.DUMMYFUNCTION("IMPORTRANGE(""https://docs.google.com/spreadsheets/d/""&amp;$A57&amp;""/edit#gid=156619080"",AO$3)"),"")</f>
        <v/>
      </c>
      <c r="AP57" s="2">
        <f>IFERROR(__xludf.DUMMYFUNCTION("IMPORTRANGE(""https://docs.google.com/spreadsheets/d/""&amp;$A57&amp;""/edit#gid=156619080"",AP$3)"),-1.0)</f>
        <v>-1</v>
      </c>
      <c r="AQ57" s="2" t="str">
        <f>IFERROR(__xludf.DUMMYFUNCTION("IMPORTRANGE(""https://docs.google.com/spreadsheets/d/""&amp;$A57&amp;""/edit#gid=156619080"",AQ$3)"),"")</f>
        <v/>
      </c>
      <c r="AR57" s="18">
        <f>IFERROR(__xludf.DUMMYFUNCTION("IMPORTRANGE(""https://docs.google.com/spreadsheets/d/""&amp;$A57&amp;""/edit#gid=156619080"",AR$3)"),-19.999999999999996)</f>
        <v>-20</v>
      </c>
      <c r="AS57" s="19" t="str">
        <f>IFERROR(__xludf.DUMMYFUNCTION("IMPORTRANGE(""https://docs.google.com/spreadsheets/d/""&amp;$A57&amp;""/edit#gid=156619080"",AS$3)"),"-100
-100
-100
-70
")</f>
        <v>-100
-100
-100
-70
</v>
      </c>
      <c r="AT57" s="18">
        <f>IFERROR(__xludf.DUMMYFUNCTION("IMPORTRANGE(""https://docs.google.com/spreadsheets/d/""&amp;$A57&amp;""/edit#gid=156619080"",AT$3)"),-90.65934065934067)</f>
        <v>-90.65934066</v>
      </c>
      <c r="AU57" s="3" t="str">
        <f>IFERROR(__xludf.DUMMYFUNCTION("IMPORTRANGE(""https://docs.google.com/spreadsheets/d/""&amp;$A57&amp;""/edit#gid=156619080"",AU$3)"),"-61.26
-68.41
-80.91
-85.16
")</f>
        <v>-61.26
-68.41
-80.91
-85.16
</v>
      </c>
      <c r="AV57" s="18">
        <f>IFERROR(__xludf.DUMMYFUNCTION("IMPORTRANGE(""https://docs.google.com/spreadsheets/d/""&amp;$A57&amp;""/edit#gid=156619080"",AV$3)"),-86.81818181818181)</f>
        <v>-86.81818182</v>
      </c>
      <c r="AW57" s="19" t="str">
        <f>IFERROR(__xludf.DUMMYFUNCTION("IMPORTRANGE(""https://docs.google.com/spreadsheets/d/""&amp;$A57&amp;""/edit#gid=156619080"",AW$3)"),"-87.21
-87.73
-87.73
-87.47
")</f>
        <v>-87.21
-87.73
-87.73
-87.47
</v>
      </c>
      <c r="AX57" s="2">
        <f>IFERROR(__xludf.DUMMYFUNCTION("IMPORTRANGE(""https://docs.google.com/spreadsheets/d/""&amp;$A57&amp;""/edit#gid=156619080"",AX$3)"),25.0)</f>
        <v>25</v>
      </c>
      <c r="AY57" s="2">
        <f>IFERROR(__xludf.DUMMYFUNCTION("IMPORTRANGE(""https://docs.google.com/spreadsheets/d/""&amp;$A57&amp;""/edit#gid=156619080"",AY$3)"),21.57)</f>
        <v>21.57</v>
      </c>
      <c r="AZ57" s="2">
        <f>IFERROR(__xludf.DUMMYFUNCTION("IMPORTRANGE(""https://docs.google.com/spreadsheets/d/""&amp;$A57&amp;""/edit#gid=156619080"",AZ$3)"),4173.49)</f>
        <v>4173.49</v>
      </c>
      <c r="BA57" s="2">
        <f>IFERROR(__xludf.DUMMYFUNCTION("IMPORTRANGE(""https://docs.google.com/spreadsheets/d/""&amp;$A57&amp;""/edit#gid=156619080"",BA$3)"),-191.64000000000033)</f>
        <v>-191.64</v>
      </c>
      <c r="BB57" s="2">
        <f>IFERROR(__xludf.DUMMYFUNCTION("IMPORTRANGE(""https://docs.google.com/spreadsheets/d/""&amp;$A57&amp;""/edit#gid=156619080"",BB$3)"),-156.99)</f>
        <v>-156.99</v>
      </c>
      <c r="BC57" s="2" t="str">
        <f>IFERROR(__xludf.DUMMYFUNCTION("IMPORTRANGE(""https://docs.google.com/spreadsheets/d/""&amp;$A57&amp;""/edit#gid=156619080"",BC$3)"),"DC→DC")</f>
        <v>DC→DC</v>
      </c>
    </row>
    <row r="58" ht="51.0" customHeight="1">
      <c r="A58" s="7" t="str">
        <f t="shared" si="5"/>
        <v>11hDskNzfatk4O8J9zp_N_D1Rg41zkGFDR8hqyOnvDTA</v>
      </c>
      <c r="B58" s="1" t="s">
        <v>85</v>
      </c>
      <c r="C58" s="2">
        <f>IFERROR(__xludf.DUMMYFUNCTION("IMPORTRANGE(""https://docs.google.com/spreadsheets/d/""&amp;$A58&amp;""/edit#gid=156619080"",C$3)"),132.0)</f>
        <v>132</v>
      </c>
      <c r="D58" s="2">
        <f>IFERROR(__xludf.DUMMYFUNCTION("IMPORTRANGE(""https://docs.google.com/spreadsheets/d/""&amp;$A58&amp;""/edit#gid=156619080"",D$3)"),5233.0)</f>
        <v>5233</v>
      </c>
      <c r="E58" s="15">
        <f>IFERROR(__xludf.DUMMYFUNCTION("IMPORTRANGE(""https://docs.google.com/spreadsheets/d/""&amp;$A58&amp;""/edit#gid=156619080"",E$3)"),43882.0)</f>
        <v>43882</v>
      </c>
      <c r="F58" s="2">
        <f>IFERROR(__xludf.DUMMYFUNCTION("IMPORTRANGE(""https://docs.google.com/spreadsheets/d/""&amp;$A58&amp;""/edit#gid=156619080"",F$3)"),-33.0)</f>
        <v>-33</v>
      </c>
      <c r="G58" s="16">
        <f>IFERROR(__xludf.DUMMYFUNCTION("IMPORTRANGE(""https://docs.google.com/spreadsheets/d/""&amp;$A58&amp;""/edit#gid=156619080"",G$3)"),-1.12)</f>
        <v>-1.12</v>
      </c>
      <c r="H58" s="16">
        <f>IFERROR(__xludf.DUMMYFUNCTION("IMPORTRANGE(""https://docs.google.com/spreadsheets/d/""&amp;$A58&amp;""/edit#gid=156619080"",H$3)"),2932.0)</f>
        <v>2932</v>
      </c>
      <c r="I58" s="16">
        <f>IFERROR(__xludf.DUMMYFUNCTION("IMPORTRANGE(""https://docs.google.com/spreadsheets/d/""&amp;$A58&amp;""/edit#gid=156619080"",I$3)"),14.0)</f>
        <v>14</v>
      </c>
      <c r="J58" s="16">
        <f>IFERROR(__xludf.DUMMYFUNCTION("IMPORTRANGE(""https://docs.google.com/spreadsheets/d/""&amp;$A58&amp;""/edit#gid=156619080"",J$3)"),2945.0)</f>
        <v>2945</v>
      </c>
      <c r="K58" s="16">
        <f>IFERROR(__xludf.DUMMYFUNCTION("IMPORTRANGE(""https://docs.google.com/spreadsheets/d/""&amp;$A58&amp;""/edit#gid=156619080"",K$3)"),0.3770833333333333)</f>
        <v>0.3770833333</v>
      </c>
      <c r="L58" s="16">
        <f>IFERROR(__xludf.DUMMYFUNCTION("IMPORTRANGE(""https://docs.google.com/spreadsheets/d/""&amp;$A58&amp;""/edit#gid=156619080"",L$3)"),2910.0)</f>
        <v>2910</v>
      </c>
      <c r="M58" s="16">
        <f>IFERROR(__xludf.DUMMYFUNCTION("IMPORTRANGE(""https://docs.google.com/spreadsheets/d/""&amp;$A58&amp;""/edit#gid=156619080"",M$3)"),0.6222222222222222)</f>
        <v>0.6222222222</v>
      </c>
      <c r="N58" s="16">
        <f>IFERROR(__xludf.DUMMYFUNCTION("IMPORTRANGE(""https://docs.google.com/spreadsheets/d/""&amp;$A58&amp;""/edit#gid=156619080"",N$3)"),2913.0)</f>
        <v>2913</v>
      </c>
      <c r="O58" s="16" t="str">
        <f>IFERROR(__xludf.DUMMYFUNCTION("IMPORTRANGE(""https://docs.google.com/spreadsheets/d/""&amp;$A58&amp;""/edit#gid=156619080"",O$3)"),"374200株")</f>
        <v>374200株</v>
      </c>
      <c r="P58" s="16" t="str">
        <f>IFERROR(__xludf.DUMMYFUNCTION("IMPORTRANGE(""https://docs.google.com/spreadsheets/d/""&amp;$A58&amp;""/edit#gid=156619080"",P$3)"),"1094百万円")</f>
        <v>1094百万円</v>
      </c>
      <c r="Q58" s="16" t="str">
        <f>IFERROR(__xludf.DUMMYFUNCTION("IMPORTRANGE(""https://docs.google.com/spreadsheets/d/""&amp;$A58&amp;""/edit#gid=156619080"",Q$3)"),"1151回")</f>
        <v>1151回</v>
      </c>
      <c r="R58" s="16" t="str">
        <f>IFERROR(__xludf.DUMMYFUNCTION("IMPORTRANGE(""https://docs.google.com/spreadsheets/d/""&amp;$A58&amp;""/edit#gid=156619080"",R$3)"),"3704億円")</f>
        <v>3704億円</v>
      </c>
      <c r="S58" s="16" t="str">
        <f>IFERROR(__xludf.DUMMYFUNCTION("IMPORTRANGE(""https://docs.google.com/spreadsheets/d/""&amp;$A58&amp;""/edit#gid=156619080"",S$3)"),"陰線")</f>
        <v>陰線</v>
      </c>
      <c r="T58" s="16" t="str">
        <f>IFERROR(__xludf.DUMMYFUNCTION("IMPORTRANGE(""https://docs.google.com/spreadsheets/d/""&amp;$A58&amp;""/edit#gid=156619080"",T$3)"),"")</f>
        <v/>
      </c>
      <c r="U58" s="16">
        <f>IFERROR(__xludf.DUMMYFUNCTION("IMPORTRANGE(""https://docs.google.com/spreadsheets/d/""&amp;$A58&amp;""/edit#gid=156619080"",U$3)"),2959.0)</f>
        <v>2959</v>
      </c>
      <c r="V58" s="16">
        <f>IFERROR(__xludf.DUMMYFUNCTION("IMPORTRANGE(""https://docs.google.com/spreadsheets/d/""&amp;$A58&amp;""/edit#gid=156619080"",V$3)"),2991.4)</f>
        <v>2991.4</v>
      </c>
      <c r="W58" s="16">
        <f>IFERROR(__xludf.DUMMYFUNCTION("IMPORTRANGE(""https://docs.google.com/spreadsheets/d/""&amp;$A58&amp;""/edit#gid=156619080"",W$3)"),2990.4)</f>
        <v>2990.4</v>
      </c>
      <c r="X58" s="2">
        <f>IFERROR(__xludf.DUMMYFUNCTION("IMPORTRANGE(""https://docs.google.com/spreadsheets/d/""&amp;$A58&amp;""/edit#gid=156619080"",X$3)"),3078.3)</f>
        <v>3078.3</v>
      </c>
      <c r="Y58" s="17">
        <f>IFERROR(__xludf.DUMMYFUNCTION("IMPORTRANGE(""https://docs.google.com/spreadsheets/d/""&amp;$A58&amp;""/edit#gid=156619080"",Y$3)"),-0.01554579249746536)</f>
        <v>-0.0155457925</v>
      </c>
      <c r="Z58" s="2">
        <f>IFERROR(__xludf.DUMMYFUNCTION("IMPORTRANGE(""https://docs.google.com/spreadsheets/d/""&amp;$A58&amp;""/edit#gid=156619080"",Z$3)"),3079.55)</f>
        <v>3079.55</v>
      </c>
      <c r="AA58" s="2">
        <f>IFERROR(__xludf.DUMMYFUNCTION("IMPORTRANGE(""https://docs.google.com/spreadsheets/d/""&amp;$A58&amp;""/edit#gid=156619080"",AA$3)"),3068.4)</f>
        <v>3068.4</v>
      </c>
      <c r="AB58" s="2">
        <f>IFERROR(__xludf.DUMMYFUNCTION("IMPORTRANGE(""https://docs.google.com/spreadsheets/d/""&amp;$A58&amp;""/edit#gid=156619080"",AB$3)"),3057.26)</f>
        <v>3057.26</v>
      </c>
      <c r="AC58" s="18">
        <f>IFERROR(__xludf.DUMMYFUNCTION("IMPORTRANGE(""https://docs.google.com/spreadsheets/d/""&amp;$A58&amp;""/edit#gid=156619080"",AC$3)"),3046.12)</f>
        <v>3046.12</v>
      </c>
      <c r="AD58" s="18">
        <f>IFERROR(__xludf.DUMMYFUNCTION("IMPORTRANGE(""https://docs.google.com/spreadsheets/d/""&amp;$A58&amp;""/edit#gid=156619080"",AD$3)"),3034.97)</f>
        <v>3034.97</v>
      </c>
      <c r="AE58" s="18">
        <f>IFERROR(__xludf.DUMMYFUNCTION("IMPORTRANGE(""https://docs.google.com/spreadsheets/d/""&amp;$A58&amp;""/edit#gid=156619080"",AE$3)"),2990.4)</f>
        <v>2990.4</v>
      </c>
      <c r="AF58" s="2">
        <f>IFERROR(__xludf.DUMMYFUNCTION("IMPORTRANGE(""https://docs.google.com/spreadsheets/d/""&amp;$A58&amp;""/edit#gid=156619080"",AF$3)"),2945.83)</f>
        <v>2945.83</v>
      </c>
      <c r="AG58" s="2">
        <f>IFERROR(__xludf.DUMMYFUNCTION("IMPORTRANGE(""https://docs.google.com/spreadsheets/d/""&amp;$A58&amp;""/edit#gid=156619080"",AG$3)"),2934.68)</f>
        <v>2934.68</v>
      </c>
      <c r="AH58" s="2">
        <f>IFERROR(__xludf.DUMMYFUNCTION("IMPORTRANGE(""https://docs.google.com/spreadsheets/d/""&amp;$A58&amp;""/edit#gid=156619080"",AH$3)"),2923.54)</f>
        <v>2923.54</v>
      </c>
      <c r="AI58" s="2">
        <f>IFERROR(__xludf.DUMMYFUNCTION("IMPORTRANGE(""https://docs.google.com/spreadsheets/d/""&amp;$A58&amp;""/edit#gid=156619080"",AI$3)"),2912.4)</f>
        <v>2912.4</v>
      </c>
      <c r="AJ58" s="2">
        <f>IFERROR(__xludf.DUMMYFUNCTION("IMPORTRANGE(""https://docs.google.com/spreadsheets/d/""&amp;$A58&amp;""/edit#gid=156619080"",AJ$3)"),2901.25)</f>
        <v>2901.25</v>
      </c>
      <c r="AK58" s="2" t="str">
        <f>IFERROR(__xludf.DUMMYFUNCTION("IMPORTRANGE(""https://docs.google.com/spreadsheets/d/""&amp;$A58&amp;""/edit#gid=156619080"",AK$3)"),"-1.5σ〜-1.75σ")</f>
        <v>-1.5σ〜-1.75σ</v>
      </c>
      <c r="AL58" s="2">
        <f>IFERROR(__xludf.DUMMYFUNCTION("IMPORTRANGE(""https://docs.google.com/spreadsheets/d/""&amp;$A58&amp;""/edit#gid=156619080"",AL$3)"),-1.0)</f>
        <v>-1</v>
      </c>
      <c r="AM58" s="2" t="str">
        <f>IFERROR(__xludf.DUMMYFUNCTION("IMPORTRANGE(""https://docs.google.com/spreadsheets/d/""&amp;$A58&amp;""/edit#gid=156619080"",AM$3)"),"")</f>
        <v/>
      </c>
      <c r="AN58" s="2">
        <f>IFERROR(__xludf.DUMMYFUNCTION("IMPORTRANGE(""https://docs.google.com/spreadsheets/d/""&amp;$A58&amp;""/edit#gid=156619080"",AN$3)"),-1.0)</f>
        <v>-1</v>
      </c>
      <c r="AO58" s="2" t="str">
        <f>IFERROR(__xludf.DUMMYFUNCTION("IMPORTRANGE(""https://docs.google.com/spreadsheets/d/""&amp;$A58&amp;""/edit#gid=156619080"",AO$3)"),"")</f>
        <v/>
      </c>
      <c r="AP58" s="2">
        <f>IFERROR(__xludf.DUMMYFUNCTION("IMPORTRANGE(""https://docs.google.com/spreadsheets/d/""&amp;$A58&amp;""/edit#gid=156619080"",AP$3)"),1.0)</f>
        <v>1</v>
      </c>
      <c r="AQ58" s="2" t="str">
        <f>IFERROR(__xludf.DUMMYFUNCTION("IMPORTRANGE(""https://docs.google.com/spreadsheets/d/""&amp;$A58&amp;""/edit#gid=156619080"",AQ$3)"),"ws3")</f>
        <v>ws3</v>
      </c>
      <c r="AR58" s="18">
        <f>IFERROR(__xludf.DUMMYFUNCTION("IMPORTRANGE(""https://docs.google.com/spreadsheets/d/""&amp;$A58&amp;""/edit#gid=156619080"",AR$3)"),-100.0)</f>
        <v>-100</v>
      </c>
      <c r="AS58" s="19" t="str">
        <f>IFERROR(__xludf.DUMMYFUNCTION("IMPORTRANGE(""https://docs.google.com/spreadsheets/d/""&amp;$A58&amp;""/edit#gid=156619080"",AS$3)"),"-60
-17.5
-17.5
-77.5
")</f>
        <v>-60
-17.5
-17.5
-77.5
</v>
      </c>
      <c r="AT58" s="18">
        <f>IFERROR(__xludf.DUMMYFUNCTION("IMPORTRANGE(""https://docs.google.com/spreadsheets/d/""&amp;$A58&amp;""/edit#gid=156619080"",AT$3)"),-64.69780219780219)</f>
        <v>-64.6978022</v>
      </c>
      <c r="AU58" s="3" t="str">
        <f>IFERROR(__xludf.DUMMYFUNCTION("IMPORTRANGE(""https://docs.google.com/spreadsheets/d/""&amp;$A58&amp;""/edit#gid=156619080"",AU$3)"),"53.85
38.6
1.79
-28.43
")</f>
        <v>53.85
38.6
1.79
-28.43
</v>
      </c>
      <c r="AV58" s="18">
        <f>IFERROR(__xludf.DUMMYFUNCTION("IMPORTRANGE(""https://docs.google.com/spreadsheets/d/""&amp;$A58&amp;""/edit#gid=156619080"",AV$3)"),-28.53896103896103)</f>
        <v>-28.53896104</v>
      </c>
      <c r="AW58" s="19" t="str">
        <f>IFERROR(__xludf.DUMMYFUNCTION("IMPORTRANGE(""https://docs.google.com/spreadsheets/d/""&amp;$A58&amp;""/edit#gid=156619080"",AW$3)"),"-45.84
-37.11
-32.31
-28.54
")</f>
        <v>-45.84
-37.11
-32.31
-28.54
</v>
      </c>
      <c r="AX58" s="2">
        <f>IFERROR(__xludf.DUMMYFUNCTION("IMPORTRANGE(""https://docs.google.com/spreadsheets/d/""&amp;$A58&amp;""/edit#gid=156619080"",AX$3)"),2.4699999999999998)</f>
        <v>2.47</v>
      </c>
      <c r="AY58" s="2">
        <f>IFERROR(__xludf.DUMMYFUNCTION("IMPORTRANGE(""https://docs.google.com/spreadsheets/d/""&amp;$A58&amp;""/edit#gid=156619080"",AY$3)"),31.97)</f>
        <v>31.97</v>
      </c>
      <c r="AZ58" s="2">
        <f>IFERROR(__xludf.DUMMYFUNCTION("IMPORTRANGE(""https://docs.google.com/spreadsheets/d/""&amp;$A58&amp;""/edit#gid=156619080"",AZ$3)"),2950.95)</f>
        <v>2950.95</v>
      </c>
      <c r="BA58" s="2">
        <f>IFERROR(__xludf.DUMMYFUNCTION("IMPORTRANGE(""https://docs.google.com/spreadsheets/d/""&amp;$A58&amp;""/edit#gid=156619080"",BA$3)"),-57.39000000000033)</f>
        <v>-57.39</v>
      </c>
      <c r="BB58" s="2">
        <f>IFERROR(__xludf.DUMMYFUNCTION("IMPORTRANGE(""https://docs.google.com/spreadsheets/d/""&amp;$A58&amp;""/edit#gid=156619080"",BB$3)"),-50.87)</f>
        <v>-50.87</v>
      </c>
      <c r="BC58" s="2" t="str">
        <f>IFERROR(__xludf.DUMMYFUNCTION("IMPORTRANGE(""https://docs.google.com/spreadsheets/d/""&amp;$A58&amp;""/edit#gid=156619080"",BC$3)"),"GC→DC")</f>
        <v>GC→DC</v>
      </c>
    </row>
    <row r="59" ht="51.0" customHeight="1">
      <c r="A59" s="7" t="str">
        <f t="shared" si="5"/>
        <v>1iRYkEitSO4CfRTnwc0SsH7VXrJMmp5G_K1iFweLe0jw</v>
      </c>
      <c r="B59" s="1" t="s">
        <v>86</v>
      </c>
      <c r="C59" s="2">
        <f>IFERROR(__xludf.DUMMYFUNCTION("IMPORTRANGE(""https://docs.google.com/spreadsheets/d/""&amp;$A59&amp;""/edit#gid=156619080"",C$3)"),132.0)</f>
        <v>132</v>
      </c>
      <c r="D59" s="2">
        <f>IFERROR(__xludf.DUMMYFUNCTION("IMPORTRANGE(""https://docs.google.com/spreadsheets/d/""&amp;$A59&amp;""/edit#gid=156619080"",D$3)"),5301.0)</f>
        <v>5301</v>
      </c>
      <c r="E59" s="15">
        <f>IFERROR(__xludf.DUMMYFUNCTION("IMPORTRANGE(""https://docs.google.com/spreadsheets/d/""&amp;$A59&amp;""/edit#gid=156619080"",E$3)"),43882.0)</f>
        <v>43882</v>
      </c>
      <c r="F59" s="2">
        <f>IFERROR(__xludf.DUMMYFUNCTION("IMPORTRANGE(""https://docs.google.com/spreadsheets/d/""&amp;$A59&amp;""/edit#gid=156619080"",F$3)"),0.0)</f>
        <v>0</v>
      </c>
      <c r="G59" s="16">
        <f>IFERROR(__xludf.DUMMYFUNCTION("IMPORTRANGE(""https://docs.google.com/spreadsheets/d/""&amp;$A59&amp;""/edit#gid=156619080"",G$3)"),0.0)</f>
        <v>0</v>
      </c>
      <c r="H59" s="16">
        <f>IFERROR(__xludf.DUMMYFUNCTION("IMPORTRANGE(""https://docs.google.com/spreadsheets/d/""&amp;$A59&amp;""/edit#gid=156619080"",H$3)"),1020.0)</f>
        <v>1020</v>
      </c>
      <c r="I59" s="16">
        <f>IFERROR(__xludf.DUMMYFUNCTION("IMPORTRANGE(""https://docs.google.com/spreadsheets/d/""&amp;$A59&amp;""/edit#gid=156619080"",I$3)"),-4.0)</f>
        <v>-4</v>
      </c>
      <c r="J59" s="16">
        <f>IFERROR(__xludf.DUMMYFUNCTION("IMPORTRANGE(""https://docs.google.com/spreadsheets/d/""&amp;$A59&amp;""/edit#gid=156619080"",J$3)"),1025.0)</f>
        <v>1025</v>
      </c>
      <c r="K59" s="16">
        <f>IFERROR(__xludf.DUMMYFUNCTION("IMPORTRANGE(""https://docs.google.com/spreadsheets/d/""&amp;$A59&amp;""/edit#gid=156619080"",K$3)"),0.40069444444444446)</f>
        <v>0.4006944444</v>
      </c>
      <c r="L59" s="16">
        <f>IFERROR(__xludf.DUMMYFUNCTION("IMPORTRANGE(""https://docs.google.com/spreadsheets/d/""&amp;$A59&amp;""/edit#gid=156619080"",L$3)"),1012.0)</f>
        <v>1012</v>
      </c>
      <c r="M59" s="16">
        <f>IFERROR(__xludf.DUMMYFUNCTION("IMPORTRANGE(""https://docs.google.com/spreadsheets/d/""&amp;$A59&amp;""/edit#gid=156619080"",M$3)"),0.41805555555555557)</f>
        <v>0.4180555556</v>
      </c>
      <c r="N59" s="16">
        <f>IFERROR(__xludf.DUMMYFUNCTION("IMPORTRANGE(""https://docs.google.com/spreadsheets/d/""&amp;$A59&amp;""/edit#gid=156619080"",N$3)"),1016.0)</f>
        <v>1016</v>
      </c>
      <c r="O59" s="16" t="str">
        <f>IFERROR(__xludf.DUMMYFUNCTION("IMPORTRANGE(""https://docs.google.com/spreadsheets/d/""&amp;$A59&amp;""/edit#gid=156619080"",O$3)"),"2236500株")</f>
        <v>2236500株</v>
      </c>
      <c r="P59" s="16" t="str">
        <f>IFERROR(__xludf.DUMMYFUNCTION("IMPORTRANGE(""https://docs.google.com/spreadsheets/d/""&amp;$A59&amp;""/edit#gid=156619080"",P$3)"),"2278百万円")</f>
        <v>2278百万円</v>
      </c>
      <c r="Q59" s="16" t="str">
        <f>IFERROR(__xludf.DUMMYFUNCTION("IMPORTRANGE(""https://docs.google.com/spreadsheets/d/""&amp;$A59&amp;""/edit#gid=156619080"",Q$3)"),"1648回")</f>
        <v>1648回</v>
      </c>
      <c r="R59" s="16" t="str">
        <f>IFERROR(__xludf.DUMMYFUNCTION("IMPORTRANGE(""https://docs.google.com/spreadsheets/d/""&amp;$A59&amp;""/edit#gid=156619080"",R$3)"),"2285億円")</f>
        <v>2285億円</v>
      </c>
      <c r="S59" s="16" t="str">
        <f>IFERROR(__xludf.DUMMYFUNCTION("IMPORTRANGE(""https://docs.google.com/spreadsheets/d/""&amp;$A59&amp;""/edit#gid=156619080"",S$3)"),"陰線")</f>
        <v>陰線</v>
      </c>
      <c r="T59" s="16" t="str">
        <f>IFERROR(__xludf.DUMMYFUNCTION("IMPORTRANGE(""https://docs.google.com/spreadsheets/d/""&amp;$A59&amp;""/edit#gid=156619080"",T$3)"),"")</f>
        <v/>
      </c>
      <c r="U59" s="16">
        <f>IFERROR(__xludf.DUMMYFUNCTION("IMPORTRANGE(""https://docs.google.com/spreadsheets/d/""&amp;$A59&amp;""/edit#gid=156619080"",U$3)"),1013.6)</f>
        <v>1013.6</v>
      </c>
      <c r="V59" s="16">
        <f>IFERROR(__xludf.DUMMYFUNCTION("IMPORTRANGE(""https://docs.google.com/spreadsheets/d/""&amp;$A59&amp;""/edit#gid=156619080"",V$3)"),1014.5)</f>
        <v>1014.5</v>
      </c>
      <c r="W59" s="16">
        <f>IFERROR(__xludf.DUMMYFUNCTION("IMPORTRANGE(""https://docs.google.com/spreadsheets/d/""&amp;$A59&amp;""/edit#gid=156619080"",W$3)"),1010.6)</f>
        <v>1010.6</v>
      </c>
      <c r="X59" s="2">
        <f>IFERROR(__xludf.DUMMYFUNCTION("IMPORTRANGE(""https://docs.google.com/spreadsheets/d/""&amp;$A59&amp;""/edit#gid=156619080"",X$3)"),1063.3)</f>
        <v>1063.3</v>
      </c>
      <c r="Y59" s="17">
        <f>IFERROR(__xludf.DUMMYFUNCTION("IMPORTRANGE(""https://docs.google.com/spreadsheets/d/""&amp;$A59&amp;""/edit#gid=156619080"",Y$3)"),0.002367797947908423)</f>
        <v>0.002367797948</v>
      </c>
      <c r="Z59" s="2">
        <f>IFERROR(__xludf.DUMMYFUNCTION("IMPORTRANGE(""https://docs.google.com/spreadsheets/d/""&amp;$A59&amp;""/edit#gid=156619080"",Z$3)"),1028.79)</f>
        <v>1028.79</v>
      </c>
      <c r="AA59" s="2">
        <f>IFERROR(__xludf.DUMMYFUNCTION("IMPORTRANGE(""https://docs.google.com/spreadsheets/d/""&amp;$A59&amp;""/edit#gid=156619080"",AA$3)"),1026.52)</f>
        <v>1026.52</v>
      </c>
      <c r="AB59" s="2">
        <f>IFERROR(__xludf.DUMMYFUNCTION("IMPORTRANGE(""https://docs.google.com/spreadsheets/d/""&amp;$A59&amp;""/edit#gid=156619080"",AB$3)"),1024.24)</f>
        <v>1024.24</v>
      </c>
      <c r="AC59" s="18">
        <f>IFERROR(__xludf.DUMMYFUNCTION("IMPORTRANGE(""https://docs.google.com/spreadsheets/d/""&amp;$A59&amp;""/edit#gid=156619080"",AC$3)"),1021.97)</f>
        <v>1021.97</v>
      </c>
      <c r="AD59" s="18">
        <f>IFERROR(__xludf.DUMMYFUNCTION("IMPORTRANGE(""https://docs.google.com/spreadsheets/d/""&amp;$A59&amp;""/edit#gid=156619080"",AD$3)"),1019.7)</f>
        <v>1019.7</v>
      </c>
      <c r="AE59" s="18">
        <f>IFERROR(__xludf.DUMMYFUNCTION("IMPORTRANGE(""https://docs.google.com/spreadsheets/d/""&amp;$A59&amp;""/edit#gid=156619080"",AE$3)"),1010.6)</f>
        <v>1010.6</v>
      </c>
      <c r="AF59" s="2">
        <f>IFERROR(__xludf.DUMMYFUNCTION("IMPORTRANGE(""https://docs.google.com/spreadsheets/d/""&amp;$A59&amp;""/edit#gid=156619080"",AF$3)"),1001.5)</f>
        <v>1001.5</v>
      </c>
      <c r="AG59" s="2">
        <f>IFERROR(__xludf.DUMMYFUNCTION("IMPORTRANGE(""https://docs.google.com/spreadsheets/d/""&amp;$A59&amp;""/edit#gid=156619080"",AG$3)"),999.23)</f>
        <v>999.23</v>
      </c>
      <c r="AH59" s="2">
        <f>IFERROR(__xludf.DUMMYFUNCTION("IMPORTRANGE(""https://docs.google.com/spreadsheets/d/""&amp;$A59&amp;""/edit#gid=156619080"",AH$3)"),996.96)</f>
        <v>996.96</v>
      </c>
      <c r="AI59" s="2">
        <f>IFERROR(__xludf.DUMMYFUNCTION("IMPORTRANGE(""https://docs.google.com/spreadsheets/d/""&amp;$A59&amp;""/edit#gid=156619080"",AI$3)"),994.68)</f>
        <v>994.68</v>
      </c>
      <c r="AJ59" s="2">
        <f>IFERROR(__xludf.DUMMYFUNCTION("IMPORTRANGE(""https://docs.google.com/spreadsheets/d/""&amp;$A59&amp;""/edit#gid=156619080"",AJ$3)"),992.41)</f>
        <v>992.41</v>
      </c>
      <c r="AK59" s="2" t="str">
        <f>IFERROR(__xludf.DUMMYFUNCTION("IMPORTRANGE(""https://docs.google.com/spreadsheets/d/""&amp;$A59&amp;""/edit#gid=156619080"",AK$3)"),"")</f>
        <v/>
      </c>
      <c r="AL59" s="2">
        <f>IFERROR(__xludf.DUMMYFUNCTION("IMPORTRANGE(""https://docs.google.com/spreadsheets/d/""&amp;$A59&amp;""/edit#gid=156619080"",AL$3)"),-1.0)</f>
        <v>-1</v>
      </c>
      <c r="AM59" s="2" t="str">
        <f>IFERROR(__xludf.DUMMYFUNCTION("IMPORTRANGE(""https://docs.google.com/spreadsheets/d/""&amp;$A59&amp;""/edit#gid=156619080"",AM$3)"),"")</f>
        <v/>
      </c>
      <c r="AN59" s="2">
        <f>IFERROR(__xludf.DUMMYFUNCTION("IMPORTRANGE(""https://docs.google.com/spreadsheets/d/""&amp;$A59&amp;""/edit#gid=156619080"",AN$3)"),1.0)</f>
        <v>1</v>
      </c>
      <c r="AO59" s="2" t="str">
        <f>IFERROR(__xludf.DUMMYFUNCTION("IMPORTRANGE(""https://docs.google.com/spreadsheets/d/""&amp;$A59&amp;""/edit#gid=156619080"",AO$3)"),"")</f>
        <v/>
      </c>
      <c r="AP59" s="2">
        <f>IFERROR(__xludf.DUMMYFUNCTION("IMPORTRANGE(""https://docs.google.com/spreadsheets/d/""&amp;$A59&amp;""/edit#gid=156619080"",AP$3)"),1.0)</f>
        <v>1</v>
      </c>
      <c r="AQ59" s="2" t="str">
        <f>IFERROR(__xludf.DUMMYFUNCTION("IMPORTRANGE(""https://docs.google.com/spreadsheets/d/""&amp;$A59&amp;""/edit#gid=156619080"",AQ$3)"),"")</f>
        <v/>
      </c>
      <c r="AR59" s="18">
        <f>IFERROR(__xludf.DUMMYFUNCTION("IMPORTRANGE(""https://docs.google.com/spreadsheets/d/""&amp;$A59&amp;""/edit#gid=156619080"",AR$3)"),65.0)</f>
        <v>65</v>
      </c>
      <c r="AS59" s="19" t="str">
        <f>IFERROR(__xludf.DUMMYFUNCTION("IMPORTRANGE(""https://docs.google.com/spreadsheets/d/""&amp;$A59&amp;""/edit#gid=156619080"",AS$3)"),"-10
60
17.5
17.5
")</f>
        <v>-10
60
17.5
17.5
</v>
      </c>
      <c r="AT59" s="18">
        <f>IFERROR(__xludf.DUMMYFUNCTION("IMPORTRANGE(""https://docs.google.com/spreadsheets/d/""&amp;$A59&amp;""/edit#gid=156619080"",AT$3)"),-16.07142857142858)</f>
        <v>-16.07142857</v>
      </c>
      <c r="AU59" s="3" t="str">
        <f>IFERROR(__xludf.DUMMYFUNCTION("IMPORTRANGE(""https://docs.google.com/spreadsheets/d/""&amp;$A59&amp;""/edit#gid=156619080"",AU$3)"),"18.41
10.3
2.06
-4.67
")</f>
        <v>18.41
10.3
2.06
-4.67
</v>
      </c>
      <c r="AV59" s="18">
        <f>IFERROR(__xludf.DUMMYFUNCTION("IMPORTRANGE(""https://docs.google.com/spreadsheets/d/""&amp;$A59&amp;""/edit#gid=156619080"",AV$3)"),50.422077922077925)</f>
        <v>50.42207792</v>
      </c>
      <c r="AW59" s="19" t="str">
        <f>IFERROR(__xludf.DUMMYFUNCTION("IMPORTRANGE(""https://docs.google.com/spreadsheets/d/""&amp;$A59&amp;""/edit#gid=156619080"",AW$3)"),"-21.72
-5.75
11.88
31.82
")</f>
        <v>-21.72
-5.75
11.88
31.82
</v>
      </c>
      <c r="AX59" s="2">
        <f>IFERROR(__xludf.DUMMYFUNCTION("IMPORTRANGE(""https://docs.google.com/spreadsheets/d/""&amp;$A59&amp;""/edit#gid=156619080"",AX$3)"),70.0)</f>
        <v>70</v>
      </c>
      <c r="AY59" s="2">
        <f>IFERROR(__xludf.DUMMYFUNCTION("IMPORTRANGE(""https://docs.google.com/spreadsheets/d/""&amp;$A59&amp;""/edit#gid=156619080"",AY$3)"),49.230000000000004)</f>
        <v>49.23</v>
      </c>
      <c r="AZ59" s="2">
        <f>IFERROR(__xludf.DUMMYFUNCTION("IMPORTRANGE(""https://docs.google.com/spreadsheets/d/""&amp;$A59&amp;""/edit#gid=156619080"",AZ$3)"),1013.93)</f>
        <v>1013.93</v>
      </c>
      <c r="BA59" s="2">
        <f>IFERROR(__xludf.DUMMYFUNCTION("IMPORTRANGE(""https://docs.google.com/spreadsheets/d/""&amp;$A59&amp;""/edit#gid=156619080"",BA$3)"),-4.930000000000064)</f>
        <v>-4.93</v>
      </c>
      <c r="BB59" s="2">
        <f>IFERROR(__xludf.DUMMYFUNCTION("IMPORTRANGE(""https://docs.google.com/spreadsheets/d/""&amp;$A59&amp;""/edit#gid=156619080"",BB$3)"),-11.48)</f>
        <v>-11.48</v>
      </c>
      <c r="BC59" s="2" t="str">
        <f>IFERROR(__xludf.DUMMYFUNCTION("IMPORTRANGE(""https://docs.google.com/spreadsheets/d/""&amp;$A59&amp;""/edit#gid=156619080"",BC$3)"),"GC→GC")</f>
        <v>GC→GC</v>
      </c>
    </row>
    <row r="60" ht="51.0" customHeight="1">
      <c r="A60" s="7" t="str">
        <f t="shared" si="5"/>
        <v>1HO-uZlfZn75Cic84vOqpqfgg9wYmyxc9YmjJ2dlI7tc</v>
      </c>
      <c r="B60" s="1" t="s">
        <v>87</v>
      </c>
      <c r="C60" s="2">
        <f>IFERROR(__xludf.DUMMYFUNCTION("IMPORTRANGE(""https://docs.google.com/spreadsheets/d/""&amp;$A60&amp;""/edit#gid=156619080"",C$3)"),132.0)</f>
        <v>132</v>
      </c>
      <c r="D60" s="2">
        <f>IFERROR(__xludf.DUMMYFUNCTION("IMPORTRANGE(""https://docs.google.com/spreadsheets/d/""&amp;$A60&amp;""/edit#gid=156619080"",D$3)"),5332.0)</f>
        <v>5332</v>
      </c>
      <c r="E60" s="15">
        <f>IFERROR(__xludf.DUMMYFUNCTION("IMPORTRANGE(""https://docs.google.com/spreadsheets/d/""&amp;$A60&amp;""/edit#gid=156619080"",E$3)"),43882.0)</f>
        <v>43882</v>
      </c>
      <c r="F60" s="2">
        <f>IFERROR(__xludf.DUMMYFUNCTION("IMPORTRANGE(""https://docs.google.com/spreadsheets/d/""&amp;$A60&amp;""/edit#gid=156619080"",F$3)"),-55.0)</f>
        <v>-55</v>
      </c>
      <c r="G60" s="16">
        <f>IFERROR(__xludf.DUMMYFUNCTION("IMPORTRANGE(""https://docs.google.com/spreadsheets/d/""&amp;$A60&amp;""/edit#gid=156619080"",G$3)"),-1.2)</f>
        <v>-1.2</v>
      </c>
      <c r="H60" s="16">
        <f>IFERROR(__xludf.DUMMYFUNCTION("IMPORTRANGE(""https://docs.google.com/spreadsheets/d/""&amp;$A60&amp;""/edit#gid=156619080"",H$3)"),4580.0)</f>
        <v>4580</v>
      </c>
      <c r="I60" s="16">
        <f>IFERROR(__xludf.DUMMYFUNCTION("IMPORTRANGE(""https://docs.google.com/spreadsheets/d/""&amp;$A60&amp;""/edit#gid=156619080"",I$3)"),20.0)</f>
        <v>20</v>
      </c>
      <c r="J60" s="16">
        <f>IFERROR(__xludf.DUMMYFUNCTION("IMPORTRANGE(""https://docs.google.com/spreadsheets/d/""&amp;$A60&amp;""/edit#gid=156619080"",J$3)"),4600.0)</f>
        <v>4600</v>
      </c>
      <c r="K60" s="16">
        <f>IFERROR(__xludf.DUMMYFUNCTION("IMPORTRANGE(""https://docs.google.com/spreadsheets/d/""&amp;$A60&amp;""/edit#gid=156619080"",K$3)"),0.38263888888888886)</f>
        <v>0.3826388889</v>
      </c>
      <c r="L60" s="16">
        <f>IFERROR(__xludf.DUMMYFUNCTION("IMPORTRANGE(""https://docs.google.com/spreadsheets/d/""&amp;$A60&amp;""/edit#gid=156619080"",L$3)"),4540.0)</f>
        <v>4540</v>
      </c>
      <c r="M60" s="16">
        <f>IFERROR(__xludf.DUMMYFUNCTION("IMPORTRANGE(""https://docs.google.com/spreadsheets/d/""&amp;$A60&amp;""/edit#gid=156619080"",M$3)"),0.6201388888888889)</f>
        <v>0.6201388889</v>
      </c>
      <c r="N60" s="16">
        <f>IFERROR(__xludf.DUMMYFUNCTION("IMPORTRANGE(""https://docs.google.com/spreadsheets/d/""&amp;$A60&amp;""/edit#gid=156619080"",N$3)"),4545.0)</f>
        <v>4545</v>
      </c>
      <c r="O60" s="16" t="str">
        <f>IFERROR(__xludf.DUMMYFUNCTION("IMPORTRANGE(""https://docs.google.com/spreadsheets/d/""&amp;$A60&amp;""/edit#gid=156619080"",O$3)"),"343800株")</f>
        <v>343800株</v>
      </c>
      <c r="P60" s="16" t="str">
        <f>IFERROR(__xludf.DUMMYFUNCTION("IMPORTRANGE(""https://docs.google.com/spreadsheets/d/""&amp;$A60&amp;""/edit#gid=156619080"",P$3)"),"1569百万円")</f>
        <v>1569百万円</v>
      </c>
      <c r="Q60" s="16" t="str">
        <f>IFERROR(__xludf.DUMMYFUNCTION("IMPORTRANGE(""https://docs.google.com/spreadsheets/d/""&amp;$A60&amp;""/edit#gid=156619080"",Q$3)"),"769回")</f>
        <v>769回</v>
      </c>
      <c r="R60" s="16" t="str">
        <f>IFERROR(__xludf.DUMMYFUNCTION("IMPORTRANGE(""https://docs.google.com/spreadsheets/d/""&amp;$A60&amp;""/edit#gid=156619080"",R$3)"),"8044億円")</f>
        <v>8044億円</v>
      </c>
      <c r="S60" s="16" t="str">
        <f>IFERROR(__xludf.DUMMYFUNCTION("IMPORTRANGE(""https://docs.google.com/spreadsheets/d/""&amp;$A60&amp;""/edit#gid=156619080"",S$3)"),"陰線")</f>
        <v>陰線</v>
      </c>
      <c r="T60" s="16" t="str">
        <f>IFERROR(__xludf.DUMMYFUNCTION("IMPORTRANGE(""https://docs.google.com/spreadsheets/d/""&amp;$A60&amp;""/edit#gid=156619080"",T$3)"),"")</f>
        <v/>
      </c>
      <c r="U60" s="16">
        <f>IFERROR(__xludf.DUMMYFUNCTION("IMPORTRANGE(""https://docs.google.com/spreadsheets/d/""&amp;$A60&amp;""/edit#gid=156619080"",U$3)"),4628.0)</f>
        <v>4628</v>
      </c>
      <c r="V60" s="16">
        <f>IFERROR(__xludf.DUMMYFUNCTION("IMPORTRANGE(""https://docs.google.com/spreadsheets/d/""&amp;$A60&amp;""/edit#gid=156619080"",V$3)"),4794.2)</f>
        <v>4794.2</v>
      </c>
      <c r="W60" s="16">
        <f>IFERROR(__xludf.DUMMYFUNCTION("IMPORTRANGE(""https://docs.google.com/spreadsheets/d/""&amp;$A60&amp;""/edit#gid=156619080"",W$3)"),4722.9)</f>
        <v>4722.9</v>
      </c>
      <c r="X60" s="2">
        <f>IFERROR(__xludf.DUMMYFUNCTION("IMPORTRANGE(""https://docs.google.com/spreadsheets/d/""&amp;$A60&amp;""/edit#gid=156619080"",X$3)"),4506.7)</f>
        <v>4506.7</v>
      </c>
      <c r="Y60" s="17">
        <f>IFERROR(__xludf.DUMMYFUNCTION("IMPORTRANGE(""https://docs.google.com/spreadsheets/d/""&amp;$A60&amp;""/edit#gid=156619080"",Y$3)"),-0.017934312878133102)</f>
        <v>-0.01793431288</v>
      </c>
      <c r="Z60" s="2">
        <f>IFERROR(__xludf.DUMMYFUNCTION("IMPORTRANGE(""https://docs.google.com/spreadsheets/d/""&amp;$A60&amp;""/edit#gid=156619080"",Z$3)"),5058.58)</f>
        <v>5058.58</v>
      </c>
      <c r="AA60" s="2">
        <f>IFERROR(__xludf.DUMMYFUNCTION("IMPORTRANGE(""https://docs.google.com/spreadsheets/d/""&amp;$A60&amp;""/edit#gid=156619080"",AA$3)"),5016.62)</f>
        <v>5016.62</v>
      </c>
      <c r="AB60" s="2">
        <f>IFERROR(__xludf.DUMMYFUNCTION("IMPORTRANGE(""https://docs.google.com/spreadsheets/d/""&amp;$A60&amp;""/edit#gid=156619080"",AB$3)"),4974.66)</f>
        <v>4974.66</v>
      </c>
      <c r="AC60" s="18">
        <f>IFERROR(__xludf.DUMMYFUNCTION("IMPORTRANGE(""https://docs.google.com/spreadsheets/d/""&amp;$A60&amp;""/edit#gid=156619080"",AC$3)"),4932.7)</f>
        <v>4932.7</v>
      </c>
      <c r="AD60" s="18">
        <f>IFERROR(__xludf.DUMMYFUNCTION("IMPORTRANGE(""https://docs.google.com/spreadsheets/d/""&amp;$A60&amp;""/edit#gid=156619080"",AD$3)"),4890.74)</f>
        <v>4890.74</v>
      </c>
      <c r="AE60" s="18">
        <f>IFERROR(__xludf.DUMMYFUNCTION("IMPORTRANGE(""https://docs.google.com/spreadsheets/d/""&amp;$A60&amp;""/edit#gid=156619080"",AE$3)"),4722.9)</f>
        <v>4722.9</v>
      </c>
      <c r="AF60" s="2">
        <f>IFERROR(__xludf.DUMMYFUNCTION("IMPORTRANGE(""https://docs.google.com/spreadsheets/d/""&amp;$A60&amp;""/edit#gid=156619080"",AF$3)"),4555.06)</f>
        <v>4555.06</v>
      </c>
      <c r="AG60" s="2">
        <f>IFERROR(__xludf.DUMMYFUNCTION("IMPORTRANGE(""https://docs.google.com/spreadsheets/d/""&amp;$A60&amp;""/edit#gid=156619080"",AG$3)"),4513.1)</f>
        <v>4513.1</v>
      </c>
      <c r="AH60" s="2">
        <f>IFERROR(__xludf.DUMMYFUNCTION("IMPORTRANGE(""https://docs.google.com/spreadsheets/d/""&amp;$A60&amp;""/edit#gid=156619080"",AH$3)"),4471.14)</f>
        <v>4471.14</v>
      </c>
      <c r="AI60" s="2">
        <f>IFERROR(__xludf.DUMMYFUNCTION("IMPORTRANGE(""https://docs.google.com/spreadsheets/d/""&amp;$A60&amp;""/edit#gid=156619080"",AI$3)"),4429.18)</f>
        <v>4429.18</v>
      </c>
      <c r="AJ60" s="2">
        <f>IFERROR(__xludf.DUMMYFUNCTION("IMPORTRANGE(""https://docs.google.com/spreadsheets/d/""&amp;$A60&amp;""/edit#gid=156619080"",AJ$3)"),4387.22)</f>
        <v>4387.22</v>
      </c>
      <c r="AK60" s="2" t="str">
        <f>IFERROR(__xludf.DUMMYFUNCTION("IMPORTRANGE(""https://docs.google.com/spreadsheets/d/""&amp;$A60&amp;""/edit#gid=156619080"",AK$3)"),"-1〜-1.25σ")</f>
        <v>-1〜-1.25σ</v>
      </c>
      <c r="AL60" s="2">
        <f>IFERROR(__xludf.DUMMYFUNCTION("IMPORTRANGE(""https://docs.google.com/spreadsheets/d/""&amp;$A60&amp;""/edit#gid=156619080"",AL$3)"),-1.0)</f>
        <v>-1</v>
      </c>
      <c r="AM60" s="2" t="str">
        <f>IFERROR(__xludf.DUMMYFUNCTION("IMPORTRANGE(""https://docs.google.com/spreadsheets/d/""&amp;$A60&amp;""/edit#gid=156619080"",AM$3)"),"")</f>
        <v/>
      </c>
      <c r="AN60" s="2">
        <f>IFERROR(__xludf.DUMMYFUNCTION("IMPORTRANGE(""https://docs.google.com/spreadsheets/d/""&amp;$A60&amp;""/edit#gid=156619080"",AN$3)"),-1.0)</f>
        <v>-1</v>
      </c>
      <c r="AO60" s="2" t="str">
        <f>IFERROR(__xludf.DUMMYFUNCTION("IMPORTRANGE(""https://docs.google.com/spreadsheets/d/""&amp;$A60&amp;""/edit#gid=156619080"",AO$3)"),"")</f>
        <v/>
      </c>
      <c r="AP60" s="2">
        <f>IFERROR(__xludf.DUMMYFUNCTION("IMPORTRANGE(""https://docs.google.com/spreadsheets/d/""&amp;$A60&amp;""/edit#gid=156619080"",AP$3)"),1.0)</f>
        <v>1</v>
      </c>
      <c r="AQ60" s="2" t="str">
        <f>IFERROR(__xludf.DUMMYFUNCTION("IMPORTRANGE(""https://docs.google.com/spreadsheets/d/""&amp;$A60&amp;""/edit#gid=156619080"",AQ$3)"),"")</f>
        <v/>
      </c>
      <c r="AR60" s="18">
        <f>IFERROR(__xludf.DUMMYFUNCTION("IMPORTRANGE(""https://docs.google.com/spreadsheets/d/""&amp;$A60&amp;""/edit#gid=156619080"",AR$3)"),-100.0)</f>
        <v>-100</v>
      </c>
      <c r="AS60" s="19" t="str">
        <f>IFERROR(__xludf.DUMMYFUNCTION("IMPORTRANGE(""https://docs.google.com/spreadsheets/d/""&amp;$A60&amp;""/edit#gid=156619080"",AS$3)"),"-100
-100
-100
-100
")</f>
        <v>-100
-100
-100
-100
</v>
      </c>
      <c r="AT60" s="18">
        <f>IFERROR(__xludf.DUMMYFUNCTION("IMPORTRANGE(""https://docs.google.com/spreadsheets/d/""&amp;$A60&amp;""/edit#gid=156619080"",AT$3)"),-77.88461538461537)</f>
        <v>-77.88461538</v>
      </c>
      <c r="AU60" s="3" t="str">
        <f>IFERROR(__xludf.DUMMYFUNCTION("IMPORTRANGE(""https://docs.google.com/spreadsheets/d/""&amp;$A60&amp;""/edit#gid=156619080"",AU$3)"),"54.53
31.46
1.24
-38.19
")</f>
        <v>54.53
31.46
1.24
-38.19
</v>
      </c>
      <c r="AV60" s="18">
        <f>IFERROR(__xludf.DUMMYFUNCTION("IMPORTRANGE(""https://docs.google.com/spreadsheets/d/""&amp;$A60&amp;""/edit#gid=156619080"",AV$3)"),10.71428571428571)</f>
        <v>10.71428571</v>
      </c>
      <c r="AW60" s="19" t="str">
        <f>IFERROR(__xludf.DUMMYFUNCTION("IMPORTRANGE(""https://docs.google.com/spreadsheets/d/""&amp;$A60&amp;""/edit#gid=156619080"",AW$3)"),"23.02
20.16
17.05
14.74
")</f>
        <v>23.02
20.16
17.05
14.74
</v>
      </c>
      <c r="AX60" s="2">
        <f>IFERROR(__xludf.DUMMYFUNCTION("IMPORTRANGE(""https://docs.google.com/spreadsheets/d/""&amp;$A60&amp;""/edit#gid=156619080"",AX$3)"),0.0)</f>
        <v>0</v>
      </c>
      <c r="AY60" s="2">
        <f>IFERROR(__xludf.DUMMYFUNCTION("IMPORTRANGE(""https://docs.google.com/spreadsheets/d/""&amp;$A60&amp;""/edit#gid=156619080"",AY$3)"),40.0)</f>
        <v>40</v>
      </c>
      <c r="AZ60" s="2">
        <f>IFERROR(__xludf.DUMMYFUNCTION("IMPORTRANGE(""https://docs.google.com/spreadsheets/d/""&amp;$A60&amp;""/edit#gid=156619080"",AZ$3)"),4630.81)</f>
        <v>4630.81</v>
      </c>
      <c r="BA60" s="2">
        <f>IFERROR(__xludf.DUMMYFUNCTION("IMPORTRANGE(""https://docs.google.com/spreadsheets/d/""&amp;$A60&amp;""/edit#gid=156619080"",BA$3)"),-92.28999999999996)</f>
        <v>-92.29</v>
      </c>
      <c r="BB60" s="2">
        <f>IFERROR(__xludf.DUMMYFUNCTION("IMPORTRANGE(""https://docs.google.com/spreadsheets/d/""&amp;$A60&amp;""/edit#gid=156619080"",BB$3)"),1.94)</f>
        <v>1.94</v>
      </c>
      <c r="BC60" s="2" t="str">
        <f>IFERROR(__xludf.DUMMYFUNCTION("IMPORTRANGE(""https://docs.google.com/spreadsheets/d/""&amp;$A60&amp;""/edit#gid=156619080"",BC$3)"),"DC→DC")</f>
        <v>DC→DC</v>
      </c>
    </row>
    <row r="61" ht="51.0" customHeight="1">
      <c r="A61" s="7" t="str">
        <f t="shared" si="5"/>
        <v>1wfeSilUpDtk94RZjIZnhDYvJEmg4yomDROSdYPSedio</v>
      </c>
      <c r="B61" s="1" t="s">
        <v>88</v>
      </c>
      <c r="C61" s="2">
        <f>IFERROR(__xludf.DUMMYFUNCTION("IMPORTRANGE(""https://docs.google.com/spreadsheets/d/""&amp;$A61&amp;""/edit#gid=156619080"",C$3)"),132.0)</f>
        <v>132</v>
      </c>
      <c r="D61" s="2">
        <f>IFERROR(__xludf.DUMMYFUNCTION("IMPORTRANGE(""https://docs.google.com/spreadsheets/d/""&amp;$A61&amp;""/edit#gid=156619080"",D$3)"),5333.0)</f>
        <v>5333</v>
      </c>
      <c r="E61" s="15">
        <f>IFERROR(__xludf.DUMMYFUNCTION("IMPORTRANGE(""https://docs.google.com/spreadsheets/d/""&amp;$A61&amp;""/edit#gid=156619080"",E$3)"),43882.0)</f>
        <v>43882</v>
      </c>
      <c r="F61" s="2">
        <f>IFERROR(__xludf.DUMMYFUNCTION("IMPORTRANGE(""https://docs.google.com/spreadsheets/d/""&amp;$A61&amp;""/edit#gid=156619080"",F$3)"),14.0)</f>
        <v>14</v>
      </c>
      <c r="G61" s="16">
        <f>IFERROR(__xludf.DUMMYFUNCTION("IMPORTRANGE(""https://docs.google.com/spreadsheets/d/""&amp;$A61&amp;""/edit#gid=156619080"",G$3)"),0.74)</f>
        <v>0.74</v>
      </c>
      <c r="H61" s="16">
        <f>IFERROR(__xludf.DUMMYFUNCTION("IMPORTRANGE(""https://docs.google.com/spreadsheets/d/""&amp;$A61&amp;""/edit#gid=156619080"",H$3)"),1892.0)</f>
        <v>1892</v>
      </c>
      <c r="I61" s="16">
        <f>IFERROR(__xludf.DUMMYFUNCTION("IMPORTRANGE(""https://docs.google.com/spreadsheets/d/""&amp;$A61&amp;""/edit#gid=156619080"",I$3)"),-10.0)</f>
        <v>-10</v>
      </c>
      <c r="J61" s="16">
        <f>IFERROR(__xludf.DUMMYFUNCTION("IMPORTRANGE(""https://docs.google.com/spreadsheets/d/""&amp;$A61&amp;""/edit#gid=156619080"",J$3)"),1906.0)</f>
        <v>1906</v>
      </c>
      <c r="K61" s="16">
        <f>IFERROR(__xludf.DUMMYFUNCTION("IMPORTRANGE(""https://docs.google.com/spreadsheets/d/""&amp;$A61&amp;""/edit#gid=156619080"",K$3)"),0.5979166666666667)</f>
        <v>0.5979166667</v>
      </c>
      <c r="L61" s="16">
        <f>IFERROR(__xludf.DUMMYFUNCTION("IMPORTRANGE(""https://docs.google.com/spreadsheets/d/""&amp;$A61&amp;""/edit#gid=156619080"",L$3)"),1884.0)</f>
        <v>1884</v>
      </c>
      <c r="M61" s="16">
        <f>IFERROR(__xludf.DUMMYFUNCTION("IMPORTRANGE(""https://docs.google.com/spreadsheets/d/""&amp;$A61&amp;""/edit#gid=156619080"",M$3)"),0.47847222222222224)</f>
        <v>0.4784722222</v>
      </c>
      <c r="N61" s="16">
        <f>IFERROR(__xludf.DUMMYFUNCTION("IMPORTRANGE(""https://docs.google.com/spreadsheets/d/""&amp;$A61&amp;""/edit#gid=156619080"",N$3)"),1896.0)</f>
        <v>1896</v>
      </c>
      <c r="O61" s="16" t="str">
        <f>IFERROR(__xludf.DUMMYFUNCTION("IMPORTRANGE(""https://docs.google.com/spreadsheets/d/""&amp;$A61&amp;""/edit#gid=156619080"",O$3)"),"1140200株")</f>
        <v>1140200株</v>
      </c>
      <c r="P61" s="16" t="str">
        <f>IFERROR(__xludf.DUMMYFUNCTION("IMPORTRANGE(""https://docs.google.com/spreadsheets/d/""&amp;$A61&amp;""/edit#gid=156619080"",P$3)"),"2160百万円")</f>
        <v>2160百万円</v>
      </c>
      <c r="Q61" s="16" t="str">
        <f>IFERROR(__xludf.DUMMYFUNCTION("IMPORTRANGE(""https://docs.google.com/spreadsheets/d/""&amp;$A61&amp;""/edit#gid=156619080"",Q$3)"),"2152回")</f>
        <v>2152回</v>
      </c>
      <c r="R61" s="16" t="str">
        <f>IFERROR(__xludf.DUMMYFUNCTION("IMPORTRANGE(""https://docs.google.com/spreadsheets/d/""&amp;$A61&amp;""/edit#gid=156619080"",R$3)"),"6211億円")</f>
        <v>6211億円</v>
      </c>
      <c r="S61" s="16" t="str">
        <f>IFERROR(__xludf.DUMMYFUNCTION("IMPORTRANGE(""https://docs.google.com/spreadsheets/d/""&amp;$A61&amp;""/edit#gid=156619080"",S$3)"),"陽線")</f>
        <v>陽線</v>
      </c>
      <c r="T61" s="16" t="str">
        <f>IFERROR(__xludf.DUMMYFUNCTION("IMPORTRANGE(""https://docs.google.com/spreadsheets/d/""&amp;$A61&amp;""/edit#gid=156619080"",T$3)"),"")</f>
        <v/>
      </c>
      <c r="U61" s="16">
        <f>IFERROR(__xludf.DUMMYFUNCTION("IMPORTRANGE(""https://docs.google.com/spreadsheets/d/""&amp;$A61&amp;""/edit#gid=156619080"",U$3)"),1880.6)</f>
        <v>1880.6</v>
      </c>
      <c r="V61" s="16">
        <f>IFERROR(__xludf.DUMMYFUNCTION("IMPORTRANGE(""https://docs.google.com/spreadsheets/d/""&amp;$A61&amp;""/edit#gid=156619080"",V$3)"),1883.2)</f>
        <v>1883.2</v>
      </c>
      <c r="W61" s="16">
        <f>IFERROR(__xludf.DUMMYFUNCTION("IMPORTRANGE(""https://docs.google.com/spreadsheets/d/""&amp;$A61&amp;""/edit#gid=156619080"",W$3)"),1888.1)</f>
        <v>1888.1</v>
      </c>
      <c r="X61" s="2">
        <f>IFERROR(__xludf.DUMMYFUNCTION("IMPORTRANGE(""https://docs.google.com/spreadsheets/d/""&amp;$A61&amp;""/edit#gid=156619080"",X$3)"),1772.2)</f>
        <v>1772.2</v>
      </c>
      <c r="Y61" s="17">
        <f>IFERROR(__xludf.DUMMYFUNCTION("IMPORTRANGE(""https://docs.google.com/spreadsheets/d/""&amp;$A61&amp;""/edit#gid=156619080"",Y$3)"),0.008188875890673238)</f>
        <v>0.008188875891</v>
      </c>
      <c r="Z61" s="2">
        <f>IFERROR(__xludf.DUMMYFUNCTION("IMPORTRANGE(""https://docs.google.com/spreadsheets/d/""&amp;$A61&amp;""/edit#gid=156619080"",Z$3)"),1942.5)</f>
        <v>1942.5</v>
      </c>
      <c r="AA61" s="2">
        <f>IFERROR(__xludf.DUMMYFUNCTION("IMPORTRANGE(""https://docs.google.com/spreadsheets/d/""&amp;$A61&amp;""/edit#gid=156619080"",AA$3)"),1935.7)</f>
        <v>1935.7</v>
      </c>
      <c r="AB61" s="2">
        <f>IFERROR(__xludf.DUMMYFUNCTION("IMPORTRANGE(""https://docs.google.com/spreadsheets/d/""&amp;$A61&amp;""/edit#gid=156619080"",AB$3)"),1928.9)</f>
        <v>1928.9</v>
      </c>
      <c r="AC61" s="18">
        <f>IFERROR(__xludf.DUMMYFUNCTION("IMPORTRANGE(""https://docs.google.com/spreadsheets/d/""&amp;$A61&amp;""/edit#gid=156619080"",AC$3)"),1922.1)</f>
        <v>1922.1</v>
      </c>
      <c r="AD61" s="18">
        <f>IFERROR(__xludf.DUMMYFUNCTION("IMPORTRANGE(""https://docs.google.com/spreadsheets/d/""&amp;$A61&amp;""/edit#gid=156619080"",AD$3)"),1915.3)</f>
        <v>1915.3</v>
      </c>
      <c r="AE61" s="18">
        <f>IFERROR(__xludf.DUMMYFUNCTION("IMPORTRANGE(""https://docs.google.com/spreadsheets/d/""&amp;$A61&amp;""/edit#gid=156619080"",AE$3)"),1888.1)</f>
        <v>1888.1</v>
      </c>
      <c r="AF61" s="2">
        <f>IFERROR(__xludf.DUMMYFUNCTION("IMPORTRANGE(""https://docs.google.com/spreadsheets/d/""&amp;$A61&amp;""/edit#gid=156619080"",AF$3)"),1860.9)</f>
        <v>1860.9</v>
      </c>
      <c r="AG61" s="2">
        <f>IFERROR(__xludf.DUMMYFUNCTION("IMPORTRANGE(""https://docs.google.com/spreadsheets/d/""&amp;$A61&amp;""/edit#gid=156619080"",AG$3)"),1854.1)</f>
        <v>1854.1</v>
      </c>
      <c r="AH61" s="2">
        <f>IFERROR(__xludf.DUMMYFUNCTION("IMPORTRANGE(""https://docs.google.com/spreadsheets/d/""&amp;$A61&amp;""/edit#gid=156619080"",AH$3)"),1847.3)</f>
        <v>1847.3</v>
      </c>
      <c r="AI61" s="2">
        <f>IFERROR(__xludf.DUMMYFUNCTION("IMPORTRANGE(""https://docs.google.com/spreadsheets/d/""&amp;$A61&amp;""/edit#gid=156619080"",AI$3)"),1840.5)</f>
        <v>1840.5</v>
      </c>
      <c r="AJ61" s="2">
        <f>IFERROR(__xludf.DUMMYFUNCTION("IMPORTRANGE(""https://docs.google.com/spreadsheets/d/""&amp;$A61&amp;""/edit#gid=156619080"",AJ$3)"),1833.7)</f>
        <v>1833.7</v>
      </c>
      <c r="AK61" s="2" t="str">
        <f>IFERROR(__xludf.DUMMYFUNCTION("IMPORTRANGE(""https://docs.google.com/spreadsheets/d/""&amp;$A61&amp;""/edit#gid=156619080"",AK$3)"),"")</f>
        <v/>
      </c>
      <c r="AL61" s="2">
        <f>IFERROR(__xludf.DUMMYFUNCTION("IMPORTRANGE(""https://docs.google.com/spreadsheets/d/""&amp;$A61&amp;""/edit#gid=156619080"",AL$3)"),-1.0)</f>
        <v>-1</v>
      </c>
      <c r="AM61" s="2" t="str">
        <f>IFERROR(__xludf.DUMMYFUNCTION("IMPORTRANGE(""https://docs.google.com/spreadsheets/d/""&amp;$A61&amp;""/edit#gid=156619080"",AM$3)"),"bs1")</f>
        <v>bs1</v>
      </c>
      <c r="AN61" s="2">
        <f>IFERROR(__xludf.DUMMYFUNCTION("IMPORTRANGE(""https://docs.google.com/spreadsheets/d/""&amp;$A61&amp;""/edit#gid=156619080"",AN$3)"),-1.0)</f>
        <v>-1</v>
      </c>
      <c r="AO61" s="2" t="str">
        <f>IFERROR(__xludf.DUMMYFUNCTION("IMPORTRANGE(""https://docs.google.com/spreadsheets/d/""&amp;$A61&amp;""/edit#gid=156619080"",AO$3)"),"")</f>
        <v/>
      </c>
      <c r="AP61" s="2">
        <f>IFERROR(__xludf.DUMMYFUNCTION("IMPORTRANGE(""https://docs.google.com/spreadsheets/d/""&amp;$A61&amp;""/edit#gid=156619080"",AP$3)"),-1.0)</f>
        <v>-1</v>
      </c>
      <c r="AQ61" s="2" t="str">
        <f>IFERROR(__xludf.DUMMYFUNCTION("IMPORTRANGE(""https://docs.google.com/spreadsheets/d/""&amp;$A61&amp;""/edit#gid=156619080"",AQ$3)"),"")</f>
        <v/>
      </c>
      <c r="AR61" s="18">
        <f>IFERROR(__xludf.DUMMYFUNCTION("IMPORTRANGE(""https://docs.google.com/spreadsheets/d/""&amp;$A61&amp;""/edit#gid=156619080"",AR$3)"),30.000000000000004)</f>
        <v>30</v>
      </c>
      <c r="AS61" s="19" t="str">
        <f>IFERROR(__xludf.DUMMYFUNCTION("IMPORTRANGE(""https://docs.google.com/spreadsheets/d/""&amp;$A61&amp;""/edit#gid=156619080"",AS$3)"),"10
-70
-70
-70
")</f>
        <v>10
-70
-70
-70
</v>
      </c>
      <c r="AT61" s="18">
        <f>IFERROR(__xludf.DUMMYFUNCTION("IMPORTRANGE(""https://docs.google.com/spreadsheets/d/""&amp;$A61&amp;""/edit#gid=156619080"",AT$3)"),6.043956043956045)</f>
        <v>6.043956044</v>
      </c>
      <c r="AU61" s="3" t="str">
        <f>IFERROR(__xludf.DUMMYFUNCTION("IMPORTRANGE(""https://docs.google.com/spreadsheets/d/""&amp;$A61&amp;""/edit#gid=156619080"",AU$3)"),"22.53
38.46
39.56
22.53
")</f>
        <v>22.53
38.46
39.56
22.53
</v>
      </c>
      <c r="AV61" s="18">
        <f>IFERROR(__xludf.DUMMYFUNCTION("IMPORTRANGE(""https://docs.google.com/spreadsheets/d/""&amp;$A61&amp;""/edit#gid=156619080"",AV$3)"),-37.66233766233766)</f>
        <v>-37.66233766</v>
      </c>
      <c r="AW61" s="19" t="str">
        <f>IFERROR(__xludf.DUMMYFUNCTION("IMPORTRANGE(""https://docs.google.com/spreadsheets/d/""&amp;$A61&amp;""/edit#gid=156619080"",AW$3)"),"-65.71
-61.56
-56.1
-49.22
")</f>
        <v>-65.71
-61.56
-56.1
-49.22
</v>
      </c>
      <c r="AX61" s="2">
        <f>IFERROR(__xludf.DUMMYFUNCTION("IMPORTRANGE(""https://docs.google.com/spreadsheets/d/""&amp;$A61&amp;""/edit#gid=156619080"",AX$3)"),47.760000000000005)</f>
        <v>47.76</v>
      </c>
      <c r="AY61" s="2">
        <f>IFERROR(__xludf.DUMMYFUNCTION("IMPORTRANGE(""https://docs.google.com/spreadsheets/d/""&amp;$A61&amp;""/edit#gid=156619080"",AY$3)"),42.07)</f>
        <v>42.07</v>
      </c>
      <c r="AZ61" s="2">
        <f>IFERROR(__xludf.DUMMYFUNCTION("IMPORTRANGE(""https://docs.google.com/spreadsheets/d/""&amp;$A61&amp;""/edit#gid=156619080"",AZ$3)"),1885.02)</f>
        <v>1885.02</v>
      </c>
      <c r="BA61" s="2">
        <f>IFERROR(__xludf.DUMMYFUNCTION("IMPORTRANGE(""https://docs.google.com/spreadsheets/d/""&amp;$A61&amp;""/edit#gid=156619080"",BA$3)"),-6.2999999999999545)</f>
        <v>-6.3</v>
      </c>
      <c r="BB61" s="2">
        <f>IFERROR(__xludf.DUMMYFUNCTION("IMPORTRANGE(""https://docs.google.com/spreadsheets/d/""&amp;$A61&amp;""/edit#gid=156619080"",BB$3)"),-9.17)</f>
        <v>-9.17</v>
      </c>
      <c r="BC61" s="2" t="str">
        <f>IFERROR(__xludf.DUMMYFUNCTION("IMPORTRANGE(""https://docs.google.com/spreadsheets/d/""&amp;$A61&amp;""/edit#gid=156619080"",BC$3)"),"DC→GC")</f>
        <v>DC→GC</v>
      </c>
    </row>
    <row r="62" ht="51.0" customHeight="1">
      <c r="A62" s="7" t="str">
        <f t="shared" si="5"/>
        <v>1heRrJJ_IkuUIN8QHMz0XCBBqbpBqxkXQPf-mdpit5-A</v>
      </c>
      <c r="B62" s="1" t="s">
        <v>89</v>
      </c>
      <c r="C62" s="2">
        <f>IFERROR(__xludf.DUMMYFUNCTION("IMPORTRANGE(""https://docs.google.com/spreadsheets/d/""&amp;$A62&amp;""/edit#gid=156619080"",C$3)"),132.0)</f>
        <v>132</v>
      </c>
      <c r="D62" s="2">
        <f>IFERROR(__xludf.DUMMYFUNCTION("IMPORTRANGE(""https://docs.google.com/spreadsheets/d/""&amp;$A62&amp;""/edit#gid=156619080"",D$3)"),5401.0)</f>
        <v>5401</v>
      </c>
      <c r="E62" s="15">
        <f>IFERROR(__xludf.DUMMYFUNCTION("IMPORTRANGE(""https://docs.google.com/spreadsheets/d/""&amp;$A62&amp;""/edit#gid=156619080"",E$3)"),43882.0)</f>
        <v>43882</v>
      </c>
      <c r="F62" s="2">
        <f>IFERROR(__xludf.DUMMYFUNCTION("IMPORTRANGE(""https://docs.google.com/spreadsheets/d/""&amp;$A62&amp;""/edit#gid=156619080"",F$3)"),-8.5)</f>
        <v>-8.5</v>
      </c>
      <c r="G62" s="16">
        <f>IFERROR(__xludf.DUMMYFUNCTION("IMPORTRANGE(""https://docs.google.com/spreadsheets/d/""&amp;$A62&amp;""/edit#gid=156619080"",G$3)"),-0.63)</f>
        <v>-0.63</v>
      </c>
      <c r="H62" s="16">
        <f>IFERROR(__xludf.DUMMYFUNCTION("IMPORTRANGE(""https://docs.google.com/spreadsheets/d/""&amp;$A62&amp;""/edit#gid=156619080"",H$3)"),1366.5)</f>
        <v>1366.5</v>
      </c>
      <c r="I62" s="16">
        <f>IFERROR(__xludf.DUMMYFUNCTION("IMPORTRANGE(""https://docs.google.com/spreadsheets/d/""&amp;$A62&amp;""/edit#gid=156619080"",I$3)"),-8.5)</f>
        <v>-8.5</v>
      </c>
      <c r="J62" s="16">
        <f>IFERROR(__xludf.DUMMYFUNCTION("IMPORTRANGE(""https://docs.google.com/spreadsheets/d/""&amp;$A62&amp;""/edit#gid=156619080"",J$3)"),1387.0)</f>
        <v>1387</v>
      </c>
      <c r="K62" s="16">
        <f>IFERROR(__xludf.DUMMYFUNCTION("IMPORTRANGE(""https://docs.google.com/spreadsheets/d/""&amp;$A62&amp;""/edit#gid=156619080"",K$3)"),0.3763888888888889)</f>
        <v>0.3763888889</v>
      </c>
      <c r="L62" s="16">
        <f>IFERROR(__xludf.DUMMYFUNCTION("IMPORTRANGE(""https://docs.google.com/spreadsheets/d/""&amp;$A62&amp;""/edit#gid=156619080"",L$3)"),1349.5)</f>
        <v>1349.5</v>
      </c>
      <c r="M62" s="16">
        <f>IFERROR(__xludf.DUMMYFUNCTION("IMPORTRANGE(""https://docs.google.com/spreadsheets/d/""&amp;$A62&amp;""/edit#gid=156619080"",M$3)"),0.6243055555555556)</f>
        <v>0.6243055556</v>
      </c>
      <c r="N62" s="16">
        <f>IFERROR(__xludf.DUMMYFUNCTION("IMPORTRANGE(""https://docs.google.com/spreadsheets/d/""&amp;$A62&amp;""/edit#gid=156619080"",N$3)"),1349.5)</f>
        <v>1349.5</v>
      </c>
      <c r="O62" s="16" t="str">
        <f>IFERROR(__xludf.DUMMYFUNCTION("IMPORTRANGE(""https://docs.google.com/spreadsheets/d/""&amp;$A62&amp;""/edit#gid=156619080"",O$3)"),"5282800株")</f>
        <v>5282800株</v>
      </c>
      <c r="P62" s="16" t="str">
        <f>IFERROR(__xludf.DUMMYFUNCTION("IMPORTRANGE(""https://docs.google.com/spreadsheets/d/""&amp;$A62&amp;""/edit#gid=156619080"",P$3)"),"7199百万円")</f>
        <v>7199百万円</v>
      </c>
      <c r="Q62" s="16" t="str">
        <f>IFERROR(__xludf.DUMMYFUNCTION("IMPORTRANGE(""https://docs.google.com/spreadsheets/d/""&amp;$A62&amp;""/edit#gid=156619080"",Q$3)"),"6641回")</f>
        <v>6641回</v>
      </c>
      <c r="R62" s="16" t="str">
        <f>IFERROR(__xludf.DUMMYFUNCTION("IMPORTRANGE(""https://docs.google.com/spreadsheets/d/""&amp;$A62&amp;""/edit#gid=156619080"",R$3)"),"12825億円")</f>
        <v>12825億円</v>
      </c>
      <c r="S62" s="16" t="str">
        <f>IFERROR(__xludf.DUMMYFUNCTION("IMPORTRANGE(""https://docs.google.com/spreadsheets/d/""&amp;$A62&amp;""/edit#gid=156619080"",S$3)"),"陰線")</f>
        <v>陰線</v>
      </c>
      <c r="T62" s="16" t="str">
        <f>IFERROR(__xludf.DUMMYFUNCTION("IMPORTRANGE(""https://docs.google.com/spreadsheets/d/""&amp;$A62&amp;""/edit#gid=156619080"",T$3)"),"")</f>
        <v/>
      </c>
      <c r="U62" s="16">
        <f>IFERROR(__xludf.DUMMYFUNCTION("IMPORTRANGE(""https://docs.google.com/spreadsheets/d/""&amp;$A62&amp;""/edit#gid=156619080"",U$3)"),1407.9)</f>
        <v>1407.9</v>
      </c>
      <c r="V62" s="16">
        <f>IFERROR(__xludf.DUMMYFUNCTION("IMPORTRANGE(""https://docs.google.com/spreadsheets/d/""&amp;$A62&amp;""/edit#gid=156619080"",V$3)"),1482.0)</f>
        <v>1482</v>
      </c>
      <c r="W62" s="16">
        <f>IFERROR(__xludf.DUMMYFUNCTION("IMPORTRANGE(""https://docs.google.com/spreadsheets/d/""&amp;$A62&amp;""/edit#gid=156619080"",W$3)"),1511.4)</f>
        <v>1511.4</v>
      </c>
      <c r="X62" s="2">
        <f>IFERROR(__xludf.DUMMYFUNCTION("IMPORTRANGE(""https://docs.google.com/spreadsheets/d/""&amp;$A62&amp;""/edit#gid=156619080"",X$3)"),1572.2)</f>
        <v>1572.2</v>
      </c>
      <c r="Y62" s="17">
        <f>IFERROR(__xludf.DUMMYFUNCTION("IMPORTRANGE(""https://docs.google.com/spreadsheets/d/""&amp;$A62&amp;""/edit#gid=156619080"",Y$3)"),-0.04148021876553739)</f>
        <v>-0.04148021877</v>
      </c>
      <c r="Z62" s="2">
        <f>IFERROR(__xludf.DUMMYFUNCTION("IMPORTRANGE(""https://docs.google.com/spreadsheets/d/""&amp;$A62&amp;""/edit#gid=156619080"",Z$3)"),1652.63)</f>
        <v>1652.63</v>
      </c>
      <c r="AA62" s="2">
        <f>IFERROR(__xludf.DUMMYFUNCTION("IMPORTRANGE(""https://docs.google.com/spreadsheets/d/""&amp;$A62&amp;""/edit#gid=156619080"",AA$3)"),1634.97)</f>
        <v>1634.97</v>
      </c>
      <c r="AB62" s="2">
        <f>IFERROR(__xludf.DUMMYFUNCTION("IMPORTRANGE(""https://docs.google.com/spreadsheets/d/""&amp;$A62&amp;""/edit#gid=156619080"",AB$3)"),1617.32)</f>
        <v>1617.32</v>
      </c>
      <c r="AC62" s="18">
        <f>IFERROR(__xludf.DUMMYFUNCTION("IMPORTRANGE(""https://docs.google.com/spreadsheets/d/""&amp;$A62&amp;""/edit#gid=156619080"",AC$3)"),1599.67)</f>
        <v>1599.67</v>
      </c>
      <c r="AD62" s="18">
        <f>IFERROR(__xludf.DUMMYFUNCTION("IMPORTRANGE(""https://docs.google.com/spreadsheets/d/""&amp;$A62&amp;""/edit#gid=156619080"",AD$3)"),1582.01)</f>
        <v>1582.01</v>
      </c>
      <c r="AE62" s="18">
        <f>IFERROR(__xludf.DUMMYFUNCTION("IMPORTRANGE(""https://docs.google.com/spreadsheets/d/""&amp;$A62&amp;""/edit#gid=156619080"",AE$3)"),1511.4)</f>
        <v>1511.4</v>
      </c>
      <c r="AF62" s="2">
        <f>IFERROR(__xludf.DUMMYFUNCTION("IMPORTRANGE(""https://docs.google.com/spreadsheets/d/""&amp;$A62&amp;""/edit#gid=156619080"",AF$3)"),1440.79)</f>
        <v>1440.79</v>
      </c>
      <c r="AG62" s="2">
        <f>IFERROR(__xludf.DUMMYFUNCTION("IMPORTRANGE(""https://docs.google.com/spreadsheets/d/""&amp;$A62&amp;""/edit#gid=156619080"",AG$3)"),1423.13)</f>
        <v>1423.13</v>
      </c>
      <c r="AH62" s="2">
        <f>IFERROR(__xludf.DUMMYFUNCTION("IMPORTRANGE(""https://docs.google.com/spreadsheets/d/""&amp;$A62&amp;""/edit#gid=156619080"",AH$3)"),1405.48)</f>
        <v>1405.48</v>
      </c>
      <c r="AI62" s="2">
        <f>IFERROR(__xludf.DUMMYFUNCTION("IMPORTRANGE(""https://docs.google.com/spreadsheets/d/""&amp;$A62&amp;""/edit#gid=156619080"",AI$3)"),1387.83)</f>
        <v>1387.83</v>
      </c>
      <c r="AJ62" s="2">
        <f>IFERROR(__xludf.DUMMYFUNCTION("IMPORTRANGE(""https://docs.google.com/spreadsheets/d/""&amp;$A62&amp;""/edit#gid=156619080"",AJ$3)"),1370.17)</f>
        <v>1370.17</v>
      </c>
      <c r="AK62" s="2" t="str">
        <f>IFERROR(__xludf.DUMMYFUNCTION("IMPORTRANGE(""https://docs.google.com/spreadsheets/d/""&amp;$A62&amp;""/edit#gid=156619080"",AK$3)"),"-2σ以下")</f>
        <v>-2σ以下</v>
      </c>
      <c r="AL62" s="2">
        <f>IFERROR(__xludf.DUMMYFUNCTION("IMPORTRANGE(""https://docs.google.com/spreadsheets/d/""&amp;$A62&amp;""/edit#gid=156619080"",AL$3)"),-1.0)</f>
        <v>-1</v>
      </c>
      <c r="AM62" s="2" t="str">
        <f>IFERROR(__xludf.DUMMYFUNCTION("IMPORTRANGE(""https://docs.google.com/spreadsheets/d/""&amp;$A62&amp;""/edit#gid=156619080"",AM$3)"),"")</f>
        <v/>
      </c>
      <c r="AN62" s="2">
        <f>IFERROR(__xludf.DUMMYFUNCTION("IMPORTRANGE(""https://docs.google.com/spreadsheets/d/""&amp;$A62&amp;""/edit#gid=156619080"",AN$3)"),-1.0)</f>
        <v>-1</v>
      </c>
      <c r="AO62" s="2" t="str">
        <f>IFERROR(__xludf.DUMMYFUNCTION("IMPORTRANGE(""https://docs.google.com/spreadsheets/d/""&amp;$A62&amp;""/edit#gid=156619080"",AO$3)"),"")</f>
        <v/>
      </c>
      <c r="AP62" s="2">
        <f>IFERROR(__xludf.DUMMYFUNCTION("IMPORTRANGE(""https://docs.google.com/spreadsheets/d/""&amp;$A62&amp;""/edit#gid=156619080"",AP$3)"),-1.0)</f>
        <v>-1</v>
      </c>
      <c r="AQ62" s="2" t="str">
        <f>IFERROR(__xludf.DUMMYFUNCTION("IMPORTRANGE(""https://docs.google.com/spreadsheets/d/""&amp;$A62&amp;""/edit#gid=156619080"",AQ$3)"),"")</f>
        <v/>
      </c>
      <c r="AR62" s="18">
        <f>IFERROR(__xludf.DUMMYFUNCTION("IMPORTRANGE(""https://docs.google.com/spreadsheets/d/""&amp;$A62&amp;""/edit#gid=156619080"",AR$3)"),-100.0)</f>
        <v>-100</v>
      </c>
      <c r="AS62" s="19" t="str">
        <f>IFERROR(__xludf.DUMMYFUNCTION("IMPORTRANGE(""https://docs.google.com/spreadsheets/d/""&amp;$A62&amp;""/edit#gid=156619080"",AS$3)"),"-100
-100
-100
-100
")</f>
        <v>-100
-100
-100
-100
</v>
      </c>
      <c r="AT62" s="18">
        <f>IFERROR(__xludf.DUMMYFUNCTION("IMPORTRANGE(""https://docs.google.com/spreadsheets/d/""&amp;$A62&amp;""/edit#gid=156619080"",AT$3)"),-82.96703296703296)</f>
        <v>-82.96703297</v>
      </c>
      <c r="AU62" s="3" t="str">
        <f>IFERROR(__xludf.DUMMYFUNCTION("IMPORTRANGE(""https://docs.google.com/spreadsheets/d/""&amp;$A62&amp;""/edit#gid=156619080"",AU$3)"),"-29.26
-46.84
-61.68
-69.92
")</f>
        <v>-29.26
-46.84
-61.68
-69.92
</v>
      </c>
      <c r="AV62" s="18">
        <f>IFERROR(__xludf.DUMMYFUNCTION("IMPORTRANGE(""https://docs.google.com/spreadsheets/d/""&amp;$A62&amp;""/edit#gid=156619080"",AV$3)"),-80.03246753246754)</f>
        <v>-80.03246753</v>
      </c>
      <c r="AW62" s="19" t="str">
        <f>IFERROR(__xludf.DUMMYFUNCTION("IMPORTRANGE(""https://docs.google.com/spreadsheets/d/""&amp;$A62&amp;""/edit#gid=156619080"",AW$3)"),"-80.03
-80.03
-80.03
-80.03
")</f>
        <v>-80.03
-80.03
-80.03
-80.03
</v>
      </c>
      <c r="AX62" s="2">
        <f>IFERROR(__xludf.DUMMYFUNCTION("IMPORTRANGE(""https://docs.google.com/spreadsheets/d/""&amp;$A62&amp;""/edit#gid=156619080"",AX$3)"),0.0)</f>
        <v>0</v>
      </c>
      <c r="AY62" s="2">
        <f>IFERROR(__xludf.DUMMYFUNCTION("IMPORTRANGE(""https://docs.google.com/spreadsheets/d/""&amp;$A62&amp;""/edit#gid=156619080"",AY$3)"),14.510000000000002)</f>
        <v>14.51</v>
      </c>
      <c r="AZ62" s="2">
        <f>IFERROR(__xludf.DUMMYFUNCTION("IMPORTRANGE(""https://docs.google.com/spreadsheets/d/""&amp;$A62&amp;""/edit#gid=156619080"",AZ$3)"),1399.79)</f>
        <v>1399.79</v>
      </c>
      <c r="BA62" s="2">
        <f>IFERROR(__xludf.DUMMYFUNCTION("IMPORTRANGE(""https://docs.google.com/spreadsheets/d/""&amp;$A62&amp;""/edit#gid=156619080"",BA$3)"),-103.1400000000001)</f>
        <v>-103.14</v>
      </c>
      <c r="BB62" s="2">
        <f>IFERROR(__xludf.DUMMYFUNCTION("IMPORTRANGE(""https://docs.google.com/spreadsheets/d/""&amp;$A62&amp;""/edit#gid=156619080"",BB$3)"),-63.99)</f>
        <v>-63.99</v>
      </c>
      <c r="BC62" s="2" t="str">
        <f>IFERROR(__xludf.DUMMYFUNCTION("IMPORTRANGE(""https://docs.google.com/spreadsheets/d/""&amp;$A62&amp;""/edit#gid=156619080"",BC$3)"),"DC→DC")</f>
        <v>DC→DC</v>
      </c>
    </row>
    <row r="63" ht="51.0" customHeight="1">
      <c r="A63" s="7" t="str">
        <f t="shared" si="5"/>
        <v>1ZzD3KqMkvgu7xdOTFoTK3n9TwzszK3viEoy6R7tT0cM</v>
      </c>
      <c r="B63" s="1" t="s">
        <v>90</v>
      </c>
      <c r="C63" s="2">
        <f>IFERROR(__xludf.DUMMYFUNCTION("IMPORTRANGE(""https://docs.google.com/spreadsheets/d/""&amp;$A63&amp;""/edit#gid=156619080"",C$3)"),132.0)</f>
        <v>132</v>
      </c>
      <c r="D63" s="2">
        <f>IFERROR(__xludf.DUMMYFUNCTION("IMPORTRANGE(""https://docs.google.com/spreadsheets/d/""&amp;$A63&amp;""/edit#gid=156619080"",D$3)"),5406.0)</f>
        <v>5406</v>
      </c>
      <c r="E63" s="15">
        <f>IFERROR(__xludf.DUMMYFUNCTION("IMPORTRANGE(""https://docs.google.com/spreadsheets/d/""&amp;$A63&amp;""/edit#gid=156619080"",E$3)"),43882.0)</f>
        <v>43882</v>
      </c>
      <c r="F63" s="2">
        <f>IFERROR(__xludf.DUMMYFUNCTION("IMPORTRANGE(""https://docs.google.com/spreadsheets/d/""&amp;$A63&amp;""/edit#gid=156619080"",F$3)"),-7.0)</f>
        <v>-7</v>
      </c>
      <c r="G63" s="16">
        <f>IFERROR(__xludf.DUMMYFUNCTION("IMPORTRANGE(""https://docs.google.com/spreadsheets/d/""&amp;$A63&amp;""/edit#gid=156619080"",G$3)"),-1.54)</f>
        <v>-1.54</v>
      </c>
      <c r="H63" s="16">
        <f>IFERROR(__xludf.DUMMYFUNCTION("IMPORTRANGE(""https://docs.google.com/spreadsheets/d/""&amp;$A63&amp;""/edit#gid=156619080"",H$3)"),452.0)</f>
        <v>452</v>
      </c>
      <c r="I63" s="16">
        <f>IFERROR(__xludf.DUMMYFUNCTION("IMPORTRANGE(""https://docs.google.com/spreadsheets/d/""&amp;$A63&amp;""/edit#gid=156619080"",I$3)"),3.0)</f>
        <v>3</v>
      </c>
      <c r="J63" s="16">
        <f>IFERROR(__xludf.DUMMYFUNCTION("IMPORTRANGE(""https://docs.google.com/spreadsheets/d/""&amp;$A63&amp;""/edit#gid=156619080"",J$3)"),456.0)</f>
        <v>456</v>
      </c>
      <c r="K63" s="16">
        <f>IFERROR(__xludf.DUMMYFUNCTION("IMPORTRANGE(""https://docs.google.com/spreadsheets/d/""&amp;$A63&amp;""/edit#gid=156619080"",K$3)"),0.38125)</f>
        <v>0.38125</v>
      </c>
      <c r="L63" s="16">
        <f>IFERROR(__xludf.DUMMYFUNCTION("IMPORTRANGE(""https://docs.google.com/spreadsheets/d/""&amp;$A63&amp;""/edit#gid=156619080"",L$3)"),448.0)</f>
        <v>448</v>
      </c>
      <c r="M63" s="16">
        <f>IFERROR(__xludf.DUMMYFUNCTION("IMPORTRANGE(""https://docs.google.com/spreadsheets/d/""&amp;$A63&amp;""/edit#gid=156619080"",M$3)"),0.5715277777777777)</f>
        <v>0.5715277778</v>
      </c>
      <c r="N63" s="16">
        <f>IFERROR(__xludf.DUMMYFUNCTION("IMPORTRANGE(""https://docs.google.com/spreadsheets/d/""&amp;$A63&amp;""/edit#gid=156619080"",N$3)"),448.0)</f>
        <v>448</v>
      </c>
      <c r="O63" s="16" t="str">
        <f>IFERROR(__xludf.DUMMYFUNCTION("IMPORTRANGE(""https://docs.google.com/spreadsheets/d/""&amp;$A63&amp;""/edit#gid=156619080"",O$3)"),"7220300株")</f>
        <v>7220300株</v>
      </c>
      <c r="P63" s="16" t="str">
        <f>IFERROR(__xludf.DUMMYFUNCTION("IMPORTRANGE(""https://docs.google.com/spreadsheets/d/""&amp;$A63&amp;""/edit#gid=156619080"",P$3)"),"3257百万円")</f>
        <v>3257百万円</v>
      </c>
      <c r="Q63" s="16" t="str">
        <f>IFERROR(__xludf.DUMMYFUNCTION("IMPORTRANGE(""https://docs.google.com/spreadsheets/d/""&amp;$A63&amp;""/edit#gid=156619080"",Q$3)"),"2887回")</f>
        <v>2887回</v>
      </c>
      <c r="R63" s="16" t="str">
        <f>IFERROR(__xludf.DUMMYFUNCTION("IMPORTRANGE(""https://docs.google.com/spreadsheets/d/""&amp;$A63&amp;""/edit#gid=156619080"",R$3)"),"1632億円")</f>
        <v>1632億円</v>
      </c>
      <c r="S63" s="16" t="str">
        <f>IFERROR(__xludf.DUMMYFUNCTION("IMPORTRANGE(""https://docs.google.com/spreadsheets/d/""&amp;$A63&amp;""/edit#gid=156619080"",S$3)"),"陰線")</f>
        <v>陰線</v>
      </c>
      <c r="T63" s="16" t="str">
        <f>IFERROR(__xludf.DUMMYFUNCTION("IMPORTRANGE(""https://docs.google.com/spreadsheets/d/""&amp;$A63&amp;""/edit#gid=156619080"",T$3)"),"")</f>
        <v/>
      </c>
      <c r="U63" s="16">
        <f>IFERROR(__xludf.DUMMYFUNCTION("IMPORTRANGE(""https://docs.google.com/spreadsheets/d/""&amp;$A63&amp;""/edit#gid=156619080"",U$3)"),462.4)</f>
        <v>462.4</v>
      </c>
      <c r="V63" s="16">
        <f>IFERROR(__xludf.DUMMYFUNCTION("IMPORTRANGE(""https://docs.google.com/spreadsheets/d/""&amp;$A63&amp;""/edit#gid=156619080"",V$3)"),485.1)</f>
        <v>485.1</v>
      </c>
      <c r="W63" s="16">
        <f>IFERROR(__xludf.DUMMYFUNCTION("IMPORTRANGE(""https://docs.google.com/spreadsheets/d/""&amp;$A63&amp;""/edit#gid=156619080"",W$3)"),497.4)</f>
        <v>497.4</v>
      </c>
      <c r="X63" s="2">
        <f>IFERROR(__xludf.DUMMYFUNCTION("IMPORTRANGE(""https://docs.google.com/spreadsheets/d/""&amp;$A63&amp;""/edit#gid=156619080"",X$3)"),559.0)</f>
        <v>559</v>
      </c>
      <c r="Y63" s="17">
        <f>IFERROR(__xludf.DUMMYFUNCTION("IMPORTRANGE(""https://docs.google.com/spreadsheets/d/""&amp;$A63&amp;""/edit#gid=156619080"",Y$3)"),-0.03114186851211068)</f>
        <v>-0.03114186851</v>
      </c>
      <c r="Z63" s="2">
        <f>IFERROR(__xludf.DUMMYFUNCTION("IMPORTRANGE(""https://docs.google.com/spreadsheets/d/""&amp;$A63&amp;""/edit#gid=156619080"",Z$3)"),548.32)</f>
        <v>548.32</v>
      </c>
      <c r="AA63" s="2">
        <f>IFERROR(__xludf.DUMMYFUNCTION("IMPORTRANGE(""https://docs.google.com/spreadsheets/d/""&amp;$A63&amp;""/edit#gid=156619080"",AA$3)"),541.96)</f>
        <v>541.96</v>
      </c>
      <c r="AB63" s="2">
        <f>IFERROR(__xludf.DUMMYFUNCTION("IMPORTRANGE(""https://docs.google.com/spreadsheets/d/""&amp;$A63&amp;""/edit#gid=156619080"",AB$3)"),535.59)</f>
        <v>535.59</v>
      </c>
      <c r="AC63" s="18">
        <f>IFERROR(__xludf.DUMMYFUNCTION("IMPORTRANGE(""https://docs.google.com/spreadsheets/d/""&amp;$A63&amp;""/edit#gid=156619080"",AC$3)"),529.23)</f>
        <v>529.23</v>
      </c>
      <c r="AD63" s="18">
        <f>IFERROR(__xludf.DUMMYFUNCTION("IMPORTRANGE(""https://docs.google.com/spreadsheets/d/""&amp;$A63&amp;""/edit#gid=156619080"",AD$3)"),522.86)</f>
        <v>522.86</v>
      </c>
      <c r="AE63" s="18">
        <f>IFERROR(__xludf.DUMMYFUNCTION("IMPORTRANGE(""https://docs.google.com/spreadsheets/d/""&amp;$A63&amp;""/edit#gid=156619080"",AE$3)"),497.4)</f>
        <v>497.4</v>
      </c>
      <c r="AF63" s="2">
        <f>IFERROR(__xludf.DUMMYFUNCTION("IMPORTRANGE(""https://docs.google.com/spreadsheets/d/""&amp;$A63&amp;""/edit#gid=156619080"",AF$3)"),471.94)</f>
        <v>471.94</v>
      </c>
      <c r="AG63" s="2">
        <f>IFERROR(__xludf.DUMMYFUNCTION("IMPORTRANGE(""https://docs.google.com/spreadsheets/d/""&amp;$A63&amp;""/edit#gid=156619080"",AG$3)"),465.57)</f>
        <v>465.57</v>
      </c>
      <c r="AH63" s="2">
        <f>IFERROR(__xludf.DUMMYFUNCTION("IMPORTRANGE(""https://docs.google.com/spreadsheets/d/""&amp;$A63&amp;""/edit#gid=156619080"",AH$3)"),459.21)</f>
        <v>459.21</v>
      </c>
      <c r="AI63" s="2">
        <f>IFERROR(__xludf.DUMMYFUNCTION("IMPORTRANGE(""https://docs.google.com/spreadsheets/d/""&amp;$A63&amp;""/edit#gid=156619080"",AI$3)"),452.84)</f>
        <v>452.84</v>
      </c>
      <c r="AJ63" s="2">
        <f>IFERROR(__xludf.DUMMYFUNCTION("IMPORTRANGE(""https://docs.google.com/spreadsheets/d/""&amp;$A63&amp;""/edit#gid=156619080"",AJ$3)"),446.48)</f>
        <v>446.48</v>
      </c>
      <c r="AK63" s="2" t="str">
        <f>IFERROR(__xludf.DUMMYFUNCTION("IMPORTRANGE(""https://docs.google.com/spreadsheets/d/""&amp;$A63&amp;""/edit#gid=156619080"",AK$3)"),"-1.75σ〜-2σ")</f>
        <v>-1.75σ〜-2σ</v>
      </c>
      <c r="AL63" s="2">
        <f>IFERROR(__xludf.DUMMYFUNCTION("IMPORTRANGE(""https://docs.google.com/spreadsheets/d/""&amp;$A63&amp;""/edit#gid=156619080"",AL$3)"),-1.0)</f>
        <v>-1</v>
      </c>
      <c r="AM63" s="2" t="str">
        <f>IFERROR(__xludf.DUMMYFUNCTION("IMPORTRANGE(""https://docs.google.com/spreadsheets/d/""&amp;$A63&amp;""/edit#gid=156619080"",AM$3)"),"")</f>
        <v/>
      </c>
      <c r="AN63" s="2">
        <f>IFERROR(__xludf.DUMMYFUNCTION("IMPORTRANGE(""https://docs.google.com/spreadsheets/d/""&amp;$A63&amp;""/edit#gid=156619080"",AN$3)"),-1.0)</f>
        <v>-1</v>
      </c>
      <c r="AO63" s="2" t="str">
        <f>IFERROR(__xludf.DUMMYFUNCTION("IMPORTRANGE(""https://docs.google.com/spreadsheets/d/""&amp;$A63&amp;""/edit#gid=156619080"",AO$3)"),"")</f>
        <v/>
      </c>
      <c r="AP63" s="2">
        <f>IFERROR(__xludf.DUMMYFUNCTION("IMPORTRANGE(""https://docs.google.com/spreadsheets/d/""&amp;$A63&amp;""/edit#gid=156619080"",AP$3)"),-1.0)</f>
        <v>-1</v>
      </c>
      <c r="AQ63" s="2" t="str">
        <f>IFERROR(__xludf.DUMMYFUNCTION("IMPORTRANGE(""https://docs.google.com/spreadsheets/d/""&amp;$A63&amp;""/edit#gid=156619080"",AQ$3)"),"")</f>
        <v/>
      </c>
      <c r="AR63" s="18">
        <f>IFERROR(__xludf.DUMMYFUNCTION("IMPORTRANGE(""https://docs.google.com/spreadsheets/d/""&amp;$A63&amp;""/edit#gid=156619080"",AR$3)"),-89.99999999999999)</f>
        <v>-90</v>
      </c>
      <c r="AS63" s="19" t="str">
        <f>IFERROR(__xludf.DUMMYFUNCTION("IMPORTRANGE(""https://docs.google.com/spreadsheets/d/""&amp;$A63&amp;""/edit#gid=156619080"",AS$3)"),"-100
-90
-90
-90
")</f>
        <v>-100
-90
-90
-90
</v>
      </c>
      <c r="AT63" s="18">
        <f>IFERROR(__xludf.DUMMYFUNCTION("IMPORTRANGE(""https://docs.google.com/spreadsheets/d/""&amp;$A63&amp;""/edit#gid=156619080"",AT$3)"),-86.12637362637363)</f>
        <v>-86.12637363</v>
      </c>
      <c r="AU63" s="3" t="str">
        <f>IFERROR(__xludf.DUMMYFUNCTION("IMPORTRANGE(""https://docs.google.com/spreadsheets/d/""&amp;$A63&amp;""/edit#gid=156619080"",AU$3)"),"-53.57
-56.32
-66.76
-70.74
")</f>
        <v>-53.57
-56.32
-66.76
-70.74
</v>
      </c>
      <c r="AV63" s="18">
        <f>IFERROR(__xludf.DUMMYFUNCTION("IMPORTRANGE(""https://docs.google.com/spreadsheets/d/""&amp;$A63&amp;""/edit#gid=156619080"",AV$3)"),-87.98701298701299)</f>
        <v>-87.98701299</v>
      </c>
      <c r="AW63" s="19" t="str">
        <f>IFERROR(__xludf.DUMMYFUNCTION("IMPORTRANGE(""https://docs.google.com/spreadsheets/d/""&amp;$A63&amp;""/edit#gid=156619080"",AW$3)"),"-87.99
-87.99
-87.99
-87.99
")</f>
        <v>-87.99
-87.99
-87.99
-87.99
</v>
      </c>
      <c r="AX63" s="2">
        <f>IFERROR(__xludf.DUMMYFUNCTION("IMPORTRANGE(""https://docs.google.com/spreadsheets/d/""&amp;$A63&amp;""/edit#gid=156619080"",AX$3)"),2.86)</f>
        <v>2.86</v>
      </c>
      <c r="AY63" s="2">
        <f>IFERROR(__xludf.DUMMYFUNCTION("IMPORTRANGE(""https://docs.google.com/spreadsheets/d/""&amp;$A63&amp;""/edit#gid=156619080"",AY$3)"),18.09)</f>
        <v>18.09</v>
      </c>
      <c r="AZ63" s="2">
        <f>IFERROR(__xludf.DUMMYFUNCTION("IMPORTRANGE(""https://docs.google.com/spreadsheets/d/""&amp;$A63&amp;""/edit#gid=156619080"",AZ$3)"),461.73)</f>
        <v>461.73</v>
      </c>
      <c r="BA63" s="2">
        <f>IFERROR(__xludf.DUMMYFUNCTION("IMPORTRANGE(""https://docs.google.com/spreadsheets/d/""&amp;$A63&amp;""/edit#gid=156619080"",BA$3)"),-35.97999999999996)</f>
        <v>-35.98</v>
      </c>
      <c r="BB63" s="2">
        <f>IFERROR(__xludf.DUMMYFUNCTION("IMPORTRANGE(""https://docs.google.com/spreadsheets/d/""&amp;$A63&amp;""/edit#gid=156619080"",BB$3)"),-29.49)</f>
        <v>-29.49</v>
      </c>
      <c r="BC63" s="2" t="str">
        <f>IFERROR(__xludf.DUMMYFUNCTION("IMPORTRANGE(""https://docs.google.com/spreadsheets/d/""&amp;$A63&amp;""/edit#gid=156619080"",BC$3)"),"DC→DC")</f>
        <v>DC→DC</v>
      </c>
    </row>
    <row r="64" ht="51.0" customHeight="1">
      <c r="A64" s="7" t="str">
        <f t="shared" si="5"/>
        <v>1e7o3e7jiqlsrG_dEVGgZD9MIDdtKi1rxbnDnIlRA2Ps</v>
      </c>
      <c r="B64" s="1" t="s">
        <v>91</v>
      </c>
      <c r="C64" s="2">
        <f>IFERROR(__xludf.DUMMYFUNCTION("IMPORTRANGE(""https://docs.google.com/spreadsheets/d/""&amp;$A64&amp;""/edit#gid=156619080"",C$3)"),132.0)</f>
        <v>132</v>
      </c>
      <c r="D64" s="2">
        <f>IFERROR(__xludf.DUMMYFUNCTION("IMPORTRANGE(""https://docs.google.com/spreadsheets/d/""&amp;$A64&amp;""/edit#gid=156619080"",D$3)"),5411.0)</f>
        <v>5411</v>
      </c>
      <c r="E64" s="15">
        <f>IFERROR(__xludf.DUMMYFUNCTION("IMPORTRANGE(""https://docs.google.com/spreadsheets/d/""&amp;$A64&amp;""/edit#gid=156619080"",E$3)"),43882.0)</f>
        <v>43882</v>
      </c>
      <c r="F64" s="2">
        <f>IFERROR(__xludf.DUMMYFUNCTION("IMPORTRANGE(""https://docs.google.com/spreadsheets/d/""&amp;$A64&amp;""/edit#gid=156619080"",F$3)"),-2.0)</f>
        <v>-2</v>
      </c>
      <c r="G64" s="16">
        <f>IFERROR(__xludf.DUMMYFUNCTION("IMPORTRANGE(""https://docs.google.com/spreadsheets/d/""&amp;$A64&amp;""/edit#gid=156619080"",G$3)"),-0.18)</f>
        <v>-0.18</v>
      </c>
      <c r="H64" s="16">
        <f>IFERROR(__xludf.DUMMYFUNCTION("IMPORTRANGE(""https://docs.google.com/spreadsheets/d/""&amp;$A64&amp;""/edit#gid=156619080"",H$3)"),1108.0)</f>
        <v>1108</v>
      </c>
      <c r="I64" s="16">
        <f>IFERROR(__xludf.DUMMYFUNCTION("IMPORTRANGE(""https://docs.google.com/spreadsheets/d/""&amp;$A64&amp;""/edit#gid=156619080"",I$3)"),0.0)</f>
        <v>0</v>
      </c>
      <c r="J64" s="16">
        <f>IFERROR(__xludf.DUMMYFUNCTION("IMPORTRANGE(""https://docs.google.com/spreadsheets/d/""&amp;$A64&amp;""/edit#gid=156619080"",J$3)"),1132.0)</f>
        <v>1132</v>
      </c>
      <c r="K64" s="16">
        <f>IFERROR(__xludf.DUMMYFUNCTION("IMPORTRANGE(""https://docs.google.com/spreadsheets/d/""&amp;$A64&amp;""/edit#gid=156619080"",K$3)"),0.3763888888888889)</f>
        <v>0.3763888889</v>
      </c>
      <c r="L64" s="16">
        <f>IFERROR(__xludf.DUMMYFUNCTION("IMPORTRANGE(""https://docs.google.com/spreadsheets/d/""&amp;$A64&amp;""/edit#gid=156619080"",L$3)"),1100.0)</f>
        <v>1100</v>
      </c>
      <c r="M64" s="16">
        <f>IFERROR(__xludf.DUMMYFUNCTION("IMPORTRANGE(""https://docs.google.com/spreadsheets/d/""&amp;$A64&amp;""/edit#gid=156619080"",M$3)"),0.41944444444444445)</f>
        <v>0.4194444444</v>
      </c>
      <c r="N64" s="16">
        <f>IFERROR(__xludf.DUMMYFUNCTION("IMPORTRANGE(""https://docs.google.com/spreadsheets/d/""&amp;$A64&amp;""/edit#gid=156619080"",N$3)"),1106.0)</f>
        <v>1106</v>
      </c>
      <c r="O64" s="16" t="str">
        <f>IFERROR(__xludf.DUMMYFUNCTION("IMPORTRANGE(""https://docs.google.com/spreadsheets/d/""&amp;$A64&amp;""/edit#gid=156619080"",O$3)"),"3829000株")</f>
        <v>3829000株</v>
      </c>
      <c r="P64" s="16" t="str">
        <f>IFERROR(__xludf.DUMMYFUNCTION("IMPORTRANGE(""https://docs.google.com/spreadsheets/d/""&amp;$A64&amp;""/edit#gid=156619080"",P$3)"),"4259百万円")</f>
        <v>4259百万円</v>
      </c>
      <c r="Q64" s="16" t="str">
        <f>IFERROR(__xludf.DUMMYFUNCTION("IMPORTRANGE(""https://docs.google.com/spreadsheets/d/""&amp;$A64&amp;""/edit#gid=156619080"",Q$3)"),"4052回")</f>
        <v>4052回</v>
      </c>
      <c r="R64" s="16" t="str">
        <f>IFERROR(__xludf.DUMMYFUNCTION("IMPORTRANGE(""https://docs.google.com/spreadsheets/d/""&amp;$A64&amp;""/edit#gid=156619080"",R$3)"),"6796億円")</f>
        <v>6796億円</v>
      </c>
      <c r="S64" s="16" t="str">
        <f>IFERROR(__xludf.DUMMYFUNCTION("IMPORTRANGE(""https://docs.google.com/spreadsheets/d/""&amp;$A64&amp;""/edit#gid=156619080"",S$3)"),"陰線")</f>
        <v>陰線</v>
      </c>
      <c r="T64" s="16" t="str">
        <f>IFERROR(__xludf.DUMMYFUNCTION("IMPORTRANGE(""https://docs.google.com/spreadsheets/d/""&amp;$A64&amp;""/edit#gid=156619080"",T$3)"),"")</f>
        <v/>
      </c>
      <c r="U64" s="16">
        <f>IFERROR(__xludf.DUMMYFUNCTION("IMPORTRANGE(""https://docs.google.com/spreadsheets/d/""&amp;$A64&amp;""/edit#gid=156619080"",U$3)"),1145.0)</f>
        <v>1145</v>
      </c>
      <c r="V64" s="16">
        <f>IFERROR(__xludf.DUMMYFUNCTION("IMPORTRANGE(""https://docs.google.com/spreadsheets/d/""&amp;$A64&amp;""/edit#gid=156619080"",V$3)"),1247.0)</f>
        <v>1247</v>
      </c>
      <c r="W64" s="16">
        <f>IFERROR(__xludf.DUMMYFUNCTION("IMPORTRANGE(""https://docs.google.com/spreadsheets/d/""&amp;$A64&amp;""/edit#gid=156619080"",W$3)"),1287.3)</f>
        <v>1287.3</v>
      </c>
      <c r="X64" s="2">
        <f>IFERROR(__xludf.DUMMYFUNCTION("IMPORTRANGE(""https://docs.google.com/spreadsheets/d/""&amp;$A64&amp;""/edit#gid=156619080"",X$3)"),1349.0)</f>
        <v>1349</v>
      </c>
      <c r="Y64" s="17">
        <f>IFERROR(__xludf.DUMMYFUNCTION("IMPORTRANGE(""https://docs.google.com/spreadsheets/d/""&amp;$A64&amp;""/edit#gid=156619080"",Y$3)"),-0.03406113537117904)</f>
        <v>-0.03406113537</v>
      </c>
      <c r="Z64" s="2">
        <f>IFERROR(__xludf.DUMMYFUNCTION("IMPORTRANGE(""https://docs.google.com/spreadsheets/d/""&amp;$A64&amp;""/edit#gid=156619080"",Z$3)"),1471.82)</f>
        <v>1471.82</v>
      </c>
      <c r="AA64" s="2">
        <f>IFERROR(__xludf.DUMMYFUNCTION("IMPORTRANGE(""https://docs.google.com/spreadsheets/d/""&amp;$A64&amp;""/edit#gid=156619080"",AA$3)"),1448.75)</f>
        <v>1448.75</v>
      </c>
      <c r="AB64" s="2">
        <f>IFERROR(__xludf.DUMMYFUNCTION("IMPORTRANGE(""https://docs.google.com/spreadsheets/d/""&amp;$A64&amp;""/edit#gid=156619080"",AB$3)"),1425.69)</f>
        <v>1425.69</v>
      </c>
      <c r="AC64" s="18">
        <f>IFERROR(__xludf.DUMMYFUNCTION("IMPORTRANGE(""https://docs.google.com/spreadsheets/d/""&amp;$A64&amp;""/edit#gid=156619080"",AC$3)"),1402.62)</f>
        <v>1402.62</v>
      </c>
      <c r="AD64" s="18">
        <f>IFERROR(__xludf.DUMMYFUNCTION("IMPORTRANGE(""https://docs.google.com/spreadsheets/d/""&amp;$A64&amp;""/edit#gid=156619080"",AD$3)"),1379.56)</f>
        <v>1379.56</v>
      </c>
      <c r="AE64" s="18">
        <f>IFERROR(__xludf.DUMMYFUNCTION("IMPORTRANGE(""https://docs.google.com/spreadsheets/d/""&amp;$A64&amp;""/edit#gid=156619080"",AE$3)"),1287.3)</f>
        <v>1287.3</v>
      </c>
      <c r="AF64" s="2">
        <f>IFERROR(__xludf.DUMMYFUNCTION("IMPORTRANGE(""https://docs.google.com/spreadsheets/d/""&amp;$A64&amp;""/edit#gid=156619080"",AF$3)"),1195.04)</f>
        <v>1195.04</v>
      </c>
      <c r="AG64" s="2">
        <f>IFERROR(__xludf.DUMMYFUNCTION("IMPORTRANGE(""https://docs.google.com/spreadsheets/d/""&amp;$A64&amp;""/edit#gid=156619080"",AG$3)"),1171.98)</f>
        <v>1171.98</v>
      </c>
      <c r="AH64" s="2">
        <f>IFERROR(__xludf.DUMMYFUNCTION("IMPORTRANGE(""https://docs.google.com/spreadsheets/d/""&amp;$A64&amp;""/edit#gid=156619080"",AH$3)"),1148.91)</f>
        <v>1148.91</v>
      </c>
      <c r="AI64" s="2">
        <f>IFERROR(__xludf.DUMMYFUNCTION("IMPORTRANGE(""https://docs.google.com/spreadsheets/d/""&amp;$A64&amp;""/edit#gid=156619080"",AI$3)"),1125.85)</f>
        <v>1125.85</v>
      </c>
      <c r="AJ64" s="2">
        <f>IFERROR(__xludf.DUMMYFUNCTION("IMPORTRANGE(""https://docs.google.com/spreadsheets/d/""&amp;$A64&amp;""/edit#gid=156619080"",AJ$3)"),1102.78)</f>
        <v>1102.78</v>
      </c>
      <c r="AK64" s="2" t="str">
        <f>IFERROR(__xludf.DUMMYFUNCTION("IMPORTRANGE(""https://docs.google.com/spreadsheets/d/""&amp;$A64&amp;""/edit#gid=156619080"",AK$3)"),"-1.75σ〜-2σ")</f>
        <v>-1.75σ〜-2σ</v>
      </c>
      <c r="AL64" s="2">
        <f>IFERROR(__xludf.DUMMYFUNCTION("IMPORTRANGE(""https://docs.google.com/spreadsheets/d/""&amp;$A64&amp;""/edit#gid=156619080"",AL$3)"),-1.0)</f>
        <v>-1</v>
      </c>
      <c r="AM64" s="2" t="str">
        <f>IFERROR(__xludf.DUMMYFUNCTION("IMPORTRANGE(""https://docs.google.com/spreadsheets/d/""&amp;$A64&amp;""/edit#gid=156619080"",AM$3)"),"")</f>
        <v/>
      </c>
      <c r="AN64" s="2">
        <f>IFERROR(__xludf.DUMMYFUNCTION("IMPORTRANGE(""https://docs.google.com/spreadsheets/d/""&amp;$A64&amp;""/edit#gid=156619080"",AN$3)"),-1.0)</f>
        <v>-1</v>
      </c>
      <c r="AO64" s="2" t="str">
        <f>IFERROR(__xludf.DUMMYFUNCTION("IMPORTRANGE(""https://docs.google.com/spreadsheets/d/""&amp;$A64&amp;""/edit#gid=156619080"",AO$3)"),"")</f>
        <v/>
      </c>
      <c r="AP64" s="2">
        <f>IFERROR(__xludf.DUMMYFUNCTION("IMPORTRANGE(""https://docs.google.com/spreadsheets/d/""&amp;$A64&amp;""/edit#gid=156619080"",AP$3)"),-1.0)</f>
        <v>-1</v>
      </c>
      <c r="AQ64" s="2" t="str">
        <f>IFERROR(__xludf.DUMMYFUNCTION("IMPORTRANGE(""https://docs.google.com/spreadsheets/d/""&amp;$A64&amp;""/edit#gid=156619080"",AQ$3)"),"")</f>
        <v/>
      </c>
      <c r="AR64" s="18">
        <f>IFERROR(__xludf.DUMMYFUNCTION("IMPORTRANGE(""https://docs.google.com/spreadsheets/d/""&amp;$A64&amp;""/edit#gid=156619080"",AR$3)"),-100.0)</f>
        <v>-100</v>
      </c>
      <c r="AS64" s="19" t="str">
        <f>IFERROR(__xludf.DUMMYFUNCTION("IMPORTRANGE(""https://docs.google.com/spreadsheets/d/""&amp;$A64&amp;""/edit#gid=156619080"",AS$3)"),"-100
-100
-100
-100
")</f>
        <v>-100
-100
-100
-100
</v>
      </c>
      <c r="AT64" s="18">
        <f>IFERROR(__xludf.DUMMYFUNCTION("IMPORTRANGE(""https://docs.google.com/spreadsheets/d/""&amp;$A64&amp;""/edit#gid=156619080"",AT$3)"),-86.26373626373626)</f>
        <v>-86.26373626</v>
      </c>
      <c r="AU64" s="3" t="str">
        <f>IFERROR(__xludf.DUMMYFUNCTION("IMPORTRANGE(""https://docs.google.com/spreadsheets/d/""&amp;$A64&amp;""/edit#gid=156619080"",AU$3)"),"-38.46
-45.6
-62.64
-74.73
")</f>
        <v>-38.46
-45.6
-62.64
-74.73
</v>
      </c>
      <c r="AV64" s="18">
        <f>IFERROR(__xludf.DUMMYFUNCTION("IMPORTRANGE(""https://docs.google.com/spreadsheets/d/""&amp;$A64&amp;""/edit#gid=156619080"",AV$3)"),-82.07792207792208)</f>
        <v>-82.07792208</v>
      </c>
      <c r="AW64" s="19" t="str">
        <f>IFERROR(__xludf.DUMMYFUNCTION("IMPORTRANGE(""https://docs.google.com/spreadsheets/d/""&amp;$A64&amp;""/edit#gid=156619080"",AW$3)"),"-81.95
-82.08
-82.08
-82.08
")</f>
        <v>-81.95
-82.08
-82.08
-82.08
</v>
      </c>
      <c r="AX64" s="2">
        <f>IFERROR(__xludf.DUMMYFUNCTION("IMPORTRANGE(""https://docs.google.com/spreadsheets/d/""&amp;$A64&amp;""/edit#gid=156619080"",AX$3)"),0.0)</f>
        <v>0</v>
      </c>
      <c r="AY64" s="2">
        <f>IFERROR(__xludf.DUMMYFUNCTION("IMPORTRANGE(""https://docs.google.com/spreadsheets/d/""&amp;$A64&amp;""/edit#gid=156619080"",AY$3)"),17.32)</f>
        <v>17.32</v>
      </c>
      <c r="AZ64" s="2">
        <f>IFERROR(__xludf.DUMMYFUNCTION("IMPORTRANGE(""https://docs.google.com/spreadsheets/d/""&amp;$A64&amp;""/edit#gid=156619080"",AZ$3)"),1147.82)</f>
        <v>1147.82</v>
      </c>
      <c r="BA64" s="2">
        <f>IFERROR(__xludf.DUMMYFUNCTION("IMPORTRANGE(""https://docs.google.com/spreadsheets/d/""&amp;$A64&amp;""/edit#gid=156619080"",BA$3)"),-120.60000000000014)</f>
        <v>-120.6</v>
      </c>
      <c r="BB64" s="2">
        <f>IFERROR(__xludf.DUMMYFUNCTION("IMPORTRANGE(""https://docs.google.com/spreadsheets/d/""&amp;$A64&amp;""/edit#gid=156619080"",BB$3)"),-75.17)</f>
        <v>-75.17</v>
      </c>
      <c r="BC64" s="2" t="str">
        <f>IFERROR(__xludf.DUMMYFUNCTION("IMPORTRANGE(""https://docs.google.com/spreadsheets/d/""&amp;$A64&amp;""/edit#gid=156619080"",BC$3)"),"DC→DC")</f>
        <v>DC→DC</v>
      </c>
    </row>
    <row r="65" ht="51.0" customHeight="1">
      <c r="A65" s="7" t="str">
        <f t="shared" si="5"/>
        <v>18bwU3SuLg783eEuT76DJSLS9VsHFXZYYcgPrMa97mug</v>
      </c>
      <c r="B65" s="1" t="s">
        <v>92</v>
      </c>
      <c r="C65" s="2">
        <f>IFERROR(__xludf.DUMMYFUNCTION("IMPORTRANGE(""https://docs.google.com/spreadsheets/d/""&amp;$A65&amp;""/edit#gid=156619080"",C$3)"),132.0)</f>
        <v>132</v>
      </c>
      <c r="D65" s="2">
        <f>IFERROR(__xludf.DUMMYFUNCTION("IMPORTRANGE(""https://docs.google.com/spreadsheets/d/""&amp;$A65&amp;""/edit#gid=156619080"",D$3)"),5541.0)</f>
        <v>5541</v>
      </c>
      <c r="E65" s="15">
        <f>IFERROR(__xludf.DUMMYFUNCTION("IMPORTRANGE(""https://docs.google.com/spreadsheets/d/""&amp;$A65&amp;""/edit#gid=156619080"",E$3)"),43882.0)</f>
        <v>43882</v>
      </c>
      <c r="F65" s="2">
        <f>IFERROR(__xludf.DUMMYFUNCTION("IMPORTRANGE(""https://docs.google.com/spreadsheets/d/""&amp;$A65&amp;""/edit#gid=156619080"",F$3)"),-86.0)</f>
        <v>-86</v>
      </c>
      <c r="G65" s="16">
        <f>IFERROR(__xludf.DUMMYFUNCTION("IMPORTRANGE(""https://docs.google.com/spreadsheets/d/""&amp;$A65&amp;""/edit#gid=156619080"",G$3)"),-3.6)</f>
        <v>-3.6</v>
      </c>
      <c r="H65" s="16">
        <f>IFERROR(__xludf.DUMMYFUNCTION("IMPORTRANGE(""https://docs.google.com/spreadsheets/d/""&amp;$A65&amp;""/edit#gid=156619080"",H$3)"),2376.0)</f>
        <v>2376</v>
      </c>
      <c r="I65" s="16">
        <f>IFERROR(__xludf.DUMMYFUNCTION("IMPORTRANGE(""https://docs.google.com/spreadsheets/d/""&amp;$A65&amp;""/edit#gid=156619080"",I$3)"),10.0)</f>
        <v>10</v>
      </c>
      <c r="J65" s="16">
        <f>IFERROR(__xludf.DUMMYFUNCTION("IMPORTRANGE(""https://docs.google.com/spreadsheets/d/""&amp;$A65&amp;""/edit#gid=156619080"",J$3)"),2380.0)</f>
        <v>2380</v>
      </c>
      <c r="K65" s="16">
        <f>IFERROR(__xludf.DUMMYFUNCTION("IMPORTRANGE(""https://docs.google.com/spreadsheets/d/""&amp;$A65&amp;""/edit#gid=156619080"",K$3)"),0.40208333333333335)</f>
        <v>0.4020833333</v>
      </c>
      <c r="L65" s="16">
        <f>IFERROR(__xludf.DUMMYFUNCTION("IMPORTRANGE(""https://docs.google.com/spreadsheets/d/""&amp;$A65&amp;""/edit#gid=156619080"",L$3)"),2296.0)</f>
        <v>2296</v>
      </c>
      <c r="M65" s="16">
        <f>IFERROR(__xludf.DUMMYFUNCTION("IMPORTRANGE(""https://docs.google.com/spreadsheets/d/""&amp;$A65&amp;""/edit#gid=156619080"",M$3)"),0.6173611111111111)</f>
        <v>0.6173611111</v>
      </c>
      <c r="N65" s="16">
        <f>IFERROR(__xludf.DUMMYFUNCTION("IMPORTRANGE(""https://docs.google.com/spreadsheets/d/""&amp;$A65&amp;""/edit#gid=156619080"",N$3)"),2300.0)</f>
        <v>2300</v>
      </c>
      <c r="O65" s="16" t="str">
        <f>IFERROR(__xludf.DUMMYFUNCTION("IMPORTRANGE(""https://docs.google.com/spreadsheets/d/""&amp;$A65&amp;""/edit#gid=156619080"",O$3)"),"386700株")</f>
        <v>386700株</v>
      </c>
      <c r="P65" s="16" t="str">
        <f>IFERROR(__xludf.DUMMYFUNCTION("IMPORTRANGE(""https://docs.google.com/spreadsheets/d/""&amp;$A65&amp;""/edit#gid=156619080"",P$3)"),"903百万円")</f>
        <v>903百万円</v>
      </c>
      <c r="Q65" s="16" t="str">
        <f>IFERROR(__xludf.DUMMYFUNCTION("IMPORTRANGE(""https://docs.google.com/spreadsheets/d/""&amp;$A65&amp;""/edit#gid=156619080"",Q$3)"),"1313回")</f>
        <v>1313回</v>
      </c>
      <c r="R65" s="16" t="str">
        <f>IFERROR(__xludf.DUMMYFUNCTION("IMPORTRANGE(""https://docs.google.com/spreadsheets/d/""&amp;$A65&amp;""/edit#gid=156619080"",R$3)"),"450億円")</f>
        <v>450億円</v>
      </c>
      <c r="S65" s="16" t="str">
        <f>IFERROR(__xludf.DUMMYFUNCTION("IMPORTRANGE(""https://docs.google.com/spreadsheets/d/""&amp;$A65&amp;""/edit#gid=156619080"",S$3)"),"陰線")</f>
        <v>陰線</v>
      </c>
      <c r="T65" s="16" t="str">
        <f>IFERROR(__xludf.DUMMYFUNCTION("IMPORTRANGE(""https://docs.google.com/spreadsheets/d/""&amp;$A65&amp;""/edit#gid=156619080"",T$3)"),"")</f>
        <v/>
      </c>
      <c r="U65" s="16">
        <f>IFERROR(__xludf.DUMMYFUNCTION("IMPORTRANGE(""https://docs.google.com/spreadsheets/d/""&amp;$A65&amp;""/edit#gid=156619080"",U$3)"),2358.8)</f>
        <v>2358.8</v>
      </c>
      <c r="V65" s="16">
        <f>IFERROR(__xludf.DUMMYFUNCTION("IMPORTRANGE(""https://docs.google.com/spreadsheets/d/""&amp;$A65&amp;""/edit#gid=156619080"",V$3)"),2315.0)</f>
        <v>2315</v>
      </c>
      <c r="W65" s="16">
        <f>IFERROR(__xludf.DUMMYFUNCTION("IMPORTRANGE(""https://docs.google.com/spreadsheets/d/""&amp;$A65&amp;""/edit#gid=156619080"",W$3)"),2251.0)</f>
        <v>2251</v>
      </c>
      <c r="X65" s="2">
        <f>IFERROR(__xludf.DUMMYFUNCTION("IMPORTRANGE(""https://docs.google.com/spreadsheets/d/""&amp;$A65&amp;""/edit#gid=156619080"",X$3)"),2384.7)</f>
        <v>2384.7</v>
      </c>
      <c r="Y65" s="17">
        <f>IFERROR(__xludf.DUMMYFUNCTION("IMPORTRANGE(""https://docs.google.com/spreadsheets/d/""&amp;$A65&amp;""/edit#gid=156619080"",Y$3)"),-0.024927929455655494)</f>
        <v>-0.02492792946</v>
      </c>
      <c r="Z65" s="2">
        <f>IFERROR(__xludf.DUMMYFUNCTION("IMPORTRANGE(""https://docs.google.com/spreadsheets/d/""&amp;$A65&amp;""/edit#gid=156619080"",Z$3)"),2490.33)</f>
        <v>2490.33</v>
      </c>
      <c r="AA65" s="2">
        <f>IFERROR(__xludf.DUMMYFUNCTION("IMPORTRANGE(""https://docs.google.com/spreadsheets/d/""&amp;$A65&amp;""/edit#gid=156619080"",AA$3)"),2460.41)</f>
        <v>2460.41</v>
      </c>
      <c r="AB65" s="2">
        <f>IFERROR(__xludf.DUMMYFUNCTION("IMPORTRANGE(""https://docs.google.com/spreadsheets/d/""&amp;$A65&amp;""/edit#gid=156619080"",AB$3)"),2430.5)</f>
        <v>2430.5</v>
      </c>
      <c r="AC65" s="18">
        <f>IFERROR(__xludf.DUMMYFUNCTION("IMPORTRANGE(""https://docs.google.com/spreadsheets/d/""&amp;$A65&amp;""/edit#gid=156619080"",AC$3)"),2400.58)</f>
        <v>2400.58</v>
      </c>
      <c r="AD65" s="18">
        <f>IFERROR(__xludf.DUMMYFUNCTION("IMPORTRANGE(""https://docs.google.com/spreadsheets/d/""&amp;$A65&amp;""/edit#gid=156619080"",AD$3)"),2370.66)</f>
        <v>2370.66</v>
      </c>
      <c r="AE65" s="18">
        <f>IFERROR(__xludf.DUMMYFUNCTION("IMPORTRANGE(""https://docs.google.com/spreadsheets/d/""&amp;$A65&amp;""/edit#gid=156619080"",AE$3)"),2251.0)</f>
        <v>2251</v>
      </c>
      <c r="AF65" s="2">
        <f>IFERROR(__xludf.DUMMYFUNCTION("IMPORTRANGE(""https://docs.google.com/spreadsheets/d/""&amp;$A65&amp;""/edit#gid=156619080"",AF$3)"),2131.34)</f>
        <v>2131.34</v>
      </c>
      <c r="AG65" s="2">
        <f>IFERROR(__xludf.DUMMYFUNCTION("IMPORTRANGE(""https://docs.google.com/spreadsheets/d/""&amp;$A65&amp;""/edit#gid=156619080"",AG$3)"),2101.42)</f>
        <v>2101.42</v>
      </c>
      <c r="AH65" s="2">
        <f>IFERROR(__xludf.DUMMYFUNCTION("IMPORTRANGE(""https://docs.google.com/spreadsheets/d/""&amp;$A65&amp;""/edit#gid=156619080"",AH$3)"),2071.5)</f>
        <v>2071.5</v>
      </c>
      <c r="AI65" s="2">
        <f>IFERROR(__xludf.DUMMYFUNCTION("IMPORTRANGE(""https://docs.google.com/spreadsheets/d/""&amp;$A65&amp;""/edit#gid=156619080"",AI$3)"),2041.59)</f>
        <v>2041.59</v>
      </c>
      <c r="AJ65" s="2">
        <f>IFERROR(__xludf.DUMMYFUNCTION("IMPORTRANGE(""https://docs.google.com/spreadsheets/d/""&amp;$A65&amp;""/edit#gid=156619080"",AJ$3)"),2011.67)</f>
        <v>2011.67</v>
      </c>
      <c r="AK65" s="2" t="str">
        <f>IFERROR(__xludf.DUMMYFUNCTION("IMPORTRANGE(""https://docs.google.com/spreadsheets/d/""&amp;$A65&amp;""/edit#gid=156619080"",AK$3)"),"")</f>
        <v/>
      </c>
      <c r="AL65" s="2">
        <f>IFERROR(__xludf.DUMMYFUNCTION("IMPORTRANGE(""https://docs.google.com/spreadsheets/d/""&amp;$A65&amp;""/edit#gid=156619080"",AL$3)"),1.0)</f>
        <v>1</v>
      </c>
      <c r="AM65" s="2" t="str">
        <f>IFERROR(__xludf.DUMMYFUNCTION("IMPORTRANGE(""https://docs.google.com/spreadsheets/d/""&amp;$A65&amp;""/edit#gid=156619080"",AM$3)"),"")</f>
        <v/>
      </c>
      <c r="AN65" s="2">
        <f>IFERROR(__xludf.DUMMYFUNCTION("IMPORTRANGE(""https://docs.google.com/spreadsheets/d/""&amp;$A65&amp;""/edit#gid=156619080"",AN$3)"),1.0)</f>
        <v>1</v>
      </c>
      <c r="AO65" s="2" t="str">
        <f>IFERROR(__xludf.DUMMYFUNCTION("IMPORTRANGE(""https://docs.google.com/spreadsheets/d/""&amp;$A65&amp;""/edit#gid=156619080"",AO$3)"),"")</f>
        <v/>
      </c>
      <c r="AP65" s="2">
        <f>IFERROR(__xludf.DUMMYFUNCTION("IMPORTRANGE(""https://docs.google.com/spreadsheets/d/""&amp;$A65&amp;""/edit#gid=156619080"",AP$3)"),1.0)</f>
        <v>1</v>
      </c>
      <c r="AQ65" s="2" t="str">
        <f>IFERROR(__xludf.DUMMYFUNCTION("IMPORTRANGE(""https://docs.google.com/spreadsheets/d/""&amp;$A65&amp;""/edit#gid=156619080"",AQ$3)"),"")</f>
        <v/>
      </c>
      <c r="AR65" s="18">
        <f>IFERROR(__xludf.DUMMYFUNCTION("IMPORTRANGE(""https://docs.google.com/spreadsheets/d/""&amp;$A65&amp;""/edit#gid=156619080"",AR$3)"),-12.5)</f>
        <v>-12.5</v>
      </c>
      <c r="AS65" s="19" t="str">
        <f>IFERROR(__xludf.DUMMYFUNCTION("IMPORTRANGE(""https://docs.google.com/spreadsheets/d/""&amp;$A65&amp;""/edit#gid=156619080"",AS$3)"),"20
-80
-30
67.5
")</f>
        <v>20
-80
-30
67.5
</v>
      </c>
      <c r="AT65" s="18">
        <f>IFERROR(__xludf.DUMMYFUNCTION("IMPORTRANGE(""https://docs.google.com/spreadsheets/d/""&amp;$A65&amp;""/edit#gid=156619080"",AT$3)"),63.598901098901095)</f>
        <v>63.5989011</v>
      </c>
      <c r="AU65" s="3" t="str">
        <f>IFERROR(__xludf.DUMMYFUNCTION("IMPORTRANGE(""https://docs.google.com/spreadsheets/d/""&amp;$A65&amp;""/edit#gid=156619080"",AU$3)"),"94.51
89.56
84.62
78.43
")</f>
        <v>94.51
89.56
84.62
78.43
</v>
      </c>
      <c r="AV65" s="18">
        <f>IFERROR(__xludf.DUMMYFUNCTION("IMPORTRANGE(""https://docs.google.com/spreadsheets/d/""&amp;$A65&amp;""/edit#gid=156619080"",AV$3)"),71.26623376623377)</f>
        <v>71.26623377</v>
      </c>
      <c r="AW65" s="19" t="str">
        <f>IFERROR(__xludf.DUMMYFUNCTION("IMPORTRANGE(""https://docs.google.com/spreadsheets/d/""&amp;$A65&amp;""/edit#gid=156619080"",AW$3)"),"-12.5
5.97
27.01
50.23
")</f>
        <v>-12.5
5.97
27.01
50.23
</v>
      </c>
      <c r="AX65" s="2">
        <f>IFERROR(__xludf.DUMMYFUNCTION("IMPORTRANGE(""https://docs.google.com/spreadsheets/d/""&amp;$A65&amp;""/edit#gid=156619080"",AX$3)"),25.71)</f>
        <v>25.71</v>
      </c>
      <c r="AY65" s="2">
        <f>IFERROR(__xludf.DUMMYFUNCTION("IMPORTRANGE(""https://docs.google.com/spreadsheets/d/""&amp;$A65&amp;""/edit#gid=156619080"",AY$3)"),42.69)</f>
        <v>42.69</v>
      </c>
      <c r="AZ65" s="2">
        <f>IFERROR(__xludf.DUMMYFUNCTION("IMPORTRANGE(""https://docs.google.com/spreadsheets/d/""&amp;$A65&amp;""/edit#gid=156619080"",AZ$3)"),2347.19)</f>
        <v>2347.19</v>
      </c>
      <c r="BA65" s="2">
        <f>IFERROR(__xludf.DUMMYFUNCTION("IMPORTRANGE(""https://docs.google.com/spreadsheets/d/""&amp;$A65&amp;""/edit#gid=156619080"",BA$3)"),22.110000000000127)</f>
        <v>22.11</v>
      </c>
      <c r="BB65" s="2">
        <f>IFERROR(__xludf.DUMMYFUNCTION("IMPORTRANGE(""https://docs.google.com/spreadsheets/d/""&amp;$A65&amp;""/edit#gid=156619080"",BB$3)"),-7.2)</f>
        <v>-7.2</v>
      </c>
      <c r="BC65" s="2" t="str">
        <f>IFERROR(__xludf.DUMMYFUNCTION("IMPORTRANGE(""https://docs.google.com/spreadsheets/d/""&amp;$A65&amp;""/edit#gid=156619080"",BC$3)"),"GC→GC")</f>
        <v>GC→GC</v>
      </c>
    </row>
    <row r="66" ht="51.0" customHeight="1">
      <c r="A66" s="7" t="str">
        <f t="shared" si="5"/>
        <v>1dGpdNJWXmstO4ytsLoQ6xDIVrkJZ6UEiS8ZoiGAm7jE</v>
      </c>
      <c r="B66" s="1" t="s">
        <v>93</v>
      </c>
      <c r="C66" s="2">
        <f>IFERROR(__xludf.DUMMYFUNCTION("IMPORTRANGE(""https://docs.google.com/spreadsheets/d/""&amp;$A66&amp;""/edit#gid=156619080"",C$3)"),132.0)</f>
        <v>132</v>
      </c>
      <c r="D66" s="2">
        <f>IFERROR(__xludf.DUMMYFUNCTION("IMPORTRANGE(""https://docs.google.com/spreadsheets/d/""&amp;$A66&amp;""/edit#gid=156619080"",D$3)"),3436.0)</f>
        <v>3436</v>
      </c>
      <c r="E66" s="15">
        <f>IFERROR(__xludf.DUMMYFUNCTION("IMPORTRANGE(""https://docs.google.com/spreadsheets/d/""&amp;$A66&amp;""/edit#gid=156619080"",E$3)"),43882.0)</f>
        <v>43882</v>
      </c>
      <c r="F66" s="2">
        <f>IFERROR(__xludf.DUMMYFUNCTION("IMPORTRANGE(""https://docs.google.com/spreadsheets/d/""&amp;$A66&amp;""/edit#gid=156619080"",F$3)"),98.0)</f>
        <v>98</v>
      </c>
      <c r="G66" s="16">
        <f>IFERROR(__xludf.DUMMYFUNCTION("IMPORTRANGE(""https://docs.google.com/spreadsheets/d/""&amp;$A66&amp;""/edit#gid=156619080"",G$3)"),5.24)</f>
        <v>5.24</v>
      </c>
      <c r="H66" s="16">
        <f>IFERROR(__xludf.DUMMYFUNCTION("IMPORTRANGE(""https://docs.google.com/spreadsheets/d/""&amp;$A66&amp;""/edit#gid=156619080"",H$3)"),1891.0)</f>
        <v>1891</v>
      </c>
      <c r="I66" s="16">
        <f>IFERROR(__xludf.DUMMYFUNCTION("IMPORTRANGE(""https://docs.google.com/spreadsheets/d/""&amp;$A66&amp;""/edit#gid=156619080"",I$3)"),-22.0)</f>
        <v>-22</v>
      </c>
      <c r="J66" s="16">
        <f>IFERROR(__xludf.DUMMYFUNCTION("IMPORTRANGE(""https://docs.google.com/spreadsheets/d/""&amp;$A66&amp;""/edit#gid=156619080"",J$3)"),1983.0)</f>
        <v>1983</v>
      </c>
      <c r="K66" s="16">
        <f>IFERROR(__xludf.DUMMYFUNCTION("IMPORTRANGE(""https://docs.google.com/spreadsheets/d/""&amp;$A66&amp;""/edit#gid=156619080"",K$3)"),0.5645833333333333)</f>
        <v>0.5645833333</v>
      </c>
      <c r="L66" s="16">
        <f>IFERROR(__xludf.DUMMYFUNCTION("IMPORTRANGE(""https://docs.google.com/spreadsheets/d/""&amp;$A66&amp;""/edit#gid=156619080"",L$3)"),1881.0)</f>
        <v>1881</v>
      </c>
      <c r="M66" s="16">
        <f>IFERROR(__xludf.DUMMYFUNCTION("IMPORTRANGE(""https://docs.google.com/spreadsheets/d/""&amp;$A66&amp;""/edit#gid=156619080"",M$3)"),0.37569444444444444)</f>
        <v>0.3756944444</v>
      </c>
      <c r="N66" s="16">
        <f>IFERROR(__xludf.DUMMYFUNCTION("IMPORTRANGE(""https://docs.google.com/spreadsheets/d/""&amp;$A66&amp;""/edit#gid=156619080"",N$3)"),1967.0)</f>
        <v>1967</v>
      </c>
      <c r="O66" s="16" t="str">
        <f>IFERROR(__xludf.DUMMYFUNCTION("IMPORTRANGE(""https://docs.google.com/spreadsheets/d/""&amp;$A66&amp;""/edit#gid=156619080"",O$3)"),"23844600株")</f>
        <v>23844600株</v>
      </c>
      <c r="P66" s="16" t="str">
        <f>IFERROR(__xludf.DUMMYFUNCTION("IMPORTRANGE(""https://docs.google.com/spreadsheets/d/""&amp;$A66&amp;""/edit#gid=156619080"",P$3)"),"46372百万円")</f>
        <v>46372百万円</v>
      </c>
      <c r="Q66" s="16" t="str">
        <f>IFERROR(__xludf.DUMMYFUNCTION("IMPORTRANGE(""https://docs.google.com/spreadsheets/d/""&amp;$A66&amp;""/edit#gid=156619080"",Q$3)"),"17189回")</f>
        <v>17189回</v>
      </c>
      <c r="R66" s="16" t="str">
        <f>IFERROR(__xludf.DUMMYFUNCTION("IMPORTRANGE(""https://docs.google.com/spreadsheets/d/""&amp;$A66&amp;""/edit#gid=156619080"",R$3)"),"5769億円")</f>
        <v>5769億円</v>
      </c>
      <c r="S66" s="16" t="str">
        <f>IFERROR(__xludf.DUMMYFUNCTION("IMPORTRANGE(""https://docs.google.com/spreadsheets/d/""&amp;$A66&amp;""/edit#gid=156619080"",S$3)"),"陽線")</f>
        <v>陽線</v>
      </c>
      <c r="T66" s="16" t="str">
        <f>IFERROR(__xludf.DUMMYFUNCTION("IMPORTRANGE(""https://docs.google.com/spreadsheets/d/""&amp;$A66&amp;""/edit#gid=156619080"",T$3)"),"")</f>
        <v/>
      </c>
      <c r="U66" s="16">
        <f>IFERROR(__xludf.DUMMYFUNCTION("IMPORTRANGE(""https://docs.google.com/spreadsheets/d/""&amp;$A66&amp;""/edit#gid=156619080"",U$3)"),1878.8)</f>
        <v>1878.8</v>
      </c>
      <c r="V66" s="16">
        <f>IFERROR(__xludf.DUMMYFUNCTION("IMPORTRANGE(""https://docs.google.com/spreadsheets/d/""&amp;$A66&amp;""/edit#gid=156619080"",V$3)"),1813.7)</f>
        <v>1813.7</v>
      </c>
      <c r="W66" s="16">
        <f>IFERROR(__xludf.DUMMYFUNCTION("IMPORTRANGE(""https://docs.google.com/spreadsheets/d/""&amp;$A66&amp;""/edit#gid=156619080"",W$3)"),1803.2)</f>
        <v>1803.2</v>
      </c>
      <c r="X66" s="2">
        <f>IFERROR(__xludf.DUMMYFUNCTION("IMPORTRANGE(""https://docs.google.com/spreadsheets/d/""&amp;$A66&amp;""/edit#gid=156619080"",X$3)"),1720.1)</f>
        <v>1720.1</v>
      </c>
      <c r="Y66" s="17">
        <f>IFERROR(__xludf.DUMMYFUNCTION("IMPORTRANGE(""https://docs.google.com/spreadsheets/d/""&amp;$A66&amp;""/edit#gid=156619080"",Y$3)"),0.046944858420268284)</f>
        <v>0.04694485842</v>
      </c>
      <c r="Z66" s="2">
        <f>IFERROR(__xludf.DUMMYFUNCTION("IMPORTRANGE(""https://docs.google.com/spreadsheets/d/""&amp;$A66&amp;""/edit#gid=156619080"",Z$3)"),1948.02)</f>
        <v>1948.02</v>
      </c>
      <c r="AA66" s="2">
        <f>IFERROR(__xludf.DUMMYFUNCTION("IMPORTRANGE(""https://docs.google.com/spreadsheets/d/""&amp;$A66&amp;""/edit#gid=156619080"",AA$3)"),1929.91)</f>
        <v>1929.91</v>
      </c>
      <c r="AB66" s="2">
        <f>IFERROR(__xludf.DUMMYFUNCTION("IMPORTRANGE(""https://docs.google.com/spreadsheets/d/""&amp;$A66&amp;""/edit#gid=156619080"",AB$3)"),1911.81)</f>
        <v>1911.81</v>
      </c>
      <c r="AC66" s="18">
        <f>IFERROR(__xludf.DUMMYFUNCTION("IMPORTRANGE(""https://docs.google.com/spreadsheets/d/""&amp;$A66&amp;""/edit#gid=156619080"",AC$3)"),1893.71)</f>
        <v>1893.71</v>
      </c>
      <c r="AD66" s="18">
        <f>IFERROR(__xludf.DUMMYFUNCTION("IMPORTRANGE(""https://docs.google.com/spreadsheets/d/""&amp;$A66&amp;""/edit#gid=156619080"",AD$3)"),1875.61)</f>
        <v>1875.61</v>
      </c>
      <c r="AE66" s="18">
        <f>IFERROR(__xludf.DUMMYFUNCTION("IMPORTRANGE(""https://docs.google.com/spreadsheets/d/""&amp;$A66&amp;""/edit#gid=156619080"",AE$3)"),1803.2)</f>
        <v>1803.2</v>
      </c>
      <c r="AF66" s="2">
        <f>IFERROR(__xludf.DUMMYFUNCTION("IMPORTRANGE(""https://docs.google.com/spreadsheets/d/""&amp;$A66&amp;""/edit#gid=156619080"",AF$3)"),1730.79)</f>
        <v>1730.79</v>
      </c>
      <c r="AG66" s="2">
        <f>IFERROR(__xludf.DUMMYFUNCTION("IMPORTRANGE(""https://docs.google.com/spreadsheets/d/""&amp;$A66&amp;""/edit#gid=156619080"",AG$3)"),1712.69)</f>
        <v>1712.69</v>
      </c>
      <c r="AH66" s="2">
        <f>IFERROR(__xludf.DUMMYFUNCTION("IMPORTRANGE(""https://docs.google.com/spreadsheets/d/""&amp;$A66&amp;""/edit#gid=156619080"",AH$3)"),1694.59)</f>
        <v>1694.59</v>
      </c>
      <c r="AI66" s="2">
        <f>IFERROR(__xludf.DUMMYFUNCTION("IMPORTRANGE(""https://docs.google.com/spreadsheets/d/""&amp;$A66&amp;""/edit#gid=156619080"",AI$3)"),1676.49)</f>
        <v>1676.49</v>
      </c>
      <c r="AJ66" s="2">
        <f>IFERROR(__xludf.DUMMYFUNCTION("IMPORTRANGE(""https://docs.google.com/spreadsheets/d/""&amp;$A66&amp;""/edit#gid=156619080"",AJ$3)"),1658.38)</f>
        <v>1658.38</v>
      </c>
      <c r="AK66" s="2" t="str">
        <f>IFERROR(__xludf.DUMMYFUNCTION("IMPORTRANGE(""https://docs.google.com/spreadsheets/d/""&amp;$A66&amp;""/edit#gid=156619080"",AK$3)"),"2σ以上")</f>
        <v>2σ以上</v>
      </c>
      <c r="AL66" s="2">
        <f>IFERROR(__xludf.DUMMYFUNCTION("IMPORTRANGE(""https://docs.google.com/spreadsheets/d/""&amp;$A66&amp;""/edit#gid=156619080"",AL$3)"),1.0)</f>
        <v>1</v>
      </c>
      <c r="AM66" s="2" t="str">
        <f>IFERROR(__xludf.DUMMYFUNCTION("IMPORTRANGE(""https://docs.google.com/spreadsheets/d/""&amp;$A66&amp;""/edit#gid=156619080"",AM$3)"),"")</f>
        <v/>
      </c>
      <c r="AN66" s="2">
        <f>IFERROR(__xludf.DUMMYFUNCTION("IMPORTRANGE(""https://docs.google.com/spreadsheets/d/""&amp;$A66&amp;""/edit#gid=156619080"",AN$3)"),1.0)</f>
        <v>1</v>
      </c>
      <c r="AO66" s="2" t="str">
        <f>IFERROR(__xludf.DUMMYFUNCTION("IMPORTRANGE(""https://docs.google.com/spreadsheets/d/""&amp;$A66&amp;""/edit#gid=156619080"",AO$3)"),"")</f>
        <v/>
      </c>
      <c r="AP66" s="2">
        <f>IFERROR(__xludf.DUMMYFUNCTION("IMPORTRANGE(""https://docs.google.com/spreadsheets/d/""&amp;$A66&amp;""/edit#gid=156619080"",AP$3)"),1.0)</f>
        <v>1</v>
      </c>
      <c r="AQ66" s="2" t="str">
        <f>IFERROR(__xludf.DUMMYFUNCTION("IMPORTRANGE(""https://docs.google.com/spreadsheets/d/""&amp;$A66&amp;""/edit#gid=156619080"",AQ$3)"),"ws3")</f>
        <v>ws3</v>
      </c>
      <c r="AR66" s="18">
        <f>IFERROR(__xludf.DUMMYFUNCTION("IMPORTRANGE(""https://docs.google.com/spreadsheets/d/""&amp;$A66&amp;""/edit#gid=156619080"",AR$3)"),40.0)</f>
        <v>40</v>
      </c>
      <c r="AS66" s="19" t="str">
        <f>IFERROR(__xludf.DUMMYFUNCTION("IMPORTRANGE(""https://docs.google.com/spreadsheets/d/""&amp;$A66&amp;""/edit#gid=156619080"",AS$3)"),"90
60
10
-60
")</f>
        <v>90
60
10
-60
</v>
      </c>
      <c r="AT66" s="18">
        <f>IFERROR(__xludf.DUMMYFUNCTION("IMPORTRANGE(""https://docs.google.com/spreadsheets/d/""&amp;$A66&amp;""/edit#gid=156619080"",AT$3)"),87.91208791208791)</f>
        <v>87.91208791</v>
      </c>
      <c r="AU66" s="3" t="str">
        <f>IFERROR(__xludf.DUMMYFUNCTION("IMPORTRANGE(""https://docs.google.com/spreadsheets/d/""&amp;$A66&amp;""/edit#gid=156619080"",AU$3)"),"62.09
85.16
85.16
87.91
")</f>
        <v>62.09
85.16
85.16
87.91
</v>
      </c>
      <c r="AV66" s="18">
        <f>IFERROR(__xludf.DUMMYFUNCTION("IMPORTRANGE(""https://docs.google.com/spreadsheets/d/""&amp;$A66&amp;""/edit#gid=156619080"",AV$3)"),35.84415584415584)</f>
        <v>35.84415584</v>
      </c>
      <c r="AW66" s="19" t="str">
        <f>IFERROR(__xludf.DUMMYFUNCTION("IMPORTRANGE(""https://docs.google.com/spreadsheets/d/""&amp;$A66&amp;""/edit#gid=156619080"",AW$3)"),"-33.77
-23.12
-6.1
10.65
")</f>
        <v>-33.77
-23.12
-6.1
10.65
</v>
      </c>
      <c r="AX66" s="2">
        <f>IFERROR(__xludf.DUMMYFUNCTION("IMPORTRANGE(""https://docs.google.com/spreadsheets/d/""&amp;$A66&amp;""/edit#gid=156619080"",AX$3)"),58.64)</f>
        <v>58.64</v>
      </c>
      <c r="AY66" s="2">
        <f>IFERROR(__xludf.DUMMYFUNCTION("IMPORTRANGE(""https://docs.google.com/spreadsheets/d/""&amp;$A66&amp;""/edit#gid=156619080"",AY$3)"),53.790000000000006)</f>
        <v>53.79</v>
      </c>
      <c r="AZ66" s="2">
        <f>IFERROR(__xludf.DUMMYFUNCTION("IMPORTRANGE(""https://docs.google.com/spreadsheets/d/""&amp;$A66&amp;""/edit#gid=156619080"",AZ$3)"),1888.91)</f>
        <v>1888.91</v>
      </c>
      <c r="BA66" s="2">
        <f>IFERROR(__xludf.DUMMYFUNCTION("IMPORTRANGE(""https://docs.google.com/spreadsheets/d/""&amp;$A66&amp;""/edit#gid=156619080"",BA$3)"),59.850000000000136)</f>
        <v>59.85</v>
      </c>
      <c r="BB66" s="2">
        <f>IFERROR(__xludf.DUMMYFUNCTION("IMPORTRANGE(""https://docs.google.com/spreadsheets/d/""&amp;$A66&amp;""/edit#gid=156619080"",BB$3)"),11.37)</f>
        <v>11.37</v>
      </c>
      <c r="BC66" s="2" t="str">
        <f>IFERROR(__xludf.DUMMYFUNCTION("IMPORTRANGE(""https://docs.google.com/spreadsheets/d/""&amp;$A66&amp;""/edit#gid=156619080"",BC$3)"),"GC→GC")</f>
        <v>GC→GC</v>
      </c>
    </row>
    <row r="67" ht="51.0" customHeight="1">
      <c r="A67" s="7" t="str">
        <f t="shared" si="5"/>
        <v>16Sg2dA5WnSONxPn0M_hcNXsBkAs0X6r0lsxTy6BhdVk</v>
      </c>
      <c r="B67" s="1" t="s">
        <v>94</v>
      </c>
      <c r="C67" s="2">
        <f>IFERROR(__xludf.DUMMYFUNCTION("IMPORTRANGE(""https://docs.google.com/spreadsheets/d/""&amp;$A67&amp;""/edit#gid=156619080"",C$3)"),132.0)</f>
        <v>132</v>
      </c>
      <c r="D67" s="2">
        <f>IFERROR(__xludf.DUMMYFUNCTION("IMPORTRANGE(""https://docs.google.com/spreadsheets/d/""&amp;$A67&amp;""/edit#gid=156619080"",D$3)"),5703.0)</f>
        <v>5703</v>
      </c>
      <c r="E67" s="15">
        <f>IFERROR(__xludf.DUMMYFUNCTION("IMPORTRANGE(""https://docs.google.com/spreadsheets/d/""&amp;$A67&amp;""/edit#gid=156619080"",E$3)"),43882.0)</f>
        <v>43882</v>
      </c>
      <c r="F67" s="2">
        <f>IFERROR(__xludf.DUMMYFUNCTION("IMPORTRANGE(""https://docs.google.com/spreadsheets/d/""&amp;$A67&amp;""/edit#gid=156619080"",F$3)"),2.0)</f>
        <v>2</v>
      </c>
      <c r="G67" s="16">
        <f>IFERROR(__xludf.DUMMYFUNCTION("IMPORTRANGE(""https://docs.google.com/spreadsheets/d/""&amp;$A67&amp;""/edit#gid=156619080"",G$3)"),0.93)</f>
        <v>0.93</v>
      </c>
      <c r="H67" s="16">
        <f>IFERROR(__xludf.DUMMYFUNCTION("IMPORTRANGE(""https://docs.google.com/spreadsheets/d/""&amp;$A67&amp;""/edit#gid=156619080"",H$3)"),214.0)</f>
        <v>214</v>
      </c>
      <c r="I67" s="16">
        <f>IFERROR(__xludf.DUMMYFUNCTION("IMPORTRANGE(""https://docs.google.com/spreadsheets/d/""&amp;$A67&amp;""/edit#gid=156619080"",I$3)"),1.0)</f>
        <v>1</v>
      </c>
      <c r="J67" s="16">
        <f>IFERROR(__xludf.DUMMYFUNCTION("IMPORTRANGE(""https://docs.google.com/spreadsheets/d/""&amp;$A67&amp;""/edit#gid=156619080"",J$3)"),217.0)</f>
        <v>217</v>
      </c>
      <c r="K67" s="16">
        <f>IFERROR(__xludf.DUMMYFUNCTION("IMPORTRANGE(""https://docs.google.com/spreadsheets/d/""&amp;$A67&amp;""/edit#gid=156619080"",K$3)"),0.3819444444444444)</f>
        <v>0.3819444444</v>
      </c>
      <c r="L67" s="16">
        <f>IFERROR(__xludf.DUMMYFUNCTION("IMPORTRANGE(""https://docs.google.com/spreadsheets/d/""&amp;$A67&amp;""/edit#gid=156619080"",L$3)"),213.0)</f>
        <v>213</v>
      </c>
      <c r="M67" s="16">
        <f>IFERROR(__xludf.DUMMYFUNCTION("IMPORTRANGE(""https://docs.google.com/spreadsheets/d/""&amp;$A67&amp;""/edit#gid=156619080"",M$3)"),0.375)</f>
        <v>0.375</v>
      </c>
      <c r="N67" s="16">
        <f>IFERROR(__xludf.DUMMYFUNCTION("IMPORTRANGE(""https://docs.google.com/spreadsheets/d/""&amp;$A67&amp;""/edit#gid=156619080"",N$3)"),217.0)</f>
        <v>217</v>
      </c>
      <c r="O67" s="16" t="str">
        <f>IFERROR(__xludf.DUMMYFUNCTION("IMPORTRANGE(""https://docs.google.com/spreadsheets/d/""&amp;$A67&amp;""/edit#gid=156619080"",O$3)"),"2053000株")</f>
        <v>2053000株</v>
      </c>
      <c r="P67" s="16" t="str">
        <f>IFERROR(__xludf.DUMMYFUNCTION("IMPORTRANGE(""https://docs.google.com/spreadsheets/d/""&amp;$A67&amp;""/edit#gid=156619080"",P$3)"),"443百万円")</f>
        <v>443百万円</v>
      </c>
      <c r="Q67" s="16" t="str">
        <f>IFERROR(__xludf.DUMMYFUNCTION("IMPORTRANGE(""https://docs.google.com/spreadsheets/d/""&amp;$A67&amp;""/edit#gid=156619080"",Q$3)"),"644回")</f>
        <v>644回</v>
      </c>
      <c r="R67" s="16" t="str">
        <f>IFERROR(__xludf.DUMMYFUNCTION("IMPORTRANGE(""https://docs.google.com/spreadsheets/d/""&amp;$A67&amp;""/edit#gid=156619080"",R$3)"),"1345億円")</f>
        <v>1345億円</v>
      </c>
      <c r="S67" s="16" t="str">
        <f>IFERROR(__xludf.DUMMYFUNCTION("IMPORTRANGE(""https://docs.google.com/spreadsheets/d/""&amp;$A67&amp;""/edit#gid=156619080"",S$3)"),"陽線")</f>
        <v>陽線</v>
      </c>
      <c r="T67" s="16" t="str">
        <f>IFERROR(__xludf.DUMMYFUNCTION("IMPORTRANGE(""https://docs.google.com/spreadsheets/d/""&amp;$A67&amp;""/edit#gid=156619080"",T$3)"),"")</f>
        <v/>
      </c>
      <c r="U67" s="16">
        <f>IFERROR(__xludf.DUMMYFUNCTION("IMPORTRANGE(""https://docs.google.com/spreadsheets/d/""&amp;$A67&amp;""/edit#gid=156619080"",U$3)"),213.0)</f>
        <v>213</v>
      </c>
      <c r="V67" s="16">
        <f>IFERROR(__xludf.DUMMYFUNCTION("IMPORTRANGE(""https://docs.google.com/spreadsheets/d/""&amp;$A67&amp;""/edit#gid=156619080"",V$3)"),213.3)</f>
        <v>213.3</v>
      </c>
      <c r="W67" s="16">
        <f>IFERROR(__xludf.DUMMYFUNCTION("IMPORTRANGE(""https://docs.google.com/spreadsheets/d/""&amp;$A67&amp;""/edit#gid=156619080"",W$3)"),212.1)</f>
        <v>212.1</v>
      </c>
      <c r="X67" s="2">
        <f>IFERROR(__xludf.DUMMYFUNCTION("IMPORTRANGE(""https://docs.google.com/spreadsheets/d/""&amp;$A67&amp;""/edit#gid=156619080"",X$3)"),215.7)</f>
        <v>215.7</v>
      </c>
      <c r="Y67" s="17">
        <f>IFERROR(__xludf.DUMMYFUNCTION("IMPORTRANGE(""https://docs.google.com/spreadsheets/d/""&amp;$A67&amp;""/edit#gid=156619080"",Y$3)"),0.018779342723004695)</f>
        <v>0.01877934272</v>
      </c>
      <c r="Z67" s="2">
        <f>IFERROR(__xludf.DUMMYFUNCTION("IMPORTRANGE(""https://docs.google.com/spreadsheets/d/""&amp;$A67&amp;""/edit#gid=156619080"",Z$3)"),219.51)</f>
        <v>219.51</v>
      </c>
      <c r="AA67" s="2">
        <f>IFERROR(__xludf.DUMMYFUNCTION("IMPORTRANGE(""https://docs.google.com/spreadsheets/d/""&amp;$A67&amp;""/edit#gid=156619080"",AA$3)"),218.59)</f>
        <v>218.59</v>
      </c>
      <c r="AB67" s="2">
        <f>IFERROR(__xludf.DUMMYFUNCTION("IMPORTRANGE(""https://docs.google.com/spreadsheets/d/""&amp;$A67&amp;""/edit#gid=156619080"",AB$3)"),217.66)</f>
        <v>217.66</v>
      </c>
      <c r="AC67" s="18">
        <f>IFERROR(__xludf.DUMMYFUNCTION("IMPORTRANGE(""https://docs.google.com/spreadsheets/d/""&amp;$A67&amp;""/edit#gid=156619080"",AC$3)"),216.73)</f>
        <v>216.73</v>
      </c>
      <c r="AD67" s="18">
        <f>IFERROR(__xludf.DUMMYFUNCTION("IMPORTRANGE(""https://docs.google.com/spreadsheets/d/""&amp;$A67&amp;""/edit#gid=156619080"",AD$3)"),215.81)</f>
        <v>215.81</v>
      </c>
      <c r="AE67" s="18">
        <f>IFERROR(__xludf.DUMMYFUNCTION("IMPORTRANGE(""https://docs.google.com/spreadsheets/d/""&amp;$A67&amp;""/edit#gid=156619080"",AE$3)"),212.1)</f>
        <v>212.1</v>
      </c>
      <c r="AF67" s="2">
        <f>IFERROR(__xludf.DUMMYFUNCTION("IMPORTRANGE(""https://docs.google.com/spreadsheets/d/""&amp;$A67&amp;""/edit#gid=156619080"",AF$3)"),208.39)</f>
        <v>208.39</v>
      </c>
      <c r="AG67" s="2">
        <f>IFERROR(__xludf.DUMMYFUNCTION("IMPORTRANGE(""https://docs.google.com/spreadsheets/d/""&amp;$A67&amp;""/edit#gid=156619080"",AG$3)"),207.47)</f>
        <v>207.47</v>
      </c>
      <c r="AH67" s="2">
        <f>IFERROR(__xludf.DUMMYFUNCTION("IMPORTRANGE(""https://docs.google.com/spreadsheets/d/""&amp;$A67&amp;""/edit#gid=156619080"",AH$3)"),206.54)</f>
        <v>206.54</v>
      </c>
      <c r="AI67" s="2">
        <f>IFERROR(__xludf.DUMMYFUNCTION("IMPORTRANGE(""https://docs.google.com/spreadsheets/d/""&amp;$A67&amp;""/edit#gid=156619080"",AI$3)"),205.61)</f>
        <v>205.61</v>
      </c>
      <c r="AJ67" s="2">
        <f>IFERROR(__xludf.DUMMYFUNCTION("IMPORTRANGE(""https://docs.google.com/spreadsheets/d/""&amp;$A67&amp;""/edit#gid=156619080"",AJ$3)"),204.69)</f>
        <v>204.69</v>
      </c>
      <c r="AK67" s="2" t="str">
        <f>IFERROR(__xludf.DUMMYFUNCTION("IMPORTRANGE(""https://docs.google.com/spreadsheets/d/""&amp;$A67&amp;""/edit#gid=156619080"",AK$3)"),"1.25σ〜1.5σ")</f>
        <v>1.25σ〜1.5σ</v>
      </c>
      <c r="AL67" s="2">
        <f>IFERROR(__xludf.DUMMYFUNCTION("IMPORTRANGE(""https://docs.google.com/spreadsheets/d/""&amp;$A67&amp;""/edit#gid=156619080"",AL$3)"),-1.0)</f>
        <v>-1</v>
      </c>
      <c r="AM67" s="2" t="str">
        <f>IFERROR(__xludf.DUMMYFUNCTION("IMPORTRANGE(""https://docs.google.com/spreadsheets/d/""&amp;$A67&amp;""/edit#gid=156619080"",AM$3)"),"")</f>
        <v/>
      </c>
      <c r="AN67" s="2">
        <f>IFERROR(__xludf.DUMMYFUNCTION("IMPORTRANGE(""https://docs.google.com/spreadsheets/d/""&amp;$A67&amp;""/edit#gid=156619080"",AN$3)"),1.0)</f>
        <v>1</v>
      </c>
      <c r="AO67" s="2" t="str">
        <f>IFERROR(__xludf.DUMMYFUNCTION("IMPORTRANGE(""https://docs.google.com/spreadsheets/d/""&amp;$A67&amp;""/edit#gid=156619080"",AO$3)"),"ws2")</f>
        <v>ws2</v>
      </c>
      <c r="AP67" s="2">
        <f>IFERROR(__xludf.DUMMYFUNCTION("IMPORTRANGE(""https://docs.google.com/spreadsheets/d/""&amp;$A67&amp;""/edit#gid=156619080"",AP$3)"),1.0)</f>
        <v>1</v>
      </c>
      <c r="AQ67" s="2" t="str">
        <f>IFERROR(__xludf.DUMMYFUNCTION("IMPORTRANGE(""https://docs.google.com/spreadsheets/d/""&amp;$A67&amp;""/edit#gid=156619080"",AQ$3)"),"")</f>
        <v/>
      </c>
      <c r="AR67" s="18">
        <f>IFERROR(__xludf.DUMMYFUNCTION("IMPORTRANGE(""https://docs.google.com/spreadsheets/d/""&amp;$A67&amp;""/edit#gid=156619080"",AR$3)"),90.0)</f>
        <v>90</v>
      </c>
      <c r="AS67" s="19" t="str">
        <f>IFERROR(__xludf.DUMMYFUNCTION("IMPORTRANGE(""https://docs.google.com/spreadsheets/d/""&amp;$A67&amp;""/edit#gid=156619080"",AS$3)"),"-52.5
-82.5
-32.5
67.5
")</f>
        <v>-52.5
-82.5
-32.5
67.5
</v>
      </c>
      <c r="AT67" s="18">
        <f>IFERROR(__xludf.DUMMYFUNCTION("IMPORTRANGE(""https://docs.google.com/spreadsheets/d/""&amp;$A67&amp;""/edit#gid=156619080"",AT$3)"),30.219780219780223)</f>
        <v>30.21978022</v>
      </c>
      <c r="AU67" s="3" t="str">
        <f>IFERROR(__xludf.DUMMYFUNCTION("IMPORTRANGE(""https://docs.google.com/spreadsheets/d/""&amp;$A67&amp;""/edit#gid=156619080"",AU$3)"),"64.42
28.71
24.18
31.73
")</f>
        <v>64.42
28.71
24.18
31.73
</v>
      </c>
      <c r="AV67" s="18">
        <f>IFERROR(__xludf.DUMMYFUNCTION("IMPORTRANGE(""https://docs.google.com/spreadsheets/d/""&amp;$A67&amp;""/edit#gid=156619080"",AV$3)"),28.798701298701303)</f>
        <v>28.7987013</v>
      </c>
      <c r="AW67" s="19" t="str">
        <f>IFERROR(__xludf.DUMMYFUNCTION("IMPORTRANGE(""https://docs.google.com/spreadsheets/d/""&amp;$A67&amp;""/edit#gid=156619080"",AW$3)"),"-34.29
-30.29
-15.52
4.48
")</f>
        <v>-34.29
-30.29
-15.52
4.48
</v>
      </c>
      <c r="AX67" s="2">
        <f>IFERROR(__xludf.DUMMYFUNCTION("IMPORTRANGE(""https://docs.google.com/spreadsheets/d/""&amp;$A67&amp;""/edit#gid=156619080"",AX$3)"),69.23)</f>
        <v>69.23</v>
      </c>
      <c r="AY67" s="2">
        <f>IFERROR(__xludf.DUMMYFUNCTION("IMPORTRANGE(""https://docs.google.com/spreadsheets/d/""&amp;$A67&amp;""/edit#gid=156619080"",AY$3)"),46.03)</f>
        <v>46.03</v>
      </c>
      <c r="AZ67" s="2">
        <f>IFERROR(__xludf.DUMMYFUNCTION("IMPORTRANGE(""https://docs.google.com/spreadsheets/d/""&amp;$A67&amp;""/edit#gid=156619080"",AZ$3)"),214.31)</f>
        <v>214.31</v>
      </c>
      <c r="BA67" s="2">
        <f>IFERROR(__xludf.DUMMYFUNCTION("IMPORTRANGE(""https://docs.google.com/spreadsheets/d/""&amp;$A67&amp;""/edit#gid=156619080"",BA$3)"),-0.3400000000000034)</f>
        <v>-0.34</v>
      </c>
      <c r="BB67" s="2">
        <f>IFERROR(__xludf.DUMMYFUNCTION("IMPORTRANGE(""https://docs.google.com/spreadsheets/d/""&amp;$A67&amp;""/edit#gid=156619080"",BB$3)"),-2.78)</f>
        <v>-2.78</v>
      </c>
      <c r="BC67" s="2" t="str">
        <f>IFERROR(__xludf.DUMMYFUNCTION("IMPORTRANGE(""https://docs.google.com/spreadsheets/d/""&amp;$A67&amp;""/edit#gid=156619080"",BC$3)"),"GC→GC")</f>
        <v>GC→GC</v>
      </c>
    </row>
    <row r="68" ht="51.0" customHeight="1">
      <c r="A68" s="7" t="str">
        <f t="shared" si="5"/>
        <v>1RIiB9tD-idgrZoH-Vl61wAQWoUrQNI9IqPzw2ESktR8</v>
      </c>
      <c r="B68" s="1" t="s">
        <v>95</v>
      </c>
      <c r="C68" s="2">
        <f>IFERROR(__xludf.DUMMYFUNCTION("IMPORTRANGE(""https://docs.google.com/spreadsheets/d/""&amp;$A68&amp;""/edit#gid=156619080"",C$3)"),132.0)</f>
        <v>132</v>
      </c>
      <c r="D68" s="2">
        <f>IFERROR(__xludf.DUMMYFUNCTION("IMPORTRANGE(""https://docs.google.com/spreadsheets/d/""&amp;$A68&amp;""/edit#gid=156619080"",D$3)"),5706.0)</f>
        <v>5706</v>
      </c>
      <c r="E68" s="15">
        <f>IFERROR(__xludf.DUMMYFUNCTION("IMPORTRANGE(""https://docs.google.com/spreadsheets/d/""&amp;$A68&amp;""/edit#gid=156619080"",E$3)"),43882.0)</f>
        <v>43882</v>
      </c>
      <c r="F68" s="2">
        <f>IFERROR(__xludf.DUMMYFUNCTION("IMPORTRANGE(""https://docs.google.com/spreadsheets/d/""&amp;$A68&amp;""/edit#gid=156619080"",F$3)"),69.0)</f>
        <v>69</v>
      </c>
      <c r="G68" s="16">
        <f>IFERROR(__xludf.DUMMYFUNCTION("IMPORTRANGE(""https://docs.google.com/spreadsheets/d/""&amp;$A68&amp;""/edit#gid=156619080"",G$3)"),2.36)</f>
        <v>2.36</v>
      </c>
      <c r="H68" s="16">
        <f>IFERROR(__xludf.DUMMYFUNCTION("IMPORTRANGE(""https://docs.google.com/spreadsheets/d/""&amp;$A68&amp;""/edit#gid=156619080"",H$3)"),2957.0)</f>
        <v>2957</v>
      </c>
      <c r="I68" s="16">
        <f>IFERROR(__xludf.DUMMYFUNCTION("IMPORTRANGE(""https://docs.google.com/spreadsheets/d/""&amp;$A68&amp;""/edit#gid=156619080"",I$3)"),-36.0)</f>
        <v>-36</v>
      </c>
      <c r="J68" s="16">
        <f>IFERROR(__xludf.DUMMYFUNCTION("IMPORTRANGE(""https://docs.google.com/spreadsheets/d/""&amp;$A68&amp;""/edit#gid=156619080"",J$3)"),3050.0)</f>
        <v>3050</v>
      </c>
      <c r="K68" s="16">
        <f>IFERROR(__xludf.DUMMYFUNCTION("IMPORTRANGE(""https://docs.google.com/spreadsheets/d/""&amp;$A68&amp;""/edit#gid=156619080"",K$3)"),0.40069444444444446)</f>
        <v>0.4006944444</v>
      </c>
      <c r="L68" s="16">
        <f>IFERROR(__xludf.DUMMYFUNCTION("IMPORTRANGE(""https://docs.google.com/spreadsheets/d/""&amp;$A68&amp;""/edit#gid=156619080"",L$3)"),2954.0)</f>
        <v>2954</v>
      </c>
      <c r="M68" s="16">
        <f>IFERROR(__xludf.DUMMYFUNCTION("IMPORTRANGE(""https://docs.google.com/spreadsheets/d/""&amp;$A68&amp;""/edit#gid=156619080"",M$3)"),0.375)</f>
        <v>0.375</v>
      </c>
      <c r="N68" s="16">
        <f>IFERROR(__xludf.DUMMYFUNCTION("IMPORTRANGE(""https://docs.google.com/spreadsheets/d/""&amp;$A68&amp;""/edit#gid=156619080"",N$3)"),2990.0)</f>
        <v>2990</v>
      </c>
      <c r="O68" s="16" t="str">
        <f>IFERROR(__xludf.DUMMYFUNCTION("IMPORTRANGE(""https://docs.google.com/spreadsheets/d/""&amp;$A68&amp;""/edit#gid=156619080"",O$3)"),"1051000株")</f>
        <v>1051000株</v>
      </c>
      <c r="P68" s="16" t="str">
        <f>IFERROR(__xludf.DUMMYFUNCTION("IMPORTRANGE(""https://docs.google.com/spreadsheets/d/""&amp;$A68&amp;""/edit#gid=156619080"",P$3)"),"3156百万円")</f>
        <v>3156百万円</v>
      </c>
      <c r="Q68" s="16" t="str">
        <f>IFERROR(__xludf.DUMMYFUNCTION("IMPORTRANGE(""https://docs.google.com/spreadsheets/d/""&amp;$A68&amp;""/edit#gid=156619080"",Q$3)"),"2151回")</f>
        <v>2151回</v>
      </c>
      <c r="R68" s="16" t="str">
        <f>IFERROR(__xludf.DUMMYFUNCTION("IMPORTRANGE(""https://docs.google.com/spreadsheets/d/""&amp;$A68&amp;""/edit#gid=156619080"",R$3)"),"1713億円")</f>
        <v>1713億円</v>
      </c>
      <c r="S68" s="16" t="str">
        <f>IFERROR(__xludf.DUMMYFUNCTION("IMPORTRANGE(""https://docs.google.com/spreadsheets/d/""&amp;$A68&amp;""/edit#gid=156619080"",S$3)"),"陽線")</f>
        <v>陽線</v>
      </c>
      <c r="T68" s="16" t="str">
        <f>IFERROR(__xludf.DUMMYFUNCTION("IMPORTRANGE(""https://docs.google.com/spreadsheets/d/""&amp;$A68&amp;""/edit#gid=156619080"",T$3)"),"")</f>
        <v/>
      </c>
      <c r="U68" s="16">
        <f>IFERROR(__xludf.DUMMYFUNCTION("IMPORTRANGE(""https://docs.google.com/spreadsheets/d/""&amp;$A68&amp;""/edit#gid=156619080"",U$3)"),2900.6)</f>
        <v>2900.6</v>
      </c>
      <c r="V68" s="16">
        <f>IFERROR(__xludf.DUMMYFUNCTION("IMPORTRANGE(""https://docs.google.com/spreadsheets/d/""&amp;$A68&amp;""/edit#gid=156619080"",V$3)"),2783.0)</f>
        <v>2783</v>
      </c>
      <c r="W68" s="16">
        <f>IFERROR(__xludf.DUMMYFUNCTION("IMPORTRANGE(""https://docs.google.com/spreadsheets/d/""&amp;$A68&amp;""/edit#gid=156619080"",W$3)"),2731.9)</f>
        <v>2731.9</v>
      </c>
      <c r="X68" s="2">
        <f>IFERROR(__xludf.DUMMYFUNCTION("IMPORTRANGE(""https://docs.google.com/spreadsheets/d/""&amp;$A68&amp;""/edit#gid=156619080"",X$3)"),2757.4)</f>
        <v>2757.4</v>
      </c>
      <c r="Y68" s="17">
        <f>IFERROR(__xludf.DUMMYFUNCTION("IMPORTRANGE(""https://docs.google.com/spreadsheets/d/""&amp;$A68&amp;""/edit#gid=156619080"",Y$3)"),0.03082120940495073)</f>
        <v>0.0308212094</v>
      </c>
      <c r="Z68" s="2">
        <f>IFERROR(__xludf.DUMMYFUNCTION("IMPORTRANGE(""https://docs.google.com/spreadsheets/d/""&amp;$A68&amp;""/edit#gid=156619080"",Z$3)"),2966.17)</f>
        <v>2966.17</v>
      </c>
      <c r="AA68" s="2">
        <f>IFERROR(__xludf.DUMMYFUNCTION("IMPORTRANGE(""https://docs.google.com/spreadsheets/d/""&amp;$A68&amp;""/edit#gid=156619080"",AA$3)"),2936.88)</f>
        <v>2936.88</v>
      </c>
      <c r="AB68" s="2">
        <f>IFERROR(__xludf.DUMMYFUNCTION("IMPORTRANGE(""https://docs.google.com/spreadsheets/d/""&amp;$A68&amp;""/edit#gid=156619080"",AB$3)"),2907.6)</f>
        <v>2907.6</v>
      </c>
      <c r="AC68" s="18">
        <f>IFERROR(__xludf.DUMMYFUNCTION("IMPORTRANGE(""https://docs.google.com/spreadsheets/d/""&amp;$A68&amp;""/edit#gid=156619080"",AC$3)"),2878.32)</f>
        <v>2878.32</v>
      </c>
      <c r="AD68" s="18">
        <f>IFERROR(__xludf.DUMMYFUNCTION("IMPORTRANGE(""https://docs.google.com/spreadsheets/d/""&amp;$A68&amp;""/edit#gid=156619080"",AD$3)"),2849.03)</f>
        <v>2849.03</v>
      </c>
      <c r="AE68" s="18">
        <f>IFERROR(__xludf.DUMMYFUNCTION("IMPORTRANGE(""https://docs.google.com/spreadsheets/d/""&amp;$A68&amp;""/edit#gid=156619080"",AE$3)"),2731.9)</f>
        <v>2731.9</v>
      </c>
      <c r="AF68" s="2">
        <f>IFERROR(__xludf.DUMMYFUNCTION("IMPORTRANGE(""https://docs.google.com/spreadsheets/d/""&amp;$A68&amp;""/edit#gid=156619080"",AF$3)"),2614.77)</f>
        <v>2614.77</v>
      </c>
      <c r="AG68" s="2">
        <f>IFERROR(__xludf.DUMMYFUNCTION("IMPORTRANGE(""https://docs.google.com/spreadsheets/d/""&amp;$A68&amp;""/edit#gid=156619080"",AG$3)"),2585.48)</f>
        <v>2585.48</v>
      </c>
      <c r="AH68" s="2">
        <f>IFERROR(__xludf.DUMMYFUNCTION("IMPORTRANGE(""https://docs.google.com/spreadsheets/d/""&amp;$A68&amp;""/edit#gid=156619080"",AH$3)"),2556.2)</f>
        <v>2556.2</v>
      </c>
      <c r="AI68" s="2">
        <f>IFERROR(__xludf.DUMMYFUNCTION("IMPORTRANGE(""https://docs.google.com/spreadsheets/d/""&amp;$A68&amp;""/edit#gid=156619080"",AI$3)"),2526.92)</f>
        <v>2526.92</v>
      </c>
      <c r="AJ68" s="2">
        <f>IFERROR(__xludf.DUMMYFUNCTION("IMPORTRANGE(""https://docs.google.com/spreadsheets/d/""&amp;$A68&amp;""/edit#gid=156619080"",AJ$3)"),2497.63)</f>
        <v>2497.63</v>
      </c>
      <c r="AK68" s="2" t="str">
        <f>IFERROR(__xludf.DUMMYFUNCTION("IMPORTRANGE(""https://docs.google.com/spreadsheets/d/""&amp;$A68&amp;""/edit#gid=156619080"",AK$3)"),"2σ以上")</f>
        <v>2σ以上</v>
      </c>
      <c r="AL68" s="2">
        <f>IFERROR(__xludf.DUMMYFUNCTION("IMPORTRANGE(""https://docs.google.com/spreadsheets/d/""&amp;$A68&amp;""/edit#gid=156619080"",AL$3)"),1.0)</f>
        <v>1</v>
      </c>
      <c r="AM68" s="2" t="str">
        <f>IFERROR(__xludf.DUMMYFUNCTION("IMPORTRANGE(""https://docs.google.com/spreadsheets/d/""&amp;$A68&amp;""/edit#gid=156619080"",AM$3)"),"")</f>
        <v/>
      </c>
      <c r="AN68" s="2">
        <f>IFERROR(__xludf.DUMMYFUNCTION("IMPORTRANGE(""https://docs.google.com/spreadsheets/d/""&amp;$A68&amp;""/edit#gid=156619080"",AN$3)"),1.0)</f>
        <v>1</v>
      </c>
      <c r="AO68" s="2" t="str">
        <f>IFERROR(__xludf.DUMMYFUNCTION("IMPORTRANGE(""https://docs.google.com/spreadsheets/d/""&amp;$A68&amp;""/edit#gid=156619080"",AO$3)"),"")</f>
        <v/>
      </c>
      <c r="AP68" s="2">
        <f>IFERROR(__xludf.DUMMYFUNCTION("IMPORTRANGE(""https://docs.google.com/spreadsheets/d/""&amp;$A68&amp;""/edit#gid=156619080"",AP$3)"),1.0)</f>
        <v>1</v>
      </c>
      <c r="AQ68" s="2" t="str">
        <f>IFERROR(__xludf.DUMMYFUNCTION("IMPORTRANGE(""https://docs.google.com/spreadsheets/d/""&amp;$A68&amp;""/edit#gid=156619080"",AQ$3)"),"")</f>
        <v/>
      </c>
      <c r="AR68" s="18">
        <f>IFERROR(__xludf.DUMMYFUNCTION("IMPORTRANGE(""https://docs.google.com/spreadsheets/d/""&amp;$A68&amp;""/edit#gid=156619080"",AR$3)"),60.0)</f>
        <v>60</v>
      </c>
      <c r="AS68" s="19" t="str">
        <f>IFERROR(__xludf.DUMMYFUNCTION("IMPORTRANGE(""https://docs.google.com/spreadsheets/d/""&amp;$A68&amp;""/edit#gid=156619080"",AS$3)"),"100
70
-30
10
")</f>
        <v>100
70
-30
10
</v>
      </c>
      <c r="AT68" s="18">
        <f>IFERROR(__xludf.DUMMYFUNCTION("IMPORTRANGE(""https://docs.google.com/spreadsheets/d/""&amp;$A68&amp;""/edit#gid=156619080"",AT$3)"),86.26373626373626)</f>
        <v>86.26373626</v>
      </c>
      <c r="AU68" s="3" t="str">
        <f>IFERROR(__xludf.DUMMYFUNCTION("IMPORTRANGE(""https://docs.google.com/spreadsheets/d/""&amp;$A68&amp;""/edit#gid=156619080"",AU$3)"),"78.02
89.01
84.62
86.26
")</f>
        <v>78.02
89.01
84.62
86.26
</v>
      </c>
      <c r="AV68" s="18">
        <f>IFERROR(__xludf.DUMMYFUNCTION("IMPORTRANGE(""https://docs.google.com/spreadsheets/d/""&amp;$A68&amp;""/edit#gid=156619080"",AV$3)"),66.36363636363636)</f>
        <v>66.36363636</v>
      </c>
      <c r="AW68" s="19" t="str">
        <f>IFERROR(__xludf.DUMMYFUNCTION("IMPORTRANGE(""https://docs.google.com/spreadsheets/d/""&amp;$A68&amp;""/edit#gid=156619080"",AW$3)"),"-7.92
11.17
34.55
52.73
")</f>
        <v>-7.92
11.17
34.55
52.73
</v>
      </c>
      <c r="AX68" s="2">
        <f>IFERROR(__xludf.DUMMYFUNCTION("IMPORTRANGE(""https://docs.google.com/spreadsheets/d/""&amp;$A68&amp;""/edit#gid=156619080"",AX$3)"),77.14)</f>
        <v>77.14</v>
      </c>
      <c r="AY68" s="2">
        <f>IFERROR(__xludf.DUMMYFUNCTION("IMPORTRANGE(""https://docs.google.com/spreadsheets/d/""&amp;$A68&amp;""/edit#gid=156619080"",AY$3)"),59.599999999999994)</f>
        <v>59.6</v>
      </c>
      <c r="AZ68" s="2">
        <f>IFERROR(__xludf.DUMMYFUNCTION("IMPORTRANGE(""https://docs.google.com/spreadsheets/d/""&amp;$A68&amp;""/edit#gid=156619080"",AZ$3)"),2903.96)</f>
        <v>2903.96</v>
      </c>
      <c r="BA68" s="2">
        <f>IFERROR(__xludf.DUMMYFUNCTION("IMPORTRANGE(""https://docs.google.com/spreadsheets/d/""&amp;$A68&amp;""/edit#gid=156619080"",BA$3)"),105.55000000000018)</f>
        <v>105.55</v>
      </c>
      <c r="BB68" s="2">
        <f>IFERROR(__xludf.DUMMYFUNCTION("IMPORTRANGE(""https://docs.google.com/spreadsheets/d/""&amp;$A68&amp;""/edit#gid=156619080"",BB$3)"),23.92)</f>
        <v>23.92</v>
      </c>
      <c r="BC68" s="2" t="str">
        <f>IFERROR(__xludf.DUMMYFUNCTION("IMPORTRANGE(""https://docs.google.com/spreadsheets/d/""&amp;$A68&amp;""/edit#gid=156619080"",BC$3)"),"GC→GC")</f>
        <v>GC→GC</v>
      </c>
    </row>
    <row r="69" ht="51.0" customHeight="1">
      <c r="A69" s="7" t="str">
        <f t="shared" si="5"/>
        <v>1wIxEKwLxVQRKVNHX4kAOiIzVBiYdhgLDHSIpyq6EBOA</v>
      </c>
      <c r="B69" s="1" t="s">
        <v>96</v>
      </c>
      <c r="C69" s="2">
        <f>IFERROR(__xludf.DUMMYFUNCTION("IMPORTRANGE(""https://docs.google.com/spreadsheets/d/""&amp;$A69&amp;""/edit#gid=156619080"",C$3)"),132.0)</f>
        <v>132</v>
      </c>
      <c r="D69" s="2">
        <f>IFERROR(__xludf.DUMMYFUNCTION("IMPORTRANGE(""https://docs.google.com/spreadsheets/d/""&amp;$A69&amp;""/edit#gid=156619080"",D$3)"),5707.0)</f>
        <v>5707</v>
      </c>
      <c r="E69" s="15">
        <f>IFERROR(__xludf.DUMMYFUNCTION("IMPORTRANGE(""https://docs.google.com/spreadsheets/d/""&amp;$A69&amp;""/edit#gid=156619080"",E$3)"),43882.0)</f>
        <v>43882</v>
      </c>
      <c r="F69" s="2">
        <f>IFERROR(__xludf.DUMMYFUNCTION("IMPORTRANGE(""https://docs.google.com/spreadsheets/d/""&amp;$A69&amp;""/edit#gid=156619080"",F$3)"),-31.0)</f>
        <v>-31</v>
      </c>
      <c r="G69" s="16">
        <f>IFERROR(__xludf.DUMMYFUNCTION("IMPORTRANGE(""https://docs.google.com/spreadsheets/d/""&amp;$A69&amp;""/edit#gid=156619080"",G$3)"),-1.69)</f>
        <v>-1.69</v>
      </c>
      <c r="H69" s="16">
        <f>IFERROR(__xludf.DUMMYFUNCTION("IMPORTRANGE(""https://docs.google.com/spreadsheets/d/""&amp;$A69&amp;""/edit#gid=156619080"",H$3)"),1821.0)</f>
        <v>1821</v>
      </c>
      <c r="I69" s="16">
        <f>IFERROR(__xludf.DUMMYFUNCTION("IMPORTRANGE(""https://docs.google.com/spreadsheets/d/""&amp;$A69&amp;""/edit#gid=156619080"",I$3)"),18.0)</f>
        <v>18</v>
      </c>
      <c r="J69" s="16">
        <f>IFERROR(__xludf.DUMMYFUNCTION("IMPORTRANGE(""https://docs.google.com/spreadsheets/d/""&amp;$A69&amp;""/edit#gid=156619080"",J$3)"),1842.0)</f>
        <v>1842</v>
      </c>
      <c r="K69" s="16">
        <f>IFERROR(__xludf.DUMMYFUNCTION("IMPORTRANGE(""https://docs.google.com/spreadsheets/d/""&amp;$A69&amp;""/edit#gid=156619080"",K$3)"),0.40208333333333335)</f>
        <v>0.4020833333</v>
      </c>
      <c r="L69" s="16">
        <f>IFERROR(__xludf.DUMMYFUNCTION("IMPORTRANGE(""https://docs.google.com/spreadsheets/d/""&amp;$A69&amp;""/edit#gid=156619080"",L$3)"),1808.0)</f>
        <v>1808</v>
      </c>
      <c r="M69" s="16">
        <f>IFERROR(__xludf.DUMMYFUNCTION("IMPORTRANGE(""https://docs.google.com/spreadsheets/d/""&amp;$A69&amp;""/edit#gid=156619080"",M$3)"),0.6243055555555556)</f>
        <v>0.6243055556</v>
      </c>
      <c r="N69" s="16">
        <f>IFERROR(__xludf.DUMMYFUNCTION("IMPORTRANGE(""https://docs.google.com/spreadsheets/d/""&amp;$A69&amp;""/edit#gid=156619080"",N$3)"),1808.0)</f>
        <v>1808</v>
      </c>
      <c r="O69" s="16" t="str">
        <f>IFERROR(__xludf.DUMMYFUNCTION("IMPORTRANGE(""https://docs.google.com/spreadsheets/d/""&amp;$A69&amp;""/edit#gid=156619080"",O$3)"),"98000株")</f>
        <v>98000株</v>
      </c>
      <c r="P69" s="16" t="str">
        <f>IFERROR(__xludf.DUMMYFUNCTION("IMPORTRANGE(""https://docs.google.com/spreadsheets/d/""&amp;$A69&amp;""/edit#gid=156619080"",P$3)"),"178百万円")</f>
        <v>178百万円</v>
      </c>
      <c r="Q69" s="16" t="str">
        <f>IFERROR(__xludf.DUMMYFUNCTION("IMPORTRANGE(""https://docs.google.com/spreadsheets/d/""&amp;$A69&amp;""/edit#gid=156619080"",Q$3)"),"363回")</f>
        <v>363回</v>
      </c>
      <c r="R69" s="16" t="str">
        <f>IFERROR(__xludf.DUMMYFUNCTION("IMPORTRANGE(""https://docs.google.com/spreadsheets/d/""&amp;$A69&amp;""/edit#gid=156619080"",R$3)"),"246億円")</f>
        <v>246億円</v>
      </c>
      <c r="S69" s="16" t="str">
        <f>IFERROR(__xludf.DUMMYFUNCTION("IMPORTRANGE(""https://docs.google.com/spreadsheets/d/""&amp;$A69&amp;""/edit#gid=156619080"",S$3)"),"陰線")</f>
        <v>陰線</v>
      </c>
      <c r="T69" s="16" t="str">
        <f>IFERROR(__xludf.DUMMYFUNCTION("IMPORTRANGE(""https://docs.google.com/spreadsheets/d/""&amp;$A69&amp;""/edit#gid=156619080"",T$3)"),"")</f>
        <v/>
      </c>
      <c r="U69" s="16">
        <f>IFERROR(__xludf.DUMMYFUNCTION("IMPORTRANGE(""https://docs.google.com/spreadsheets/d/""&amp;$A69&amp;""/edit#gid=156619080"",U$3)"),1842.2)</f>
        <v>1842.2</v>
      </c>
      <c r="V69" s="16">
        <f>IFERROR(__xludf.DUMMYFUNCTION("IMPORTRANGE(""https://docs.google.com/spreadsheets/d/""&amp;$A69&amp;""/edit#gid=156619080"",V$3)"),1893.7)</f>
        <v>1893.7</v>
      </c>
      <c r="W69" s="16">
        <f>IFERROR(__xludf.DUMMYFUNCTION("IMPORTRANGE(""https://docs.google.com/spreadsheets/d/""&amp;$A69&amp;""/edit#gid=156619080"",W$3)"),1899.8)</f>
        <v>1899.8</v>
      </c>
      <c r="X69" s="2">
        <f>IFERROR(__xludf.DUMMYFUNCTION("IMPORTRANGE(""https://docs.google.com/spreadsheets/d/""&amp;$A69&amp;""/edit#gid=156619080"",X$3)"),2030.6)</f>
        <v>2030.6</v>
      </c>
      <c r="Y69" s="17">
        <f>IFERROR(__xludf.DUMMYFUNCTION("IMPORTRANGE(""https://docs.google.com/spreadsheets/d/""&amp;$A69&amp;""/edit#gid=156619080"",Y$3)"),-0.01856475952665294)</f>
        <v>-0.01856475953</v>
      </c>
      <c r="Z69" s="2">
        <f>IFERROR(__xludf.DUMMYFUNCTION("IMPORTRANGE(""https://docs.google.com/spreadsheets/d/""&amp;$A69&amp;""/edit#gid=156619080"",Z$3)"),1989.43)</f>
        <v>1989.43</v>
      </c>
      <c r="AA69" s="2">
        <f>IFERROR(__xludf.DUMMYFUNCTION("IMPORTRANGE(""https://docs.google.com/spreadsheets/d/""&amp;$A69&amp;""/edit#gid=156619080"",AA$3)"),1978.23)</f>
        <v>1978.23</v>
      </c>
      <c r="AB69" s="2">
        <f>IFERROR(__xludf.DUMMYFUNCTION("IMPORTRANGE(""https://docs.google.com/spreadsheets/d/""&amp;$A69&amp;""/edit#gid=156619080"",AB$3)"),1967.02)</f>
        <v>1967.02</v>
      </c>
      <c r="AC69" s="18">
        <f>IFERROR(__xludf.DUMMYFUNCTION("IMPORTRANGE(""https://docs.google.com/spreadsheets/d/""&amp;$A69&amp;""/edit#gid=156619080"",AC$3)"),1955.82)</f>
        <v>1955.82</v>
      </c>
      <c r="AD69" s="18">
        <f>IFERROR(__xludf.DUMMYFUNCTION("IMPORTRANGE(""https://docs.google.com/spreadsheets/d/""&amp;$A69&amp;""/edit#gid=156619080"",AD$3)"),1944.62)</f>
        <v>1944.62</v>
      </c>
      <c r="AE69" s="18">
        <f>IFERROR(__xludf.DUMMYFUNCTION("IMPORTRANGE(""https://docs.google.com/spreadsheets/d/""&amp;$A69&amp;""/edit#gid=156619080"",AE$3)"),1899.8)</f>
        <v>1899.8</v>
      </c>
      <c r="AF69" s="2">
        <f>IFERROR(__xludf.DUMMYFUNCTION("IMPORTRANGE(""https://docs.google.com/spreadsheets/d/""&amp;$A69&amp;""/edit#gid=156619080"",AF$3)"),1854.98)</f>
        <v>1854.98</v>
      </c>
      <c r="AG69" s="2">
        <f>IFERROR(__xludf.DUMMYFUNCTION("IMPORTRANGE(""https://docs.google.com/spreadsheets/d/""&amp;$A69&amp;""/edit#gid=156619080"",AG$3)"),1843.78)</f>
        <v>1843.78</v>
      </c>
      <c r="AH69" s="2">
        <f>IFERROR(__xludf.DUMMYFUNCTION("IMPORTRANGE(""https://docs.google.com/spreadsheets/d/""&amp;$A69&amp;""/edit#gid=156619080"",AH$3)"),1832.58)</f>
        <v>1832.58</v>
      </c>
      <c r="AI69" s="2">
        <f>IFERROR(__xludf.DUMMYFUNCTION("IMPORTRANGE(""https://docs.google.com/spreadsheets/d/""&amp;$A69&amp;""/edit#gid=156619080"",AI$3)"),1821.37)</f>
        <v>1821.37</v>
      </c>
      <c r="AJ69" s="2">
        <f>IFERROR(__xludf.DUMMYFUNCTION("IMPORTRANGE(""https://docs.google.com/spreadsheets/d/""&amp;$A69&amp;""/edit#gid=156619080"",AJ$3)"),1810.17)</f>
        <v>1810.17</v>
      </c>
      <c r="AK69" s="2" t="str">
        <f>IFERROR(__xludf.DUMMYFUNCTION("IMPORTRANGE(""https://docs.google.com/spreadsheets/d/""&amp;$A69&amp;""/edit#gid=156619080"",AK$3)"),"-2σ以下")</f>
        <v>-2σ以下</v>
      </c>
      <c r="AL69" s="2">
        <f>IFERROR(__xludf.DUMMYFUNCTION("IMPORTRANGE(""https://docs.google.com/spreadsheets/d/""&amp;$A69&amp;""/edit#gid=156619080"",AL$3)"),-1.0)</f>
        <v>-1</v>
      </c>
      <c r="AM69" s="2" t="str">
        <f>IFERROR(__xludf.DUMMYFUNCTION("IMPORTRANGE(""https://docs.google.com/spreadsheets/d/""&amp;$A69&amp;""/edit#gid=156619080"",AM$3)"),"")</f>
        <v/>
      </c>
      <c r="AN69" s="2">
        <f>IFERROR(__xludf.DUMMYFUNCTION("IMPORTRANGE(""https://docs.google.com/spreadsheets/d/""&amp;$A69&amp;""/edit#gid=156619080"",AN$3)"),-1.0)</f>
        <v>-1</v>
      </c>
      <c r="AO69" s="2" t="str">
        <f>IFERROR(__xludf.DUMMYFUNCTION("IMPORTRANGE(""https://docs.google.com/spreadsheets/d/""&amp;$A69&amp;""/edit#gid=156619080"",AO$3)"),"")</f>
        <v/>
      </c>
      <c r="AP69" s="2">
        <f>IFERROR(__xludf.DUMMYFUNCTION("IMPORTRANGE(""https://docs.google.com/spreadsheets/d/""&amp;$A69&amp;""/edit#gid=156619080"",AP$3)"),-1.0)</f>
        <v>-1</v>
      </c>
      <c r="AQ69" s="2" t="str">
        <f>IFERROR(__xludf.DUMMYFUNCTION("IMPORTRANGE(""https://docs.google.com/spreadsheets/d/""&amp;$A69&amp;""/edit#gid=156619080"",AQ$3)"),"")</f>
        <v/>
      </c>
      <c r="AR69" s="18">
        <f>IFERROR(__xludf.DUMMYFUNCTION("IMPORTRANGE(""https://docs.google.com/spreadsheets/d/""&amp;$A69&amp;""/edit#gid=156619080"",AR$3)"),-70.0)</f>
        <v>-70</v>
      </c>
      <c r="AS69" s="19" t="str">
        <f>IFERROR(__xludf.DUMMYFUNCTION("IMPORTRANGE(""https://docs.google.com/spreadsheets/d/""&amp;$A69&amp;""/edit#gid=156619080"",AS$3)"),"-40
-100
-90
-70
")</f>
        <v>-40
-100
-90
-70
</v>
      </c>
      <c r="AT69" s="18">
        <f>IFERROR(__xludf.DUMMYFUNCTION("IMPORTRANGE(""https://docs.google.com/spreadsheets/d/""&amp;$A69&amp;""/edit#gid=156619080"",AT$3)"),-76.51098901098901)</f>
        <v>-76.51098901</v>
      </c>
      <c r="AU69" s="3" t="str">
        <f>IFERROR(__xludf.DUMMYFUNCTION("IMPORTRANGE(""https://docs.google.com/spreadsheets/d/""&amp;$A69&amp;""/edit#gid=156619080"",AU$3)"),"2.06
-10.03
-33.1
-51.79
")</f>
        <v>2.06
-10.03
-33.1
-51.79
</v>
      </c>
      <c r="AV69" s="18">
        <f>IFERROR(__xludf.DUMMYFUNCTION("IMPORTRANGE(""https://docs.google.com/spreadsheets/d/""&amp;$A69&amp;""/edit#gid=156619080"",AV$3)"),-47.82467532467531)</f>
        <v>-47.82467532</v>
      </c>
      <c r="AW69" s="19" t="str">
        <f>IFERROR(__xludf.DUMMYFUNCTION("IMPORTRANGE(""https://docs.google.com/spreadsheets/d/""&amp;$A69&amp;""/edit#gid=156619080"",AW$3)"),"-50.16
-50.29
-48.08
-47.82
")</f>
        <v>-50.16
-50.29
-48.08
-47.82
</v>
      </c>
      <c r="AX69" s="2">
        <f>IFERROR(__xludf.DUMMYFUNCTION("IMPORTRANGE(""https://docs.google.com/spreadsheets/d/""&amp;$A69&amp;""/edit#gid=156619080"",AX$3)"),14.77)</f>
        <v>14.77</v>
      </c>
      <c r="AY69" s="2">
        <f>IFERROR(__xludf.DUMMYFUNCTION("IMPORTRANGE(""https://docs.google.com/spreadsheets/d/""&amp;$A69&amp;""/edit#gid=156619080"",AY$3)"),33.839999999999996)</f>
        <v>33.84</v>
      </c>
      <c r="AZ69" s="2">
        <f>IFERROR(__xludf.DUMMYFUNCTION("IMPORTRANGE(""https://docs.google.com/spreadsheets/d/""&amp;$A69&amp;""/edit#gid=156619080"",AZ$3)"),1844.0)</f>
        <v>1844</v>
      </c>
      <c r="BA69" s="2">
        <f>IFERROR(__xludf.DUMMYFUNCTION("IMPORTRANGE(""https://docs.google.com/spreadsheets/d/""&amp;$A69&amp;""/edit#gid=156619080"",BA$3)"),-66.57999999999993)</f>
        <v>-66.58</v>
      </c>
      <c r="BB69" s="2">
        <f>IFERROR(__xludf.DUMMYFUNCTION("IMPORTRANGE(""https://docs.google.com/spreadsheets/d/""&amp;$A69&amp;""/edit#gid=156619080"",BB$3)"),-51.85)</f>
        <v>-51.85</v>
      </c>
      <c r="BC69" s="2" t="str">
        <f>IFERROR(__xludf.DUMMYFUNCTION("IMPORTRANGE(""https://docs.google.com/spreadsheets/d/""&amp;$A69&amp;""/edit#gid=156619080"",BC$3)"),"DC→DC")</f>
        <v>DC→DC</v>
      </c>
    </row>
    <row r="70" ht="51.0" customHeight="1">
      <c r="A70" s="7" t="str">
        <f t="shared" si="5"/>
        <v>1W-xvtafkhOyZ7NfKnwLpjUIuwkLdDeYiIMGw8K9O13U</v>
      </c>
      <c r="B70" s="1" t="s">
        <v>97</v>
      </c>
      <c r="C70" s="2">
        <f>IFERROR(__xludf.DUMMYFUNCTION("IMPORTRANGE(""https://docs.google.com/spreadsheets/d/""&amp;$A70&amp;""/edit#gid=156619080"",C$3)"),132.0)</f>
        <v>132</v>
      </c>
      <c r="D70" s="2">
        <f>IFERROR(__xludf.DUMMYFUNCTION("IMPORTRANGE(""https://docs.google.com/spreadsheets/d/""&amp;$A70&amp;""/edit#gid=156619080"",D$3)"),5711.0)</f>
        <v>5711</v>
      </c>
      <c r="E70" s="15">
        <f>IFERROR(__xludf.DUMMYFUNCTION("IMPORTRANGE(""https://docs.google.com/spreadsheets/d/""&amp;$A70&amp;""/edit#gid=156619080"",E$3)"),43882.0)</f>
        <v>43882</v>
      </c>
      <c r="F70" s="2">
        <f>IFERROR(__xludf.DUMMYFUNCTION("IMPORTRANGE(""https://docs.google.com/spreadsheets/d/""&amp;$A70&amp;""/edit#gid=156619080"",F$3)"),16.0)</f>
        <v>16</v>
      </c>
      <c r="G70" s="16">
        <f>IFERROR(__xludf.DUMMYFUNCTION("IMPORTRANGE(""https://docs.google.com/spreadsheets/d/""&amp;$A70&amp;""/edit#gid=156619080"",G$3)"),0.58)</f>
        <v>0.58</v>
      </c>
      <c r="H70" s="16">
        <f>IFERROR(__xludf.DUMMYFUNCTION("IMPORTRANGE(""https://docs.google.com/spreadsheets/d/""&amp;$A70&amp;""/edit#gid=156619080"",H$3)"),2751.0)</f>
        <v>2751</v>
      </c>
      <c r="I70" s="16">
        <f>IFERROR(__xludf.DUMMYFUNCTION("IMPORTRANGE(""https://docs.google.com/spreadsheets/d/""&amp;$A70&amp;""/edit#gid=156619080"",I$3)"),12.0)</f>
        <v>12</v>
      </c>
      <c r="J70" s="16">
        <f>IFERROR(__xludf.DUMMYFUNCTION("IMPORTRANGE(""https://docs.google.com/spreadsheets/d/""&amp;$A70&amp;""/edit#gid=156619080"",J$3)"),2796.0)</f>
        <v>2796</v>
      </c>
      <c r="K70" s="16">
        <f>IFERROR(__xludf.DUMMYFUNCTION("IMPORTRANGE(""https://docs.google.com/spreadsheets/d/""&amp;$A70&amp;""/edit#gid=156619080"",K$3)"),0.46875)</f>
        <v>0.46875</v>
      </c>
      <c r="L70" s="16">
        <f>IFERROR(__xludf.DUMMYFUNCTION("IMPORTRANGE(""https://docs.google.com/spreadsheets/d/""&amp;$A70&amp;""/edit#gid=156619080"",L$3)"),2743.0)</f>
        <v>2743</v>
      </c>
      <c r="M70" s="16">
        <f>IFERROR(__xludf.DUMMYFUNCTION("IMPORTRANGE(""https://docs.google.com/spreadsheets/d/""&amp;$A70&amp;""/edit#gid=156619080"",M$3)"),0.375)</f>
        <v>0.375</v>
      </c>
      <c r="N70" s="16">
        <f>IFERROR(__xludf.DUMMYFUNCTION("IMPORTRANGE(""https://docs.google.com/spreadsheets/d/""&amp;$A70&amp;""/edit#gid=156619080"",N$3)"),2779.0)</f>
        <v>2779</v>
      </c>
      <c r="O70" s="16" t="str">
        <f>IFERROR(__xludf.DUMMYFUNCTION("IMPORTRANGE(""https://docs.google.com/spreadsheets/d/""&amp;$A70&amp;""/edit#gid=156619080"",O$3)"),"491300株")</f>
        <v>491300株</v>
      </c>
      <c r="P70" s="16" t="str">
        <f>IFERROR(__xludf.DUMMYFUNCTION("IMPORTRANGE(""https://docs.google.com/spreadsheets/d/""&amp;$A70&amp;""/edit#gid=156619080"",P$3)"),"1366百万円")</f>
        <v>1366百万円</v>
      </c>
      <c r="Q70" s="16" t="str">
        <f>IFERROR(__xludf.DUMMYFUNCTION("IMPORTRANGE(""https://docs.google.com/spreadsheets/d/""&amp;$A70&amp;""/edit#gid=156619080"",Q$3)"),"1720回")</f>
        <v>1720回</v>
      </c>
      <c r="R70" s="16" t="str">
        <f>IFERROR(__xludf.DUMMYFUNCTION("IMPORTRANGE(""https://docs.google.com/spreadsheets/d/""&amp;$A70&amp;""/edit#gid=156619080"",R$3)"),"3654億円")</f>
        <v>3654億円</v>
      </c>
      <c r="S70" s="16" t="str">
        <f>IFERROR(__xludf.DUMMYFUNCTION("IMPORTRANGE(""https://docs.google.com/spreadsheets/d/""&amp;$A70&amp;""/edit#gid=156619080"",S$3)"),"陽線")</f>
        <v>陽線</v>
      </c>
      <c r="T70" s="16" t="str">
        <f>IFERROR(__xludf.DUMMYFUNCTION("IMPORTRANGE(""https://docs.google.com/spreadsheets/d/""&amp;$A70&amp;""/edit#gid=156619080"",T$3)"),"")</f>
        <v/>
      </c>
      <c r="U70" s="16">
        <f>IFERROR(__xludf.DUMMYFUNCTION("IMPORTRANGE(""https://docs.google.com/spreadsheets/d/""&amp;$A70&amp;""/edit#gid=156619080"",U$3)"),2805.6)</f>
        <v>2805.6</v>
      </c>
      <c r="V70" s="16">
        <f>IFERROR(__xludf.DUMMYFUNCTION("IMPORTRANGE(""https://docs.google.com/spreadsheets/d/""&amp;$A70&amp;""/edit#gid=156619080"",V$3)"),2837.6)</f>
        <v>2837.6</v>
      </c>
      <c r="W70" s="16">
        <f>IFERROR(__xludf.DUMMYFUNCTION("IMPORTRANGE(""https://docs.google.com/spreadsheets/d/""&amp;$A70&amp;""/edit#gid=156619080"",W$3)"),2821.0)</f>
        <v>2821</v>
      </c>
      <c r="X70" s="2">
        <f>IFERROR(__xludf.DUMMYFUNCTION("IMPORTRANGE(""https://docs.google.com/spreadsheets/d/""&amp;$A70&amp;""/edit#gid=156619080"",X$3)"),2929.0)</f>
        <v>2929</v>
      </c>
      <c r="Y70" s="17">
        <f>IFERROR(__xludf.DUMMYFUNCTION("IMPORTRANGE(""https://docs.google.com/spreadsheets/d/""&amp;$A70&amp;""/edit#gid=156619080"",Y$3)"),-0.009481037924151664)</f>
        <v>-0.009481037924</v>
      </c>
      <c r="Z70" s="2">
        <f>IFERROR(__xludf.DUMMYFUNCTION("IMPORTRANGE(""https://docs.google.com/spreadsheets/d/""&amp;$A70&amp;""/edit#gid=156619080"",Z$3)"),2918.12)</f>
        <v>2918.12</v>
      </c>
      <c r="AA70" s="2">
        <f>IFERROR(__xludf.DUMMYFUNCTION("IMPORTRANGE(""https://docs.google.com/spreadsheets/d/""&amp;$A70&amp;""/edit#gid=156619080"",AA$3)"),2905.98)</f>
        <v>2905.98</v>
      </c>
      <c r="AB70" s="2">
        <f>IFERROR(__xludf.DUMMYFUNCTION("IMPORTRANGE(""https://docs.google.com/spreadsheets/d/""&amp;$A70&amp;""/edit#gid=156619080"",AB$3)"),2893.84)</f>
        <v>2893.84</v>
      </c>
      <c r="AC70" s="18">
        <f>IFERROR(__xludf.DUMMYFUNCTION("IMPORTRANGE(""https://docs.google.com/spreadsheets/d/""&amp;$A70&amp;""/edit#gid=156619080"",AC$3)"),2881.7)</f>
        <v>2881.7</v>
      </c>
      <c r="AD70" s="18">
        <f>IFERROR(__xludf.DUMMYFUNCTION("IMPORTRANGE(""https://docs.google.com/spreadsheets/d/""&amp;$A70&amp;""/edit#gid=156619080"",AD$3)"),2869.56)</f>
        <v>2869.56</v>
      </c>
      <c r="AE70" s="18">
        <f>IFERROR(__xludf.DUMMYFUNCTION("IMPORTRANGE(""https://docs.google.com/spreadsheets/d/""&amp;$A70&amp;""/edit#gid=156619080"",AE$3)"),2821.0)</f>
        <v>2821</v>
      </c>
      <c r="AF70" s="2">
        <f>IFERROR(__xludf.DUMMYFUNCTION("IMPORTRANGE(""https://docs.google.com/spreadsheets/d/""&amp;$A70&amp;""/edit#gid=156619080"",AF$3)"),2772.44)</f>
        <v>2772.44</v>
      </c>
      <c r="AG70" s="2">
        <f>IFERROR(__xludf.DUMMYFUNCTION("IMPORTRANGE(""https://docs.google.com/spreadsheets/d/""&amp;$A70&amp;""/edit#gid=156619080"",AG$3)"),2760.3)</f>
        <v>2760.3</v>
      </c>
      <c r="AH70" s="2">
        <f>IFERROR(__xludf.DUMMYFUNCTION("IMPORTRANGE(""https://docs.google.com/spreadsheets/d/""&amp;$A70&amp;""/edit#gid=156619080"",AH$3)"),2748.16)</f>
        <v>2748.16</v>
      </c>
      <c r="AI70" s="2">
        <f>IFERROR(__xludf.DUMMYFUNCTION("IMPORTRANGE(""https://docs.google.com/spreadsheets/d/""&amp;$A70&amp;""/edit#gid=156619080"",AI$3)"),2736.02)</f>
        <v>2736.02</v>
      </c>
      <c r="AJ70" s="2">
        <f>IFERROR(__xludf.DUMMYFUNCTION("IMPORTRANGE(""https://docs.google.com/spreadsheets/d/""&amp;$A70&amp;""/edit#gid=156619080"",AJ$3)"),2723.88)</f>
        <v>2723.88</v>
      </c>
      <c r="AK70" s="2" t="str">
        <f>IFERROR(__xludf.DUMMYFUNCTION("IMPORTRANGE(""https://docs.google.com/spreadsheets/d/""&amp;$A70&amp;""/edit#gid=156619080"",AK$3)"),"")</f>
        <v/>
      </c>
      <c r="AL70" s="2">
        <f>IFERROR(__xludf.DUMMYFUNCTION("IMPORTRANGE(""https://docs.google.com/spreadsheets/d/""&amp;$A70&amp;""/edit#gid=156619080"",AL$3)"),-1.0)</f>
        <v>-1</v>
      </c>
      <c r="AM70" s="2" t="str">
        <f>IFERROR(__xludf.DUMMYFUNCTION("IMPORTRANGE(""https://docs.google.com/spreadsheets/d/""&amp;$A70&amp;""/edit#gid=156619080"",AM$3)"),"")</f>
        <v/>
      </c>
      <c r="AN70" s="2">
        <f>IFERROR(__xludf.DUMMYFUNCTION("IMPORTRANGE(""https://docs.google.com/spreadsheets/d/""&amp;$A70&amp;""/edit#gid=156619080"",AN$3)"),-1.0)</f>
        <v>-1</v>
      </c>
      <c r="AO70" s="2" t="str">
        <f>IFERROR(__xludf.DUMMYFUNCTION("IMPORTRANGE(""https://docs.google.com/spreadsheets/d/""&amp;$A70&amp;""/edit#gid=156619080"",AO$3)"),"")</f>
        <v/>
      </c>
      <c r="AP70" s="2">
        <f>IFERROR(__xludf.DUMMYFUNCTION("IMPORTRANGE(""https://docs.google.com/spreadsheets/d/""&amp;$A70&amp;""/edit#gid=156619080"",AP$3)"),1.0)</f>
        <v>1</v>
      </c>
      <c r="AQ70" s="2" t="str">
        <f>IFERROR(__xludf.DUMMYFUNCTION("IMPORTRANGE(""https://docs.google.com/spreadsheets/d/""&amp;$A70&amp;""/edit#gid=156619080"",AQ$3)"),"")</f>
        <v/>
      </c>
      <c r="AR70" s="18">
        <f>IFERROR(__xludf.DUMMYFUNCTION("IMPORTRANGE(""https://docs.google.com/spreadsheets/d/""&amp;$A70&amp;""/edit#gid=156619080"",AR$3)"),-89.99999999999999)</f>
        <v>-90</v>
      </c>
      <c r="AS70" s="19" t="str">
        <f>IFERROR(__xludf.DUMMYFUNCTION("IMPORTRANGE(""https://docs.google.com/spreadsheets/d/""&amp;$A70&amp;""/edit#gid=156619080"",AS$3)"),"60
-40
-100
-100
")</f>
        <v>60
-40
-100
-100
</v>
      </c>
      <c r="AT70" s="18">
        <f>IFERROR(__xludf.DUMMYFUNCTION("IMPORTRANGE(""https://docs.google.com/spreadsheets/d/""&amp;$A70&amp;""/edit#gid=156619080"",AT$3)"),-34.06593406593406)</f>
        <v>-34.06593407</v>
      </c>
      <c r="AU70" s="3" t="str">
        <f>IFERROR(__xludf.DUMMYFUNCTION("IMPORTRANGE(""https://docs.google.com/spreadsheets/d/""&amp;$A70&amp;""/edit#gid=156619080"",AU$3)"),"69.78
59.89
29.67
1.65
")</f>
        <v>69.78
59.89
29.67
1.65
</v>
      </c>
      <c r="AV70" s="18">
        <f>IFERROR(__xludf.DUMMYFUNCTION("IMPORTRANGE(""https://docs.google.com/spreadsheets/d/""&amp;$A70&amp;""/edit#gid=156619080"",AV$3)"),14.02597402597403)</f>
        <v>14.02597403</v>
      </c>
      <c r="AW70" s="19" t="str">
        <f>IFERROR(__xludf.DUMMYFUNCTION("IMPORTRANGE(""https://docs.google.com/spreadsheets/d/""&amp;$A70&amp;""/edit#gid=156619080"",AW$3)"),"-14.81
-3.25
3.12
6.49
")</f>
        <v>-14.81
-3.25
3.12
6.49
</v>
      </c>
      <c r="AX70" s="2">
        <f>IFERROR(__xludf.DUMMYFUNCTION("IMPORTRANGE(""https://docs.google.com/spreadsheets/d/""&amp;$A70&amp;""/edit#gid=156619080"",AX$3)"),12.7)</f>
        <v>12.7</v>
      </c>
      <c r="AY70" s="2">
        <f>IFERROR(__xludf.DUMMYFUNCTION("IMPORTRANGE(""https://docs.google.com/spreadsheets/d/""&amp;$A70&amp;""/edit#gid=156619080"",AY$3)"),37.9)</f>
        <v>37.9</v>
      </c>
      <c r="AZ70" s="2">
        <f>IFERROR(__xludf.DUMMYFUNCTION("IMPORTRANGE(""https://docs.google.com/spreadsheets/d/""&amp;$A70&amp;""/edit#gid=156619080"",AZ$3)"),2798.73)</f>
        <v>2798.73</v>
      </c>
      <c r="BA70" s="2">
        <f>IFERROR(__xludf.DUMMYFUNCTION("IMPORTRANGE(""https://docs.google.com/spreadsheets/d/""&amp;$A70&amp;""/edit#gid=156619080"",BA$3)"),-41.67000000000007)</f>
        <v>-41.67</v>
      </c>
      <c r="BB70" s="2">
        <f>IFERROR(__xludf.DUMMYFUNCTION("IMPORTRANGE(""https://docs.google.com/spreadsheets/d/""&amp;$A70&amp;""/edit#gid=156619080"",BB$3)"),-27.3)</f>
        <v>-27.3</v>
      </c>
      <c r="BC70" s="2" t="str">
        <f>IFERROR(__xludf.DUMMYFUNCTION("IMPORTRANGE(""https://docs.google.com/spreadsheets/d/""&amp;$A70&amp;""/edit#gid=156619080"",BC$3)"),"DC→DC")</f>
        <v>DC→DC</v>
      </c>
    </row>
    <row r="71" ht="51.0" customHeight="1">
      <c r="A71" s="7" t="str">
        <f t="shared" si="5"/>
        <v>11eAvXG11w9-p_YcSCKyXYCUm3p3iwlg4tAS3DvMde5s</v>
      </c>
      <c r="B71" s="1" t="s">
        <v>98</v>
      </c>
      <c r="C71" s="2">
        <f>IFERROR(__xludf.DUMMYFUNCTION("IMPORTRANGE(""https://docs.google.com/spreadsheets/d/""&amp;$A71&amp;""/edit#gid=156619080"",C$3)"),132.0)</f>
        <v>132</v>
      </c>
      <c r="D71" s="2">
        <f>IFERROR(__xludf.DUMMYFUNCTION("IMPORTRANGE(""https://docs.google.com/spreadsheets/d/""&amp;$A71&amp;""/edit#gid=156619080"",D$3)"),5713.0)</f>
        <v>5713</v>
      </c>
      <c r="E71" s="15">
        <f>IFERROR(__xludf.DUMMYFUNCTION("IMPORTRANGE(""https://docs.google.com/spreadsheets/d/""&amp;$A71&amp;""/edit#gid=156619080"",E$3)"),43882.0)</f>
        <v>43882</v>
      </c>
      <c r="F71" s="2">
        <f>IFERROR(__xludf.DUMMYFUNCTION("IMPORTRANGE(""https://docs.google.com/spreadsheets/d/""&amp;$A71&amp;""/edit#gid=156619080"",F$3)"),-13.0)</f>
        <v>-13</v>
      </c>
      <c r="G71" s="16">
        <f>IFERROR(__xludf.DUMMYFUNCTION("IMPORTRANGE(""https://docs.google.com/spreadsheets/d/""&amp;$A71&amp;""/edit#gid=156619080"",G$3)"),-0.42)</f>
        <v>-0.42</v>
      </c>
      <c r="H71" s="16">
        <f>IFERROR(__xludf.DUMMYFUNCTION("IMPORTRANGE(""https://docs.google.com/spreadsheets/d/""&amp;$A71&amp;""/edit#gid=156619080"",H$3)"),3067.0)</f>
        <v>3067</v>
      </c>
      <c r="I71" s="16">
        <f>IFERROR(__xludf.DUMMYFUNCTION("IMPORTRANGE(""https://docs.google.com/spreadsheets/d/""&amp;$A71&amp;""/edit#gid=156619080"",I$3)"),-4.0)</f>
        <v>-4</v>
      </c>
      <c r="J71" s="16">
        <f>IFERROR(__xludf.DUMMYFUNCTION("IMPORTRANGE(""https://docs.google.com/spreadsheets/d/""&amp;$A71&amp;""/edit#gid=156619080"",J$3)"),3106.0)</f>
        <v>3106</v>
      </c>
      <c r="K71" s="16">
        <f>IFERROR(__xludf.DUMMYFUNCTION("IMPORTRANGE(""https://docs.google.com/spreadsheets/d/""&amp;$A71&amp;""/edit#gid=156619080"",K$3)"),0.4)</f>
        <v>0.4</v>
      </c>
      <c r="L71" s="16">
        <f>IFERROR(__xludf.DUMMYFUNCTION("IMPORTRANGE(""https://docs.google.com/spreadsheets/d/""&amp;$A71&amp;""/edit#gid=156619080"",L$3)"),3050.0)</f>
        <v>3050</v>
      </c>
      <c r="M71" s="16">
        <f>IFERROR(__xludf.DUMMYFUNCTION("IMPORTRANGE(""https://docs.google.com/spreadsheets/d/""&amp;$A71&amp;""/edit#gid=156619080"",M$3)"),0.625)</f>
        <v>0.625</v>
      </c>
      <c r="N71" s="16">
        <f>IFERROR(__xludf.DUMMYFUNCTION("IMPORTRANGE(""https://docs.google.com/spreadsheets/d/""&amp;$A71&amp;""/edit#gid=156619080"",N$3)"),3050.0)</f>
        <v>3050</v>
      </c>
      <c r="O71" s="16" t="str">
        <f>IFERROR(__xludf.DUMMYFUNCTION("IMPORTRANGE(""https://docs.google.com/spreadsheets/d/""&amp;$A71&amp;""/edit#gid=156619080"",O$3)"),"1085900株")</f>
        <v>1085900株</v>
      </c>
      <c r="P71" s="16" t="str">
        <f>IFERROR(__xludf.DUMMYFUNCTION("IMPORTRANGE(""https://docs.google.com/spreadsheets/d/""&amp;$A71&amp;""/edit#gid=156619080"",P$3)"),"3340百万円")</f>
        <v>3340百万円</v>
      </c>
      <c r="Q71" s="16" t="str">
        <f>IFERROR(__xludf.DUMMYFUNCTION("IMPORTRANGE(""https://docs.google.com/spreadsheets/d/""&amp;$A71&amp;""/edit#gid=156619080"",Q$3)"),"2783回")</f>
        <v>2783回</v>
      </c>
      <c r="R71" s="16" t="str">
        <f>IFERROR(__xludf.DUMMYFUNCTION("IMPORTRANGE(""https://docs.google.com/spreadsheets/d/""&amp;$A71&amp;""/edit#gid=156619080"",R$3)"),"8870億円")</f>
        <v>8870億円</v>
      </c>
      <c r="S71" s="16" t="str">
        <f>IFERROR(__xludf.DUMMYFUNCTION("IMPORTRANGE(""https://docs.google.com/spreadsheets/d/""&amp;$A71&amp;""/edit#gid=156619080"",S$3)"),"陰線")</f>
        <v>陰線</v>
      </c>
      <c r="T71" s="16" t="str">
        <f>IFERROR(__xludf.DUMMYFUNCTION("IMPORTRANGE(""https://docs.google.com/spreadsheets/d/""&amp;$A71&amp;""/edit#gid=156619080"",T$3)"),"")</f>
        <v/>
      </c>
      <c r="U71" s="16">
        <f>IFERROR(__xludf.DUMMYFUNCTION("IMPORTRANGE(""https://docs.google.com/spreadsheets/d/""&amp;$A71&amp;""/edit#gid=156619080"",U$3)"),3079.4)</f>
        <v>3079.4</v>
      </c>
      <c r="V71" s="16">
        <f>IFERROR(__xludf.DUMMYFUNCTION("IMPORTRANGE(""https://docs.google.com/spreadsheets/d/""&amp;$A71&amp;""/edit#gid=156619080"",V$3)"),3150.6)</f>
        <v>3150.6</v>
      </c>
      <c r="W71" s="16">
        <f>IFERROR(__xludf.DUMMYFUNCTION("IMPORTRANGE(""https://docs.google.com/spreadsheets/d/""&amp;$A71&amp;""/edit#gid=156619080"",W$3)"),3170.3)</f>
        <v>3170.3</v>
      </c>
      <c r="X71" s="2">
        <f>IFERROR(__xludf.DUMMYFUNCTION("IMPORTRANGE(""https://docs.google.com/spreadsheets/d/""&amp;$A71&amp;""/edit#gid=156619080"",X$3)"),3356.9)</f>
        <v>3356.9</v>
      </c>
      <c r="Y71" s="17">
        <f>IFERROR(__xludf.DUMMYFUNCTION("IMPORTRANGE(""https://docs.google.com/spreadsheets/d/""&amp;$A71&amp;""/edit#gid=156619080"",Y$3)"),-0.00954731441189845)</f>
        <v>-0.009547314412</v>
      </c>
      <c r="Z71" s="2">
        <f>IFERROR(__xludf.DUMMYFUNCTION("IMPORTRANGE(""https://docs.google.com/spreadsheets/d/""&amp;$A71&amp;""/edit#gid=156619080"",Z$3)"),3316.46)</f>
        <v>3316.46</v>
      </c>
      <c r="AA71" s="2">
        <f>IFERROR(__xludf.DUMMYFUNCTION("IMPORTRANGE(""https://docs.google.com/spreadsheets/d/""&amp;$A71&amp;""/edit#gid=156619080"",AA$3)"),3298.19)</f>
        <v>3298.19</v>
      </c>
      <c r="AB71" s="2">
        <f>IFERROR(__xludf.DUMMYFUNCTION("IMPORTRANGE(""https://docs.google.com/spreadsheets/d/""&amp;$A71&amp;""/edit#gid=156619080"",AB$3)"),3279.92)</f>
        <v>3279.92</v>
      </c>
      <c r="AC71" s="18">
        <f>IFERROR(__xludf.DUMMYFUNCTION("IMPORTRANGE(""https://docs.google.com/spreadsheets/d/""&amp;$A71&amp;""/edit#gid=156619080"",AC$3)"),3261.65)</f>
        <v>3261.65</v>
      </c>
      <c r="AD71" s="18">
        <f>IFERROR(__xludf.DUMMYFUNCTION("IMPORTRANGE(""https://docs.google.com/spreadsheets/d/""&amp;$A71&amp;""/edit#gid=156619080"",AD$3)"),3243.38)</f>
        <v>3243.38</v>
      </c>
      <c r="AE71" s="18">
        <f>IFERROR(__xludf.DUMMYFUNCTION("IMPORTRANGE(""https://docs.google.com/spreadsheets/d/""&amp;$A71&amp;""/edit#gid=156619080"",AE$3)"),3170.3)</f>
        <v>3170.3</v>
      </c>
      <c r="AF71" s="2">
        <f>IFERROR(__xludf.DUMMYFUNCTION("IMPORTRANGE(""https://docs.google.com/spreadsheets/d/""&amp;$A71&amp;""/edit#gid=156619080"",AF$3)"),3097.22)</f>
        <v>3097.22</v>
      </c>
      <c r="AG71" s="2">
        <f>IFERROR(__xludf.DUMMYFUNCTION("IMPORTRANGE(""https://docs.google.com/spreadsheets/d/""&amp;$A71&amp;""/edit#gid=156619080"",AG$3)"),3078.95)</f>
        <v>3078.95</v>
      </c>
      <c r="AH71" s="2">
        <f>IFERROR(__xludf.DUMMYFUNCTION("IMPORTRANGE(""https://docs.google.com/spreadsheets/d/""&amp;$A71&amp;""/edit#gid=156619080"",AH$3)"),3060.68)</f>
        <v>3060.68</v>
      </c>
      <c r="AI71" s="2">
        <f>IFERROR(__xludf.DUMMYFUNCTION("IMPORTRANGE(""https://docs.google.com/spreadsheets/d/""&amp;$A71&amp;""/edit#gid=156619080"",AI$3)"),3042.41)</f>
        <v>3042.41</v>
      </c>
      <c r="AJ71" s="2">
        <f>IFERROR(__xludf.DUMMYFUNCTION("IMPORTRANGE(""https://docs.google.com/spreadsheets/d/""&amp;$A71&amp;""/edit#gid=156619080"",AJ$3)"),3024.14)</f>
        <v>3024.14</v>
      </c>
      <c r="AK71" s="2" t="str">
        <f>IFERROR(__xludf.DUMMYFUNCTION("IMPORTRANGE(""https://docs.google.com/spreadsheets/d/""&amp;$A71&amp;""/edit#gid=156619080"",AK$3)"),"-1.5σ〜-1.75σ")</f>
        <v>-1.5σ〜-1.75σ</v>
      </c>
      <c r="AL71" s="2">
        <f>IFERROR(__xludf.DUMMYFUNCTION("IMPORTRANGE(""https://docs.google.com/spreadsheets/d/""&amp;$A71&amp;""/edit#gid=156619080"",AL$3)"),-1.0)</f>
        <v>-1</v>
      </c>
      <c r="AM71" s="2" t="str">
        <f>IFERROR(__xludf.DUMMYFUNCTION("IMPORTRANGE(""https://docs.google.com/spreadsheets/d/""&amp;$A71&amp;""/edit#gid=156619080"",AM$3)"),"")</f>
        <v/>
      </c>
      <c r="AN71" s="2">
        <f>IFERROR(__xludf.DUMMYFUNCTION("IMPORTRANGE(""https://docs.google.com/spreadsheets/d/""&amp;$A71&amp;""/edit#gid=156619080"",AN$3)"),-1.0)</f>
        <v>-1</v>
      </c>
      <c r="AO71" s="2" t="str">
        <f>IFERROR(__xludf.DUMMYFUNCTION("IMPORTRANGE(""https://docs.google.com/spreadsheets/d/""&amp;$A71&amp;""/edit#gid=156619080"",AO$3)"),"")</f>
        <v/>
      </c>
      <c r="AP71" s="2">
        <f>IFERROR(__xludf.DUMMYFUNCTION("IMPORTRANGE(""https://docs.google.com/spreadsheets/d/""&amp;$A71&amp;""/edit#gid=156619080"",AP$3)"),-1.0)</f>
        <v>-1</v>
      </c>
      <c r="AQ71" s="2" t="str">
        <f>IFERROR(__xludf.DUMMYFUNCTION("IMPORTRANGE(""https://docs.google.com/spreadsheets/d/""&amp;$A71&amp;""/edit#gid=156619080"",AQ$3)"),"")</f>
        <v/>
      </c>
      <c r="AR71" s="18">
        <f>IFERROR(__xludf.DUMMYFUNCTION("IMPORTRANGE(""https://docs.google.com/spreadsheets/d/""&amp;$A71&amp;""/edit#gid=156619080"",AR$3)"),-89.99999999999999)</f>
        <v>-90</v>
      </c>
      <c r="AS71" s="19" t="str">
        <f>IFERROR(__xludf.DUMMYFUNCTION("IMPORTRANGE(""https://docs.google.com/spreadsheets/d/""&amp;$A71&amp;""/edit#gid=156619080"",AS$3)"),"-62.5
-92.5
-100
-90
")</f>
        <v>-62.5
-92.5
-100
-90
</v>
      </c>
      <c r="AT71" s="18">
        <f>IFERROR(__xludf.DUMMYFUNCTION("IMPORTRANGE(""https://docs.google.com/spreadsheets/d/""&amp;$A71&amp;""/edit#gid=156619080"",AT$3)"),-71.0164835164835)</f>
        <v>-71.01648352</v>
      </c>
      <c r="AU71" s="3" t="str">
        <f>IFERROR(__xludf.DUMMYFUNCTION("IMPORTRANGE(""https://docs.google.com/spreadsheets/d/""&amp;$A71&amp;""/edit#gid=156619080"",AU$3)"),"0.96
-2.34
-23.76
-46.29
")</f>
        <v>0.96
-2.34
-23.76
-46.29
</v>
      </c>
      <c r="AV71" s="18">
        <f>IFERROR(__xludf.DUMMYFUNCTION("IMPORTRANGE(""https://docs.google.com/spreadsheets/d/""&amp;$A71&amp;""/edit#gid=156619080"",AV$3)"),-61.85064935064935)</f>
        <v>-61.85064935</v>
      </c>
      <c r="AW71" s="19" t="str">
        <f>IFERROR(__xludf.DUMMYFUNCTION("IMPORTRANGE(""https://docs.google.com/spreadsheets/d/""&amp;$A71&amp;""/edit#gid=156619080"",AW$3)"),"-61.59
-61.98
-61.98
-61.85
")</f>
        <v>-61.59
-61.98
-61.98
-61.85
</v>
      </c>
      <c r="AX71" s="2">
        <f>IFERROR(__xludf.DUMMYFUNCTION("IMPORTRANGE(""https://docs.google.com/spreadsheets/d/""&amp;$A71&amp;""/edit#gid=156619080"",AX$3)"),1.59)</f>
        <v>1.59</v>
      </c>
      <c r="AY71" s="2">
        <f>IFERROR(__xludf.DUMMYFUNCTION("IMPORTRANGE(""https://docs.google.com/spreadsheets/d/""&amp;$A71&amp;""/edit#gid=156619080"",AY$3)"),29.7)</f>
        <v>29.7</v>
      </c>
      <c r="AZ71" s="2">
        <f>IFERROR(__xludf.DUMMYFUNCTION("IMPORTRANGE(""https://docs.google.com/spreadsheets/d/""&amp;$A71&amp;""/edit#gid=156619080"",AZ$3)"),3082.71)</f>
        <v>3082.71</v>
      </c>
      <c r="BA71" s="2">
        <f>IFERROR(__xludf.DUMMYFUNCTION("IMPORTRANGE(""https://docs.google.com/spreadsheets/d/""&amp;$A71&amp;""/edit#gid=156619080"",BA$3)"),-105.26999999999998)</f>
        <v>-105.27</v>
      </c>
      <c r="BB71" s="2">
        <f>IFERROR(__xludf.DUMMYFUNCTION("IMPORTRANGE(""https://docs.google.com/spreadsheets/d/""&amp;$A71&amp;""/edit#gid=156619080"",BB$3)"),-90.3)</f>
        <v>-90.3</v>
      </c>
      <c r="BC71" s="2" t="str">
        <f>IFERROR(__xludf.DUMMYFUNCTION("IMPORTRANGE(""https://docs.google.com/spreadsheets/d/""&amp;$A71&amp;""/edit#gid=156619080"",BC$3)"),"DC→DC")</f>
        <v>DC→DC</v>
      </c>
    </row>
    <row r="72" ht="51.0" customHeight="1">
      <c r="A72" s="7" t="str">
        <f t="shared" si="5"/>
        <v>1omtU7b9Q6wvMFMO-FiS_aLFCcOJY4FCYu5mqTDiu2Gs</v>
      </c>
      <c r="B72" s="1" t="s">
        <v>99</v>
      </c>
      <c r="C72" s="2">
        <f>IFERROR(__xludf.DUMMYFUNCTION("IMPORTRANGE(""https://docs.google.com/spreadsheets/d/""&amp;$A72&amp;""/edit#gid=156619080"",C$3)"),132.0)</f>
        <v>132</v>
      </c>
      <c r="D72" s="2">
        <f>IFERROR(__xludf.DUMMYFUNCTION("IMPORTRANGE(""https://docs.google.com/spreadsheets/d/""&amp;$A72&amp;""/edit#gid=156619080"",D$3)"),5714.0)</f>
        <v>5714</v>
      </c>
      <c r="E72" s="15">
        <f>IFERROR(__xludf.DUMMYFUNCTION("IMPORTRANGE(""https://docs.google.com/spreadsheets/d/""&amp;$A72&amp;""/edit#gid=156619080"",E$3)"),43882.0)</f>
        <v>43882</v>
      </c>
      <c r="F72" s="2">
        <f>IFERROR(__xludf.DUMMYFUNCTION("IMPORTRANGE(""https://docs.google.com/spreadsheets/d/""&amp;$A72&amp;""/edit#gid=156619080"",F$3)"),-15.0)</f>
        <v>-15</v>
      </c>
      <c r="G72" s="16">
        <f>IFERROR(__xludf.DUMMYFUNCTION("IMPORTRANGE(""https://docs.google.com/spreadsheets/d/""&amp;$A72&amp;""/edit#gid=156619080"",G$3)"),-0.38)</f>
        <v>-0.38</v>
      </c>
      <c r="H72" s="16">
        <f>IFERROR(__xludf.DUMMYFUNCTION("IMPORTRANGE(""https://docs.google.com/spreadsheets/d/""&amp;$A72&amp;""/edit#gid=156619080"",H$3)"),3905.0)</f>
        <v>3905</v>
      </c>
      <c r="I72" s="16">
        <f>IFERROR(__xludf.DUMMYFUNCTION("IMPORTRANGE(""https://docs.google.com/spreadsheets/d/""&amp;$A72&amp;""/edit#gid=156619080"",I$3)"),35.0)</f>
        <v>35</v>
      </c>
      <c r="J72" s="16">
        <f>IFERROR(__xludf.DUMMYFUNCTION("IMPORTRANGE(""https://docs.google.com/spreadsheets/d/""&amp;$A72&amp;""/edit#gid=156619080"",J$3)"),3945.0)</f>
        <v>3945</v>
      </c>
      <c r="K72" s="16">
        <f>IFERROR(__xludf.DUMMYFUNCTION("IMPORTRANGE(""https://docs.google.com/spreadsheets/d/""&amp;$A72&amp;""/edit#gid=156619080"",K$3)"),0.4465277777777778)</f>
        <v>0.4465277778</v>
      </c>
      <c r="L72" s="16">
        <f>IFERROR(__xludf.DUMMYFUNCTION("IMPORTRANGE(""https://docs.google.com/spreadsheets/d/""&amp;$A72&amp;""/edit#gid=156619080"",L$3)"),3895.0)</f>
        <v>3895</v>
      </c>
      <c r="M72" s="16">
        <f>IFERROR(__xludf.DUMMYFUNCTION("IMPORTRANGE(""https://docs.google.com/spreadsheets/d/""&amp;$A72&amp;""/edit#gid=156619080"",M$3)"),0.37569444444444444)</f>
        <v>0.3756944444</v>
      </c>
      <c r="N72" s="16">
        <f>IFERROR(__xludf.DUMMYFUNCTION("IMPORTRANGE(""https://docs.google.com/spreadsheets/d/""&amp;$A72&amp;""/edit#gid=156619080"",N$3)"),3925.0)</f>
        <v>3925</v>
      </c>
      <c r="O72" s="16" t="str">
        <f>IFERROR(__xludf.DUMMYFUNCTION("IMPORTRANGE(""https://docs.google.com/spreadsheets/d/""&amp;$A72&amp;""/edit#gid=156619080"",O$3)"),"201600株")</f>
        <v>201600株</v>
      </c>
      <c r="P72" s="16" t="str">
        <f>IFERROR(__xludf.DUMMYFUNCTION("IMPORTRANGE(""https://docs.google.com/spreadsheets/d/""&amp;$A72&amp;""/edit#gid=156619080"",P$3)"),"791百万円")</f>
        <v>791百万円</v>
      </c>
      <c r="Q72" s="16" t="str">
        <f>IFERROR(__xludf.DUMMYFUNCTION("IMPORTRANGE(""https://docs.google.com/spreadsheets/d/""&amp;$A72&amp;""/edit#gid=156619080"",Q$3)"),"519回")</f>
        <v>519回</v>
      </c>
      <c r="R72" s="16" t="str">
        <f>IFERROR(__xludf.DUMMYFUNCTION("IMPORTRANGE(""https://docs.google.com/spreadsheets/d/""&amp;$A72&amp;""/edit#gid=156619080"",R$3)"),"2433億円")</f>
        <v>2433億円</v>
      </c>
      <c r="S72" s="16" t="str">
        <f>IFERROR(__xludf.DUMMYFUNCTION("IMPORTRANGE(""https://docs.google.com/spreadsheets/d/""&amp;$A72&amp;""/edit#gid=156619080"",S$3)"),"陽線")</f>
        <v>陽線</v>
      </c>
      <c r="T72" s="16" t="str">
        <f>IFERROR(__xludf.DUMMYFUNCTION("IMPORTRANGE(""https://docs.google.com/spreadsheets/d/""&amp;$A72&amp;""/edit#gid=156619080"",T$3)"),"")</f>
        <v/>
      </c>
      <c r="U72" s="16">
        <f>IFERROR(__xludf.DUMMYFUNCTION("IMPORTRANGE(""https://docs.google.com/spreadsheets/d/""&amp;$A72&amp;""/edit#gid=156619080"",U$3)"),3892.0)</f>
        <v>3892</v>
      </c>
      <c r="V72" s="16">
        <f>IFERROR(__xludf.DUMMYFUNCTION("IMPORTRANGE(""https://docs.google.com/spreadsheets/d/""&amp;$A72&amp;""/edit#gid=156619080"",V$3)"),3960.8)</f>
        <v>3960.8</v>
      </c>
      <c r="W72" s="16">
        <f>IFERROR(__xludf.DUMMYFUNCTION("IMPORTRANGE(""https://docs.google.com/spreadsheets/d/""&amp;$A72&amp;""/edit#gid=156619080"",W$3)"),3971.4)</f>
        <v>3971.4</v>
      </c>
      <c r="X72" s="2">
        <f>IFERROR(__xludf.DUMMYFUNCTION("IMPORTRANGE(""https://docs.google.com/spreadsheets/d/""&amp;$A72&amp;""/edit#gid=156619080"",X$3)"),3892.5)</f>
        <v>3892.5</v>
      </c>
      <c r="Y72" s="17">
        <f>IFERROR(__xludf.DUMMYFUNCTION("IMPORTRANGE(""https://docs.google.com/spreadsheets/d/""&amp;$A72&amp;""/edit#gid=156619080"",Y$3)"),0.008478931140801645)</f>
        <v>0.008478931141</v>
      </c>
      <c r="Z72" s="2">
        <f>IFERROR(__xludf.DUMMYFUNCTION("IMPORTRANGE(""https://docs.google.com/spreadsheets/d/""&amp;$A72&amp;""/edit#gid=156619080"",Z$3)"),4129.49)</f>
        <v>4129.49</v>
      </c>
      <c r="AA72" s="2">
        <f>IFERROR(__xludf.DUMMYFUNCTION("IMPORTRANGE(""https://docs.google.com/spreadsheets/d/""&amp;$A72&amp;""/edit#gid=156619080"",AA$3)"),4109.73)</f>
        <v>4109.73</v>
      </c>
      <c r="AB72" s="2">
        <f>IFERROR(__xludf.DUMMYFUNCTION("IMPORTRANGE(""https://docs.google.com/spreadsheets/d/""&amp;$A72&amp;""/edit#gid=156619080"",AB$3)"),4089.97)</f>
        <v>4089.97</v>
      </c>
      <c r="AC72" s="18">
        <f>IFERROR(__xludf.DUMMYFUNCTION("IMPORTRANGE(""https://docs.google.com/spreadsheets/d/""&amp;$A72&amp;""/edit#gid=156619080"",AC$3)"),4070.21)</f>
        <v>4070.21</v>
      </c>
      <c r="AD72" s="18">
        <f>IFERROR(__xludf.DUMMYFUNCTION("IMPORTRANGE(""https://docs.google.com/spreadsheets/d/""&amp;$A72&amp;""/edit#gid=156619080"",AD$3)"),4050.44)</f>
        <v>4050.44</v>
      </c>
      <c r="AE72" s="18">
        <f>IFERROR(__xludf.DUMMYFUNCTION("IMPORTRANGE(""https://docs.google.com/spreadsheets/d/""&amp;$A72&amp;""/edit#gid=156619080"",AE$3)"),3971.4)</f>
        <v>3971.4</v>
      </c>
      <c r="AF72" s="2">
        <f>IFERROR(__xludf.DUMMYFUNCTION("IMPORTRANGE(""https://docs.google.com/spreadsheets/d/""&amp;$A72&amp;""/edit#gid=156619080"",AF$3)"),3892.36)</f>
        <v>3892.36</v>
      </c>
      <c r="AG72" s="2">
        <f>IFERROR(__xludf.DUMMYFUNCTION("IMPORTRANGE(""https://docs.google.com/spreadsheets/d/""&amp;$A72&amp;""/edit#gid=156619080"",AG$3)"),3872.59)</f>
        <v>3872.59</v>
      </c>
      <c r="AH72" s="2">
        <f>IFERROR(__xludf.DUMMYFUNCTION("IMPORTRANGE(""https://docs.google.com/spreadsheets/d/""&amp;$A72&amp;""/edit#gid=156619080"",AH$3)"),3852.83)</f>
        <v>3852.83</v>
      </c>
      <c r="AI72" s="2">
        <f>IFERROR(__xludf.DUMMYFUNCTION("IMPORTRANGE(""https://docs.google.com/spreadsheets/d/""&amp;$A72&amp;""/edit#gid=156619080"",AI$3)"),3833.07)</f>
        <v>3833.07</v>
      </c>
      <c r="AJ72" s="2">
        <f>IFERROR(__xludf.DUMMYFUNCTION("IMPORTRANGE(""https://docs.google.com/spreadsheets/d/""&amp;$A72&amp;""/edit#gid=156619080"",AJ$3)"),3813.31)</f>
        <v>3813.31</v>
      </c>
      <c r="AK72" s="2" t="str">
        <f>IFERROR(__xludf.DUMMYFUNCTION("IMPORTRANGE(""https://docs.google.com/spreadsheets/d/""&amp;$A72&amp;""/edit#gid=156619080"",AK$3)"),"")</f>
        <v/>
      </c>
      <c r="AL72" s="2">
        <f>IFERROR(__xludf.DUMMYFUNCTION("IMPORTRANGE(""https://docs.google.com/spreadsheets/d/""&amp;$A72&amp;""/edit#gid=156619080"",AL$3)"),-1.0)</f>
        <v>-1</v>
      </c>
      <c r="AM72" s="2" t="str">
        <f>IFERROR(__xludf.DUMMYFUNCTION("IMPORTRANGE(""https://docs.google.com/spreadsheets/d/""&amp;$A72&amp;""/edit#gid=156619080"",AM$3)"),"")</f>
        <v/>
      </c>
      <c r="AN72" s="2">
        <f>IFERROR(__xludf.DUMMYFUNCTION("IMPORTRANGE(""https://docs.google.com/spreadsheets/d/""&amp;$A72&amp;""/edit#gid=156619080"",AN$3)"),-1.0)</f>
        <v>-1</v>
      </c>
      <c r="AO72" s="2" t="str">
        <f>IFERROR(__xludf.DUMMYFUNCTION("IMPORTRANGE(""https://docs.google.com/spreadsheets/d/""&amp;$A72&amp;""/edit#gid=156619080"",AO$3)"),"")</f>
        <v/>
      </c>
      <c r="AP72" s="2">
        <f>IFERROR(__xludf.DUMMYFUNCTION("IMPORTRANGE(""https://docs.google.com/spreadsheets/d/""&amp;$A72&amp;""/edit#gid=156619080"",AP$3)"),-1.0)</f>
        <v>-1</v>
      </c>
      <c r="AQ72" s="2" t="str">
        <f>IFERROR(__xludf.DUMMYFUNCTION("IMPORTRANGE(""https://docs.google.com/spreadsheets/d/""&amp;$A72&amp;""/edit#gid=156619080"",AQ$3)"),"")</f>
        <v/>
      </c>
      <c r="AR72" s="18">
        <f>IFERROR(__xludf.DUMMYFUNCTION("IMPORTRANGE(""https://docs.google.com/spreadsheets/d/""&amp;$A72&amp;""/edit#gid=156619080"",AR$3)"),80.0)</f>
        <v>80</v>
      </c>
      <c r="AS72" s="19" t="str">
        <f>IFERROR(__xludf.DUMMYFUNCTION("IMPORTRANGE(""https://docs.google.com/spreadsheets/d/""&amp;$A72&amp;""/edit#gid=156619080"",AS$3)"),"-70
-90
-70
30
")</f>
        <v>-70
-90
-70
30
</v>
      </c>
      <c r="AT72" s="18">
        <f>IFERROR(__xludf.DUMMYFUNCTION("IMPORTRANGE(""https://docs.google.com/spreadsheets/d/""&amp;$A72&amp;""/edit#gid=156619080"",AT$3)"),-51.098901098901095)</f>
        <v>-51.0989011</v>
      </c>
      <c r="AU72" s="3" t="str">
        <f>IFERROR(__xludf.DUMMYFUNCTION("IMPORTRANGE(""https://docs.google.com/spreadsheets/d/""&amp;$A72&amp;""/edit#gid=156619080"",AU$3)"),"11.95
-11.54
-32.97
-32.97
")</f>
        <v>11.95
-11.54
-32.97
-32.97
</v>
      </c>
      <c r="AV72" s="18">
        <f>IFERROR(__xludf.DUMMYFUNCTION("IMPORTRANGE(""https://docs.google.com/spreadsheets/d/""&amp;$A72&amp;""/edit#gid=156619080"",AV$3)"),-45.38961038961038)</f>
        <v>-45.38961039</v>
      </c>
      <c r="AW72" s="19" t="str">
        <f>IFERROR(__xludf.DUMMYFUNCTION("IMPORTRANGE(""https://docs.google.com/spreadsheets/d/""&amp;$A72&amp;""/edit#gid=156619080"",AW$3)"),"-60.29
-61.07
-58.38
-52.4
")</f>
        <v>-60.29
-61.07
-58.38
-52.4
</v>
      </c>
      <c r="AX72" s="2">
        <f>IFERROR(__xludf.DUMMYFUNCTION("IMPORTRANGE(""https://docs.google.com/spreadsheets/d/""&amp;$A72&amp;""/edit#gid=156619080"",AX$3)"),54.05)</f>
        <v>54.05</v>
      </c>
      <c r="AY72" s="2">
        <f>IFERROR(__xludf.DUMMYFUNCTION("IMPORTRANGE(""https://docs.google.com/spreadsheets/d/""&amp;$A72&amp;""/edit#gid=156619080"",AY$3)"),38.49)</f>
        <v>38.49</v>
      </c>
      <c r="AZ72" s="2">
        <f>IFERROR(__xludf.DUMMYFUNCTION("IMPORTRANGE(""https://docs.google.com/spreadsheets/d/""&amp;$A72&amp;""/edit#gid=156619080"",AZ$3)"),3919.29)</f>
        <v>3919.29</v>
      </c>
      <c r="BA72" s="2">
        <f>IFERROR(__xludf.DUMMYFUNCTION("IMPORTRANGE(""https://docs.google.com/spreadsheets/d/""&amp;$A72&amp;""/edit#gid=156619080"",BA$3)"),-55.0300000000002)</f>
        <v>-55.03</v>
      </c>
      <c r="BB72" s="2">
        <f>IFERROR(__xludf.DUMMYFUNCTION("IMPORTRANGE(""https://docs.google.com/spreadsheets/d/""&amp;$A72&amp;""/edit#gid=156619080"",BB$3)"),-49.66)</f>
        <v>-49.66</v>
      </c>
      <c r="BC72" s="2" t="str">
        <f>IFERROR(__xludf.DUMMYFUNCTION("IMPORTRANGE(""https://docs.google.com/spreadsheets/d/""&amp;$A72&amp;""/edit#gid=156619080"",BC$3)"),"DC→DC")</f>
        <v>DC→DC</v>
      </c>
    </row>
    <row r="73" ht="51.0" customHeight="1">
      <c r="A73" s="7" t="str">
        <f t="shared" si="5"/>
        <v>1sS3wnKh9a-ZIcFIfE7Yh96aOEiM8fV-wSZW82cJqYHU</v>
      </c>
      <c r="B73" s="1" t="s">
        <v>100</v>
      </c>
      <c r="C73" s="2">
        <f>IFERROR(__xludf.DUMMYFUNCTION("IMPORTRANGE(""https://docs.google.com/spreadsheets/d/""&amp;$A73&amp;""/edit#gid=156619080"",C$3)"),114.0)</f>
        <v>114</v>
      </c>
      <c r="D73" s="2">
        <f>IFERROR(__xludf.DUMMYFUNCTION("IMPORTRANGE(""https://docs.google.com/spreadsheets/d/""&amp;$A73&amp;""/edit#gid=156619080"",D$3)"),5801.0)</f>
        <v>5801</v>
      </c>
      <c r="E73" s="15">
        <f>IFERROR(__xludf.DUMMYFUNCTION("IMPORTRANGE(""https://docs.google.com/spreadsheets/d/""&amp;$A73&amp;""/edit#gid=156619080"",E$3)"),43882.0)</f>
        <v>43882</v>
      </c>
      <c r="F73" s="2">
        <f>IFERROR(__xludf.DUMMYFUNCTION("IMPORTRANGE(""https://docs.google.com/spreadsheets/d/""&amp;$A73&amp;""/edit#gid=156619080"",F$3)"),-20.0)</f>
        <v>-20</v>
      </c>
      <c r="G73" s="16">
        <f>IFERROR(__xludf.DUMMYFUNCTION("IMPORTRANGE(""https://docs.google.com/spreadsheets/d/""&amp;$A73&amp;""/edit#gid=156619080"",G$3)"),-0.78)</f>
        <v>-0.78</v>
      </c>
      <c r="H73" s="16">
        <f>IFERROR(__xludf.DUMMYFUNCTION("IMPORTRANGE(""https://docs.google.com/spreadsheets/d/""&amp;$A73&amp;""/edit#gid=156619080"",H$3)"),2551.0)</f>
        <v>2551</v>
      </c>
      <c r="I73" s="16">
        <f>IFERROR(__xludf.DUMMYFUNCTION("IMPORTRANGE(""https://docs.google.com/spreadsheets/d/""&amp;$A73&amp;""/edit#gid=156619080"",I$3)"),21.0)</f>
        <v>21</v>
      </c>
      <c r="J73" s="16">
        <f>IFERROR(__xludf.DUMMYFUNCTION("IMPORTRANGE(""https://docs.google.com/spreadsheets/d/""&amp;$A73&amp;""/edit#gid=156619080"",J$3)"),2576.0)</f>
        <v>2576</v>
      </c>
      <c r="K73" s="16">
        <f>IFERROR(__xludf.DUMMYFUNCTION("IMPORTRANGE(""https://docs.google.com/spreadsheets/d/""&amp;$A73&amp;""/edit#gid=156619080"",K$3)"),0.3854166666666667)</f>
        <v>0.3854166667</v>
      </c>
      <c r="L73" s="16">
        <f>IFERROR(__xludf.DUMMYFUNCTION("IMPORTRANGE(""https://docs.google.com/spreadsheets/d/""&amp;$A73&amp;""/edit#gid=156619080"",L$3)"),2540.0)</f>
        <v>2540</v>
      </c>
      <c r="M73" s="16">
        <f>IFERROR(__xludf.DUMMYFUNCTION("IMPORTRANGE(""https://docs.google.com/spreadsheets/d/""&amp;$A73&amp;""/edit#gid=156619080"",M$3)"),0.47708333333333336)</f>
        <v>0.4770833333</v>
      </c>
      <c r="N73" s="16">
        <f>IFERROR(__xludf.DUMMYFUNCTION("IMPORTRANGE(""https://docs.google.com/spreadsheets/d/""&amp;$A73&amp;""/edit#gid=156619080"",N$3)"),2552.0)</f>
        <v>2552</v>
      </c>
      <c r="O73" s="16" t="str">
        <f>IFERROR(__xludf.DUMMYFUNCTION("IMPORTRANGE(""https://docs.google.com/spreadsheets/d/""&amp;$A73&amp;""/edit#gid=156619080"",O$3)"),"558200株")</f>
        <v>558200株</v>
      </c>
      <c r="P73" s="16" t="str">
        <f>IFERROR(__xludf.DUMMYFUNCTION("IMPORTRANGE(""https://docs.google.com/spreadsheets/d/""&amp;$A73&amp;""/edit#gid=156619080"",P$3)"),"1427百万円")</f>
        <v>1427百万円</v>
      </c>
      <c r="Q73" s="16" t="str">
        <f>IFERROR(__xludf.DUMMYFUNCTION("IMPORTRANGE(""https://docs.google.com/spreadsheets/d/""&amp;$A73&amp;""/edit#gid=156619080"",Q$3)"),"1731回")</f>
        <v>1731回</v>
      </c>
      <c r="R73" s="16" t="str">
        <f>IFERROR(__xludf.DUMMYFUNCTION("IMPORTRANGE(""https://docs.google.com/spreadsheets/d/""&amp;$A73&amp;""/edit#gid=156619080"",R$3)"),"1803億円")</f>
        <v>1803億円</v>
      </c>
      <c r="S73" s="16" t="str">
        <f>IFERROR(__xludf.DUMMYFUNCTION("IMPORTRANGE(""https://docs.google.com/spreadsheets/d/""&amp;$A73&amp;""/edit#gid=156619080"",S$3)"),"陽線")</f>
        <v>陽線</v>
      </c>
      <c r="T73" s="16" t="str">
        <f>IFERROR(__xludf.DUMMYFUNCTION("IMPORTRANGE(""https://docs.google.com/spreadsheets/d/""&amp;$A73&amp;""/edit#gid=156619080"",T$3)"),"")</f>
        <v/>
      </c>
      <c r="U73" s="16">
        <f>IFERROR(__xludf.DUMMYFUNCTION("IMPORTRANGE(""https://docs.google.com/spreadsheets/d/""&amp;$A73&amp;""/edit#gid=156619080"",U$3)"),2565.8)</f>
        <v>2565.8</v>
      </c>
      <c r="V73" s="16">
        <f>IFERROR(__xludf.DUMMYFUNCTION("IMPORTRANGE(""https://docs.google.com/spreadsheets/d/""&amp;$A73&amp;""/edit#gid=156619080"",V$3)"),2584.9)</f>
        <v>2584.9</v>
      </c>
      <c r="W73" s="16">
        <f>IFERROR(__xludf.DUMMYFUNCTION("IMPORTRANGE(""https://docs.google.com/spreadsheets/d/""&amp;$A73&amp;""/edit#gid=156619080"",W$3)"),2609.4)</f>
        <v>2609.4</v>
      </c>
      <c r="X73" s="2">
        <f>IFERROR(__xludf.DUMMYFUNCTION("IMPORTRANGE(""https://docs.google.com/spreadsheets/d/""&amp;$A73&amp;""/edit#gid=156619080"",X$3)"),2788.5)</f>
        <v>2788.5</v>
      </c>
      <c r="Y73" s="17">
        <f>IFERROR(__xludf.DUMMYFUNCTION("IMPORTRANGE(""https://docs.google.com/spreadsheets/d/""&amp;$A73&amp;""/edit#gid=156619080"",Y$3)"),-0.005378439473068899)</f>
        <v>-0.005378439473</v>
      </c>
      <c r="Z73" s="2">
        <f>IFERROR(__xludf.DUMMYFUNCTION("IMPORTRANGE(""https://docs.google.com/spreadsheets/d/""&amp;$A73&amp;""/edit#gid=156619080"",Z$3)"),2711.19)</f>
        <v>2711.19</v>
      </c>
      <c r="AA73" s="2">
        <f>IFERROR(__xludf.DUMMYFUNCTION("IMPORTRANGE(""https://docs.google.com/spreadsheets/d/""&amp;$A73&amp;""/edit#gid=156619080"",AA$3)"),2698.46)</f>
        <v>2698.46</v>
      </c>
      <c r="AB73" s="2">
        <f>IFERROR(__xludf.DUMMYFUNCTION("IMPORTRANGE(""https://docs.google.com/spreadsheets/d/""&amp;$A73&amp;""/edit#gid=156619080"",AB$3)"),2685.74)</f>
        <v>2685.74</v>
      </c>
      <c r="AC73" s="18">
        <f>IFERROR(__xludf.DUMMYFUNCTION("IMPORTRANGE(""https://docs.google.com/spreadsheets/d/""&amp;$A73&amp;""/edit#gid=156619080"",AC$3)"),2673.02)</f>
        <v>2673.02</v>
      </c>
      <c r="AD73" s="18">
        <f>IFERROR(__xludf.DUMMYFUNCTION("IMPORTRANGE(""https://docs.google.com/spreadsheets/d/""&amp;$A73&amp;""/edit#gid=156619080"",AD$3)"),2660.29)</f>
        <v>2660.29</v>
      </c>
      <c r="AE73" s="18">
        <f>IFERROR(__xludf.DUMMYFUNCTION("IMPORTRANGE(""https://docs.google.com/spreadsheets/d/""&amp;$A73&amp;""/edit#gid=156619080"",AE$3)"),2609.4)</f>
        <v>2609.4</v>
      </c>
      <c r="AF73" s="2">
        <f>IFERROR(__xludf.DUMMYFUNCTION("IMPORTRANGE(""https://docs.google.com/spreadsheets/d/""&amp;$A73&amp;""/edit#gid=156619080"",AF$3)"),2558.51)</f>
        <v>2558.51</v>
      </c>
      <c r="AG73" s="2">
        <f>IFERROR(__xludf.DUMMYFUNCTION("IMPORTRANGE(""https://docs.google.com/spreadsheets/d/""&amp;$A73&amp;""/edit#gid=156619080"",AG$3)"),2545.78)</f>
        <v>2545.78</v>
      </c>
      <c r="AH73" s="2">
        <f>IFERROR(__xludf.DUMMYFUNCTION("IMPORTRANGE(""https://docs.google.com/spreadsheets/d/""&amp;$A73&amp;""/edit#gid=156619080"",AH$3)"),2533.06)</f>
        <v>2533.06</v>
      </c>
      <c r="AI73" s="2">
        <f>IFERROR(__xludf.DUMMYFUNCTION("IMPORTRANGE(""https://docs.google.com/spreadsheets/d/""&amp;$A73&amp;""/edit#gid=156619080"",AI$3)"),2520.34)</f>
        <v>2520.34</v>
      </c>
      <c r="AJ73" s="2">
        <f>IFERROR(__xludf.DUMMYFUNCTION("IMPORTRANGE(""https://docs.google.com/spreadsheets/d/""&amp;$A73&amp;""/edit#gid=156619080"",AJ$3)"),2507.61)</f>
        <v>2507.61</v>
      </c>
      <c r="AK73" s="2" t="str">
        <f>IFERROR(__xludf.DUMMYFUNCTION("IMPORTRANGE(""https://docs.google.com/spreadsheets/d/""&amp;$A73&amp;""/edit#gid=156619080"",AK$3)"),"-1〜-1.25σ")</f>
        <v>-1〜-1.25σ</v>
      </c>
      <c r="AL73" s="2">
        <f>IFERROR(__xludf.DUMMYFUNCTION("IMPORTRANGE(""https://docs.google.com/spreadsheets/d/""&amp;$A73&amp;""/edit#gid=156619080"",AL$3)"),-1.0)</f>
        <v>-1</v>
      </c>
      <c r="AM73" s="2" t="str">
        <f>IFERROR(__xludf.DUMMYFUNCTION("IMPORTRANGE(""https://docs.google.com/spreadsheets/d/""&amp;$A73&amp;""/edit#gid=156619080"",AM$3)"),"")</f>
        <v/>
      </c>
      <c r="AN73" s="2">
        <f>IFERROR(__xludf.DUMMYFUNCTION("IMPORTRANGE(""https://docs.google.com/spreadsheets/d/""&amp;$A73&amp;""/edit#gid=156619080"",AN$3)"),-1.0)</f>
        <v>-1</v>
      </c>
      <c r="AO73" s="2" t="str">
        <f>IFERROR(__xludf.DUMMYFUNCTION("IMPORTRANGE(""https://docs.google.com/spreadsheets/d/""&amp;$A73&amp;""/edit#gid=156619080"",AO$3)"),"")</f>
        <v/>
      </c>
      <c r="AP73" s="2">
        <f>IFERROR(__xludf.DUMMYFUNCTION("IMPORTRANGE(""https://docs.google.com/spreadsheets/d/""&amp;$A73&amp;""/edit#gid=156619080"",AP$3)"),-1.0)</f>
        <v>-1</v>
      </c>
      <c r="AQ73" s="2" t="str">
        <f>IFERROR(__xludf.DUMMYFUNCTION("IMPORTRANGE(""https://docs.google.com/spreadsheets/d/""&amp;$A73&amp;""/edit#gid=156619080"",AQ$3)"),"")</f>
        <v/>
      </c>
      <c r="AR73" s="18">
        <f>IFERROR(__xludf.DUMMYFUNCTION("IMPORTRANGE(""https://docs.google.com/spreadsheets/d/""&amp;$A73&amp;""/edit#gid=156619080"",AR$3)"),-70.0)</f>
        <v>-70</v>
      </c>
      <c r="AS73" s="19" t="str">
        <f>IFERROR(__xludf.DUMMYFUNCTION("IMPORTRANGE(""https://docs.google.com/spreadsheets/d/""&amp;$A73&amp;""/edit#gid=156619080"",AS$3)"),"10
-90
-90
-60
")</f>
        <v>10
-90
-90
-60
</v>
      </c>
      <c r="AT73" s="18">
        <f>IFERROR(__xludf.DUMMYFUNCTION("IMPORTRANGE(""https://docs.google.com/spreadsheets/d/""&amp;$A73&amp;""/edit#gid=156619080"",AT$3)"),-74.72527472527473)</f>
        <v>-74.72527473</v>
      </c>
      <c r="AU73" s="3" t="str">
        <f>IFERROR(__xludf.DUMMYFUNCTION("IMPORTRANGE(""https://docs.google.com/spreadsheets/d/""&amp;$A73&amp;""/edit#gid=156619080"",AU$3)"),"-36.26
-36.26
-45.05
-43.41
")</f>
        <v>-36.26
-36.26
-45.05
-43.41
</v>
      </c>
      <c r="AV73" s="18">
        <f>IFERROR(__xludf.DUMMYFUNCTION("IMPORTRANGE(""https://docs.google.com/spreadsheets/d/""&amp;$A73&amp;""/edit#gid=156619080"",AV$3)"),-82.85714285714285)</f>
        <v>-82.85714286</v>
      </c>
      <c r="AW73" s="19" t="str">
        <f>IFERROR(__xludf.DUMMYFUNCTION("IMPORTRANGE(""https://docs.google.com/spreadsheets/d/""&amp;$A73&amp;""/edit#gid=156619080"",AW$3)"),"-84.68
-84.68
-84.68
-82.86
")</f>
        <v>-84.68
-84.68
-84.68
-82.86
</v>
      </c>
      <c r="AX73" s="2">
        <f>IFERROR(__xludf.DUMMYFUNCTION("IMPORTRANGE(""https://docs.google.com/spreadsheets/d/""&amp;$A73&amp;""/edit#gid=156619080"",AX$3)"),27.939999999999998)</f>
        <v>27.94</v>
      </c>
      <c r="AY73" s="2">
        <f>IFERROR(__xludf.DUMMYFUNCTION("IMPORTRANGE(""https://docs.google.com/spreadsheets/d/""&amp;$A73&amp;""/edit#gid=156619080"",AY$3)"),24.529999999999998)</f>
        <v>24.53</v>
      </c>
      <c r="AZ73" s="2">
        <f>IFERROR(__xludf.DUMMYFUNCTION("IMPORTRANGE(""https://docs.google.com/spreadsheets/d/""&amp;$A73&amp;""/edit#gid=156619080"",AZ$3)"),2565.37)</f>
        <v>2565.37</v>
      </c>
      <c r="BA73" s="2">
        <f>IFERROR(__xludf.DUMMYFUNCTION("IMPORTRANGE(""https://docs.google.com/spreadsheets/d/""&amp;$A73&amp;""/edit#gid=156619080"",BA$3)"),-53.68000000000029)</f>
        <v>-53.68</v>
      </c>
      <c r="BB73" s="2">
        <f>IFERROR(__xludf.DUMMYFUNCTION("IMPORTRANGE(""https://docs.google.com/spreadsheets/d/""&amp;$A73&amp;""/edit#gid=156619080"",BB$3)"),-64.68)</f>
        <v>-64.68</v>
      </c>
      <c r="BC73" s="2" t="str">
        <f>IFERROR(__xludf.DUMMYFUNCTION("IMPORTRANGE(""https://docs.google.com/spreadsheets/d/""&amp;$A73&amp;""/edit#gid=156619080"",BC$3)"),"GC→GC")</f>
        <v>GC→GC</v>
      </c>
    </row>
    <row r="74" ht="51.0" customHeight="1">
      <c r="A74" s="7" t="str">
        <f t="shared" si="5"/>
        <v>1XQ7PhYwL30cymwyh1Sp0pJzBWpqOiRWQ5BFxGK2cIKI</v>
      </c>
      <c r="B74" s="1" t="s">
        <v>101</v>
      </c>
      <c r="C74" s="2">
        <f>IFERROR(__xludf.DUMMYFUNCTION("IMPORTRANGE(""https://docs.google.com/spreadsheets/d/""&amp;$A74&amp;""/edit#gid=156619080"",C$3)"),132.0)</f>
        <v>132</v>
      </c>
      <c r="D74" s="2">
        <f>IFERROR(__xludf.DUMMYFUNCTION("IMPORTRANGE(""https://docs.google.com/spreadsheets/d/""&amp;$A74&amp;""/edit#gid=156619080"",D$3)"),5802.0)</f>
        <v>5802</v>
      </c>
      <c r="E74" s="15">
        <f>IFERROR(__xludf.DUMMYFUNCTION("IMPORTRANGE(""https://docs.google.com/spreadsheets/d/""&amp;$A74&amp;""/edit#gid=156619080"",E$3)"),43882.0)</f>
        <v>43882</v>
      </c>
      <c r="F74" s="2">
        <f>IFERROR(__xludf.DUMMYFUNCTION("IMPORTRANGE(""https://docs.google.com/spreadsheets/d/""&amp;$A74&amp;""/edit#gid=156619080"",F$3)"),-5.5)</f>
        <v>-5.5</v>
      </c>
      <c r="G74" s="16">
        <f>IFERROR(__xludf.DUMMYFUNCTION("IMPORTRANGE(""https://docs.google.com/spreadsheets/d/""&amp;$A74&amp;""/edit#gid=156619080"",G$3)"),-0.38)</f>
        <v>-0.38</v>
      </c>
      <c r="H74" s="16">
        <f>IFERROR(__xludf.DUMMYFUNCTION("IMPORTRANGE(""https://docs.google.com/spreadsheets/d/""&amp;$A74&amp;""/edit#gid=156619080"",H$3)"),1457.5)</f>
        <v>1457.5</v>
      </c>
      <c r="I74" s="16">
        <f>IFERROR(__xludf.DUMMYFUNCTION("IMPORTRANGE(""https://docs.google.com/spreadsheets/d/""&amp;$A74&amp;""/edit#gid=156619080"",I$3)"),1.0)</f>
        <v>1</v>
      </c>
      <c r="J74" s="16">
        <f>IFERROR(__xludf.DUMMYFUNCTION("IMPORTRANGE(""https://docs.google.com/spreadsheets/d/""&amp;$A74&amp;""/edit#gid=156619080"",J$3)"),1470.0)</f>
        <v>1470</v>
      </c>
      <c r="K74" s="16">
        <f>IFERROR(__xludf.DUMMYFUNCTION("IMPORTRANGE(""https://docs.google.com/spreadsheets/d/""&amp;$A74&amp;""/edit#gid=156619080"",K$3)"),0.38125)</f>
        <v>0.38125</v>
      </c>
      <c r="L74" s="16">
        <f>IFERROR(__xludf.DUMMYFUNCTION("IMPORTRANGE(""https://docs.google.com/spreadsheets/d/""&amp;$A74&amp;""/edit#gid=156619080"",L$3)"),1450.0)</f>
        <v>1450</v>
      </c>
      <c r="M74" s="16">
        <f>IFERROR(__xludf.DUMMYFUNCTION("IMPORTRANGE(""https://docs.google.com/spreadsheets/d/""&amp;$A74&amp;""/edit#gid=156619080"",M$3)"),0.47847222222222224)</f>
        <v>0.4784722222</v>
      </c>
      <c r="N74" s="16">
        <f>IFERROR(__xludf.DUMMYFUNCTION("IMPORTRANGE(""https://docs.google.com/spreadsheets/d/""&amp;$A74&amp;""/edit#gid=156619080"",N$3)"),1453.0)</f>
        <v>1453</v>
      </c>
      <c r="O74" s="16" t="str">
        <f>IFERROR(__xludf.DUMMYFUNCTION("IMPORTRANGE(""https://docs.google.com/spreadsheets/d/""&amp;$A74&amp;""/edit#gid=156619080"",O$3)"),"1487700株")</f>
        <v>1487700株</v>
      </c>
      <c r="P74" s="16" t="str">
        <f>IFERROR(__xludf.DUMMYFUNCTION("IMPORTRANGE(""https://docs.google.com/spreadsheets/d/""&amp;$A74&amp;""/edit#gid=156619080"",P$3)"),"2168百万円")</f>
        <v>2168百万円</v>
      </c>
      <c r="Q74" s="16" t="str">
        <f>IFERROR(__xludf.DUMMYFUNCTION("IMPORTRANGE(""https://docs.google.com/spreadsheets/d/""&amp;$A74&amp;""/edit#gid=156619080"",Q$3)"),"3236回")</f>
        <v>3236回</v>
      </c>
      <c r="R74" s="16" t="str">
        <f>IFERROR(__xludf.DUMMYFUNCTION("IMPORTRANGE(""https://docs.google.com/spreadsheets/d/""&amp;$A74&amp;""/edit#gid=156619080"",R$3)"),"11536億円")</f>
        <v>11536億円</v>
      </c>
      <c r="S74" s="16" t="str">
        <f>IFERROR(__xludf.DUMMYFUNCTION("IMPORTRANGE(""https://docs.google.com/spreadsheets/d/""&amp;$A74&amp;""/edit#gid=156619080"",S$3)"),"陰線")</f>
        <v>陰線</v>
      </c>
      <c r="T74" s="16" t="str">
        <f>IFERROR(__xludf.DUMMYFUNCTION("IMPORTRANGE(""https://docs.google.com/spreadsheets/d/""&amp;$A74&amp;""/edit#gid=156619080"",T$3)"),"")</f>
        <v/>
      </c>
      <c r="U74" s="16">
        <f>IFERROR(__xludf.DUMMYFUNCTION("IMPORTRANGE(""https://docs.google.com/spreadsheets/d/""&amp;$A74&amp;""/edit#gid=156619080"",U$3)"),1454.3)</f>
        <v>1454.3</v>
      </c>
      <c r="V74" s="16">
        <f>IFERROR(__xludf.DUMMYFUNCTION("IMPORTRANGE(""https://docs.google.com/spreadsheets/d/""&amp;$A74&amp;""/edit#gid=156619080"",V$3)"),1478.1)</f>
        <v>1478.1</v>
      </c>
      <c r="W74" s="16">
        <f>IFERROR(__xludf.DUMMYFUNCTION("IMPORTRANGE(""https://docs.google.com/spreadsheets/d/""&amp;$A74&amp;""/edit#gid=156619080"",W$3)"),1496.6)</f>
        <v>1496.6</v>
      </c>
      <c r="X74" s="2">
        <f>IFERROR(__xludf.DUMMYFUNCTION("IMPORTRANGE(""https://docs.google.com/spreadsheets/d/""&amp;$A74&amp;""/edit#gid=156619080"",X$3)"),1515.0)</f>
        <v>1515</v>
      </c>
      <c r="Y74" s="17">
        <f>IFERROR(__xludf.DUMMYFUNCTION("IMPORTRANGE(""https://docs.google.com/spreadsheets/d/""&amp;$A74&amp;""/edit#gid=156619080"",Y$3)"),-8.939008457676921E-4)</f>
        <v>-0.0008939008458</v>
      </c>
      <c r="Z74" s="2">
        <f>IFERROR(__xludf.DUMMYFUNCTION("IMPORTRANGE(""https://docs.google.com/spreadsheets/d/""&amp;$A74&amp;""/edit#gid=156619080"",Z$3)"),1585.31)</f>
        <v>1585.31</v>
      </c>
      <c r="AA74" s="2">
        <f>IFERROR(__xludf.DUMMYFUNCTION("IMPORTRANGE(""https://docs.google.com/spreadsheets/d/""&amp;$A74&amp;""/edit#gid=156619080"",AA$3)"),1574.22)</f>
        <v>1574.22</v>
      </c>
      <c r="AB74" s="2">
        <f>IFERROR(__xludf.DUMMYFUNCTION("IMPORTRANGE(""https://docs.google.com/spreadsheets/d/""&amp;$A74&amp;""/edit#gid=156619080"",AB$3)"),1563.13)</f>
        <v>1563.13</v>
      </c>
      <c r="AC74" s="18">
        <f>IFERROR(__xludf.DUMMYFUNCTION("IMPORTRANGE(""https://docs.google.com/spreadsheets/d/""&amp;$A74&amp;""/edit#gid=156619080"",AC$3)"),1552.05)</f>
        <v>1552.05</v>
      </c>
      <c r="AD74" s="18">
        <f>IFERROR(__xludf.DUMMYFUNCTION("IMPORTRANGE(""https://docs.google.com/spreadsheets/d/""&amp;$A74&amp;""/edit#gid=156619080"",AD$3)"),1540.96)</f>
        <v>1540.96</v>
      </c>
      <c r="AE74" s="18">
        <f>IFERROR(__xludf.DUMMYFUNCTION("IMPORTRANGE(""https://docs.google.com/spreadsheets/d/""&amp;$A74&amp;""/edit#gid=156619080"",AE$3)"),1496.6)</f>
        <v>1496.6</v>
      </c>
      <c r="AF74" s="2">
        <f>IFERROR(__xludf.DUMMYFUNCTION("IMPORTRANGE(""https://docs.google.com/spreadsheets/d/""&amp;$A74&amp;""/edit#gid=156619080"",AF$3)"),1452.24)</f>
        <v>1452.24</v>
      </c>
      <c r="AG74" s="2">
        <f>IFERROR(__xludf.DUMMYFUNCTION("IMPORTRANGE(""https://docs.google.com/spreadsheets/d/""&amp;$A74&amp;""/edit#gid=156619080"",AG$3)"),1441.15)</f>
        <v>1441.15</v>
      </c>
      <c r="AH74" s="2">
        <f>IFERROR(__xludf.DUMMYFUNCTION("IMPORTRANGE(""https://docs.google.com/spreadsheets/d/""&amp;$A74&amp;""/edit#gid=156619080"",AH$3)"),1430.07)</f>
        <v>1430.07</v>
      </c>
      <c r="AI74" s="2">
        <f>IFERROR(__xludf.DUMMYFUNCTION("IMPORTRANGE(""https://docs.google.com/spreadsheets/d/""&amp;$A74&amp;""/edit#gid=156619080"",AI$3)"),1418.98)</f>
        <v>1418.98</v>
      </c>
      <c r="AJ74" s="2">
        <f>IFERROR(__xludf.DUMMYFUNCTION("IMPORTRANGE(""https://docs.google.com/spreadsheets/d/""&amp;$A74&amp;""/edit#gid=156619080"",AJ$3)"),1407.89)</f>
        <v>1407.89</v>
      </c>
      <c r="AK74" s="2" t="str">
        <f>IFERROR(__xludf.DUMMYFUNCTION("IMPORTRANGE(""https://docs.google.com/spreadsheets/d/""&amp;$A74&amp;""/edit#gid=156619080"",AK$3)"),"")</f>
        <v/>
      </c>
      <c r="AL74" s="2">
        <f>IFERROR(__xludf.DUMMYFUNCTION("IMPORTRANGE(""https://docs.google.com/spreadsheets/d/""&amp;$A74&amp;""/edit#gid=156619080"",AL$3)"),-1.0)</f>
        <v>-1</v>
      </c>
      <c r="AM74" s="2" t="str">
        <f>IFERROR(__xludf.DUMMYFUNCTION("IMPORTRANGE(""https://docs.google.com/spreadsheets/d/""&amp;$A74&amp;""/edit#gid=156619080"",AM$3)"),"")</f>
        <v/>
      </c>
      <c r="AN74" s="2">
        <f>IFERROR(__xludf.DUMMYFUNCTION("IMPORTRANGE(""https://docs.google.com/spreadsheets/d/""&amp;$A74&amp;""/edit#gid=156619080"",AN$3)"),-1.0)</f>
        <v>-1</v>
      </c>
      <c r="AO74" s="2" t="str">
        <f>IFERROR(__xludf.DUMMYFUNCTION("IMPORTRANGE(""https://docs.google.com/spreadsheets/d/""&amp;$A74&amp;""/edit#gid=156619080"",AO$3)"),"")</f>
        <v/>
      </c>
      <c r="AP74" s="2">
        <f>IFERROR(__xludf.DUMMYFUNCTION("IMPORTRANGE(""https://docs.google.com/spreadsheets/d/""&amp;$A74&amp;""/edit#gid=156619080"",AP$3)"),-1.0)</f>
        <v>-1</v>
      </c>
      <c r="AQ74" s="2" t="str">
        <f>IFERROR(__xludf.DUMMYFUNCTION("IMPORTRANGE(""https://docs.google.com/spreadsheets/d/""&amp;$A74&amp;""/edit#gid=156619080"",AQ$3)"),"")</f>
        <v/>
      </c>
      <c r="AR74" s="18">
        <f>IFERROR(__xludf.DUMMYFUNCTION("IMPORTRANGE(""https://docs.google.com/spreadsheets/d/""&amp;$A74&amp;""/edit#gid=156619080"",AR$3)"),-50.0)</f>
        <v>-50</v>
      </c>
      <c r="AS74" s="19" t="str">
        <f>IFERROR(__xludf.DUMMYFUNCTION("IMPORTRANGE(""https://docs.google.com/spreadsheets/d/""&amp;$A74&amp;""/edit#gid=156619080"",AS$3)"),"-90
-100
-100
-70
")</f>
        <v>-90
-100
-100
-70
</v>
      </c>
      <c r="AT74" s="18">
        <f>IFERROR(__xludf.DUMMYFUNCTION("IMPORTRANGE(""https://docs.google.com/spreadsheets/d/""&amp;$A74&amp;""/edit#gid=156619080"",AT$3)"),-76.92307692307692)</f>
        <v>-76.92307692</v>
      </c>
      <c r="AU74" s="3" t="str">
        <f>IFERROR(__xludf.DUMMYFUNCTION("IMPORTRANGE(""https://docs.google.com/spreadsheets/d/""&amp;$A74&amp;""/edit#gid=156619080"",AU$3)"),"-17.03
-24.18
-38.46
-46.7
")</f>
        <v>-17.03
-24.18
-38.46
-46.7
</v>
      </c>
      <c r="AV74" s="18">
        <f>IFERROR(__xludf.DUMMYFUNCTION("IMPORTRANGE(""https://docs.google.com/spreadsheets/d/""&amp;$A74&amp;""/edit#gid=156619080"",AV$3)"),-77.27272727272727)</f>
        <v>-77.27272727</v>
      </c>
      <c r="AW74" s="19" t="str">
        <f>IFERROR(__xludf.DUMMYFUNCTION("IMPORTRANGE(""https://docs.google.com/spreadsheets/d/""&amp;$A74&amp;""/edit#gid=156619080"",AW$3)"),"-79.22
-79.35
-79.35
-77.53
")</f>
        <v>-79.22
-79.35
-79.35
-77.53
</v>
      </c>
      <c r="AX74" s="2">
        <f>IFERROR(__xludf.DUMMYFUNCTION("IMPORTRANGE(""https://docs.google.com/spreadsheets/d/""&amp;$A74&amp;""/edit#gid=156619080"",AX$3)"),32.22)</f>
        <v>32.22</v>
      </c>
      <c r="AY74" s="2">
        <f>IFERROR(__xludf.DUMMYFUNCTION("IMPORTRANGE(""https://docs.google.com/spreadsheets/d/""&amp;$A74&amp;""/edit#gid=156619080"",AY$3)"),27.939999999999998)</f>
        <v>27.94</v>
      </c>
      <c r="AZ74" s="2">
        <f>IFERROR(__xludf.DUMMYFUNCTION("IMPORTRANGE(""https://docs.google.com/spreadsheets/d/""&amp;$A74&amp;""/edit#gid=156619080"",AZ$3)"),1458.0)</f>
        <v>1458</v>
      </c>
      <c r="BA74" s="2">
        <f>IFERROR(__xludf.DUMMYFUNCTION("IMPORTRANGE(""https://docs.google.com/spreadsheets/d/""&amp;$A74&amp;""/edit#gid=156619080"",BA$3)"),-41.76999999999998)</f>
        <v>-41.77</v>
      </c>
      <c r="BB74" s="2">
        <f>IFERROR(__xludf.DUMMYFUNCTION("IMPORTRANGE(""https://docs.google.com/spreadsheets/d/""&amp;$A74&amp;""/edit#gid=156619080"",BB$3)"),-43.87)</f>
        <v>-43.87</v>
      </c>
      <c r="BC74" s="2" t="str">
        <f>IFERROR(__xludf.DUMMYFUNCTION("IMPORTRANGE(""https://docs.google.com/spreadsheets/d/""&amp;$A74&amp;""/edit#gid=156619080"",BC$3)"),"GC→GC")</f>
        <v>GC→GC</v>
      </c>
    </row>
    <row r="75" ht="51.0" customHeight="1">
      <c r="A75" s="7" t="str">
        <f t="shared" si="5"/>
        <v>115jP2FMXPz-k-E-hK7aGhyiqtXlu5XxFLCKxVtzIg4g</v>
      </c>
      <c r="B75" s="1" t="s">
        <v>102</v>
      </c>
      <c r="C75" s="2">
        <f>IFERROR(__xludf.DUMMYFUNCTION("IMPORTRANGE(""https://docs.google.com/spreadsheets/d/""&amp;$A75&amp;""/edit#gid=156619080"",C$3)"),132.0)</f>
        <v>132</v>
      </c>
      <c r="D75" s="2">
        <f>IFERROR(__xludf.DUMMYFUNCTION("IMPORTRANGE(""https://docs.google.com/spreadsheets/d/""&amp;$A75&amp;""/edit#gid=156619080"",D$3)"),5803.0)</f>
        <v>5803</v>
      </c>
      <c r="E75" s="15">
        <f>IFERROR(__xludf.DUMMYFUNCTION("IMPORTRANGE(""https://docs.google.com/spreadsheets/d/""&amp;$A75&amp;""/edit#gid=156619080"",E$3)"),43882.0)</f>
        <v>43882</v>
      </c>
      <c r="F75" s="2">
        <f>IFERROR(__xludf.DUMMYFUNCTION("IMPORTRANGE(""https://docs.google.com/spreadsheets/d/""&amp;$A75&amp;""/edit#gid=156619080"",F$3)"),2.0)</f>
        <v>2</v>
      </c>
      <c r="G75" s="16">
        <f>IFERROR(__xludf.DUMMYFUNCTION("IMPORTRANGE(""https://docs.google.com/spreadsheets/d/""&amp;$A75&amp;""/edit#gid=156619080"",G$3)"),0.52)</f>
        <v>0.52</v>
      </c>
      <c r="H75" s="16">
        <f>IFERROR(__xludf.DUMMYFUNCTION("IMPORTRANGE(""https://docs.google.com/spreadsheets/d/""&amp;$A75&amp;""/edit#gid=156619080"",H$3)"),381.0)</f>
        <v>381</v>
      </c>
      <c r="I75" s="16">
        <f>IFERROR(__xludf.DUMMYFUNCTION("IMPORTRANGE(""https://docs.google.com/spreadsheets/d/""&amp;$A75&amp;""/edit#gid=156619080"",I$3)"),4.0)</f>
        <v>4</v>
      </c>
      <c r="J75" s="16">
        <f>IFERROR(__xludf.DUMMYFUNCTION("IMPORTRANGE(""https://docs.google.com/spreadsheets/d/""&amp;$A75&amp;""/edit#gid=156619080"",J$3)"),390.0)</f>
        <v>390</v>
      </c>
      <c r="K75" s="16">
        <f>IFERROR(__xludf.DUMMYFUNCTION("IMPORTRANGE(""https://docs.google.com/spreadsheets/d/""&amp;$A75&amp;""/edit#gid=156619080"",K$3)"),0.40208333333333335)</f>
        <v>0.4020833333</v>
      </c>
      <c r="L75" s="16">
        <f>IFERROR(__xludf.DUMMYFUNCTION("IMPORTRANGE(""https://docs.google.com/spreadsheets/d/""&amp;$A75&amp;""/edit#gid=156619080"",L$3)"),381.0)</f>
        <v>381</v>
      </c>
      <c r="M75" s="16">
        <f>IFERROR(__xludf.DUMMYFUNCTION("IMPORTRANGE(""https://docs.google.com/spreadsheets/d/""&amp;$A75&amp;""/edit#gid=156619080"",M$3)"),0.375)</f>
        <v>0.375</v>
      </c>
      <c r="N75" s="16">
        <f>IFERROR(__xludf.DUMMYFUNCTION("IMPORTRANGE(""https://docs.google.com/spreadsheets/d/""&amp;$A75&amp;""/edit#gid=156619080"",N$3)"),387.0)</f>
        <v>387</v>
      </c>
      <c r="O75" s="16" t="str">
        <f>IFERROR(__xludf.DUMMYFUNCTION("IMPORTRANGE(""https://docs.google.com/spreadsheets/d/""&amp;$A75&amp;""/edit#gid=156619080"",O$3)"),"1855400株")</f>
        <v>1855400株</v>
      </c>
      <c r="P75" s="16" t="str">
        <f>IFERROR(__xludf.DUMMYFUNCTION("IMPORTRANGE(""https://docs.google.com/spreadsheets/d/""&amp;$A75&amp;""/edit#gid=156619080"",P$3)"),"718百万円")</f>
        <v>718百万円</v>
      </c>
      <c r="Q75" s="16" t="str">
        <f>IFERROR(__xludf.DUMMYFUNCTION("IMPORTRANGE(""https://docs.google.com/spreadsheets/d/""&amp;$A75&amp;""/edit#gid=156619080"",Q$3)"),"1031回")</f>
        <v>1031回</v>
      </c>
      <c r="R75" s="16" t="str">
        <f>IFERROR(__xludf.DUMMYFUNCTION("IMPORTRANGE(""https://docs.google.com/spreadsheets/d/""&amp;$A75&amp;""/edit#gid=156619080"",R$3)"),"1145億円")</f>
        <v>1145億円</v>
      </c>
      <c r="S75" s="16" t="str">
        <f>IFERROR(__xludf.DUMMYFUNCTION("IMPORTRANGE(""https://docs.google.com/spreadsheets/d/""&amp;$A75&amp;""/edit#gid=156619080"",S$3)"),"陽線")</f>
        <v>陽線</v>
      </c>
      <c r="T75" s="16" t="str">
        <f>IFERROR(__xludf.DUMMYFUNCTION("IMPORTRANGE(""https://docs.google.com/spreadsheets/d/""&amp;$A75&amp;""/edit#gid=156619080"",T$3)"),"")</f>
        <v/>
      </c>
      <c r="U75" s="16">
        <f>IFERROR(__xludf.DUMMYFUNCTION("IMPORTRANGE(""https://docs.google.com/spreadsheets/d/""&amp;$A75&amp;""/edit#gid=156619080"",U$3)"),384.2)</f>
        <v>384.2</v>
      </c>
      <c r="V75" s="16">
        <f>IFERROR(__xludf.DUMMYFUNCTION("IMPORTRANGE(""https://docs.google.com/spreadsheets/d/""&amp;$A75&amp;""/edit#gid=156619080"",V$3)"),390.2)</f>
        <v>390.2</v>
      </c>
      <c r="W75" s="16">
        <f>IFERROR(__xludf.DUMMYFUNCTION("IMPORTRANGE(""https://docs.google.com/spreadsheets/d/""&amp;$A75&amp;""/edit#gid=156619080"",W$3)"),398.2)</f>
        <v>398.2</v>
      </c>
      <c r="X75" s="2">
        <f>IFERROR(__xludf.DUMMYFUNCTION("IMPORTRANGE(""https://docs.google.com/spreadsheets/d/""&amp;$A75&amp;""/edit#gid=156619080"",X$3)"),438.5)</f>
        <v>438.5</v>
      </c>
      <c r="Y75" s="17">
        <f>IFERROR(__xludf.DUMMYFUNCTION("IMPORTRANGE(""https://docs.google.com/spreadsheets/d/""&amp;$A75&amp;""/edit#gid=156619080"",Y$3)"),0.007287870900572648)</f>
        <v>0.007287870901</v>
      </c>
      <c r="Z75" s="2">
        <f>IFERROR(__xludf.DUMMYFUNCTION("IMPORTRANGE(""https://docs.google.com/spreadsheets/d/""&amp;$A75&amp;""/edit#gid=156619080"",Z$3)"),429.03)</f>
        <v>429.03</v>
      </c>
      <c r="AA75" s="2">
        <f>IFERROR(__xludf.DUMMYFUNCTION("IMPORTRANGE(""https://docs.google.com/spreadsheets/d/""&amp;$A75&amp;""/edit#gid=156619080"",AA$3)"),425.18)</f>
        <v>425.18</v>
      </c>
      <c r="AB75" s="2">
        <f>IFERROR(__xludf.DUMMYFUNCTION("IMPORTRANGE(""https://docs.google.com/spreadsheets/d/""&amp;$A75&amp;""/edit#gid=156619080"",AB$3)"),421.32)</f>
        <v>421.32</v>
      </c>
      <c r="AC75" s="18">
        <f>IFERROR(__xludf.DUMMYFUNCTION("IMPORTRANGE(""https://docs.google.com/spreadsheets/d/""&amp;$A75&amp;""/edit#gid=156619080"",AC$3)"),417.47)</f>
        <v>417.47</v>
      </c>
      <c r="AD75" s="18">
        <f>IFERROR(__xludf.DUMMYFUNCTION("IMPORTRANGE(""https://docs.google.com/spreadsheets/d/""&amp;$A75&amp;""/edit#gid=156619080"",AD$3)"),413.61)</f>
        <v>413.61</v>
      </c>
      <c r="AE75" s="18">
        <f>IFERROR(__xludf.DUMMYFUNCTION("IMPORTRANGE(""https://docs.google.com/spreadsheets/d/""&amp;$A75&amp;""/edit#gid=156619080"",AE$3)"),398.2)</f>
        <v>398.2</v>
      </c>
      <c r="AF75" s="2">
        <f>IFERROR(__xludf.DUMMYFUNCTION("IMPORTRANGE(""https://docs.google.com/spreadsheets/d/""&amp;$A75&amp;""/edit#gid=156619080"",AF$3)"),382.79)</f>
        <v>382.79</v>
      </c>
      <c r="AG75" s="2">
        <f>IFERROR(__xludf.DUMMYFUNCTION("IMPORTRANGE(""https://docs.google.com/spreadsheets/d/""&amp;$A75&amp;""/edit#gid=156619080"",AG$3)"),378.93)</f>
        <v>378.93</v>
      </c>
      <c r="AH75" s="2">
        <f>IFERROR(__xludf.DUMMYFUNCTION("IMPORTRANGE(""https://docs.google.com/spreadsheets/d/""&amp;$A75&amp;""/edit#gid=156619080"",AH$3)"),375.08)</f>
        <v>375.08</v>
      </c>
      <c r="AI75" s="2">
        <f>IFERROR(__xludf.DUMMYFUNCTION("IMPORTRANGE(""https://docs.google.com/spreadsheets/d/""&amp;$A75&amp;""/edit#gid=156619080"",AI$3)"),371.22)</f>
        <v>371.22</v>
      </c>
      <c r="AJ75" s="2">
        <f>IFERROR(__xludf.DUMMYFUNCTION("IMPORTRANGE(""https://docs.google.com/spreadsheets/d/""&amp;$A75&amp;""/edit#gid=156619080"",AJ$3)"),367.37)</f>
        <v>367.37</v>
      </c>
      <c r="AK75" s="2" t="str">
        <f>IFERROR(__xludf.DUMMYFUNCTION("IMPORTRANGE(""https://docs.google.com/spreadsheets/d/""&amp;$A75&amp;""/edit#gid=156619080"",AK$3)"),"")</f>
        <v/>
      </c>
      <c r="AL75" s="2">
        <f>IFERROR(__xludf.DUMMYFUNCTION("IMPORTRANGE(""https://docs.google.com/spreadsheets/d/""&amp;$A75&amp;""/edit#gid=156619080"",AL$3)"),-1.0)</f>
        <v>-1</v>
      </c>
      <c r="AM75" s="2" t="str">
        <f>IFERROR(__xludf.DUMMYFUNCTION("IMPORTRANGE(""https://docs.google.com/spreadsheets/d/""&amp;$A75&amp;""/edit#gid=156619080"",AM$3)"),"")</f>
        <v/>
      </c>
      <c r="AN75" s="2">
        <f>IFERROR(__xludf.DUMMYFUNCTION("IMPORTRANGE(""https://docs.google.com/spreadsheets/d/""&amp;$A75&amp;""/edit#gid=156619080"",AN$3)"),-1.0)</f>
        <v>-1</v>
      </c>
      <c r="AO75" s="2" t="str">
        <f>IFERROR(__xludf.DUMMYFUNCTION("IMPORTRANGE(""https://docs.google.com/spreadsheets/d/""&amp;$A75&amp;""/edit#gid=156619080"",AO$3)"),"")</f>
        <v/>
      </c>
      <c r="AP75" s="2">
        <f>IFERROR(__xludf.DUMMYFUNCTION("IMPORTRANGE(""https://docs.google.com/spreadsheets/d/""&amp;$A75&amp;""/edit#gid=156619080"",AP$3)"),-1.0)</f>
        <v>-1</v>
      </c>
      <c r="AQ75" s="2" t="str">
        <f>IFERROR(__xludf.DUMMYFUNCTION("IMPORTRANGE(""https://docs.google.com/spreadsheets/d/""&amp;$A75&amp;""/edit#gid=156619080"",AQ$3)"),"")</f>
        <v/>
      </c>
      <c r="AR75" s="18">
        <f>IFERROR(__xludf.DUMMYFUNCTION("IMPORTRANGE(""https://docs.google.com/spreadsheets/d/""&amp;$A75&amp;""/edit#gid=156619080"",AR$3)"),22.499999999999996)</f>
        <v>22.5</v>
      </c>
      <c r="AS75" s="19" t="str">
        <f>IFERROR(__xludf.DUMMYFUNCTION("IMPORTRANGE(""https://docs.google.com/spreadsheets/d/""&amp;$A75&amp;""/edit#gid=156619080"",AS$3)"),"37.5
-62.5
-52.5
-52.5
")</f>
        <v>37.5
-62.5
-52.5
-52.5
</v>
      </c>
      <c r="AT75" s="18">
        <f>IFERROR(__xludf.DUMMYFUNCTION("IMPORTRANGE(""https://docs.google.com/spreadsheets/d/""&amp;$A75&amp;""/edit#gid=156619080"",AT$3)"),-41.071428571428584)</f>
        <v>-41.07142857</v>
      </c>
      <c r="AU75" s="3" t="str">
        <f>IFERROR(__xludf.DUMMYFUNCTION("IMPORTRANGE(""https://docs.google.com/spreadsheets/d/""&amp;$A75&amp;""/edit#gid=156619080"",AU$3)"),"-70.88
-71.84
-68.54
-58.24
")</f>
        <v>-70.88
-71.84
-68.54
-58.24
</v>
      </c>
      <c r="AV75" s="18">
        <f>IFERROR(__xludf.DUMMYFUNCTION("IMPORTRANGE(""https://docs.google.com/spreadsheets/d/""&amp;$A75&amp;""/edit#gid=156619080"",AV$3)"),-74.87012987012986)</f>
        <v>-74.87012987</v>
      </c>
      <c r="AW75" s="19" t="str">
        <f>IFERROR(__xludf.DUMMYFUNCTION("IMPORTRANGE(""https://docs.google.com/spreadsheets/d/""&amp;$A75&amp;""/edit#gid=156619080"",AW$3)"),"-84.42
-84.12
-82.31
-79.32
")</f>
        <v>-84.42
-84.12
-82.31
-79.32
</v>
      </c>
      <c r="AX75" s="2">
        <f>IFERROR(__xludf.DUMMYFUNCTION("IMPORTRANGE(""https://docs.google.com/spreadsheets/d/""&amp;$A75&amp;""/edit#gid=156619080"",AX$3)"),50.0)</f>
        <v>50</v>
      </c>
      <c r="AY75" s="2">
        <f>IFERROR(__xludf.DUMMYFUNCTION("IMPORTRANGE(""https://docs.google.com/spreadsheets/d/""&amp;$A75&amp;""/edit#gid=156619080"",AY$3)"),36.08)</f>
        <v>36.08</v>
      </c>
      <c r="AZ75" s="2">
        <f>IFERROR(__xludf.DUMMYFUNCTION("IMPORTRANGE(""https://docs.google.com/spreadsheets/d/""&amp;$A75&amp;""/edit#gid=156619080"",AZ$3)"),385.31)</f>
        <v>385.31</v>
      </c>
      <c r="BA75" s="2">
        <f>IFERROR(__xludf.DUMMYFUNCTION("IMPORTRANGE(""https://docs.google.com/spreadsheets/d/""&amp;$A75&amp;""/edit#gid=156619080"",BA$3)"),-14.240000000000009)</f>
        <v>-14.24</v>
      </c>
      <c r="BB75" s="2">
        <f>IFERROR(__xludf.DUMMYFUNCTION("IMPORTRANGE(""https://docs.google.com/spreadsheets/d/""&amp;$A75&amp;""/edit#gid=156619080"",BB$3)"),-17.8)</f>
        <v>-17.8</v>
      </c>
      <c r="BC75" s="2" t="str">
        <f>IFERROR(__xludf.DUMMYFUNCTION("IMPORTRANGE(""https://docs.google.com/spreadsheets/d/""&amp;$A75&amp;""/edit#gid=156619080"",BC$3)"),"GC→GC")</f>
        <v>GC→GC</v>
      </c>
    </row>
    <row r="76" ht="51.0" customHeight="1">
      <c r="A76" s="7" t="str">
        <f t="shared" si="5"/>
        <v>15HbW4zZ3sFJnmZdMOts6i1sywmHuSTRwBKJJJW67aQw</v>
      </c>
      <c r="B76" s="1" t="s">
        <v>103</v>
      </c>
      <c r="C76" s="2">
        <f>IFERROR(__xludf.DUMMYFUNCTION("IMPORTRANGE(""https://docs.google.com/spreadsheets/d/""&amp;$A76&amp;""/edit#gid=156619080"",C$3)"),132.0)</f>
        <v>132</v>
      </c>
      <c r="D76" s="2">
        <f>IFERROR(__xludf.DUMMYFUNCTION("IMPORTRANGE(""https://docs.google.com/spreadsheets/d/""&amp;$A76&amp;""/edit#gid=156619080"",D$3)"),5901.0)</f>
        <v>5901</v>
      </c>
      <c r="E76" s="15">
        <f>IFERROR(__xludf.DUMMYFUNCTION("IMPORTRANGE(""https://docs.google.com/spreadsheets/d/""&amp;$A76&amp;""/edit#gid=156619080"",E$3)"),43882.0)</f>
        <v>43882</v>
      </c>
      <c r="F76" s="2">
        <f>IFERROR(__xludf.DUMMYFUNCTION("IMPORTRANGE(""https://docs.google.com/spreadsheets/d/""&amp;$A76&amp;""/edit#gid=156619080"",F$3)"),-25.0)</f>
        <v>-25</v>
      </c>
      <c r="G76" s="16">
        <f>IFERROR(__xludf.DUMMYFUNCTION("IMPORTRANGE(""https://docs.google.com/spreadsheets/d/""&amp;$A76&amp;""/edit#gid=156619080"",G$3)"),-1.26)</f>
        <v>-1.26</v>
      </c>
      <c r="H76" s="16">
        <f>IFERROR(__xludf.DUMMYFUNCTION("IMPORTRANGE(""https://docs.google.com/spreadsheets/d/""&amp;$A76&amp;""/edit#gid=156619080"",H$3)"),1979.0)</f>
        <v>1979</v>
      </c>
      <c r="I76" s="16">
        <f>IFERROR(__xludf.DUMMYFUNCTION("IMPORTRANGE(""https://docs.google.com/spreadsheets/d/""&amp;$A76&amp;""/edit#gid=156619080"",I$3)"),8.0)</f>
        <v>8</v>
      </c>
      <c r="J76" s="16">
        <f>IFERROR(__xludf.DUMMYFUNCTION("IMPORTRANGE(""https://docs.google.com/spreadsheets/d/""&amp;$A76&amp;""/edit#gid=156619080"",J$3)"),1998.0)</f>
        <v>1998</v>
      </c>
      <c r="K76" s="16">
        <f>IFERROR(__xludf.DUMMYFUNCTION("IMPORTRANGE(""https://docs.google.com/spreadsheets/d/""&amp;$A76&amp;""/edit#gid=156619080"",K$3)"),0.3875)</f>
        <v>0.3875</v>
      </c>
      <c r="L76" s="16">
        <f>IFERROR(__xludf.DUMMYFUNCTION("IMPORTRANGE(""https://docs.google.com/spreadsheets/d/""&amp;$A76&amp;""/edit#gid=156619080"",L$3)"),1962.0)</f>
        <v>1962</v>
      </c>
      <c r="M76" s="16">
        <f>IFERROR(__xludf.DUMMYFUNCTION("IMPORTRANGE(""https://docs.google.com/spreadsheets/d/""&amp;$A76&amp;""/edit#gid=156619080"",M$3)"),0.625)</f>
        <v>0.625</v>
      </c>
      <c r="N76" s="16">
        <f>IFERROR(__xludf.DUMMYFUNCTION("IMPORTRANGE(""https://docs.google.com/spreadsheets/d/""&amp;$A76&amp;""/edit#gid=156619080"",N$3)"),1962.0)</f>
        <v>1962</v>
      </c>
      <c r="O76" s="16" t="str">
        <f>IFERROR(__xludf.DUMMYFUNCTION("IMPORTRANGE(""https://docs.google.com/spreadsheets/d/""&amp;$A76&amp;""/edit#gid=156619080"",O$3)"),"379900株")</f>
        <v>379900株</v>
      </c>
      <c r="P76" s="16" t="str">
        <f>IFERROR(__xludf.DUMMYFUNCTION("IMPORTRANGE(""https://docs.google.com/spreadsheets/d/""&amp;$A76&amp;""/edit#gid=156619080"",P$3)"),"751百万円")</f>
        <v>751百万円</v>
      </c>
      <c r="Q76" s="16" t="str">
        <f>IFERROR(__xludf.DUMMYFUNCTION("IMPORTRANGE(""https://docs.google.com/spreadsheets/d/""&amp;$A76&amp;""/edit#gid=156619080"",Q$3)"),"1113回")</f>
        <v>1113回</v>
      </c>
      <c r="R76" s="16" t="str">
        <f>IFERROR(__xludf.DUMMYFUNCTION("IMPORTRANGE(""https://docs.google.com/spreadsheets/d/""&amp;$A76&amp;""/edit#gid=156619080"",R$3)"),"3980億円")</f>
        <v>3980億円</v>
      </c>
      <c r="S76" s="16" t="str">
        <f>IFERROR(__xludf.DUMMYFUNCTION("IMPORTRANGE(""https://docs.google.com/spreadsheets/d/""&amp;$A76&amp;""/edit#gid=156619080"",S$3)"),"陰線")</f>
        <v>陰線</v>
      </c>
      <c r="T76" s="16" t="str">
        <f>IFERROR(__xludf.DUMMYFUNCTION("IMPORTRANGE(""https://docs.google.com/spreadsheets/d/""&amp;$A76&amp;""/edit#gid=156619080"",T$3)"),"")</f>
        <v/>
      </c>
      <c r="U76" s="16">
        <f>IFERROR(__xludf.DUMMYFUNCTION("IMPORTRANGE(""https://docs.google.com/spreadsheets/d/""&amp;$A76&amp;""/edit#gid=156619080"",U$3)"),1965.6)</f>
        <v>1965.6</v>
      </c>
      <c r="V76" s="16">
        <f>IFERROR(__xludf.DUMMYFUNCTION("IMPORTRANGE(""https://docs.google.com/spreadsheets/d/""&amp;$A76&amp;""/edit#gid=156619080"",V$3)"),1959.2)</f>
        <v>1959.2</v>
      </c>
      <c r="W76" s="16">
        <f>IFERROR(__xludf.DUMMYFUNCTION("IMPORTRANGE(""https://docs.google.com/spreadsheets/d/""&amp;$A76&amp;""/edit#gid=156619080"",W$3)"),1930.0)</f>
        <v>1930</v>
      </c>
      <c r="X76" s="2">
        <f>IFERROR(__xludf.DUMMYFUNCTION("IMPORTRANGE(""https://docs.google.com/spreadsheets/d/""&amp;$A76&amp;""/edit#gid=156619080"",X$3)"),1847.7)</f>
        <v>1847.7</v>
      </c>
      <c r="Y76" s="17">
        <f>IFERROR(__xludf.DUMMYFUNCTION("IMPORTRANGE(""https://docs.google.com/spreadsheets/d/""&amp;$A76&amp;""/edit#gid=156619080"",Y$3)"),-0.0018315018315017853)</f>
        <v>-0.001831501832</v>
      </c>
      <c r="Z76" s="2">
        <f>IFERROR(__xludf.DUMMYFUNCTION("IMPORTRANGE(""https://docs.google.com/spreadsheets/d/""&amp;$A76&amp;""/edit#gid=156619080"",Z$3)"),2028.03)</f>
        <v>2028.03</v>
      </c>
      <c r="AA76" s="2">
        <f>IFERROR(__xludf.DUMMYFUNCTION("IMPORTRANGE(""https://docs.google.com/spreadsheets/d/""&amp;$A76&amp;""/edit#gid=156619080"",AA$3)"),2015.77)</f>
        <v>2015.77</v>
      </c>
      <c r="AB76" s="2">
        <f>IFERROR(__xludf.DUMMYFUNCTION("IMPORTRANGE(""https://docs.google.com/spreadsheets/d/""&amp;$A76&amp;""/edit#gid=156619080"",AB$3)"),2003.52)</f>
        <v>2003.52</v>
      </c>
      <c r="AC76" s="18">
        <f>IFERROR(__xludf.DUMMYFUNCTION("IMPORTRANGE(""https://docs.google.com/spreadsheets/d/""&amp;$A76&amp;""/edit#gid=156619080"",AC$3)"),1991.27)</f>
        <v>1991.27</v>
      </c>
      <c r="AD76" s="18">
        <f>IFERROR(__xludf.DUMMYFUNCTION("IMPORTRANGE(""https://docs.google.com/spreadsheets/d/""&amp;$A76&amp;""/edit#gid=156619080"",AD$3)"),1979.01)</f>
        <v>1979.01</v>
      </c>
      <c r="AE76" s="18">
        <f>IFERROR(__xludf.DUMMYFUNCTION("IMPORTRANGE(""https://docs.google.com/spreadsheets/d/""&amp;$A76&amp;""/edit#gid=156619080"",AE$3)"),1930.0)</f>
        <v>1930</v>
      </c>
      <c r="AF76" s="2">
        <f>IFERROR(__xludf.DUMMYFUNCTION("IMPORTRANGE(""https://docs.google.com/spreadsheets/d/""&amp;$A76&amp;""/edit#gid=156619080"",AF$3)"),1880.99)</f>
        <v>1880.99</v>
      </c>
      <c r="AG76" s="2">
        <f>IFERROR(__xludf.DUMMYFUNCTION("IMPORTRANGE(""https://docs.google.com/spreadsheets/d/""&amp;$A76&amp;""/edit#gid=156619080"",AG$3)"),1868.73)</f>
        <v>1868.73</v>
      </c>
      <c r="AH76" s="2">
        <f>IFERROR(__xludf.DUMMYFUNCTION("IMPORTRANGE(""https://docs.google.com/spreadsheets/d/""&amp;$A76&amp;""/edit#gid=156619080"",AH$3)"),1856.48)</f>
        <v>1856.48</v>
      </c>
      <c r="AI76" s="2">
        <f>IFERROR(__xludf.DUMMYFUNCTION("IMPORTRANGE(""https://docs.google.com/spreadsheets/d/""&amp;$A76&amp;""/edit#gid=156619080"",AI$3)"),1844.23)</f>
        <v>1844.23</v>
      </c>
      <c r="AJ76" s="2">
        <f>IFERROR(__xludf.DUMMYFUNCTION("IMPORTRANGE(""https://docs.google.com/spreadsheets/d/""&amp;$A76&amp;""/edit#gid=156619080"",AJ$3)"),1831.97)</f>
        <v>1831.97</v>
      </c>
      <c r="AK76" s="2" t="str">
        <f>IFERROR(__xludf.DUMMYFUNCTION("IMPORTRANGE(""https://docs.google.com/spreadsheets/d/""&amp;$A76&amp;""/edit#gid=156619080"",AK$3)"),"")</f>
        <v/>
      </c>
      <c r="AL76" s="2">
        <f>IFERROR(__xludf.DUMMYFUNCTION("IMPORTRANGE(""https://docs.google.com/spreadsheets/d/""&amp;$A76&amp;""/edit#gid=156619080"",AL$3)"),1.0)</f>
        <v>1</v>
      </c>
      <c r="AM76" s="2" t="str">
        <f>IFERROR(__xludf.DUMMYFUNCTION("IMPORTRANGE(""https://docs.google.com/spreadsheets/d/""&amp;$A76&amp;""/edit#gid=156619080"",AM$3)"),"")</f>
        <v/>
      </c>
      <c r="AN76" s="2">
        <f>IFERROR(__xludf.DUMMYFUNCTION("IMPORTRANGE(""https://docs.google.com/spreadsheets/d/""&amp;$A76&amp;""/edit#gid=156619080"",AN$3)"),1.0)</f>
        <v>1</v>
      </c>
      <c r="AO76" s="2" t="str">
        <f>IFERROR(__xludf.DUMMYFUNCTION("IMPORTRANGE(""https://docs.google.com/spreadsheets/d/""&amp;$A76&amp;""/edit#gid=156619080"",AO$3)"),"")</f>
        <v/>
      </c>
      <c r="AP76" s="2">
        <f>IFERROR(__xludf.DUMMYFUNCTION("IMPORTRANGE(""https://docs.google.com/spreadsheets/d/""&amp;$A76&amp;""/edit#gid=156619080"",AP$3)"),1.0)</f>
        <v>1</v>
      </c>
      <c r="AQ76" s="2" t="str">
        <f>IFERROR(__xludf.DUMMYFUNCTION("IMPORTRANGE(""https://docs.google.com/spreadsheets/d/""&amp;$A76&amp;""/edit#gid=156619080"",AQ$3)"),"")</f>
        <v/>
      </c>
      <c r="AR76" s="18">
        <f>IFERROR(__xludf.DUMMYFUNCTION("IMPORTRANGE(""https://docs.google.com/spreadsheets/d/""&amp;$A76&amp;""/edit#gid=156619080"",AR$3)"),19.999999999999996)</f>
        <v>20</v>
      </c>
      <c r="AS76" s="19" t="str">
        <f>IFERROR(__xludf.DUMMYFUNCTION("IMPORTRANGE(""https://docs.google.com/spreadsheets/d/""&amp;$A76&amp;""/edit#gid=156619080"",AS$3)"),"10
-90
-90
10
")</f>
        <v>10
-90
-90
10
</v>
      </c>
      <c r="AT76" s="18">
        <f>IFERROR(__xludf.DUMMYFUNCTION("IMPORTRANGE(""https://docs.google.com/spreadsheets/d/""&amp;$A76&amp;""/edit#gid=156619080"",AT$3)"),28.434065934065934)</f>
        <v>28.43406593</v>
      </c>
      <c r="AU76" s="3" t="str">
        <f>IFERROR(__xludf.DUMMYFUNCTION("IMPORTRANGE(""https://docs.google.com/spreadsheets/d/""&amp;$A76&amp;""/edit#gid=156619080"",AU$3)"),"79.53
68.54
52.61
51.51
")</f>
        <v>79.53
68.54
52.61
51.51
</v>
      </c>
      <c r="AV76" s="18">
        <f>IFERROR(__xludf.DUMMYFUNCTION("IMPORTRANGE(""https://docs.google.com/spreadsheets/d/""&amp;$A76&amp;""/edit#gid=156619080"",AV$3)"),66.55844155844156)</f>
        <v>66.55844156</v>
      </c>
      <c r="AW76" s="19" t="str">
        <f>IFERROR(__xludf.DUMMYFUNCTION("IMPORTRANGE(""https://docs.google.com/spreadsheets/d/""&amp;$A76&amp;""/edit#gid=156619080"",AW$3)"),"8.34
22.24
38.47
57.31
")</f>
        <v>8.34
22.24
38.47
57.31
</v>
      </c>
      <c r="AX76" s="2">
        <f>IFERROR(__xludf.DUMMYFUNCTION("IMPORTRANGE(""https://docs.google.com/spreadsheets/d/""&amp;$A76&amp;""/edit#gid=156619080"",AX$3)"),41.33)</f>
        <v>41.33</v>
      </c>
      <c r="AY76" s="2">
        <f>IFERROR(__xludf.DUMMYFUNCTION("IMPORTRANGE(""https://docs.google.com/spreadsheets/d/""&amp;$A76&amp;""/edit#gid=156619080"",AY$3)"),49.89)</f>
        <v>49.89</v>
      </c>
      <c r="AZ76" s="2">
        <f>IFERROR(__xludf.DUMMYFUNCTION("IMPORTRANGE(""https://docs.google.com/spreadsheets/d/""&amp;$A76&amp;""/edit#gid=156619080"",AZ$3)"),1968.22)</f>
        <v>1968.22</v>
      </c>
      <c r="BA76" s="2">
        <f>IFERROR(__xludf.DUMMYFUNCTION("IMPORTRANGE(""https://docs.google.com/spreadsheets/d/""&amp;$A76&amp;""/edit#gid=156619080"",BA$3)"),20.779999999999973)</f>
        <v>20.78</v>
      </c>
      <c r="BB76" s="2">
        <f>IFERROR(__xludf.DUMMYFUNCTION("IMPORTRANGE(""https://docs.google.com/spreadsheets/d/""&amp;$A76&amp;""/edit#gid=156619080"",BB$3)"),18.02)</f>
        <v>18.02</v>
      </c>
      <c r="BC76" s="2" t="str">
        <f>IFERROR(__xludf.DUMMYFUNCTION("IMPORTRANGE(""https://docs.google.com/spreadsheets/d/""&amp;$A76&amp;""/edit#gid=156619080"",BC$3)"),"GC→GC")</f>
        <v>GC→GC</v>
      </c>
    </row>
    <row r="77" ht="51.0" customHeight="1">
      <c r="A77" s="7" t="str">
        <f t="shared" si="5"/>
        <v>16w3b9QoAQ18rd01RUx_2FVY4zmmlCint8Leil9ZJAVk</v>
      </c>
      <c r="B77" s="1" t="s">
        <v>104</v>
      </c>
      <c r="C77" s="2">
        <f>IFERROR(__xludf.DUMMYFUNCTION("IMPORTRANGE(""https://docs.google.com/spreadsheets/d/""&amp;$A77&amp;""/edit#gid=156619080"",C$3)"),132.0)</f>
        <v>132</v>
      </c>
      <c r="D77" s="2">
        <f>IFERROR(__xludf.DUMMYFUNCTION("IMPORTRANGE(""https://docs.google.com/spreadsheets/d/""&amp;$A77&amp;""/edit#gid=156619080"",D$3)"),5631.0)</f>
        <v>5631</v>
      </c>
      <c r="E77" s="15">
        <f>IFERROR(__xludf.DUMMYFUNCTION("IMPORTRANGE(""https://docs.google.com/spreadsheets/d/""&amp;$A77&amp;""/edit#gid=156619080"",E$3)"),43882.0)</f>
        <v>43882</v>
      </c>
      <c r="F77" s="2">
        <f>IFERROR(__xludf.DUMMYFUNCTION("IMPORTRANGE(""https://docs.google.com/spreadsheets/d/""&amp;$A77&amp;""/edit#gid=156619080"",F$3)"),-35.0)</f>
        <v>-35</v>
      </c>
      <c r="G77" s="16">
        <f>IFERROR(__xludf.DUMMYFUNCTION("IMPORTRANGE(""https://docs.google.com/spreadsheets/d/""&amp;$A77&amp;""/edit#gid=156619080"",G$3)"),-1.92)</f>
        <v>-1.92</v>
      </c>
      <c r="H77" s="16">
        <f>IFERROR(__xludf.DUMMYFUNCTION("IMPORTRANGE(""https://docs.google.com/spreadsheets/d/""&amp;$A77&amp;""/edit#gid=156619080"",H$3)"),1819.0)</f>
        <v>1819</v>
      </c>
      <c r="I77" s="16">
        <f>IFERROR(__xludf.DUMMYFUNCTION("IMPORTRANGE(""https://docs.google.com/spreadsheets/d/""&amp;$A77&amp;""/edit#gid=156619080"",I$3)"),1.0)</f>
        <v>1</v>
      </c>
      <c r="J77" s="16">
        <f>IFERROR(__xludf.DUMMYFUNCTION("IMPORTRANGE(""https://docs.google.com/spreadsheets/d/""&amp;$A77&amp;""/edit#gid=156619080"",J$3)"),1828.0)</f>
        <v>1828</v>
      </c>
      <c r="K77" s="16">
        <f>IFERROR(__xludf.DUMMYFUNCTION("IMPORTRANGE(""https://docs.google.com/spreadsheets/d/""&amp;$A77&amp;""/edit#gid=156619080"",K$3)"),0.38125)</f>
        <v>0.38125</v>
      </c>
      <c r="L77" s="16">
        <f>IFERROR(__xludf.DUMMYFUNCTION("IMPORTRANGE(""https://docs.google.com/spreadsheets/d/""&amp;$A77&amp;""/edit#gid=156619080"",L$3)"),1781.0)</f>
        <v>1781</v>
      </c>
      <c r="M77" s="16">
        <f>IFERROR(__xludf.DUMMYFUNCTION("IMPORTRANGE(""https://docs.google.com/spreadsheets/d/""&amp;$A77&amp;""/edit#gid=156619080"",M$3)"),0.6180555555555556)</f>
        <v>0.6180555556</v>
      </c>
      <c r="N77" s="16">
        <f>IFERROR(__xludf.DUMMYFUNCTION("IMPORTRANGE(""https://docs.google.com/spreadsheets/d/""&amp;$A77&amp;""/edit#gid=156619080"",N$3)"),1785.0)</f>
        <v>1785</v>
      </c>
      <c r="O77" s="16" t="str">
        <f>IFERROR(__xludf.DUMMYFUNCTION("IMPORTRANGE(""https://docs.google.com/spreadsheets/d/""&amp;$A77&amp;""/edit#gid=156619080"",O$3)"),"494100株")</f>
        <v>494100株</v>
      </c>
      <c r="P77" s="16" t="str">
        <f>IFERROR(__xludf.DUMMYFUNCTION("IMPORTRANGE(""https://docs.google.com/spreadsheets/d/""&amp;$A77&amp;""/edit#gid=156619080"",P$3)"),"888百万円")</f>
        <v>888百万円</v>
      </c>
      <c r="Q77" s="16" t="str">
        <f>IFERROR(__xludf.DUMMYFUNCTION("IMPORTRANGE(""https://docs.google.com/spreadsheets/d/""&amp;$A77&amp;""/edit#gid=156619080"",Q$3)"),"1491回")</f>
        <v>1491回</v>
      </c>
      <c r="R77" s="16" t="str">
        <f>IFERROR(__xludf.DUMMYFUNCTION("IMPORTRANGE(""https://docs.google.com/spreadsheets/d/""&amp;$A77&amp;""/edit#gid=156619080"",R$3)"),"1327億円")</f>
        <v>1327億円</v>
      </c>
      <c r="S77" s="16" t="str">
        <f>IFERROR(__xludf.DUMMYFUNCTION("IMPORTRANGE(""https://docs.google.com/spreadsheets/d/""&amp;$A77&amp;""/edit#gid=156619080"",S$3)"),"陰線")</f>
        <v>陰線</v>
      </c>
      <c r="T77" s="16" t="str">
        <f>IFERROR(__xludf.DUMMYFUNCTION("IMPORTRANGE(""https://docs.google.com/spreadsheets/d/""&amp;$A77&amp;""/edit#gid=156619080"",T$3)"),"")</f>
        <v/>
      </c>
      <c r="U77" s="16">
        <f>IFERROR(__xludf.DUMMYFUNCTION("IMPORTRANGE(""https://docs.google.com/spreadsheets/d/""&amp;$A77&amp;""/edit#gid=156619080"",U$3)"),1848.4)</f>
        <v>1848.4</v>
      </c>
      <c r="V77" s="16">
        <f>IFERROR(__xludf.DUMMYFUNCTION("IMPORTRANGE(""https://docs.google.com/spreadsheets/d/""&amp;$A77&amp;""/edit#gid=156619080"",V$3)"),1948.8)</f>
        <v>1948.8</v>
      </c>
      <c r="W77" s="16">
        <f>IFERROR(__xludf.DUMMYFUNCTION("IMPORTRANGE(""https://docs.google.com/spreadsheets/d/""&amp;$A77&amp;""/edit#gid=156619080"",W$3)"),1993.7)</f>
        <v>1993.7</v>
      </c>
      <c r="X77" s="2">
        <f>IFERROR(__xludf.DUMMYFUNCTION("IMPORTRANGE(""https://docs.google.com/spreadsheets/d/""&amp;$A77&amp;""/edit#gid=156619080"",X$3)"),2143.5)</f>
        <v>2143.5</v>
      </c>
      <c r="Y77" s="17">
        <f>IFERROR(__xludf.DUMMYFUNCTION("IMPORTRANGE(""https://docs.google.com/spreadsheets/d/""&amp;$A77&amp;""/edit#gid=156619080"",Y$3)"),-0.03429993507898728)</f>
        <v>-0.03429993508</v>
      </c>
      <c r="Z77" s="2">
        <f>IFERROR(__xludf.DUMMYFUNCTION("IMPORTRANGE(""https://docs.google.com/spreadsheets/d/""&amp;$A77&amp;""/edit#gid=156619080"",Z$3)"),2221.95)</f>
        <v>2221.95</v>
      </c>
      <c r="AA77" s="2">
        <f>IFERROR(__xludf.DUMMYFUNCTION("IMPORTRANGE(""https://docs.google.com/spreadsheets/d/""&amp;$A77&amp;""/edit#gid=156619080"",AA$3)"),2193.42)</f>
        <v>2193.42</v>
      </c>
      <c r="AB77" s="2">
        <f>IFERROR(__xludf.DUMMYFUNCTION("IMPORTRANGE(""https://docs.google.com/spreadsheets/d/""&amp;$A77&amp;""/edit#gid=156619080"",AB$3)"),2164.89)</f>
        <v>2164.89</v>
      </c>
      <c r="AC77" s="18">
        <f>IFERROR(__xludf.DUMMYFUNCTION("IMPORTRANGE(""https://docs.google.com/spreadsheets/d/""&amp;$A77&amp;""/edit#gid=156619080"",AC$3)"),2136.36)</f>
        <v>2136.36</v>
      </c>
      <c r="AD77" s="18">
        <f>IFERROR(__xludf.DUMMYFUNCTION("IMPORTRANGE(""https://docs.google.com/spreadsheets/d/""&amp;$A77&amp;""/edit#gid=156619080"",AD$3)"),2107.82)</f>
        <v>2107.82</v>
      </c>
      <c r="AE77" s="18">
        <f>IFERROR(__xludf.DUMMYFUNCTION("IMPORTRANGE(""https://docs.google.com/spreadsheets/d/""&amp;$A77&amp;""/edit#gid=156619080"",AE$3)"),1993.7)</f>
        <v>1993.7</v>
      </c>
      <c r="AF77" s="2">
        <f>IFERROR(__xludf.DUMMYFUNCTION("IMPORTRANGE(""https://docs.google.com/spreadsheets/d/""&amp;$A77&amp;""/edit#gid=156619080"",AF$3)"),1879.58)</f>
        <v>1879.58</v>
      </c>
      <c r="AG77" s="2">
        <f>IFERROR(__xludf.DUMMYFUNCTION("IMPORTRANGE(""https://docs.google.com/spreadsheets/d/""&amp;$A77&amp;""/edit#gid=156619080"",AG$3)"),1851.04)</f>
        <v>1851.04</v>
      </c>
      <c r="AH77" s="2">
        <f>IFERROR(__xludf.DUMMYFUNCTION("IMPORTRANGE(""https://docs.google.com/spreadsheets/d/""&amp;$A77&amp;""/edit#gid=156619080"",AH$3)"),1822.51)</f>
        <v>1822.51</v>
      </c>
      <c r="AI77" s="2">
        <f>IFERROR(__xludf.DUMMYFUNCTION("IMPORTRANGE(""https://docs.google.com/spreadsheets/d/""&amp;$A77&amp;""/edit#gid=156619080"",AI$3)"),1793.98)</f>
        <v>1793.98</v>
      </c>
      <c r="AJ77" s="2">
        <f>IFERROR(__xludf.DUMMYFUNCTION("IMPORTRANGE(""https://docs.google.com/spreadsheets/d/""&amp;$A77&amp;""/edit#gid=156619080"",AJ$3)"),1765.45)</f>
        <v>1765.45</v>
      </c>
      <c r="AK77" s="2" t="str">
        <f>IFERROR(__xludf.DUMMYFUNCTION("IMPORTRANGE(""https://docs.google.com/spreadsheets/d/""&amp;$A77&amp;""/edit#gid=156619080"",AK$3)"),"-1.75σ〜-2σ")</f>
        <v>-1.75σ〜-2σ</v>
      </c>
      <c r="AL77" s="2">
        <f>IFERROR(__xludf.DUMMYFUNCTION("IMPORTRANGE(""https://docs.google.com/spreadsheets/d/""&amp;$A77&amp;""/edit#gid=156619080"",AL$3)"),-1.0)</f>
        <v>-1</v>
      </c>
      <c r="AM77" s="2" t="str">
        <f>IFERROR(__xludf.DUMMYFUNCTION("IMPORTRANGE(""https://docs.google.com/spreadsheets/d/""&amp;$A77&amp;""/edit#gid=156619080"",AM$3)"),"")</f>
        <v/>
      </c>
      <c r="AN77" s="2">
        <f>IFERROR(__xludf.DUMMYFUNCTION("IMPORTRANGE(""https://docs.google.com/spreadsheets/d/""&amp;$A77&amp;""/edit#gid=156619080"",AN$3)"),-1.0)</f>
        <v>-1</v>
      </c>
      <c r="AO77" s="2" t="str">
        <f>IFERROR(__xludf.DUMMYFUNCTION("IMPORTRANGE(""https://docs.google.com/spreadsheets/d/""&amp;$A77&amp;""/edit#gid=156619080"",AO$3)"),"")</f>
        <v/>
      </c>
      <c r="AP77" s="2">
        <f>IFERROR(__xludf.DUMMYFUNCTION("IMPORTRANGE(""https://docs.google.com/spreadsheets/d/""&amp;$A77&amp;""/edit#gid=156619080"",AP$3)"),-1.0)</f>
        <v>-1</v>
      </c>
      <c r="AQ77" s="2" t="str">
        <f>IFERROR(__xludf.DUMMYFUNCTION("IMPORTRANGE(""https://docs.google.com/spreadsheets/d/""&amp;$A77&amp;""/edit#gid=156619080"",AQ$3)"),"")</f>
        <v/>
      </c>
      <c r="AR77" s="18">
        <f>IFERROR(__xludf.DUMMYFUNCTION("IMPORTRANGE(""https://docs.google.com/spreadsheets/d/""&amp;$A77&amp;""/edit#gid=156619080"",AR$3)"),-100.0)</f>
        <v>-100</v>
      </c>
      <c r="AS77" s="19" t="str">
        <f>IFERROR(__xludf.DUMMYFUNCTION("IMPORTRANGE(""https://docs.google.com/spreadsheets/d/""&amp;$A77&amp;""/edit#gid=156619080"",AS$3)"),"-70
-70
-70
-100
")</f>
        <v>-70
-70
-70
-100
</v>
      </c>
      <c r="AT77" s="18">
        <f>IFERROR(__xludf.DUMMYFUNCTION("IMPORTRANGE(""https://docs.google.com/spreadsheets/d/""&amp;$A77&amp;""/edit#gid=156619080"",AT$3)"),-89.01098901098901)</f>
        <v>-89.01098901</v>
      </c>
      <c r="AU77" s="3" t="str">
        <f>IFERROR(__xludf.DUMMYFUNCTION("IMPORTRANGE(""https://docs.google.com/spreadsheets/d/""&amp;$A77&amp;""/edit#gid=156619080"",AU$3)"),"-46.7
-58.24
-70.88
-80.77
")</f>
        <v>-46.7
-58.24
-70.88
-80.77
</v>
      </c>
      <c r="AV77" s="18">
        <f>IFERROR(__xludf.DUMMYFUNCTION("IMPORTRANGE(""https://docs.google.com/spreadsheets/d/""&amp;$A77&amp;""/edit#gid=156619080"",AV$3)"),-81.94805194805195)</f>
        <v>-81.94805195</v>
      </c>
      <c r="AW77" s="19" t="str">
        <f>IFERROR(__xludf.DUMMYFUNCTION("IMPORTRANGE(""https://docs.google.com/spreadsheets/d/""&amp;$A77&amp;""/edit#gid=156619080"",AW$3)"),"-80.78
-81.3
-81.56
-81.95
")</f>
        <v>-80.78
-81.3
-81.56
-81.95
</v>
      </c>
      <c r="AX77" s="2">
        <f>IFERROR(__xludf.DUMMYFUNCTION("IMPORTRANGE(""https://docs.google.com/spreadsheets/d/""&amp;$A77&amp;""/edit#gid=156619080"",AX$3)"),0.0)</f>
        <v>0</v>
      </c>
      <c r="AY77" s="2">
        <f>IFERROR(__xludf.DUMMYFUNCTION("IMPORTRANGE(""https://docs.google.com/spreadsheets/d/""&amp;$A77&amp;""/edit#gid=156619080"",AY$3)"),26.36)</f>
        <v>26.36</v>
      </c>
      <c r="AZ77" s="2">
        <f>IFERROR(__xludf.DUMMYFUNCTION("IMPORTRANGE(""https://docs.google.com/spreadsheets/d/""&amp;$A77&amp;""/edit#gid=156619080"",AZ$3)"),1843.11)</f>
        <v>1843.11</v>
      </c>
      <c r="BA77" s="2">
        <f>IFERROR(__xludf.DUMMYFUNCTION("IMPORTRANGE(""https://docs.google.com/spreadsheets/d/""&amp;$A77&amp;""/edit#gid=156619080"",BA$3)"),-128.96000000000004)</f>
        <v>-128.96</v>
      </c>
      <c r="BB77" s="2">
        <f>IFERROR(__xludf.DUMMYFUNCTION("IMPORTRANGE(""https://docs.google.com/spreadsheets/d/""&amp;$A77&amp;""/edit#gid=156619080"",BB$3)"),-86.44)</f>
        <v>-86.44</v>
      </c>
      <c r="BC77" s="2" t="str">
        <f>IFERROR(__xludf.DUMMYFUNCTION("IMPORTRANGE(""https://docs.google.com/spreadsheets/d/""&amp;$A77&amp;""/edit#gid=156619080"",BC$3)"),"DC→DC")</f>
        <v>DC→DC</v>
      </c>
    </row>
    <row r="78" ht="51.0" customHeight="1">
      <c r="A78" s="7" t="str">
        <f t="shared" si="5"/>
        <v>1ihYzCtXzLXnxvxvmS6FvYh4RBF1qtB-pfMuSRTmvRmE</v>
      </c>
      <c r="B78" s="1" t="s">
        <v>105</v>
      </c>
      <c r="C78" s="2">
        <f>IFERROR(__xludf.DUMMYFUNCTION("IMPORTRANGE(""https://docs.google.com/spreadsheets/d/""&amp;$A78&amp;""/edit#gid=156619080"",C$3)"),132.0)</f>
        <v>132</v>
      </c>
      <c r="D78" s="2">
        <f>IFERROR(__xludf.DUMMYFUNCTION("IMPORTRANGE(""https://docs.google.com/spreadsheets/d/""&amp;$A78&amp;""/edit#gid=156619080"",D$3)"),6103.0)</f>
        <v>6103</v>
      </c>
      <c r="E78" s="15">
        <f>IFERROR(__xludf.DUMMYFUNCTION("IMPORTRANGE(""https://docs.google.com/spreadsheets/d/""&amp;$A78&amp;""/edit#gid=156619080"",E$3)"),43882.0)</f>
        <v>43882</v>
      </c>
      <c r="F78" s="2">
        <f>IFERROR(__xludf.DUMMYFUNCTION("IMPORTRANGE(""https://docs.google.com/spreadsheets/d/""&amp;$A78&amp;""/edit#gid=156619080"",F$3)"),-50.0)</f>
        <v>-50</v>
      </c>
      <c r="G78" s="16">
        <f>IFERROR(__xludf.DUMMYFUNCTION("IMPORTRANGE(""https://docs.google.com/spreadsheets/d/""&amp;$A78&amp;""/edit#gid=156619080"",G$3)"),-1.0)</f>
        <v>-1</v>
      </c>
      <c r="H78" s="16">
        <f>IFERROR(__xludf.DUMMYFUNCTION("IMPORTRANGE(""https://docs.google.com/spreadsheets/d/""&amp;$A78&amp;""/edit#gid=156619080"",H$3)"),5000.0)</f>
        <v>5000</v>
      </c>
      <c r="I78" s="16">
        <f>IFERROR(__xludf.DUMMYFUNCTION("IMPORTRANGE(""https://docs.google.com/spreadsheets/d/""&amp;$A78&amp;""/edit#gid=156619080"",I$3)"),0.0)</f>
        <v>0</v>
      </c>
      <c r="J78" s="16">
        <f>IFERROR(__xludf.DUMMYFUNCTION("IMPORTRANGE(""https://docs.google.com/spreadsheets/d/""&amp;$A78&amp;""/edit#gid=156619080"",J$3)"),5050.0)</f>
        <v>5050</v>
      </c>
      <c r="K78" s="16">
        <f>IFERROR(__xludf.DUMMYFUNCTION("IMPORTRANGE(""https://docs.google.com/spreadsheets/d/""&amp;$A78&amp;""/edit#gid=156619080"",K$3)"),0.3819444444444444)</f>
        <v>0.3819444444</v>
      </c>
      <c r="L78" s="16">
        <f>IFERROR(__xludf.DUMMYFUNCTION("IMPORTRANGE(""https://docs.google.com/spreadsheets/d/""&amp;$A78&amp;""/edit#gid=156619080"",L$3)"),4940.0)</f>
        <v>4940</v>
      </c>
      <c r="M78" s="16">
        <f>IFERROR(__xludf.DUMMYFUNCTION("IMPORTRANGE(""https://docs.google.com/spreadsheets/d/""&amp;$A78&amp;""/edit#gid=156619080"",M$3)"),0.6229166666666667)</f>
        <v>0.6229166667</v>
      </c>
      <c r="N78" s="16">
        <f>IFERROR(__xludf.DUMMYFUNCTION("IMPORTRANGE(""https://docs.google.com/spreadsheets/d/""&amp;$A78&amp;""/edit#gid=156619080"",N$3)"),4950.0)</f>
        <v>4950</v>
      </c>
      <c r="O78" s="16" t="str">
        <f>IFERROR(__xludf.DUMMYFUNCTION("IMPORTRANGE(""https://docs.google.com/spreadsheets/d/""&amp;$A78&amp;""/edit#gid=156619080"",O$3)"),"196000株")</f>
        <v>196000株</v>
      </c>
      <c r="P78" s="16" t="str">
        <f>IFERROR(__xludf.DUMMYFUNCTION("IMPORTRANGE(""https://docs.google.com/spreadsheets/d/""&amp;$A78&amp;""/edit#gid=156619080"",P$3)"),"976百万円")</f>
        <v>976百万円</v>
      </c>
      <c r="Q78" s="16" t="str">
        <f>IFERROR(__xludf.DUMMYFUNCTION("IMPORTRANGE(""https://docs.google.com/spreadsheets/d/""&amp;$A78&amp;""/edit#gid=156619080"",Q$3)"),"547回")</f>
        <v>547回</v>
      </c>
      <c r="R78" s="16" t="str">
        <f>IFERROR(__xludf.DUMMYFUNCTION("IMPORTRANGE(""https://docs.google.com/spreadsheets/d/""&amp;$A78&amp;""/edit#gid=156619080"",R$3)"),"1671億円")</f>
        <v>1671億円</v>
      </c>
      <c r="S78" s="16" t="str">
        <f>IFERROR(__xludf.DUMMYFUNCTION("IMPORTRANGE(""https://docs.google.com/spreadsheets/d/""&amp;$A78&amp;""/edit#gid=156619080"",S$3)"),"陰線")</f>
        <v>陰線</v>
      </c>
      <c r="T78" s="16" t="str">
        <f>IFERROR(__xludf.DUMMYFUNCTION("IMPORTRANGE(""https://docs.google.com/spreadsheets/d/""&amp;$A78&amp;""/edit#gid=156619080"",T$3)"),"")</f>
        <v/>
      </c>
      <c r="U78" s="16">
        <f>IFERROR(__xludf.DUMMYFUNCTION("IMPORTRANGE(""https://docs.google.com/spreadsheets/d/""&amp;$A78&amp;""/edit#gid=156619080"",U$3)"),4992.0)</f>
        <v>4992</v>
      </c>
      <c r="V78" s="16">
        <f>IFERROR(__xludf.DUMMYFUNCTION("IMPORTRANGE(""https://docs.google.com/spreadsheets/d/""&amp;$A78&amp;""/edit#gid=156619080"",V$3)"),5083.1)</f>
        <v>5083.1</v>
      </c>
      <c r="W78" s="16">
        <f>IFERROR(__xludf.DUMMYFUNCTION("IMPORTRANGE(""https://docs.google.com/spreadsheets/d/""&amp;$A78&amp;""/edit#gid=156619080"",W$3)"),5133.3)</f>
        <v>5133.3</v>
      </c>
      <c r="X78" s="2">
        <f>IFERROR(__xludf.DUMMYFUNCTION("IMPORTRANGE(""https://docs.google.com/spreadsheets/d/""&amp;$A78&amp;""/edit#gid=156619080"",X$3)"),5784.2)</f>
        <v>5784.2</v>
      </c>
      <c r="Y78" s="17">
        <f>IFERROR(__xludf.DUMMYFUNCTION("IMPORTRANGE(""https://docs.google.com/spreadsheets/d/""&amp;$A78&amp;""/edit#gid=156619080"",Y$3)"),-0.008413461538461538)</f>
        <v>-0.008413461538</v>
      </c>
      <c r="Z78" s="2">
        <f>IFERROR(__xludf.DUMMYFUNCTION("IMPORTRANGE(""https://docs.google.com/spreadsheets/d/""&amp;$A78&amp;""/edit#gid=156619080"",Z$3)"),5402.59)</f>
        <v>5402.59</v>
      </c>
      <c r="AA78" s="2">
        <f>IFERROR(__xludf.DUMMYFUNCTION("IMPORTRANGE(""https://docs.google.com/spreadsheets/d/""&amp;$A78&amp;""/edit#gid=156619080"",AA$3)"),5368.93)</f>
        <v>5368.93</v>
      </c>
      <c r="AB78" s="2">
        <f>IFERROR(__xludf.DUMMYFUNCTION("IMPORTRANGE(""https://docs.google.com/spreadsheets/d/""&amp;$A78&amp;""/edit#gid=156619080"",AB$3)"),5335.27)</f>
        <v>5335.27</v>
      </c>
      <c r="AC78" s="18">
        <f>IFERROR(__xludf.DUMMYFUNCTION("IMPORTRANGE(""https://docs.google.com/spreadsheets/d/""&amp;$A78&amp;""/edit#gid=156619080"",AC$3)"),5301.61)</f>
        <v>5301.61</v>
      </c>
      <c r="AD78" s="18">
        <f>IFERROR(__xludf.DUMMYFUNCTION("IMPORTRANGE(""https://docs.google.com/spreadsheets/d/""&amp;$A78&amp;""/edit#gid=156619080"",AD$3)"),5267.95)</f>
        <v>5267.95</v>
      </c>
      <c r="AE78" s="18">
        <f>IFERROR(__xludf.DUMMYFUNCTION("IMPORTRANGE(""https://docs.google.com/spreadsheets/d/""&amp;$A78&amp;""/edit#gid=156619080"",AE$3)"),5133.3)</f>
        <v>5133.3</v>
      </c>
      <c r="AF78" s="2">
        <f>IFERROR(__xludf.DUMMYFUNCTION("IMPORTRANGE(""https://docs.google.com/spreadsheets/d/""&amp;$A78&amp;""/edit#gid=156619080"",AF$3)"),4998.65)</f>
        <v>4998.65</v>
      </c>
      <c r="AG78" s="2">
        <f>IFERROR(__xludf.DUMMYFUNCTION("IMPORTRANGE(""https://docs.google.com/spreadsheets/d/""&amp;$A78&amp;""/edit#gid=156619080"",AG$3)"),4964.99)</f>
        <v>4964.99</v>
      </c>
      <c r="AH78" s="2">
        <f>IFERROR(__xludf.DUMMYFUNCTION("IMPORTRANGE(""https://docs.google.com/spreadsheets/d/""&amp;$A78&amp;""/edit#gid=156619080"",AH$3)"),4931.33)</f>
        <v>4931.33</v>
      </c>
      <c r="AI78" s="2">
        <f>IFERROR(__xludf.DUMMYFUNCTION("IMPORTRANGE(""https://docs.google.com/spreadsheets/d/""&amp;$A78&amp;""/edit#gid=156619080"",AI$3)"),4897.67)</f>
        <v>4897.67</v>
      </c>
      <c r="AJ78" s="2">
        <f>IFERROR(__xludf.DUMMYFUNCTION("IMPORTRANGE(""https://docs.google.com/spreadsheets/d/""&amp;$A78&amp;""/edit#gid=156619080"",AJ$3)"),4864.01)</f>
        <v>4864.01</v>
      </c>
      <c r="AK78" s="2" t="str">
        <f>IFERROR(__xludf.DUMMYFUNCTION("IMPORTRANGE(""https://docs.google.com/spreadsheets/d/""&amp;$A78&amp;""/edit#gid=156619080"",AK$3)"),"-1.25σ〜-1.5σ")</f>
        <v>-1.25σ〜-1.5σ</v>
      </c>
      <c r="AL78" s="2">
        <f>IFERROR(__xludf.DUMMYFUNCTION("IMPORTRANGE(""https://docs.google.com/spreadsheets/d/""&amp;$A78&amp;""/edit#gid=156619080"",AL$3)"),-1.0)</f>
        <v>-1</v>
      </c>
      <c r="AM78" s="2" t="str">
        <f>IFERROR(__xludf.DUMMYFUNCTION("IMPORTRANGE(""https://docs.google.com/spreadsheets/d/""&amp;$A78&amp;""/edit#gid=156619080"",AM$3)"),"")</f>
        <v/>
      </c>
      <c r="AN78" s="2">
        <f>IFERROR(__xludf.DUMMYFUNCTION("IMPORTRANGE(""https://docs.google.com/spreadsheets/d/""&amp;$A78&amp;""/edit#gid=156619080"",AN$3)"),-1.0)</f>
        <v>-1</v>
      </c>
      <c r="AO78" s="2" t="str">
        <f>IFERROR(__xludf.DUMMYFUNCTION("IMPORTRANGE(""https://docs.google.com/spreadsheets/d/""&amp;$A78&amp;""/edit#gid=156619080"",AO$3)"),"")</f>
        <v/>
      </c>
      <c r="AP78" s="2">
        <f>IFERROR(__xludf.DUMMYFUNCTION("IMPORTRANGE(""https://docs.google.com/spreadsheets/d/""&amp;$A78&amp;""/edit#gid=156619080"",AP$3)"),-1.0)</f>
        <v>-1</v>
      </c>
      <c r="AQ78" s="2" t="str">
        <f>IFERROR(__xludf.DUMMYFUNCTION("IMPORTRANGE(""https://docs.google.com/spreadsheets/d/""&amp;$A78&amp;""/edit#gid=156619080"",AQ$3)"),"")</f>
        <v/>
      </c>
      <c r="AR78" s="18">
        <f>IFERROR(__xludf.DUMMYFUNCTION("IMPORTRANGE(""https://docs.google.com/spreadsheets/d/""&amp;$A78&amp;""/edit#gid=156619080"",AR$3)"),-70.0)</f>
        <v>-70</v>
      </c>
      <c r="AS78" s="19" t="str">
        <f>IFERROR(__xludf.DUMMYFUNCTION("IMPORTRANGE(""https://docs.google.com/spreadsheets/d/""&amp;$A78&amp;""/edit#gid=156619080"",AS$3)"),"-90
-90
-90
-60
")</f>
        <v>-90
-90
-90
-60
</v>
      </c>
      <c r="AT78" s="18">
        <f>IFERROR(__xludf.DUMMYFUNCTION("IMPORTRANGE(""https://docs.google.com/spreadsheets/d/""&amp;$A78&amp;""/edit#gid=156619080"",AT$3)"),-83.65384615384615)</f>
        <v>-83.65384615</v>
      </c>
      <c r="AU78" s="3" t="str">
        <f>IFERROR(__xludf.DUMMYFUNCTION("IMPORTRANGE(""https://docs.google.com/spreadsheets/d/""&amp;$A78&amp;""/edit#gid=156619080"",AU$3)"),"-29.4
-36.54
-60.58
-72.66
")</f>
        <v>-29.4
-36.54
-60.58
-72.66
</v>
      </c>
      <c r="AV78" s="18">
        <f>IFERROR(__xludf.DUMMYFUNCTION("IMPORTRANGE(""https://docs.google.com/spreadsheets/d/""&amp;$A78&amp;""/edit#gid=156619080"",AV$3)"),-75.74675324675324)</f>
        <v>-75.74675325</v>
      </c>
      <c r="AW78" s="19" t="str">
        <f>IFERROR(__xludf.DUMMYFUNCTION("IMPORTRANGE(""https://docs.google.com/spreadsheets/d/""&amp;$A78&amp;""/edit#gid=156619080"",AW$3)"),"-76.01
-76.14
-76.14
-75.75
")</f>
        <v>-76.01
-76.14
-76.14
-75.75
</v>
      </c>
      <c r="AX78" s="2">
        <f>IFERROR(__xludf.DUMMYFUNCTION("IMPORTRANGE(""https://docs.google.com/spreadsheets/d/""&amp;$A78&amp;""/edit#gid=156619080"",AX$3)"),28.95)</f>
        <v>28.95</v>
      </c>
      <c r="AY78" s="2">
        <f>IFERROR(__xludf.DUMMYFUNCTION("IMPORTRANGE(""https://docs.google.com/spreadsheets/d/""&amp;$A78&amp;""/edit#gid=156619080"",AY$3)"),29.86)</f>
        <v>29.86</v>
      </c>
      <c r="AZ78" s="2">
        <f>IFERROR(__xludf.DUMMYFUNCTION("IMPORTRANGE(""https://docs.google.com/spreadsheets/d/""&amp;$A78&amp;""/edit#gid=156619080"",AZ$3)"),4994.07)</f>
        <v>4994.07</v>
      </c>
      <c r="BA78" s="2">
        <f>IFERROR(__xludf.DUMMYFUNCTION("IMPORTRANGE(""https://docs.google.com/spreadsheets/d/""&amp;$A78&amp;""/edit#gid=156619080"",BA$3)"),-170.47000000000025)</f>
        <v>-170.47</v>
      </c>
      <c r="BB78" s="2">
        <f>IFERROR(__xludf.DUMMYFUNCTION("IMPORTRANGE(""https://docs.google.com/spreadsheets/d/""&amp;$A78&amp;""/edit#gid=156619080"",BB$3)"),-182.33)</f>
        <v>-182.33</v>
      </c>
      <c r="BC78" s="2" t="str">
        <f>IFERROR(__xludf.DUMMYFUNCTION("IMPORTRANGE(""https://docs.google.com/spreadsheets/d/""&amp;$A78&amp;""/edit#gid=156619080"",BC$3)"),"GC→GC")</f>
        <v>GC→GC</v>
      </c>
    </row>
    <row r="79" ht="51.0" customHeight="1">
      <c r="A79" s="7" t="str">
        <f t="shared" si="5"/>
        <v>185HmbXEJFh73UdralKZ4AdDDKfT0C6Beqw8cy_Ff4lQ</v>
      </c>
      <c r="B79" s="1" t="s">
        <v>106</v>
      </c>
      <c r="C79" s="2">
        <f>IFERROR(__xludf.DUMMYFUNCTION("IMPORTRANGE(""https://docs.google.com/spreadsheets/d/""&amp;$A79&amp;""/edit#gid=156619080"",C$3)"),132.0)</f>
        <v>132</v>
      </c>
      <c r="D79" s="2">
        <f>IFERROR(__xludf.DUMMYFUNCTION("IMPORTRANGE(""https://docs.google.com/spreadsheets/d/""&amp;$A79&amp;""/edit#gid=156619080"",D$3)"),6113.0)</f>
        <v>6113</v>
      </c>
      <c r="E79" s="15">
        <f>IFERROR(__xludf.DUMMYFUNCTION("IMPORTRANGE(""https://docs.google.com/spreadsheets/d/""&amp;$A79&amp;""/edit#gid=156619080"",E$3)"),43882.0)</f>
        <v>43882</v>
      </c>
      <c r="F79" s="2">
        <f>IFERROR(__xludf.DUMMYFUNCTION("IMPORTRANGE(""https://docs.google.com/spreadsheets/d/""&amp;$A79&amp;""/edit#gid=156619080"",F$3)"),-16.0)</f>
        <v>-16</v>
      </c>
      <c r="G79" s="16">
        <f>IFERROR(__xludf.DUMMYFUNCTION("IMPORTRANGE(""https://docs.google.com/spreadsheets/d/""&amp;$A79&amp;""/edit#gid=156619080"",G$3)"),-1.47)</f>
        <v>-1.47</v>
      </c>
      <c r="H79" s="16">
        <f>IFERROR(__xludf.DUMMYFUNCTION("IMPORTRANGE(""https://docs.google.com/spreadsheets/d/""&amp;$A79&amp;""/edit#gid=156619080"",H$3)"),1078.0)</f>
        <v>1078</v>
      </c>
      <c r="I79" s="16">
        <f>IFERROR(__xludf.DUMMYFUNCTION("IMPORTRANGE(""https://docs.google.com/spreadsheets/d/""&amp;$A79&amp;""/edit#gid=156619080"",I$3)"),8.0)</f>
        <v>8</v>
      </c>
      <c r="J79" s="16">
        <f>IFERROR(__xludf.DUMMYFUNCTION("IMPORTRANGE(""https://docs.google.com/spreadsheets/d/""&amp;$A79&amp;""/edit#gid=156619080"",J$3)"),1089.0)</f>
        <v>1089</v>
      </c>
      <c r="K79" s="16">
        <f>IFERROR(__xludf.DUMMYFUNCTION("IMPORTRANGE(""https://docs.google.com/spreadsheets/d/""&amp;$A79&amp;""/edit#gid=156619080"",K$3)"),0.3875)</f>
        <v>0.3875</v>
      </c>
      <c r="L79" s="16">
        <f>IFERROR(__xludf.DUMMYFUNCTION("IMPORTRANGE(""https://docs.google.com/spreadsheets/d/""&amp;$A79&amp;""/edit#gid=156619080"",L$3)"),1066.0)</f>
        <v>1066</v>
      </c>
      <c r="M79" s="16">
        <f>IFERROR(__xludf.DUMMYFUNCTION("IMPORTRANGE(""https://docs.google.com/spreadsheets/d/""&amp;$A79&amp;""/edit#gid=156619080"",M$3)"),0.6236111111111111)</f>
        <v>0.6236111111</v>
      </c>
      <c r="N79" s="16">
        <f>IFERROR(__xludf.DUMMYFUNCTION("IMPORTRANGE(""https://docs.google.com/spreadsheets/d/""&amp;$A79&amp;""/edit#gid=156619080"",N$3)"),1070.0)</f>
        <v>1070</v>
      </c>
      <c r="O79" s="16" t="str">
        <f>IFERROR(__xludf.DUMMYFUNCTION("IMPORTRANGE(""https://docs.google.com/spreadsheets/d/""&amp;$A79&amp;""/edit#gid=156619080"",O$3)"),"2103800株")</f>
        <v>2103800株</v>
      </c>
      <c r="P79" s="16" t="str">
        <f>IFERROR(__xludf.DUMMYFUNCTION("IMPORTRANGE(""https://docs.google.com/spreadsheets/d/""&amp;$A79&amp;""/edit#gid=156619080"",P$3)"),"2265百万円")</f>
        <v>2265百万円</v>
      </c>
      <c r="Q79" s="16" t="str">
        <f>IFERROR(__xludf.DUMMYFUNCTION("IMPORTRANGE(""https://docs.google.com/spreadsheets/d/""&amp;$A79&amp;""/edit#gid=156619080"",Q$3)"),"2093回")</f>
        <v>2093回</v>
      </c>
      <c r="R79" s="16" t="str">
        <f>IFERROR(__xludf.DUMMYFUNCTION("IMPORTRANGE(""https://docs.google.com/spreadsheets/d/""&amp;$A79&amp;""/edit#gid=156619080"",R$3)"),"3939億円")</f>
        <v>3939億円</v>
      </c>
      <c r="S79" s="16" t="str">
        <f>IFERROR(__xludf.DUMMYFUNCTION("IMPORTRANGE(""https://docs.google.com/spreadsheets/d/""&amp;$A79&amp;""/edit#gid=156619080"",S$3)"),"陰線")</f>
        <v>陰線</v>
      </c>
      <c r="T79" s="16" t="str">
        <f>IFERROR(__xludf.DUMMYFUNCTION("IMPORTRANGE(""https://docs.google.com/spreadsheets/d/""&amp;$A79&amp;""/edit#gid=156619080"",T$3)"),"")</f>
        <v/>
      </c>
      <c r="U79" s="16">
        <f>IFERROR(__xludf.DUMMYFUNCTION("IMPORTRANGE(""https://docs.google.com/spreadsheets/d/""&amp;$A79&amp;""/edit#gid=156619080"",U$3)"),1088.6)</f>
        <v>1088.6</v>
      </c>
      <c r="V79" s="16">
        <f>IFERROR(__xludf.DUMMYFUNCTION("IMPORTRANGE(""https://docs.google.com/spreadsheets/d/""&amp;$A79&amp;""/edit#gid=156619080"",V$3)"),1122.7)</f>
        <v>1122.7</v>
      </c>
      <c r="W79" s="16">
        <f>IFERROR(__xludf.DUMMYFUNCTION("IMPORTRANGE(""https://docs.google.com/spreadsheets/d/""&amp;$A79&amp;""/edit#gid=156619080"",W$3)"),1148.7)</f>
        <v>1148.7</v>
      </c>
      <c r="X79" s="2">
        <f>IFERROR(__xludf.DUMMYFUNCTION("IMPORTRANGE(""https://docs.google.com/spreadsheets/d/""&amp;$A79&amp;""/edit#gid=156619080"",X$3)"),1198.9)</f>
        <v>1198.9</v>
      </c>
      <c r="Y79" s="17">
        <f>IFERROR(__xludf.DUMMYFUNCTION("IMPORTRANGE(""https://docs.google.com/spreadsheets/d/""&amp;$A79&amp;""/edit#gid=156619080"",Y$3)"),-0.017086165717435157)</f>
        <v>-0.01708616572</v>
      </c>
      <c r="Z79" s="2">
        <f>IFERROR(__xludf.DUMMYFUNCTION("IMPORTRANGE(""https://docs.google.com/spreadsheets/d/""&amp;$A79&amp;""/edit#gid=156619080"",Z$3)"),1245.89)</f>
        <v>1245.89</v>
      </c>
      <c r="AA79" s="2">
        <f>IFERROR(__xludf.DUMMYFUNCTION("IMPORTRANGE(""https://docs.google.com/spreadsheets/d/""&amp;$A79&amp;""/edit#gid=156619080"",AA$3)"),1233.74)</f>
        <v>1233.74</v>
      </c>
      <c r="AB79" s="2">
        <f>IFERROR(__xludf.DUMMYFUNCTION("IMPORTRANGE(""https://docs.google.com/spreadsheets/d/""&amp;$A79&amp;""/edit#gid=156619080"",AB$3)"),1221.59)</f>
        <v>1221.59</v>
      </c>
      <c r="AC79" s="18">
        <f>IFERROR(__xludf.DUMMYFUNCTION("IMPORTRANGE(""https://docs.google.com/spreadsheets/d/""&amp;$A79&amp;""/edit#gid=156619080"",AC$3)"),1209.44)</f>
        <v>1209.44</v>
      </c>
      <c r="AD79" s="18">
        <f>IFERROR(__xludf.DUMMYFUNCTION("IMPORTRANGE(""https://docs.google.com/spreadsheets/d/""&amp;$A79&amp;""/edit#gid=156619080"",AD$3)"),1197.29)</f>
        <v>1197.29</v>
      </c>
      <c r="AE79" s="18">
        <f>IFERROR(__xludf.DUMMYFUNCTION("IMPORTRANGE(""https://docs.google.com/spreadsheets/d/""&amp;$A79&amp;""/edit#gid=156619080"",AE$3)"),1148.7)</f>
        <v>1148.7</v>
      </c>
      <c r="AF79" s="2">
        <f>IFERROR(__xludf.DUMMYFUNCTION("IMPORTRANGE(""https://docs.google.com/spreadsheets/d/""&amp;$A79&amp;""/edit#gid=156619080"",AF$3)"),1100.11)</f>
        <v>1100.11</v>
      </c>
      <c r="AG79" s="2">
        <f>IFERROR(__xludf.DUMMYFUNCTION("IMPORTRANGE(""https://docs.google.com/spreadsheets/d/""&amp;$A79&amp;""/edit#gid=156619080"",AG$3)"),1087.96)</f>
        <v>1087.96</v>
      </c>
      <c r="AH79" s="2">
        <f>IFERROR(__xludf.DUMMYFUNCTION("IMPORTRANGE(""https://docs.google.com/spreadsheets/d/""&amp;$A79&amp;""/edit#gid=156619080"",AH$3)"),1075.81)</f>
        <v>1075.81</v>
      </c>
      <c r="AI79" s="2">
        <f>IFERROR(__xludf.DUMMYFUNCTION("IMPORTRANGE(""https://docs.google.com/spreadsheets/d/""&amp;$A79&amp;""/edit#gid=156619080"",AI$3)"),1063.66)</f>
        <v>1063.66</v>
      </c>
      <c r="AJ79" s="2">
        <f>IFERROR(__xludf.DUMMYFUNCTION("IMPORTRANGE(""https://docs.google.com/spreadsheets/d/""&amp;$A79&amp;""/edit#gid=156619080"",AJ$3)"),1051.51)</f>
        <v>1051.51</v>
      </c>
      <c r="AK79" s="2" t="str">
        <f>IFERROR(__xludf.DUMMYFUNCTION("IMPORTRANGE(""https://docs.google.com/spreadsheets/d/""&amp;$A79&amp;""/edit#gid=156619080"",AK$3)"),"-1.5σ〜-1.75σ")</f>
        <v>-1.5σ〜-1.75σ</v>
      </c>
      <c r="AL79" s="2">
        <f>IFERROR(__xludf.DUMMYFUNCTION("IMPORTRANGE(""https://docs.google.com/spreadsheets/d/""&amp;$A79&amp;""/edit#gid=156619080"",AL$3)"),-1.0)</f>
        <v>-1</v>
      </c>
      <c r="AM79" s="2" t="str">
        <f>IFERROR(__xludf.DUMMYFUNCTION("IMPORTRANGE(""https://docs.google.com/spreadsheets/d/""&amp;$A79&amp;""/edit#gid=156619080"",AM$3)"),"")</f>
        <v/>
      </c>
      <c r="AN79" s="2">
        <f>IFERROR(__xludf.DUMMYFUNCTION("IMPORTRANGE(""https://docs.google.com/spreadsheets/d/""&amp;$A79&amp;""/edit#gid=156619080"",AN$3)"),-1.0)</f>
        <v>-1</v>
      </c>
      <c r="AO79" s="2" t="str">
        <f>IFERROR(__xludf.DUMMYFUNCTION("IMPORTRANGE(""https://docs.google.com/spreadsheets/d/""&amp;$A79&amp;""/edit#gid=156619080"",AO$3)"),"")</f>
        <v/>
      </c>
      <c r="AP79" s="2">
        <f>IFERROR(__xludf.DUMMYFUNCTION("IMPORTRANGE(""https://docs.google.com/spreadsheets/d/""&amp;$A79&amp;""/edit#gid=156619080"",AP$3)"),-1.0)</f>
        <v>-1</v>
      </c>
      <c r="AQ79" s="2" t="str">
        <f>IFERROR(__xludf.DUMMYFUNCTION("IMPORTRANGE(""https://docs.google.com/spreadsheets/d/""&amp;$A79&amp;""/edit#gid=156619080"",AQ$3)"),"")</f>
        <v/>
      </c>
      <c r="AR79" s="18">
        <f>IFERROR(__xludf.DUMMYFUNCTION("IMPORTRANGE(""https://docs.google.com/spreadsheets/d/""&amp;$A79&amp;""/edit#gid=156619080"",AR$3)"),-89.99999999999999)</f>
        <v>-90</v>
      </c>
      <c r="AS79" s="19" t="str">
        <f>IFERROR(__xludf.DUMMYFUNCTION("IMPORTRANGE(""https://docs.google.com/spreadsheets/d/""&amp;$A79&amp;""/edit#gid=156619080"",AS$3)"),"-7.5
-70
-70
-90
")</f>
        <v>-7.5
-70
-70
-90
</v>
      </c>
      <c r="AT79" s="18">
        <f>IFERROR(__xludf.DUMMYFUNCTION("IMPORTRANGE(""https://docs.google.com/spreadsheets/d/""&amp;$A79&amp;""/edit#gid=156619080"",AT$3)"),-89.42307692307692)</f>
        <v>-89.42307692</v>
      </c>
      <c r="AU79" s="3" t="str">
        <f>IFERROR(__xludf.DUMMYFUNCTION("IMPORTRANGE(""https://docs.google.com/spreadsheets/d/""&amp;$A79&amp;""/edit#gid=156619080"",AU$3)"),"-66.35
-69.64
-78.43
-84.48
")</f>
        <v>-66.35
-69.64
-78.43
-84.48
</v>
      </c>
      <c r="AV79" s="18">
        <f>IFERROR(__xludf.DUMMYFUNCTION("IMPORTRANGE(""https://docs.google.com/spreadsheets/d/""&amp;$A79&amp;""/edit#gid=156619080"",AV$3)"),-91.0064935064935)</f>
        <v>-91.00649351</v>
      </c>
      <c r="AW79" s="19" t="str">
        <f>IFERROR(__xludf.DUMMYFUNCTION("IMPORTRANGE(""https://docs.google.com/spreadsheets/d/""&amp;$A79&amp;""/edit#gid=156619080"",AW$3)"),"-90.49
-91.01
-91.01
-91.01
")</f>
        <v>-90.49
-91.01
-91.01
-91.01
</v>
      </c>
      <c r="AX79" s="2">
        <f>IFERROR(__xludf.DUMMYFUNCTION("IMPORTRANGE(""https://docs.google.com/spreadsheets/d/""&amp;$A79&amp;""/edit#gid=156619080"",AX$3)"),7.02)</f>
        <v>7.02</v>
      </c>
      <c r="AY79" s="2">
        <f>IFERROR(__xludf.DUMMYFUNCTION("IMPORTRANGE(""https://docs.google.com/spreadsheets/d/""&amp;$A79&amp;""/edit#gid=156619080"",AY$3)"),23.06)</f>
        <v>23.06</v>
      </c>
      <c r="AZ79" s="2">
        <f>IFERROR(__xludf.DUMMYFUNCTION("IMPORTRANGE(""https://docs.google.com/spreadsheets/d/""&amp;$A79&amp;""/edit#gid=156619080"",AZ$3)"),1088.1)</f>
        <v>1088.1</v>
      </c>
      <c r="BA79" s="2">
        <f>IFERROR(__xludf.DUMMYFUNCTION("IMPORTRANGE(""https://docs.google.com/spreadsheets/d/""&amp;$A79&amp;""/edit#gid=156619080"",BA$3)"),-53.950000000000045)</f>
        <v>-53.95</v>
      </c>
      <c r="BB79" s="2">
        <f>IFERROR(__xludf.DUMMYFUNCTION("IMPORTRANGE(""https://docs.google.com/spreadsheets/d/""&amp;$A79&amp;""/edit#gid=156619080"",BB$3)"),-44.45)</f>
        <v>-44.45</v>
      </c>
      <c r="BC79" s="2" t="str">
        <f>IFERROR(__xludf.DUMMYFUNCTION("IMPORTRANGE(""https://docs.google.com/spreadsheets/d/""&amp;$A79&amp;""/edit#gid=156619080"",BC$3)"),"DC→DC")</f>
        <v>DC→DC</v>
      </c>
    </row>
    <row r="80" ht="51.0" customHeight="1">
      <c r="A80" s="7" t="str">
        <f t="shared" si="5"/>
        <v>1ppSzxfvPNa-oZpzUk7W6rbifz-lUHMpY7fcmMz8TZL0</v>
      </c>
      <c r="B80" s="1" t="s">
        <v>107</v>
      </c>
      <c r="C80" s="2">
        <f>IFERROR(__xludf.DUMMYFUNCTION("IMPORTRANGE(""https://docs.google.com/spreadsheets/d/""&amp;$A80&amp;""/edit#gid=156619080"",C$3)"),132.0)</f>
        <v>132</v>
      </c>
      <c r="D80" s="2">
        <f>IFERROR(__xludf.DUMMYFUNCTION("IMPORTRANGE(""https://docs.google.com/spreadsheets/d/""&amp;$A80&amp;""/edit#gid=156619080"",D$3)"),6301.0)</f>
        <v>6301</v>
      </c>
      <c r="E80" s="15">
        <f>IFERROR(__xludf.DUMMYFUNCTION("IMPORTRANGE(""https://docs.google.com/spreadsheets/d/""&amp;$A80&amp;""/edit#gid=156619080"",E$3)"),43882.0)</f>
        <v>43882</v>
      </c>
      <c r="F80" s="2">
        <f>IFERROR(__xludf.DUMMYFUNCTION("IMPORTRANGE(""https://docs.google.com/spreadsheets/d/""&amp;$A80&amp;""/edit#gid=156619080"",F$3)"),-17.0)</f>
        <v>-17</v>
      </c>
      <c r="G80" s="16">
        <f>IFERROR(__xludf.DUMMYFUNCTION("IMPORTRANGE(""https://docs.google.com/spreadsheets/d/""&amp;$A80&amp;""/edit#gid=156619080"",G$3)"),-0.74)</f>
        <v>-0.74</v>
      </c>
      <c r="H80" s="16">
        <f>IFERROR(__xludf.DUMMYFUNCTION("IMPORTRANGE(""https://docs.google.com/spreadsheets/d/""&amp;$A80&amp;""/edit#gid=156619080"",H$3)"),2284.5)</f>
        <v>2284.5</v>
      </c>
      <c r="I80" s="16">
        <f>IFERROR(__xludf.DUMMYFUNCTION("IMPORTRANGE(""https://docs.google.com/spreadsheets/d/""&amp;$A80&amp;""/edit#gid=156619080"",I$3)"),15.5)</f>
        <v>15.5</v>
      </c>
      <c r="J80" s="16">
        <f>IFERROR(__xludf.DUMMYFUNCTION("IMPORTRANGE(""https://docs.google.com/spreadsheets/d/""&amp;$A80&amp;""/edit#gid=156619080"",J$3)"),2305.0)</f>
        <v>2305</v>
      </c>
      <c r="K80" s="16">
        <f>IFERROR(__xludf.DUMMYFUNCTION("IMPORTRANGE(""https://docs.google.com/spreadsheets/d/""&amp;$A80&amp;""/edit#gid=156619080"",K$3)"),0.3909722222222222)</f>
        <v>0.3909722222</v>
      </c>
      <c r="L80" s="16">
        <f>IFERROR(__xludf.DUMMYFUNCTION("IMPORTRANGE(""https://docs.google.com/spreadsheets/d/""&amp;$A80&amp;""/edit#gid=156619080"",L$3)"),2277.0)</f>
        <v>2277</v>
      </c>
      <c r="M80" s="16">
        <f>IFERROR(__xludf.DUMMYFUNCTION("IMPORTRANGE(""https://docs.google.com/spreadsheets/d/""&amp;$A80&amp;""/edit#gid=156619080"",M$3)"),0.375)</f>
        <v>0.375</v>
      </c>
      <c r="N80" s="16">
        <f>IFERROR(__xludf.DUMMYFUNCTION("IMPORTRANGE(""https://docs.google.com/spreadsheets/d/""&amp;$A80&amp;""/edit#gid=156619080"",N$3)"),2283.0)</f>
        <v>2283</v>
      </c>
      <c r="O80" s="16" t="str">
        <f>IFERROR(__xludf.DUMMYFUNCTION("IMPORTRANGE(""https://docs.google.com/spreadsheets/d/""&amp;$A80&amp;""/edit#gid=156619080"",O$3)"),"3691600株")</f>
        <v>3691600株</v>
      </c>
      <c r="P80" s="16" t="str">
        <f>IFERROR(__xludf.DUMMYFUNCTION("IMPORTRANGE(""https://docs.google.com/spreadsheets/d/""&amp;$A80&amp;""/edit#gid=156619080"",P$3)"),"8450百万円")</f>
        <v>8450百万円</v>
      </c>
      <c r="Q80" s="16" t="str">
        <f>IFERROR(__xludf.DUMMYFUNCTION("IMPORTRANGE(""https://docs.google.com/spreadsheets/d/""&amp;$A80&amp;""/edit#gid=156619080"",Q$3)"),"4901回")</f>
        <v>4901回</v>
      </c>
      <c r="R80" s="16" t="str">
        <f>IFERROR(__xludf.DUMMYFUNCTION("IMPORTRANGE(""https://docs.google.com/spreadsheets/d/""&amp;$A80&amp;""/edit#gid=156619080"",R$3)"),"22204億円")</f>
        <v>22204億円</v>
      </c>
      <c r="S80" s="16" t="str">
        <f>IFERROR(__xludf.DUMMYFUNCTION("IMPORTRANGE(""https://docs.google.com/spreadsheets/d/""&amp;$A80&amp;""/edit#gid=156619080"",S$3)"),"陰線")</f>
        <v>陰線</v>
      </c>
      <c r="T80" s="16" t="str">
        <f>IFERROR(__xludf.DUMMYFUNCTION("IMPORTRANGE(""https://docs.google.com/spreadsheets/d/""&amp;$A80&amp;""/edit#gid=156619080"",T$3)"),"")</f>
        <v/>
      </c>
      <c r="U80" s="16">
        <f>IFERROR(__xludf.DUMMYFUNCTION("IMPORTRANGE(""https://docs.google.com/spreadsheets/d/""&amp;$A80&amp;""/edit#gid=156619080"",U$3)"),2300.8)</f>
        <v>2300.8</v>
      </c>
      <c r="V80" s="16">
        <f>IFERROR(__xludf.DUMMYFUNCTION("IMPORTRANGE(""https://docs.google.com/spreadsheets/d/""&amp;$A80&amp;""/edit#gid=156619080"",V$3)"),2349.0)</f>
        <v>2349</v>
      </c>
      <c r="W80" s="16">
        <f>IFERROR(__xludf.DUMMYFUNCTION("IMPORTRANGE(""https://docs.google.com/spreadsheets/d/""&amp;$A80&amp;""/edit#gid=156619080"",W$3)"),2415.1)</f>
        <v>2415.1</v>
      </c>
      <c r="X80" s="2">
        <f>IFERROR(__xludf.DUMMYFUNCTION("IMPORTRANGE(""https://docs.google.com/spreadsheets/d/""&amp;$A80&amp;""/edit#gid=156619080"",X$3)"),2521.1)</f>
        <v>2521.1</v>
      </c>
      <c r="Y80" s="17">
        <f>IFERROR(__xludf.DUMMYFUNCTION("IMPORTRANGE(""https://docs.google.com/spreadsheets/d/""&amp;$A80&amp;""/edit#gid=156619080"",Y$3)"),-0.007736439499304668)</f>
        <v>-0.007736439499</v>
      </c>
      <c r="Z80" s="2">
        <f>IFERROR(__xludf.DUMMYFUNCTION("IMPORTRANGE(""https://docs.google.com/spreadsheets/d/""&amp;$A80&amp;""/edit#gid=156619080"",Z$3)"),2616.95)</f>
        <v>2616.95</v>
      </c>
      <c r="AA80" s="2">
        <f>IFERROR(__xludf.DUMMYFUNCTION("IMPORTRANGE(""https://docs.google.com/spreadsheets/d/""&amp;$A80&amp;""/edit#gid=156619080"",AA$3)"),2591.72)</f>
        <v>2591.72</v>
      </c>
      <c r="AB80" s="2">
        <f>IFERROR(__xludf.DUMMYFUNCTION("IMPORTRANGE(""https://docs.google.com/spreadsheets/d/""&amp;$A80&amp;""/edit#gid=156619080"",AB$3)"),2566.49)</f>
        <v>2566.49</v>
      </c>
      <c r="AC80" s="18">
        <f>IFERROR(__xludf.DUMMYFUNCTION("IMPORTRANGE(""https://docs.google.com/spreadsheets/d/""&amp;$A80&amp;""/edit#gid=156619080"",AC$3)"),2541.26)</f>
        <v>2541.26</v>
      </c>
      <c r="AD80" s="18">
        <f>IFERROR(__xludf.DUMMYFUNCTION("IMPORTRANGE(""https://docs.google.com/spreadsheets/d/""&amp;$A80&amp;""/edit#gid=156619080"",AD$3)"),2516.02)</f>
        <v>2516.02</v>
      </c>
      <c r="AE80" s="18">
        <f>IFERROR(__xludf.DUMMYFUNCTION("IMPORTRANGE(""https://docs.google.com/spreadsheets/d/""&amp;$A80&amp;""/edit#gid=156619080"",AE$3)"),2415.1)</f>
        <v>2415.1</v>
      </c>
      <c r="AF80" s="2">
        <f>IFERROR(__xludf.DUMMYFUNCTION("IMPORTRANGE(""https://docs.google.com/spreadsheets/d/""&amp;$A80&amp;""/edit#gid=156619080"",AF$3)"),2314.18)</f>
        <v>2314.18</v>
      </c>
      <c r="AG80" s="2">
        <f>IFERROR(__xludf.DUMMYFUNCTION("IMPORTRANGE(""https://docs.google.com/spreadsheets/d/""&amp;$A80&amp;""/edit#gid=156619080"",AG$3)"),2288.94)</f>
        <v>2288.94</v>
      </c>
      <c r="AH80" s="2">
        <f>IFERROR(__xludf.DUMMYFUNCTION("IMPORTRANGE(""https://docs.google.com/spreadsheets/d/""&amp;$A80&amp;""/edit#gid=156619080"",AH$3)"),2263.71)</f>
        <v>2263.71</v>
      </c>
      <c r="AI80" s="2">
        <f>IFERROR(__xludf.DUMMYFUNCTION("IMPORTRANGE(""https://docs.google.com/spreadsheets/d/""&amp;$A80&amp;""/edit#gid=156619080"",AI$3)"),2238.48)</f>
        <v>2238.48</v>
      </c>
      <c r="AJ80" s="2">
        <f>IFERROR(__xludf.DUMMYFUNCTION("IMPORTRANGE(""https://docs.google.com/spreadsheets/d/""&amp;$A80&amp;""/edit#gid=156619080"",AJ$3)"),2213.25)</f>
        <v>2213.25</v>
      </c>
      <c r="AK80" s="2" t="str">
        <f>IFERROR(__xludf.DUMMYFUNCTION("IMPORTRANGE(""https://docs.google.com/spreadsheets/d/""&amp;$A80&amp;""/edit#gid=156619080"",AK$3)"),"-1.25σ〜-1.5σ")</f>
        <v>-1.25σ〜-1.5σ</v>
      </c>
      <c r="AL80" s="2">
        <f>IFERROR(__xludf.DUMMYFUNCTION("IMPORTRANGE(""https://docs.google.com/spreadsheets/d/""&amp;$A80&amp;""/edit#gid=156619080"",AL$3)"),-1.0)</f>
        <v>-1</v>
      </c>
      <c r="AM80" s="2" t="str">
        <f>IFERROR(__xludf.DUMMYFUNCTION("IMPORTRANGE(""https://docs.google.com/spreadsheets/d/""&amp;$A80&amp;""/edit#gid=156619080"",AM$3)"),"")</f>
        <v/>
      </c>
      <c r="AN80" s="2">
        <f>IFERROR(__xludf.DUMMYFUNCTION("IMPORTRANGE(""https://docs.google.com/spreadsheets/d/""&amp;$A80&amp;""/edit#gid=156619080"",AN$3)"),-1.0)</f>
        <v>-1</v>
      </c>
      <c r="AO80" s="2" t="str">
        <f>IFERROR(__xludf.DUMMYFUNCTION("IMPORTRANGE(""https://docs.google.com/spreadsheets/d/""&amp;$A80&amp;""/edit#gid=156619080"",AO$3)"),"")</f>
        <v/>
      </c>
      <c r="AP80" s="2">
        <f>IFERROR(__xludf.DUMMYFUNCTION("IMPORTRANGE(""https://docs.google.com/spreadsheets/d/""&amp;$A80&amp;""/edit#gid=156619080"",AP$3)"),-1.0)</f>
        <v>-1</v>
      </c>
      <c r="AQ80" s="2" t="str">
        <f>IFERROR(__xludf.DUMMYFUNCTION("IMPORTRANGE(""https://docs.google.com/spreadsheets/d/""&amp;$A80&amp;""/edit#gid=156619080"",AQ$3)"),"")</f>
        <v/>
      </c>
      <c r="AR80" s="18">
        <f>IFERROR(__xludf.DUMMYFUNCTION("IMPORTRANGE(""https://docs.google.com/spreadsheets/d/""&amp;$A80&amp;""/edit#gid=156619080"",AR$3)"),-77.49999999999999)</f>
        <v>-77.5</v>
      </c>
      <c r="AS80" s="19" t="str">
        <f>IFERROR(__xludf.DUMMYFUNCTION("IMPORTRANGE(""https://docs.google.com/spreadsheets/d/""&amp;$A80&amp;""/edit#gid=156619080"",AS$3)"),"-90
-90
-90
-77.5
")</f>
        <v>-90
-90
-90
-77.5
</v>
      </c>
      <c r="AT80" s="18">
        <f>IFERROR(__xludf.DUMMYFUNCTION("IMPORTRANGE(""https://docs.google.com/spreadsheets/d/""&amp;$A80&amp;""/edit#gid=156619080"",AT$3)"),-94.36813186813187)</f>
        <v>-94.36813187</v>
      </c>
      <c r="AU80" s="3" t="str">
        <f>IFERROR(__xludf.DUMMYFUNCTION("IMPORTRANGE(""https://docs.google.com/spreadsheets/d/""&amp;$A80&amp;""/edit#gid=156619080"",AU$3)"),"-93.96
-93.96
-93.96
-92.72
")</f>
        <v>-93.96
-93.96
-93.96
-92.72
</v>
      </c>
      <c r="AV80" s="18">
        <f>IFERROR(__xludf.DUMMYFUNCTION("IMPORTRANGE(""https://docs.google.com/spreadsheets/d/""&amp;$A80&amp;""/edit#gid=156619080"",AV$3)"),-98.01948051948052)</f>
        <v>-98.01948052</v>
      </c>
      <c r="AW80" s="19" t="str">
        <f>IFERROR(__xludf.DUMMYFUNCTION("IMPORTRANGE(""https://docs.google.com/spreadsheets/d/""&amp;$A80&amp;""/edit#gid=156619080"",AW$3)"),"-98.18
-98.31
-98.31
-98.02
")</f>
        <v>-98.18
-98.31
-98.31
-98.02
</v>
      </c>
      <c r="AX80" s="2">
        <f>IFERROR(__xludf.DUMMYFUNCTION("IMPORTRANGE(""https://docs.google.com/spreadsheets/d/""&amp;$A80&amp;""/edit#gid=156619080"",AX$3)"),5.04)</f>
        <v>5.04</v>
      </c>
      <c r="AY80" s="2">
        <f>IFERROR(__xludf.DUMMYFUNCTION("IMPORTRANGE(""https://docs.google.com/spreadsheets/d/""&amp;$A80&amp;""/edit#gid=156619080"",AY$3)"),16.14)</f>
        <v>16.14</v>
      </c>
      <c r="AZ80" s="2">
        <f>IFERROR(__xludf.DUMMYFUNCTION("IMPORTRANGE(""https://docs.google.com/spreadsheets/d/""&amp;$A80&amp;""/edit#gid=156619080"",AZ$3)"),2303.14)</f>
        <v>2303.14</v>
      </c>
      <c r="BA80" s="2">
        <f>IFERROR(__xludf.DUMMYFUNCTION("IMPORTRANGE(""https://docs.google.com/spreadsheets/d/""&amp;$A80&amp;""/edit#gid=156619080"",BA$3)"),-98.21000000000004)</f>
        <v>-98.21</v>
      </c>
      <c r="BB80" s="2">
        <f>IFERROR(__xludf.DUMMYFUNCTION("IMPORTRANGE(""https://docs.google.com/spreadsheets/d/""&amp;$A80&amp;""/edit#gid=156619080"",BB$3)"),-93.22)</f>
        <v>-93.22</v>
      </c>
      <c r="BC80" s="2" t="str">
        <f>IFERROR(__xludf.DUMMYFUNCTION("IMPORTRANGE(""https://docs.google.com/spreadsheets/d/""&amp;$A80&amp;""/edit#gid=156619080"",BC$3)"),"DC→DC")</f>
        <v>DC→DC</v>
      </c>
    </row>
    <row r="81" ht="51.0" customHeight="1">
      <c r="A81" s="7" t="str">
        <f t="shared" si="5"/>
        <v>1ChflNXboQxn1B3Ade8gJ38Sr9NmZdaoxkMrdOzASYmA</v>
      </c>
      <c r="B81" s="1" t="s">
        <v>108</v>
      </c>
      <c r="C81" s="2">
        <f>IFERROR(__xludf.DUMMYFUNCTION("IMPORTRANGE(""https://docs.google.com/spreadsheets/d/""&amp;$A81&amp;""/edit#gid=156619080"",C$3)"),132.0)</f>
        <v>132</v>
      </c>
      <c r="D81" s="2">
        <f>IFERROR(__xludf.DUMMYFUNCTION("IMPORTRANGE(""https://docs.google.com/spreadsheets/d/""&amp;$A81&amp;""/edit#gid=156619080"",D$3)"),6302.0)</f>
        <v>6302</v>
      </c>
      <c r="E81" s="15">
        <f>IFERROR(__xludf.DUMMYFUNCTION("IMPORTRANGE(""https://docs.google.com/spreadsheets/d/""&amp;$A81&amp;""/edit#gid=156619080"",E$3)"),43882.0)</f>
        <v>43882</v>
      </c>
      <c r="F81" s="2">
        <f>IFERROR(__xludf.DUMMYFUNCTION("IMPORTRANGE(""https://docs.google.com/spreadsheets/d/""&amp;$A81&amp;""/edit#gid=156619080"",F$3)"),-30.0)</f>
        <v>-30</v>
      </c>
      <c r="G81" s="16">
        <f>IFERROR(__xludf.DUMMYFUNCTION("IMPORTRANGE(""https://docs.google.com/spreadsheets/d/""&amp;$A81&amp;""/edit#gid=156619080"",G$3)"),-1.13)</f>
        <v>-1.13</v>
      </c>
      <c r="H81" s="16">
        <f>IFERROR(__xludf.DUMMYFUNCTION("IMPORTRANGE(""https://docs.google.com/spreadsheets/d/""&amp;$A81&amp;""/edit#gid=156619080"",H$3)"),2675.0)</f>
        <v>2675</v>
      </c>
      <c r="I81" s="16">
        <f>IFERROR(__xludf.DUMMYFUNCTION("IMPORTRANGE(""https://docs.google.com/spreadsheets/d/""&amp;$A81&amp;""/edit#gid=156619080"",I$3)"),-9.0)</f>
        <v>-9</v>
      </c>
      <c r="J81" s="16">
        <f>IFERROR(__xludf.DUMMYFUNCTION("IMPORTRANGE(""https://docs.google.com/spreadsheets/d/""&amp;$A81&amp;""/edit#gid=156619080"",J$3)"),2694.0)</f>
        <v>2694</v>
      </c>
      <c r="K81" s="16">
        <f>IFERROR(__xludf.DUMMYFUNCTION("IMPORTRANGE(""https://docs.google.com/spreadsheets/d/""&amp;$A81&amp;""/edit#gid=156619080"",K$3)"),0.38055555555555554)</f>
        <v>0.3805555556</v>
      </c>
      <c r="L81" s="16">
        <f>IFERROR(__xludf.DUMMYFUNCTION("IMPORTRANGE(""https://docs.google.com/spreadsheets/d/""&amp;$A81&amp;""/edit#gid=156619080"",L$3)"),2631.0)</f>
        <v>2631</v>
      </c>
      <c r="M81" s="16">
        <f>IFERROR(__xludf.DUMMYFUNCTION("IMPORTRANGE(""https://docs.google.com/spreadsheets/d/""&amp;$A81&amp;""/edit#gid=156619080"",M$3)"),0.6229166666666667)</f>
        <v>0.6229166667</v>
      </c>
      <c r="N81" s="16">
        <f>IFERROR(__xludf.DUMMYFUNCTION("IMPORTRANGE(""https://docs.google.com/spreadsheets/d/""&amp;$A81&amp;""/edit#gid=156619080"",N$3)"),2636.0)</f>
        <v>2636</v>
      </c>
      <c r="O81" s="16" t="str">
        <f>IFERROR(__xludf.DUMMYFUNCTION("IMPORTRANGE(""https://docs.google.com/spreadsheets/d/""&amp;$A81&amp;""/edit#gid=156619080"",O$3)"),"539900株")</f>
        <v>539900株</v>
      </c>
      <c r="P81" s="16" t="str">
        <f>IFERROR(__xludf.DUMMYFUNCTION("IMPORTRANGE(""https://docs.google.com/spreadsheets/d/""&amp;$A81&amp;""/edit#gid=156619080"",P$3)"),"1432百万円")</f>
        <v>1432百万円</v>
      </c>
      <c r="Q81" s="16" t="str">
        <f>IFERROR(__xludf.DUMMYFUNCTION("IMPORTRANGE(""https://docs.google.com/spreadsheets/d/""&amp;$A81&amp;""/edit#gid=156619080"",Q$3)"),"1467回")</f>
        <v>1467回</v>
      </c>
      <c r="R81" s="16" t="str">
        <f>IFERROR(__xludf.DUMMYFUNCTION("IMPORTRANGE(""https://docs.google.com/spreadsheets/d/""&amp;$A81&amp;""/edit#gid=156619080"",R$3)"),"3240億円")</f>
        <v>3240億円</v>
      </c>
      <c r="S81" s="16" t="str">
        <f>IFERROR(__xludf.DUMMYFUNCTION("IMPORTRANGE(""https://docs.google.com/spreadsheets/d/""&amp;$A81&amp;""/edit#gid=156619080"",S$3)"),"陰線")</f>
        <v>陰線</v>
      </c>
      <c r="T81" s="16" t="str">
        <f>IFERROR(__xludf.DUMMYFUNCTION("IMPORTRANGE(""https://docs.google.com/spreadsheets/d/""&amp;$A81&amp;""/edit#gid=156619080"",T$3)"),"")</f>
        <v/>
      </c>
      <c r="U81" s="16">
        <f>IFERROR(__xludf.DUMMYFUNCTION("IMPORTRANGE(""https://docs.google.com/spreadsheets/d/""&amp;$A81&amp;""/edit#gid=156619080"",U$3)"),2677.6)</f>
        <v>2677.6</v>
      </c>
      <c r="V81" s="16">
        <f>IFERROR(__xludf.DUMMYFUNCTION("IMPORTRANGE(""https://docs.google.com/spreadsheets/d/""&amp;$A81&amp;""/edit#gid=156619080"",V$3)"),2774.0)</f>
        <v>2774</v>
      </c>
      <c r="W81" s="16">
        <f>IFERROR(__xludf.DUMMYFUNCTION("IMPORTRANGE(""https://docs.google.com/spreadsheets/d/""&amp;$A81&amp;""/edit#gid=156619080"",W$3)"),2842.3)</f>
        <v>2842.3</v>
      </c>
      <c r="X81" s="2">
        <f>IFERROR(__xludf.DUMMYFUNCTION("IMPORTRANGE(""https://docs.google.com/spreadsheets/d/""&amp;$A81&amp;""/edit#gid=156619080"",X$3)"),3105.8)</f>
        <v>3105.8</v>
      </c>
      <c r="Y81" s="17">
        <f>IFERROR(__xludf.DUMMYFUNCTION("IMPORTRANGE(""https://docs.google.com/spreadsheets/d/""&amp;$A81&amp;""/edit#gid=156619080"",Y$3)"),-0.015536301165222553)</f>
        <v>-0.01553630117</v>
      </c>
      <c r="Z81" s="2">
        <f>IFERROR(__xludf.DUMMYFUNCTION("IMPORTRANGE(""https://docs.google.com/spreadsheets/d/""&amp;$A81&amp;""/edit#gid=156619080"",Z$3)"),3088.72)</f>
        <v>3088.72</v>
      </c>
      <c r="AA81" s="2">
        <f>IFERROR(__xludf.DUMMYFUNCTION("IMPORTRANGE(""https://docs.google.com/spreadsheets/d/""&amp;$A81&amp;""/edit#gid=156619080"",AA$3)"),3057.92)</f>
        <v>3057.92</v>
      </c>
      <c r="AB81" s="2">
        <f>IFERROR(__xludf.DUMMYFUNCTION("IMPORTRANGE(""https://docs.google.com/spreadsheets/d/""&amp;$A81&amp;""/edit#gid=156619080"",AB$3)"),3027.12)</f>
        <v>3027.12</v>
      </c>
      <c r="AC81" s="18">
        <f>IFERROR(__xludf.DUMMYFUNCTION("IMPORTRANGE(""https://docs.google.com/spreadsheets/d/""&amp;$A81&amp;""/edit#gid=156619080"",AC$3)"),2996.31)</f>
        <v>2996.31</v>
      </c>
      <c r="AD81" s="18">
        <f>IFERROR(__xludf.DUMMYFUNCTION("IMPORTRANGE(""https://docs.google.com/spreadsheets/d/""&amp;$A81&amp;""/edit#gid=156619080"",AD$3)"),2965.51)</f>
        <v>2965.51</v>
      </c>
      <c r="AE81" s="18">
        <f>IFERROR(__xludf.DUMMYFUNCTION("IMPORTRANGE(""https://docs.google.com/spreadsheets/d/""&amp;$A81&amp;""/edit#gid=156619080"",AE$3)"),2842.3)</f>
        <v>2842.3</v>
      </c>
      <c r="AF81" s="2">
        <f>IFERROR(__xludf.DUMMYFUNCTION("IMPORTRANGE(""https://docs.google.com/spreadsheets/d/""&amp;$A81&amp;""/edit#gid=156619080"",AF$3)"),2719.09)</f>
        <v>2719.09</v>
      </c>
      <c r="AG81" s="2">
        <f>IFERROR(__xludf.DUMMYFUNCTION("IMPORTRANGE(""https://docs.google.com/spreadsheets/d/""&amp;$A81&amp;""/edit#gid=156619080"",AG$3)"),2688.29)</f>
        <v>2688.29</v>
      </c>
      <c r="AH81" s="2">
        <f>IFERROR(__xludf.DUMMYFUNCTION("IMPORTRANGE(""https://docs.google.com/spreadsheets/d/""&amp;$A81&amp;""/edit#gid=156619080"",AH$3)"),2657.48)</f>
        <v>2657.48</v>
      </c>
      <c r="AI81" s="2">
        <f>IFERROR(__xludf.DUMMYFUNCTION("IMPORTRANGE(""https://docs.google.com/spreadsheets/d/""&amp;$A81&amp;""/edit#gid=156619080"",AI$3)"),2626.68)</f>
        <v>2626.68</v>
      </c>
      <c r="AJ81" s="2">
        <f>IFERROR(__xludf.DUMMYFUNCTION("IMPORTRANGE(""https://docs.google.com/spreadsheets/d/""&amp;$A81&amp;""/edit#gid=156619080"",AJ$3)"),2595.88)</f>
        <v>2595.88</v>
      </c>
      <c r="AK81" s="2" t="str">
        <f>IFERROR(__xludf.DUMMYFUNCTION("IMPORTRANGE(""https://docs.google.com/spreadsheets/d/""&amp;$A81&amp;""/edit#gid=156619080"",AK$3)"),"-1.5σ〜-1.75σ")</f>
        <v>-1.5σ〜-1.75σ</v>
      </c>
      <c r="AL81" s="2">
        <f>IFERROR(__xludf.DUMMYFUNCTION("IMPORTRANGE(""https://docs.google.com/spreadsheets/d/""&amp;$A81&amp;""/edit#gid=156619080"",AL$3)"),-1.0)</f>
        <v>-1</v>
      </c>
      <c r="AM81" s="2" t="str">
        <f>IFERROR(__xludf.DUMMYFUNCTION("IMPORTRANGE(""https://docs.google.com/spreadsheets/d/""&amp;$A81&amp;""/edit#gid=156619080"",AM$3)"),"")</f>
        <v/>
      </c>
      <c r="AN81" s="2">
        <f>IFERROR(__xludf.DUMMYFUNCTION("IMPORTRANGE(""https://docs.google.com/spreadsheets/d/""&amp;$A81&amp;""/edit#gid=156619080"",AN$3)"),-1.0)</f>
        <v>-1</v>
      </c>
      <c r="AO81" s="2" t="str">
        <f>IFERROR(__xludf.DUMMYFUNCTION("IMPORTRANGE(""https://docs.google.com/spreadsheets/d/""&amp;$A81&amp;""/edit#gid=156619080"",AO$3)"),"")</f>
        <v/>
      </c>
      <c r="AP81" s="2">
        <f>IFERROR(__xludf.DUMMYFUNCTION("IMPORTRANGE(""https://docs.google.com/spreadsheets/d/""&amp;$A81&amp;""/edit#gid=156619080"",AP$3)"),-1.0)</f>
        <v>-1</v>
      </c>
      <c r="AQ81" s="2" t="str">
        <f>IFERROR(__xludf.DUMMYFUNCTION("IMPORTRANGE(""https://docs.google.com/spreadsheets/d/""&amp;$A81&amp;""/edit#gid=156619080"",AQ$3)"),"")</f>
        <v/>
      </c>
      <c r="AR81" s="18">
        <f>IFERROR(__xludf.DUMMYFUNCTION("IMPORTRANGE(""https://docs.google.com/spreadsheets/d/""&amp;$A81&amp;""/edit#gid=156619080"",AR$3)"),-100.0)</f>
        <v>-100</v>
      </c>
      <c r="AS81" s="19" t="str">
        <f>IFERROR(__xludf.DUMMYFUNCTION("IMPORTRANGE(""https://docs.google.com/spreadsheets/d/""&amp;$A81&amp;""/edit#gid=156619080"",AS$3)"),"-90
-90
-100
-100
")</f>
        <v>-90
-90
-100
-100
</v>
      </c>
      <c r="AT81" s="18">
        <f>IFERROR(__xludf.DUMMYFUNCTION("IMPORTRANGE(""https://docs.google.com/spreadsheets/d/""&amp;$A81&amp;""/edit#gid=156619080"",AT$3)"),-92.3076923076923)</f>
        <v>-92.30769231</v>
      </c>
      <c r="AU81" s="3" t="str">
        <f>IFERROR(__xludf.DUMMYFUNCTION("IMPORTRANGE(""https://docs.google.com/spreadsheets/d/""&amp;$A81&amp;""/edit#gid=156619080"",AU$3)"),"-75.82
-75.82
-82.42
-84.62
")</f>
        <v>-75.82
-75.82
-82.42
-84.62
</v>
      </c>
      <c r="AV81" s="18">
        <f>IFERROR(__xludf.DUMMYFUNCTION("IMPORTRANGE(""https://docs.google.com/spreadsheets/d/""&amp;$A81&amp;""/edit#gid=156619080"",AV$3)"),-92.46753246753248)</f>
        <v>-92.46753247</v>
      </c>
      <c r="AW81" s="19" t="str">
        <f>IFERROR(__xludf.DUMMYFUNCTION("IMPORTRANGE(""https://docs.google.com/spreadsheets/d/""&amp;$A81&amp;""/edit#gid=156619080"",AW$3)"),"-91.85
-92.47
-92.47
-92.47
")</f>
        <v>-91.85
-92.47
-92.47
-92.47
</v>
      </c>
      <c r="AX81" s="2">
        <f>IFERROR(__xludf.DUMMYFUNCTION("IMPORTRANGE(""https://docs.google.com/spreadsheets/d/""&amp;$A81&amp;""/edit#gid=156619080"",AX$3)"),0.0)</f>
        <v>0</v>
      </c>
      <c r="AY81" s="2">
        <f>IFERROR(__xludf.DUMMYFUNCTION("IMPORTRANGE(""https://docs.google.com/spreadsheets/d/""&amp;$A81&amp;""/edit#gid=156619080"",AY$3)"),24.18)</f>
        <v>24.18</v>
      </c>
      <c r="AZ81" s="2">
        <f>IFERROR(__xludf.DUMMYFUNCTION("IMPORTRANGE(""https://docs.google.com/spreadsheets/d/""&amp;$A81&amp;""/edit#gid=156619080"",AZ$3)"),2680.29)</f>
        <v>2680.29</v>
      </c>
      <c r="BA81" s="2">
        <f>IFERROR(__xludf.DUMMYFUNCTION("IMPORTRANGE(""https://docs.google.com/spreadsheets/d/""&amp;$A81&amp;""/edit#gid=156619080"",BA$3)"),-148.13999999999987)</f>
        <v>-148.14</v>
      </c>
      <c r="BB81" s="2">
        <f>IFERROR(__xludf.DUMMYFUNCTION("IMPORTRANGE(""https://docs.google.com/spreadsheets/d/""&amp;$A81&amp;""/edit#gid=156619080"",BB$3)"),-122.96)</f>
        <v>-122.96</v>
      </c>
      <c r="BC81" s="2" t="str">
        <f>IFERROR(__xludf.DUMMYFUNCTION("IMPORTRANGE(""https://docs.google.com/spreadsheets/d/""&amp;$A81&amp;""/edit#gid=156619080"",BC$3)"),"DC→DC")</f>
        <v>DC→DC</v>
      </c>
    </row>
    <row r="82" ht="51.0" customHeight="1">
      <c r="A82" s="7" t="str">
        <f t="shared" si="5"/>
        <v>1c5EK53ZhzL17oIvo4Z7UVqx6y_BsZND3IiD4pBRzj7g</v>
      </c>
      <c r="B82" s="1" t="s">
        <v>109</v>
      </c>
      <c r="C82" s="2">
        <f>IFERROR(__xludf.DUMMYFUNCTION("IMPORTRANGE(""https://docs.google.com/spreadsheets/d/""&amp;$A82&amp;""/edit#gid=156619080"",C$3)"),132.0)</f>
        <v>132</v>
      </c>
      <c r="D82" s="2">
        <f>IFERROR(__xludf.DUMMYFUNCTION("IMPORTRANGE(""https://docs.google.com/spreadsheets/d/""&amp;$A82&amp;""/edit#gid=156619080"",D$3)"),6305.0)</f>
        <v>6305</v>
      </c>
      <c r="E82" s="15">
        <f>IFERROR(__xludf.DUMMYFUNCTION("IMPORTRANGE(""https://docs.google.com/spreadsheets/d/""&amp;$A82&amp;""/edit#gid=156619080"",E$3)"),43882.0)</f>
        <v>43882</v>
      </c>
      <c r="F82" s="2">
        <f>IFERROR(__xludf.DUMMYFUNCTION("IMPORTRANGE(""https://docs.google.com/spreadsheets/d/""&amp;$A82&amp;""/edit#gid=156619080"",F$3)"),1.0)</f>
        <v>1</v>
      </c>
      <c r="G82" s="16">
        <f>IFERROR(__xludf.DUMMYFUNCTION("IMPORTRANGE(""https://docs.google.com/spreadsheets/d/""&amp;$A82&amp;""/edit#gid=156619080"",G$3)"),0.03)</f>
        <v>0.03</v>
      </c>
      <c r="H82" s="16">
        <f>IFERROR(__xludf.DUMMYFUNCTION("IMPORTRANGE(""https://docs.google.com/spreadsheets/d/""&amp;$A82&amp;""/edit#gid=156619080"",H$3)"),2936.0)</f>
        <v>2936</v>
      </c>
      <c r="I82" s="16">
        <f>IFERROR(__xludf.DUMMYFUNCTION("IMPORTRANGE(""https://docs.google.com/spreadsheets/d/""&amp;$A82&amp;""/edit#gid=156619080"",I$3)"),16.0)</f>
        <v>16</v>
      </c>
      <c r="J82" s="16">
        <f>IFERROR(__xludf.DUMMYFUNCTION("IMPORTRANGE(""https://docs.google.com/spreadsheets/d/""&amp;$A82&amp;""/edit#gid=156619080"",J$3)"),2973.0)</f>
        <v>2973</v>
      </c>
      <c r="K82" s="16">
        <f>IFERROR(__xludf.DUMMYFUNCTION("IMPORTRANGE(""https://docs.google.com/spreadsheets/d/""&amp;$A82&amp;""/edit#gid=156619080"",K$3)"),0.3819444444444444)</f>
        <v>0.3819444444</v>
      </c>
      <c r="L82" s="16">
        <f>IFERROR(__xludf.DUMMYFUNCTION("IMPORTRANGE(""https://docs.google.com/spreadsheets/d/""&amp;$A82&amp;""/edit#gid=156619080"",L$3)"),2929.0)</f>
        <v>2929</v>
      </c>
      <c r="M82" s="16">
        <f>IFERROR(__xludf.DUMMYFUNCTION("IMPORTRANGE(""https://docs.google.com/spreadsheets/d/""&amp;$A82&amp;""/edit#gid=156619080"",M$3)"),0.47638888888888886)</f>
        <v>0.4763888889</v>
      </c>
      <c r="N82" s="16">
        <f>IFERROR(__xludf.DUMMYFUNCTION("IMPORTRANGE(""https://docs.google.com/spreadsheets/d/""&amp;$A82&amp;""/edit#gid=156619080"",N$3)"),2953.0)</f>
        <v>2953</v>
      </c>
      <c r="O82" s="16" t="str">
        <f>IFERROR(__xludf.DUMMYFUNCTION("IMPORTRANGE(""https://docs.google.com/spreadsheets/d/""&amp;$A82&amp;""/edit#gid=156619080"",O$3)"),"676100株")</f>
        <v>676100株</v>
      </c>
      <c r="P82" s="16" t="str">
        <f>IFERROR(__xludf.DUMMYFUNCTION("IMPORTRANGE(""https://docs.google.com/spreadsheets/d/""&amp;$A82&amp;""/edit#gid=156619080"",P$3)"),"1995百万円")</f>
        <v>1995百万円</v>
      </c>
      <c r="Q82" s="16" t="str">
        <f>IFERROR(__xludf.DUMMYFUNCTION("IMPORTRANGE(""https://docs.google.com/spreadsheets/d/""&amp;$A82&amp;""/edit#gid=156619080"",Q$3)"),"1447回")</f>
        <v>1447回</v>
      </c>
      <c r="R82" s="16" t="str">
        <f>IFERROR(__xludf.DUMMYFUNCTION("IMPORTRANGE(""https://docs.google.com/spreadsheets/d/""&amp;$A82&amp;""/edit#gid=156619080"",R$3)"),"6352億円")</f>
        <v>6352億円</v>
      </c>
      <c r="S82" s="16" t="str">
        <f>IFERROR(__xludf.DUMMYFUNCTION("IMPORTRANGE(""https://docs.google.com/spreadsheets/d/""&amp;$A82&amp;""/edit#gid=156619080"",S$3)"),"陽線")</f>
        <v>陽線</v>
      </c>
      <c r="T82" s="16" t="str">
        <f>IFERROR(__xludf.DUMMYFUNCTION("IMPORTRANGE(""https://docs.google.com/spreadsheets/d/""&amp;$A82&amp;""/edit#gid=156619080"",T$3)"),"")</f>
        <v/>
      </c>
      <c r="U82" s="16">
        <f>IFERROR(__xludf.DUMMYFUNCTION("IMPORTRANGE(""https://docs.google.com/spreadsheets/d/""&amp;$A82&amp;""/edit#gid=156619080"",U$3)"),2962.2)</f>
        <v>2962.2</v>
      </c>
      <c r="V82" s="16">
        <f>IFERROR(__xludf.DUMMYFUNCTION("IMPORTRANGE(""https://docs.google.com/spreadsheets/d/""&amp;$A82&amp;""/edit#gid=156619080"",V$3)"),3005.5)</f>
        <v>3005.5</v>
      </c>
      <c r="W82" s="16">
        <f>IFERROR(__xludf.DUMMYFUNCTION("IMPORTRANGE(""https://docs.google.com/spreadsheets/d/""&amp;$A82&amp;""/edit#gid=156619080"",W$3)"),3040.8)</f>
        <v>3040.8</v>
      </c>
      <c r="X82" s="2">
        <f>IFERROR(__xludf.DUMMYFUNCTION("IMPORTRANGE(""https://docs.google.com/spreadsheets/d/""&amp;$A82&amp;""/edit#gid=156619080"",X$3)"),2908.3)</f>
        <v>2908.3</v>
      </c>
      <c r="Y82" s="17">
        <f>IFERROR(__xludf.DUMMYFUNCTION("IMPORTRANGE(""https://docs.google.com/spreadsheets/d/""&amp;$A82&amp;""/edit#gid=156619080"",Y$3)"),-0.003105799743433873)</f>
        <v>-0.003105799743</v>
      </c>
      <c r="Z82" s="2">
        <f>IFERROR(__xludf.DUMMYFUNCTION("IMPORTRANGE(""https://docs.google.com/spreadsheets/d/""&amp;$A82&amp;""/edit#gid=156619080"",Z$3)"),3229.53)</f>
        <v>3229.53</v>
      </c>
      <c r="AA82" s="2">
        <f>IFERROR(__xludf.DUMMYFUNCTION("IMPORTRANGE(""https://docs.google.com/spreadsheets/d/""&amp;$A82&amp;""/edit#gid=156619080"",AA$3)"),3205.94)</f>
        <v>3205.94</v>
      </c>
      <c r="AB82" s="2">
        <f>IFERROR(__xludf.DUMMYFUNCTION("IMPORTRANGE(""https://docs.google.com/spreadsheets/d/""&amp;$A82&amp;""/edit#gid=156619080"",AB$3)"),3182.35)</f>
        <v>3182.35</v>
      </c>
      <c r="AC82" s="18">
        <f>IFERROR(__xludf.DUMMYFUNCTION("IMPORTRANGE(""https://docs.google.com/spreadsheets/d/""&amp;$A82&amp;""/edit#gid=156619080"",AC$3)"),3158.76)</f>
        <v>3158.76</v>
      </c>
      <c r="AD82" s="18">
        <f>IFERROR(__xludf.DUMMYFUNCTION("IMPORTRANGE(""https://docs.google.com/spreadsheets/d/""&amp;$A82&amp;""/edit#gid=156619080"",AD$3)"),3135.17)</f>
        <v>3135.17</v>
      </c>
      <c r="AE82" s="18">
        <f>IFERROR(__xludf.DUMMYFUNCTION("IMPORTRANGE(""https://docs.google.com/spreadsheets/d/""&amp;$A82&amp;""/edit#gid=156619080"",AE$3)"),3040.8)</f>
        <v>3040.8</v>
      </c>
      <c r="AF82" s="2">
        <f>IFERROR(__xludf.DUMMYFUNCTION("IMPORTRANGE(""https://docs.google.com/spreadsheets/d/""&amp;$A82&amp;""/edit#gid=156619080"",AF$3)"),2946.43)</f>
        <v>2946.43</v>
      </c>
      <c r="AG82" s="2">
        <f>IFERROR(__xludf.DUMMYFUNCTION("IMPORTRANGE(""https://docs.google.com/spreadsheets/d/""&amp;$A82&amp;""/edit#gid=156619080"",AG$3)"),2922.84)</f>
        <v>2922.84</v>
      </c>
      <c r="AH82" s="2">
        <f>IFERROR(__xludf.DUMMYFUNCTION("IMPORTRANGE(""https://docs.google.com/spreadsheets/d/""&amp;$A82&amp;""/edit#gid=156619080"",AH$3)"),2899.25)</f>
        <v>2899.25</v>
      </c>
      <c r="AI82" s="2">
        <f>IFERROR(__xludf.DUMMYFUNCTION("IMPORTRANGE(""https://docs.google.com/spreadsheets/d/""&amp;$A82&amp;""/edit#gid=156619080"",AI$3)"),2875.66)</f>
        <v>2875.66</v>
      </c>
      <c r="AJ82" s="2">
        <f>IFERROR(__xludf.DUMMYFUNCTION("IMPORTRANGE(""https://docs.google.com/spreadsheets/d/""&amp;$A82&amp;""/edit#gid=156619080"",AJ$3)"),2852.07)</f>
        <v>2852.07</v>
      </c>
      <c r="AK82" s="2" t="str">
        <f>IFERROR(__xludf.DUMMYFUNCTION("IMPORTRANGE(""https://docs.google.com/spreadsheets/d/""&amp;$A82&amp;""/edit#gid=156619080"",AK$3)"),"")</f>
        <v/>
      </c>
      <c r="AL82" s="2">
        <f>IFERROR(__xludf.DUMMYFUNCTION("IMPORTRANGE(""https://docs.google.com/spreadsheets/d/""&amp;$A82&amp;""/edit#gid=156619080"",AL$3)"),-1.0)</f>
        <v>-1</v>
      </c>
      <c r="AM82" s="2" t="str">
        <f>IFERROR(__xludf.DUMMYFUNCTION("IMPORTRANGE(""https://docs.google.com/spreadsheets/d/""&amp;$A82&amp;""/edit#gid=156619080"",AM$3)"),"")</f>
        <v/>
      </c>
      <c r="AN82" s="2">
        <f>IFERROR(__xludf.DUMMYFUNCTION("IMPORTRANGE(""https://docs.google.com/spreadsheets/d/""&amp;$A82&amp;""/edit#gid=156619080"",AN$3)"),-1.0)</f>
        <v>-1</v>
      </c>
      <c r="AO82" s="2" t="str">
        <f>IFERROR(__xludf.DUMMYFUNCTION("IMPORTRANGE(""https://docs.google.com/spreadsheets/d/""&amp;$A82&amp;""/edit#gid=156619080"",AO$3)"),"")</f>
        <v/>
      </c>
      <c r="AP82" s="2">
        <f>IFERROR(__xludf.DUMMYFUNCTION("IMPORTRANGE(""https://docs.google.com/spreadsheets/d/""&amp;$A82&amp;""/edit#gid=156619080"",AP$3)"),-1.0)</f>
        <v>-1</v>
      </c>
      <c r="AQ82" s="2" t="str">
        <f>IFERROR(__xludf.DUMMYFUNCTION("IMPORTRANGE(""https://docs.google.com/spreadsheets/d/""&amp;$A82&amp;""/edit#gid=156619080"",AQ$3)"),"")</f>
        <v/>
      </c>
      <c r="AR82" s="18">
        <f>IFERROR(__xludf.DUMMYFUNCTION("IMPORTRANGE(""https://docs.google.com/spreadsheets/d/""&amp;$A82&amp;""/edit#gid=156619080"",AR$3)"),-10.000000000000009)</f>
        <v>-10</v>
      </c>
      <c r="AS82" s="19" t="str">
        <f>IFERROR(__xludf.DUMMYFUNCTION("IMPORTRANGE(""https://docs.google.com/spreadsheets/d/""&amp;$A82&amp;""/edit#gid=156619080"",AS$3)"),"10
-90
-100
-70
")</f>
        <v>10
-90
-100
-70
</v>
      </c>
      <c r="AT82" s="18">
        <f>IFERROR(__xludf.DUMMYFUNCTION("IMPORTRANGE(""https://docs.google.com/spreadsheets/d/""&amp;$A82&amp;""/edit#gid=156619080"",AT$3)"),-25.82417582417582)</f>
        <v>-25.82417582</v>
      </c>
      <c r="AU82" s="3" t="str">
        <f>IFERROR(__xludf.DUMMYFUNCTION("IMPORTRANGE(""https://docs.google.com/spreadsheets/d/""&amp;$A82&amp;""/edit#gid=156619080"",AU$3)"),"35.3
45.05
9.34
-11.54
")</f>
        <v>35.3
45.05
9.34
-11.54
</v>
      </c>
      <c r="AV82" s="18">
        <f>IFERROR(__xludf.DUMMYFUNCTION("IMPORTRANGE(""https://docs.google.com/spreadsheets/d/""&amp;$A82&amp;""/edit#gid=156619080"",AV$3)"),-55.941558441558435)</f>
        <v>-55.94155844</v>
      </c>
      <c r="AW82" s="19" t="str">
        <f>IFERROR(__xludf.DUMMYFUNCTION("IMPORTRANGE(""https://docs.google.com/spreadsheets/d/""&amp;$A82&amp;""/edit#gid=156619080"",AW$3)"),"-67.24
-65.03
-63.73
-60.23
")</f>
        <v>-67.24
-65.03
-63.73
-60.23
</v>
      </c>
      <c r="AX82" s="2">
        <f>IFERROR(__xludf.DUMMYFUNCTION("IMPORTRANGE(""https://docs.google.com/spreadsheets/d/""&amp;$A82&amp;""/edit#gid=156619080"",AX$3)"),13.489999999999998)</f>
        <v>13.49</v>
      </c>
      <c r="AY82" s="2">
        <f>IFERROR(__xludf.DUMMYFUNCTION("IMPORTRANGE(""https://docs.google.com/spreadsheets/d/""&amp;$A82&amp;""/edit#gid=156619080"",AY$3)"),32.79)</f>
        <v>32.79</v>
      </c>
      <c r="AZ82" s="2">
        <f>IFERROR(__xludf.DUMMYFUNCTION("IMPORTRANGE(""https://docs.google.com/spreadsheets/d/""&amp;$A82&amp;""/edit#gid=156619080"",AZ$3)"),2967.26)</f>
        <v>2967.26</v>
      </c>
      <c r="BA82" s="2">
        <f>IFERROR(__xludf.DUMMYFUNCTION("IMPORTRANGE(""https://docs.google.com/spreadsheets/d/""&amp;$A82&amp;""/edit#gid=156619080"",BA$3)"),-78.59999999999991)</f>
        <v>-78.6</v>
      </c>
      <c r="BB82" s="2">
        <f>IFERROR(__xludf.DUMMYFUNCTION("IMPORTRANGE(""https://docs.google.com/spreadsheets/d/""&amp;$A82&amp;""/edit#gid=156619080"",BB$3)"),-69.91)</f>
        <v>-69.91</v>
      </c>
      <c r="BC82" s="2" t="str">
        <f>IFERROR(__xludf.DUMMYFUNCTION("IMPORTRANGE(""https://docs.google.com/spreadsheets/d/""&amp;$A82&amp;""/edit#gid=156619080"",BC$3)"),"DC→DC")</f>
        <v>DC→DC</v>
      </c>
    </row>
    <row r="83" ht="51.0" customHeight="1">
      <c r="A83" s="7" t="str">
        <f t="shared" si="5"/>
        <v>1dBIAYQihNB4bza5iXNyZAE-U1bgFk3_qQNoUSMw6yIY</v>
      </c>
      <c r="B83" s="1" t="s">
        <v>110</v>
      </c>
      <c r="C83" s="2">
        <f>IFERROR(__xludf.DUMMYFUNCTION("IMPORTRANGE(""https://docs.google.com/spreadsheets/d/""&amp;$A83&amp;""/edit#gid=156619080"",C$3)"),132.0)</f>
        <v>132</v>
      </c>
      <c r="D83" s="2">
        <f>IFERROR(__xludf.DUMMYFUNCTION("IMPORTRANGE(""https://docs.google.com/spreadsheets/d/""&amp;$A83&amp;""/edit#gid=156619080"",D$3)"),6326.0)</f>
        <v>6326</v>
      </c>
      <c r="E83" s="15">
        <f>IFERROR(__xludf.DUMMYFUNCTION("IMPORTRANGE(""https://docs.google.com/spreadsheets/d/""&amp;$A83&amp;""/edit#gid=156619080"",E$3)"),43882.0)</f>
        <v>43882</v>
      </c>
      <c r="F83" s="2">
        <f>IFERROR(__xludf.DUMMYFUNCTION("IMPORTRANGE(""https://docs.google.com/spreadsheets/d/""&amp;$A83&amp;""/edit#gid=156619080"",F$3)"),-15.0)</f>
        <v>-15</v>
      </c>
      <c r="G83" s="16">
        <f>IFERROR(__xludf.DUMMYFUNCTION("IMPORTRANGE(""https://docs.google.com/spreadsheets/d/""&amp;$A83&amp;""/edit#gid=156619080"",G$3)"),-0.93)</f>
        <v>-0.93</v>
      </c>
      <c r="H83" s="16">
        <f>IFERROR(__xludf.DUMMYFUNCTION("IMPORTRANGE(""https://docs.google.com/spreadsheets/d/""&amp;$A83&amp;""/edit#gid=156619080"",H$3)"),1606.0)</f>
        <v>1606</v>
      </c>
      <c r="I83" s="16">
        <f>IFERROR(__xludf.DUMMYFUNCTION("IMPORTRANGE(""https://docs.google.com/spreadsheets/d/""&amp;$A83&amp;""/edit#gid=156619080"",I$3)"),1.0)</f>
        <v>1</v>
      </c>
      <c r="J83" s="16">
        <f>IFERROR(__xludf.DUMMYFUNCTION("IMPORTRANGE(""https://docs.google.com/spreadsheets/d/""&amp;$A83&amp;""/edit#gid=156619080"",J$3)"),1624.5)</f>
        <v>1624.5</v>
      </c>
      <c r="K83" s="16">
        <f>IFERROR(__xludf.DUMMYFUNCTION("IMPORTRANGE(""https://docs.google.com/spreadsheets/d/""&amp;$A83&amp;""/edit#gid=156619080"",K$3)"),0.3923611111111111)</f>
        <v>0.3923611111</v>
      </c>
      <c r="L83" s="16">
        <f>IFERROR(__xludf.DUMMYFUNCTION("IMPORTRANGE(""https://docs.google.com/spreadsheets/d/""&amp;$A83&amp;""/edit#gid=156619080"",L$3)"),1588.0)</f>
        <v>1588</v>
      </c>
      <c r="M83" s="16">
        <f>IFERROR(__xludf.DUMMYFUNCTION("IMPORTRANGE(""https://docs.google.com/spreadsheets/d/""&amp;$A83&amp;""/edit#gid=156619080"",M$3)"),0.6208333333333333)</f>
        <v>0.6208333333</v>
      </c>
      <c r="N83" s="16">
        <f>IFERROR(__xludf.DUMMYFUNCTION("IMPORTRANGE(""https://docs.google.com/spreadsheets/d/""&amp;$A83&amp;""/edit#gid=156619080"",N$3)"),1592.0)</f>
        <v>1592</v>
      </c>
      <c r="O83" s="16" t="str">
        <f>IFERROR(__xludf.DUMMYFUNCTION("IMPORTRANGE(""https://docs.google.com/spreadsheets/d/""&amp;$A83&amp;""/edit#gid=156619080"",O$3)"),"2360200株")</f>
        <v>2360200株</v>
      </c>
      <c r="P83" s="16" t="str">
        <f>IFERROR(__xludf.DUMMYFUNCTION("IMPORTRANGE(""https://docs.google.com/spreadsheets/d/""&amp;$A83&amp;""/edit#gid=156619080"",P$3)"),"3782百万円")</f>
        <v>3782百万円</v>
      </c>
      <c r="Q83" s="16" t="str">
        <f>IFERROR(__xludf.DUMMYFUNCTION("IMPORTRANGE(""https://docs.google.com/spreadsheets/d/""&amp;$A83&amp;""/edit#gid=156619080"",Q$3)"),"4694回")</f>
        <v>4694回</v>
      </c>
      <c r="R83" s="16" t="str">
        <f>IFERROR(__xludf.DUMMYFUNCTION("IMPORTRANGE(""https://docs.google.com/spreadsheets/d/""&amp;$A83&amp;""/edit#gid=156619080"",R$3)"),"19432億円")</f>
        <v>19432億円</v>
      </c>
      <c r="S83" s="16" t="str">
        <f>IFERROR(__xludf.DUMMYFUNCTION("IMPORTRANGE(""https://docs.google.com/spreadsheets/d/""&amp;$A83&amp;""/edit#gid=156619080"",S$3)"),"陰線")</f>
        <v>陰線</v>
      </c>
      <c r="T83" s="16" t="str">
        <f>IFERROR(__xludf.DUMMYFUNCTION("IMPORTRANGE(""https://docs.google.com/spreadsheets/d/""&amp;$A83&amp;""/edit#gid=156619080"",T$3)"),"")</f>
        <v/>
      </c>
      <c r="U83" s="16">
        <f>IFERROR(__xludf.DUMMYFUNCTION("IMPORTRANGE(""https://docs.google.com/spreadsheets/d/""&amp;$A83&amp;""/edit#gid=156619080"",U$3)"),1603.2)</f>
        <v>1603.2</v>
      </c>
      <c r="V83" s="16">
        <f>IFERROR(__xludf.DUMMYFUNCTION("IMPORTRANGE(""https://docs.google.com/spreadsheets/d/""&amp;$A83&amp;""/edit#gid=156619080"",V$3)"),1703.3)</f>
        <v>1703.3</v>
      </c>
      <c r="W83" s="16">
        <f>IFERROR(__xludf.DUMMYFUNCTION("IMPORTRANGE(""https://docs.google.com/spreadsheets/d/""&amp;$A83&amp;""/edit#gid=156619080"",W$3)"),1718.5)</f>
        <v>1718.5</v>
      </c>
      <c r="X83" s="2">
        <f>IFERROR(__xludf.DUMMYFUNCTION("IMPORTRANGE(""https://docs.google.com/spreadsheets/d/""&amp;$A83&amp;""/edit#gid=156619080"",X$3)"),1689.8)</f>
        <v>1689.8</v>
      </c>
      <c r="Y83" s="17">
        <f>IFERROR(__xludf.DUMMYFUNCTION("IMPORTRANGE(""https://docs.google.com/spreadsheets/d/""&amp;$A83&amp;""/edit#gid=156619080"",Y$3)"),-0.006986027944111805)</f>
        <v>-0.006986027944</v>
      </c>
      <c r="Z83" s="2">
        <f>IFERROR(__xludf.DUMMYFUNCTION("IMPORTRANGE(""https://docs.google.com/spreadsheets/d/""&amp;$A83&amp;""/edit#gid=156619080"",Z$3)"),1857.77)</f>
        <v>1857.77</v>
      </c>
      <c r="AA83" s="2">
        <f>IFERROR(__xludf.DUMMYFUNCTION("IMPORTRANGE(""https://docs.google.com/spreadsheets/d/""&amp;$A83&amp;""/edit#gid=156619080"",AA$3)"),1840.36)</f>
        <v>1840.36</v>
      </c>
      <c r="AB83" s="2">
        <f>IFERROR(__xludf.DUMMYFUNCTION("IMPORTRANGE(""https://docs.google.com/spreadsheets/d/""&amp;$A83&amp;""/edit#gid=156619080"",AB$3)"),1822.95)</f>
        <v>1822.95</v>
      </c>
      <c r="AC83" s="18">
        <f>IFERROR(__xludf.DUMMYFUNCTION("IMPORTRANGE(""https://docs.google.com/spreadsheets/d/""&amp;$A83&amp;""/edit#gid=156619080"",AC$3)"),1805.54)</f>
        <v>1805.54</v>
      </c>
      <c r="AD83" s="18">
        <f>IFERROR(__xludf.DUMMYFUNCTION("IMPORTRANGE(""https://docs.google.com/spreadsheets/d/""&amp;$A83&amp;""/edit#gid=156619080"",AD$3)"),1788.14)</f>
        <v>1788.14</v>
      </c>
      <c r="AE83" s="18">
        <f>IFERROR(__xludf.DUMMYFUNCTION("IMPORTRANGE(""https://docs.google.com/spreadsheets/d/""&amp;$A83&amp;""/edit#gid=156619080"",AE$3)"),1718.5)</f>
        <v>1718.5</v>
      </c>
      <c r="AF83" s="2">
        <f>IFERROR(__xludf.DUMMYFUNCTION("IMPORTRANGE(""https://docs.google.com/spreadsheets/d/""&amp;$A83&amp;""/edit#gid=156619080"",AF$3)"),1648.86)</f>
        <v>1648.86</v>
      </c>
      <c r="AG83" s="2">
        <f>IFERROR(__xludf.DUMMYFUNCTION("IMPORTRANGE(""https://docs.google.com/spreadsheets/d/""&amp;$A83&amp;""/edit#gid=156619080"",AG$3)"),1631.46)</f>
        <v>1631.46</v>
      </c>
      <c r="AH83" s="2">
        <f>IFERROR(__xludf.DUMMYFUNCTION("IMPORTRANGE(""https://docs.google.com/spreadsheets/d/""&amp;$A83&amp;""/edit#gid=156619080"",AH$3)"),1614.05)</f>
        <v>1614.05</v>
      </c>
      <c r="AI83" s="2">
        <f>IFERROR(__xludf.DUMMYFUNCTION("IMPORTRANGE(""https://docs.google.com/spreadsheets/d/""&amp;$A83&amp;""/edit#gid=156619080"",AI$3)"),1596.64)</f>
        <v>1596.64</v>
      </c>
      <c r="AJ83" s="2">
        <f>IFERROR(__xludf.DUMMYFUNCTION("IMPORTRANGE(""https://docs.google.com/spreadsheets/d/""&amp;$A83&amp;""/edit#gid=156619080"",AJ$3)"),1579.23)</f>
        <v>1579.23</v>
      </c>
      <c r="AK83" s="2" t="str">
        <f>IFERROR(__xludf.DUMMYFUNCTION("IMPORTRANGE(""https://docs.google.com/spreadsheets/d/""&amp;$A83&amp;""/edit#gid=156619080"",AK$3)"),"-1.75σ〜-2σ")</f>
        <v>-1.75σ〜-2σ</v>
      </c>
      <c r="AL83" s="2">
        <f>IFERROR(__xludf.DUMMYFUNCTION("IMPORTRANGE(""https://docs.google.com/spreadsheets/d/""&amp;$A83&amp;""/edit#gid=156619080"",AL$3)"),-1.0)</f>
        <v>-1</v>
      </c>
      <c r="AM83" s="2" t="str">
        <f>IFERROR(__xludf.DUMMYFUNCTION("IMPORTRANGE(""https://docs.google.com/spreadsheets/d/""&amp;$A83&amp;""/edit#gid=156619080"",AM$3)"),"")</f>
        <v/>
      </c>
      <c r="AN83" s="2">
        <f>IFERROR(__xludf.DUMMYFUNCTION("IMPORTRANGE(""https://docs.google.com/spreadsheets/d/""&amp;$A83&amp;""/edit#gid=156619080"",AN$3)"),-1.0)</f>
        <v>-1</v>
      </c>
      <c r="AO83" s="2" t="str">
        <f>IFERROR(__xludf.DUMMYFUNCTION("IMPORTRANGE(""https://docs.google.com/spreadsheets/d/""&amp;$A83&amp;""/edit#gid=156619080"",AO$3)"),"")</f>
        <v/>
      </c>
      <c r="AP83" s="2">
        <f>IFERROR(__xludf.DUMMYFUNCTION("IMPORTRANGE(""https://docs.google.com/spreadsheets/d/""&amp;$A83&amp;""/edit#gid=156619080"",AP$3)"),-1.0)</f>
        <v>-1</v>
      </c>
      <c r="AQ83" s="2" t="str">
        <f>IFERROR(__xludf.DUMMYFUNCTION("IMPORTRANGE(""https://docs.google.com/spreadsheets/d/""&amp;$A83&amp;""/edit#gid=156619080"",AQ$3)"),"")</f>
        <v/>
      </c>
      <c r="AR83" s="18">
        <f>IFERROR(__xludf.DUMMYFUNCTION("IMPORTRANGE(""https://docs.google.com/spreadsheets/d/""&amp;$A83&amp;""/edit#gid=156619080"",AR$3)"),-50.0)</f>
        <v>-50</v>
      </c>
      <c r="AS83" s="19" t="str">
        <f>IFERROR(__xludf.DUMMYFUNCTION("IMPORTRANGE(""https://docs.google.com/spreadsheets/d/""&amp;$A83&amp;""/edit#gid=156619080"",AS$3)"),"-100
-100
-100
-70
")</f>
        <v>-100
-100
-100
-70
</v>
      </c>
      <c r="AT83" s="18">
        <f>IFERROR(__xludf.DUMMYFUNCTION("IMPORTRANGE(""https://docs.google.com/spreadsheets/d/""&amp;$A83&amp;""/edit#gid=156619080"",AT$3)"),-82.41758241758241)</f>
        <v>-82.41758242</v>
      </c>
      <c r="AU83" s="3" t="str">
        <f>IFERROR(__xludf.DUMMYFUNCTION("IMPORTRANGE(""https://docs.google.com/spreadsheets/d/""&amp;$A83&amp;""/edit#gid=156619080"",AU$3)"),"-1.65
-27.47
-52.2
-68.68
")</f>
        <v>-1.65
-27.47
-52.2
-68.68
</v>
      </c>
      <c r="AV83" s="18">
        <f>IFERROR(__xludf.DUMMYFUNCTION("IMPORTRANGE(""https://docs.google.com/spreadsheets/d/""&amp;$A83&amp;""/edit#gid=156619080"",AV$3)"),-49.35064935064935)</f>
        <v>-49.35064935</v>
      </c>
      <c r="AW83" s="19" t="str">
        <f>IFERROR(__xludf.DUMMYFUNCTION("IMPORTRANGE(""https://docs.google.com/spreadsheets/d/""&amp;$A83&amp;""/edit#gid=156619080"",AW$3)"),"-9.22
-29.35
-39.74
-46.36
")</f>
        <v>-9.22
-29.35
-39.74
-46.36
</v>
      </c>
      <c r="AX83" s="2">
        <f>IFERROR(__xludf.DUMMYFUNCTION("IMPORTRANGE(""https://docs.google.com/spreadsheets/d/""&amp;$A83&amp;""/edit#gid=156619080"",AX$3)"),11.459999999999999)</f>
        <v>11.46</v>
      </c>
      <c r="AY83" s="2">
        <f>IFERROR(__xludf.DUMMYFUNCTION("IMPORTRANGE(""https://docs.google.com/spreadsheets/d/""&amp;$A83&amp;""/edit#gid=156619080"",AY$3)"),31.730000000000004)</f>
        <v>31.73</v>
      </c>
      <c r="AZ83" s="2">
        <f>IFERROR(__xludf.DUMMYFUNCTION("IMPORTRANGE(""https://docs.google.com/spreadsheets/d/""&amp;$A83&amp;""/edit#gid=156619080"",AZ$3)"),1618.69)</f>
        <v>1618.69</v>
      </c>
      <c r="BA83" s="2">
        <f>IFERROR(__xludf.DUMMYFUNCTION("IMPORTRANGE(""https://docs.google.com/spreadsheets/d/""&amp;$A83&amp;""/edit#gid=156619080"",BA$3)"),-75.65999999999985)</f>
        <v>-75.66</v>
      </c>
      <c r="BB83" s="2">
        <f>IFERROR(__xludf.DUMMYFUNCTION("IMPORTRANGE(""https://docs.google.com/spreadsheets/d/""&amp;$A83&amp;""/edit#gid=156619080"",BB$3)"),-28.84)</f>
        <v>-28.84</v>
      </c>
      <c r="BC83" s="2" t="str">
        <f>IFERROR(__xludf.DUMMYFUNCTION("IMPORTRANGE(""https://docs.google.com/spreadsheets/d/""&amp;$A83&amp;""/edit#gid=156619080"",BC$3)"),"DC→DC")</f>
        <v>DC→DC</v>
      </c>
    </row>
    <row r="84" ht="51.0" customHeight="1">
      <c r="A84" s="7" t="str">
        <f t="shared" si="5"/>
        <v>1VIo2bV6AAF-Kav_gqWz33SykkNcKyZfcZojigri-TsU</v>
      </c>
      <c r="B84" s="1" t="s">
        <v>111</v>
      </c>
      <c r="C84" s="2">
        <f>IFERROR(__xludf.DUMMYFUNCTION("IMPORTRANGE(""https://docs.google.com/spreadsheets/d/""&amp;$A84&amp;""/edit#gid=156619080"",C$3)"),132.0)</f>
        <v>132</v>
      </c>
      <c r="D84" s="2">
        <f>IFERROR(__xludf.DUMMYFUNCTION("IMPORTRANGE(""https://docs.google.com/spreadsheets/d/""&amp;$A84&amp;""/edit#gid=156619080"",D$3)"),6361.0)</f>
        <v>6361</v>
      </c>
      <c r="E84" s="15">
        <f>IFERROR(__xludf.DUMMYFUNCTION("IMPORTRANGE(""https://docs.google.com/spreadsheets/d/""&amp;$A84&amp;""/edit#gid=156619080"",E$3)"),43882.0)</f>
        <v>43882</v>
      </c>
      <c r="F84" s="2">
        <f>IFERROR(__xludf.DUMMYFUNCTION("IMPORTRANGE(""https://docs.google.com/spreadsheets/d/""&amp;$A84&amp;""/edit#gid=156619080"",F$3)"),25.0)</f>
        <v>25</v>
      </c>
      <c r="G84" s="16">
        <f>IFERROR(__xludf.DUMMYFUNCTION("IMPORTRANGE(""https://docs.google.com/spreadsheets/d/""&amp;$A84&amp;""/edit#gid=156619080"",G$3)"),0.88)</f>
        <v>0.88</v>
      </c>
      <c r="H84" s="16">
        <f>IFERROR(__xludf.DUMMYFUNCTION("IMPORTRANGE(""https://docs.google.com/spreadsheets/d/""&amp;$A84&amp;""/edit#gid=156619080"",H$3)"),2859.0)</f>
        <v>2859</v>
      </c>
      <c r="I84" s="16">
        <f>IFERROR(__xludf.DUMMYFUNCTION("IMPORTRANGE(""https://docs.google.com/spreadsheets/d/""&amp;$A84&amp;""/edit#gid=156619080"",I$3)"),-29.0)</f>
        <v>-29</v>
      </c>
      <c r="J84" s="16">
        <f>IFERROR(__xludf.DUMMYFUNCTION("IMPORTRANGE(""https://docs.google.com/spreadsheets/d/""&amp;$A84&amp;""/edit#gid=156619080"",J$3)"),2898.0)</f>
        <v>2898</v>
      </c>
      <c r="K84" s="16">
        <f>IFERROR(__xludf.DUMMYFUNCTION("IMPORTRANGE(""https://docs.google.com/spreadsheets/d/""&amp;$A84&amp;""/edit#gid=156619080"",K$3)"),0.3923611111111111)</f>
        <v>0.3923611111</v>
      </c>
      <c r="L84" s="16">
        <f>IFERROR(__xludf.DUMMYFUNCTION("IMPORTRANGE(""https://docs.google.com/spreadsheets/d/""&amp;$A84&amp;""/edit#gid=156619080"",L$3)"),2850.0)</f>
        <v>2850</v>
      </c>
      <c r="M84" s="16">
        <f>IFERROR(__xludf.DUMMYFUNCTION("IMPORTRANGE(""https://docs.google.com/spreadsheets/d/""&amp;$A84&amp;""/edit#gid=156619080"",M$3)"),0.375)</f>
        <v>0.375</v>
      </c>
      <c r="N84" s="16">
        <f>IFERROR(__xludf.DUMMYFUNCTION("IMPORTRANGE(""https://docs.google.com/spreadsheets/d/""&amp;$A84&amp;""/edit#gid=156619080"",N$3)"),2855.0)</f>
        <v>2855</v>
      </c>
      <c r="O84" s="16" t="str">
        <f>IFERROR(__xludf.DUMMYFUNCTION("IMPORTRANGE(""https://docs.google.com/spreadsheets/d/""&amp;$A84&amp;""/edit#gid=156619080"",O$3)"),"565200株")</f>
        <v>565200株</v>
      </c>
      <c r="P84" s="16" t="str">
        <f>IFERROR(__xludf.DUMMYFUNCTION("IMPORTRANGE(""https://docs.google.com/spreadsheets/d/""&amp;$A84&amp;""/edit#gid=156619080"",P$3)"),"1621百万円")</f>
        <v>1621百万円</v>
      </c>
      <c r="Q84" s="16" t="str">
        <f>IFERROR(__xludf.DUMMYFUNCTION("IMPORTRANGE(""https://docs.google.com/spreadsheets/d/""&amp;$A84&amp;""/edit#gid=156619080"",Q$3)"),"2212回")</f>
        <v>2212回</v>
      </c>
      <c r="R84" s="16" t="str">
        <f>IFERROR(__xludf.DUMMYFUNCTION("IMPORTRANGE(""https://docs.google.com/spreadsheets/d/""&amp;$A84&amp;""/edit#gid=156619080"",R$3)"),"2716億円")</f>
        <v>2716億円</v>
      </c>
      <c r="S84" s="16" t="str">
        <f>IFERROR(__xludf.DUMMYFUNCTION("IMPORTRANGE(""https://docs.google.com/spreadsheets/d/""&amp;$A84&amp;""/edit#gid=156619080"",S$3)"),"陰線")</f>
        <v>陰線</v>
      </c>
      <c r="T84" s="16" t="str">
        <f>IFERROR(__xludf.DUMMYFUNCTION("IMPORTRANGE(""https://docs.google.com/spreadsheets/d/""&amp;$A84&amp;""/edit#gid=156619080"",T$3)"),"")</f>
        <v/>
      </c>
      <c r="U84" s="16">
        <f>IFERROR(__xludf.DUMMYFUNCTION("IMPORTRANGE(""https://docs.google.com/spreadsheets/d/""&amp;$A84&amp;""/edit#gid=156619080"",U$3)"),2853.8)</f>
        <v>2853.8</v>
      </c>
      <c r="V84" s="16">
        <f>IFERROR(__xludf.DUMMYFUNCTION("IMPORTRANGE(""https://docs.google.com/spreadsheets/d/""&amp;$A84&amp;""/edit#gid=156619080"",V$3)"),3140.6)</f>
        <v>3140.6</v>
      </c>
      <c r="W84" s="16">
        <f>IFERROR(__xludf.DUMMYFUNCTION("IMPORTRANGE(""https://docs.google.com/spreadsheets/d/""&amp;$A84&amp;""/edit#gid=156619080"",W$3)"),3133.2)</f>
        <v>3133.2</v>
      </c>
      <c r="X84" s="2">
        <f>IFERROR(__xludf.DUMMYFUNCTION("IMPORTRANGE(""https://docs.google.com/spreadsheets/d/""&amp;$A84&amp;""/edit#gid=156619080"",X$3)"),3163.4)</f>
        <v>3163.4</v>
      </c>
      <c r="Y84" s="17">
        <f>IFERROR(__xludf.DUMMYFUNCTION("IMPORTRANGE(""https://docs.google.com/spreadsheets/d/""&amp;$A84&amp;""/edit#gid=156619080"",Y$3)"),4.2049197561140167E-4)</f>
        <v>0.0004204919756</v>
      </c>
      <c r="Z84" s="2">
        <f>IFERROR(__xludf.DUMMYFUNCTION("IMPORTRANGE(""https://docs.google.com/spreadsheets/d/""&amp;$A84&amp;""/edit#gid=156619080"",Z$3)"),3577.02)</f>
        <v>3577.02</v>
      </c>
      <c r="AA84" s="2">
        <f>IFERROR(__xludf.DUMMYFUNCTION("IMPORTRANGE(""https://docs.google.com/spreadsheets/d/""&amp;$A84&amp;""/edit#gid=156619080"",AA$3)"),3521.54)</f>
        <v>3521.54</v>
      </c>
      <c r="AB84" s="2">
        <f>IFERROR(__xludf.DUMMYFUNCTION("IMPORTRANGE(""https://docs.google.com/spreadsheets/d/""&amp;$A84&amp;""/edit#gid=156619080"",AB$3)"),3466.07)</f>
        <v>3466.07</v>
      </c>
      <c r="AC84" s="18">
        <f>IFERROR(__xludf.DUMMYFUNCTION("IMPORTRANGE(""https://docs.google.com/spreadsheets/d/""&amp;$A84&amp;""/edit#gid=156619080"",AC$3)"),3410.59)</f>
        <v>3410.59</v>
      </c>
      <c r="AD84" s="18">
        <f>IFERROR(__xludf.DUMMYFUNCTION("IMPORTRANGE(""https://docs.google.com/spreadsheets/d/""&amp;$A84&amp;""/edit#gid=156619080"",AD$3)"),3355.11)</f>
        <v>3355.11</v>
      </c>
      <c r="AE84" s="18">
        <f>IFERROR(__xludf.DUMMYFUNCTION("IMPORTRANGE(""https://docs.google.com/spreadsheets/d/""&amp;$A84&amp;""/edit#gid=156619080"",AE$3)"),3133.2)</f>
        <v>3133.2</v>
      </c>
      <c r="AF84" s="2">
        <f>IFERROR(__xludf.DUMMYFUNCTION("IMPORTRANGE(""https://docs.google.com/spreadsheets/d/""&amp;$A84&amp;""/edit#gid=156619080"",AF$3)"),2911.29)</f>
        <v>2911.29</v>
      </c>
      <c r="AG84" s="2">
        <f>IFERROR(__xludf.DUMMYFUNCTION("IMPORTRANGE(""https://docs.google.com/spreadsheets/d/""&amp;$A84&amp;""/edit#gid=156619080"",AG$3)"),2855.81)</f>
        <v>2855.81</v>
      </c>
      <c r="AH84" s="2">
        <f>IFERROR(__xludf.DUMMYFUNCTION("IMPORTRANGE(""https://docs.google.com/spreadsheets/d/""&amp;$A84&amp;""/edit#gid=156619080"",AH$3)"),2800.33)</f>
        <v>2800.33</v>
      </c>
      <c r="AI84" s="2">
        <f>IFERROR(__xludf.DUMMYFUNCTION("IMPORTRANGE(""https://docs.google.com/spreadsheets/d/""&amp;$A84&amp;""/edit#gid=156619080"",AI$3)"),2744.86)</f>
        <v>2744.86</v>
      </c>
      <c r="AJ84" s="2">
        <f>IFERROR(__xludf.DUMMYFUNCTION("IMPORTRANGE(""https://docs.google.com/spreadsheets/d/""&amp;$A84&amp;""/edit#gid=156619080"",AJ$3)"),2689.38)</f>
        <v>2689.38</v>
      </c>
      <c r="AK84" s="2" t="str">
        <f>IFERROR(__xludf.DUMMYFUNCTION("IMPORTRANGE(""https://docs.google.com/spreadsheets/d/""&amp;$A84&amp;""/edit#gid=156619080"",AK$3)"),"-1.25σ〜-1.5σ")</f>
        <v>-1.25σ〜-1.5σ</v>
      </c>
      <c r="AL84" s="2">
        <f>IFERROR(__xludf.DUMMYFUNCTION("IMPORTRANGE(""https://docs.google.com/spreadsheets/d/""&amp;$A84&amp;""/edit#gid=156619080"",AL$3)"),-1.0)</f>
        <v>-1</v>
      </c>
      <c r="AM84" s="2" t="str">
        <f>IFERROR(__xludf.DUMMYFUNCTION("IMPORTRANGE(""https://docs.google.com/spreadsheets/d/""&amp;$A84&amp;""/edit#gid=156619080"",AM$3)"),"")</f>
        <v/>
      </c>
      <c r="AN84" s="2">
        <f>IFERROR(__xludf.DUMMYFUNCTION("IMPORTRANGE(""https://docs.google.com/spreadsheets/d/""&amp;$A84&amp;""/edit#gid=156619080"",AN$3)"),-1.0)</f>
        <v>-1</v>
      </c>
      <c r="AO84" s="2" t="str">
        <f>IFERROR(__xludf.DUMMYFUNCTION("IMPORTRANGE(""https://docs.google.com/spreadsheets/d/""&amp;$A84&amp;""/edit#gid=156619080"",AO$3)"),"")</f>
        <v/>
      </c>
      <c r="AP84" s="2">
        <f>IFERROR(__xludf.DUMMYFUNCTION("IMPORTRANGE(""https://docs.google.com/spreadsheets/d/""&amp;$A84&amp;""/edit#gid=156619080"",AP$3)"),1.0)</f>
        <v>1</v>
      </c>
      <c r="AQ84" s="2" t="str">
        <f>IFERROR(__xludf.DUMMYFUNCTION("IMPORTRANGE(""https://docs.google.com/spreadsheets/d/""&amp;$A84&amp;""/edit#gid=156619080"",AQ$3)"),"")</f>
        <v/>
      </c>
      <c r="AR84" s="18">
        <f>IFERROR(__xludf.DUMMYFUNCTION("IMPORTRANGE(""https://docs.google.com/spreadsheets/d/""&amp;$A84&amp;""/edit#gid=156619080"",AR$3)"),-60.00000000000001)</f>
        <v>-60</v>
      </c>
      <c r="AS84" s="19" t="str">
        <f>IFERROR(__xludf.DUMMYFUNCTION("IMPORTRANGE(""https://docs.google.com/spreadsheets/d/""&amp;$A84&amp;""/edit#gid=156619080"",AS$3)"),"-100
-100
-100
-90
")</f>
        <v>-100
-100
-100
-90
</v>
      </c>
      <c r="AT84" s="18">
        <f>IFERROR(__xludf.DUMMYFUNCTION("IMPORTRANGE(""https://docs.google.com/spreadsheets/d/""&amp;$A84&amp;""/edit#gid=156619080"",AT$3)"),-84.06593406593406)</f>
        <v>-84.06593407</v>
      </c>
      <c r="AU84" s="3" t="str">
        <f>IFERROR(__xludf.DUMMYFUNCTION("IMPORTRANGE(""https://docs.google.com/spreadsheets/d/""&amp;$A84&amp;""/edit#gid=156619080"",AU$3)"),"-3.71
-28.02
-51.65
-70.33
")</f>
        <v>-3.71
-28.02
-51.65
-70.33
</v>
      </c>
      <c r="AV84" s="18">
        <f>IFERROR(__xludf.DUMMYFUNCTION("IMPORTRANGE(""https://docs.google.com/spreadsheets/d/""&amp;$A84&amp;""/edit#gid=156619080"",AV$3)"),-46.59090909090908)</f>
        <v>-46.59090909</v>
      </c>
      <c r="AW84" s="19" t="str">
        <f>IFERROR(__xludf.DUMMYFUNCTION("IMPORTRANGE(""https://docs.google.com/spreadsheets/d/""&amp;$A84&amp;""/edit#gid=156619080"",AW$3)"),"-7.63
-17.37
-27.89
-38.02
")</f>
        <v>-7.63
-17.37
-27.89
-38.02
</v>
      </c>
      <c r="AX84" s="2">
        <f>IFERROR(__xludf.DUMMYFUNCTION("IMPORTRANGE(""https://docs.google.com/spreadsheets/d/""&amp;$A84&amp;""/edit#gid=156619080"",AX$3)"),26.400000000000002)</f>
        <v>26.4</v>
      </c>
      <c r="AY84" s="2">
        <f>IFERROR(__xludf.DUMMYFUNCTION("IMPORTRANGE(""https://docs.google.com/spreadsheets/d/""&amp;$A84&amp;""/edit#gid=156619080"",AY$3)"),37.4)</f>
        <v>37.4</v>
      </c>
      <c r="AZ84" s="2">
        <f>IFERROR(__xludf.DUMMYFUNCTION("IMPORTRANGE(""https://docs.google.com/spreadsheets/d/""&amp;$A84&amp;""/edit#gid=156619080"",AZ$3)"),2890.19)</f>
        <v>2890.19</v>
      </c>
      <c r="BA84" s="2">
        <f>IFERROR(__xludf.DUMMYFUNCTION("IMPORTRANGE(""https://docs.google.com/spreadsheets/d/""&amp;$A84&amp;""/edit#gid=156619080"",BA$3)"),-209.67999999999984)</f>
        <v>-209.68</v>
      </c>
      <c r="BB84" s="2">
        <f>IFERROR(__xludf.DUMMYFUNCTION("IMPORTRANGE(""https://docs.google.com/spreadsheets/d/""&amp;$A84&amp;""/edit#gid=156619080"",BB$3)"),-105.85)</f>
        <v>-105.85</v>
      </c>
      <c r="BC84" s="2" t="str">
        <f>IFERROR(__xludf.DUMMYFUNCTION("IMPORTRANGE(""https://docs.google.com/spreadsheets/d/""&amp;$A84&amp;""/edit#gid=156619080"",BC$3)"),"DC→DC")</f>
        <v>DC→DC</v>
      </c>
    </row>
    <row r="85" ht="51.0" customHeight="1">
      <c r="A85" s="7" t="str">
        <f t="shared" si="5"/>
        <v>1uErEQtecw6YwEwGYeul-UPgEYSb33GQU-jpnSjnkVys</v>
      </c>
      <c r="B85" s="1" t="s">
        <v>112</v>
      </c>
      <c r="C85" s="2">
        <f>IFERROR(__xludf.DUMMYFUNCTION("IMPORTRANGE(""https://docs.google.com/spreadsheets/d/""&amp;$A85&amp;""/edit#gid=156619080"",C$3)"),132.0)</f>
        <v>132</v>
      </c>
      <c r="D85" s="2">
        <f>IFERROR(__xludf.DUMMYFUNCTION("IMPORTRANGE(""https://docs.google.com/spreadsheets/d/""&amp;$A85&amp;""/edit#gid=156619080"",D$3)"),6367.0)</f>
        <v>6367</v>
      </c>
      <c r="E85" s="15">
        <f>IFERROR(__xludf.DUMMYFUNCTION("IMPORTRANGE(""https://docs.google.com/spreadsheets/d/""&amp;$A85&amp;""/edit#gid=156619080"",E$3)"),43882.0)</f>
        <v>43882</v>
      </c>
      <c r="F85" s="2">
        <f>IFERROR(__xludf.DUMMYFUNCTION("IMPORTRANGE(""https://docs.google.com/spreadsheets/d/""&amp;$A85&amp;""/edit#gid=156619080"",F$3)"),10.0)</f>
        <v>10</v>
      </c>
      <c r="G85" s="16">
        <f>IFERROR(__xludf.DUMMYFUNCTION("IMPORTRANGE(""https://docs.google.com/spreadsheets/d/""&amp;$A85&amp;""/edit#gid=156619080"",G$3)"),0.06)</f>
        <v>0.06</v>
      </c>
      <c r="H85" s="16">
        <f>IFERROR(__xludf.DUMMYFUNCTION("IMPORTRANGE(""https://docs.google.com/spreadsheets/d/""&amp;$A85&amp;""/edit#gid=156619080"",H$3)"),15575.0)</f>
        <v>15575</v>
      </c>
      <c r="I85" s="16">
        <f>IFERROR(__xludf.DUMMYFUNCTION("IMPORTRANGE(""https://docs.google.com/spreadsheets/d/""&amp;$A85&amp;""/edit#gid=156619080"",I$3)"),-130.0)</f>
        <v>-130</v>
      </c>
      <c r="J85" s="16">
        <f>IFERROR(__xludf.DUMMYFUNCTION("IMPORTRANGE(""https://docs.google.com/spreadsheets/d/""&amp;$A85&amp;""/edit#gid=156619080"",J$3)"),15650.0)</f>
        <v>15650</v>
      </c>
      <c r="K85" s="16">
        <f>IFERROR(__xludf.DUMMYFUNCTION("IMPORTRANGE(""https://docs.google.com/spreadsheets/d/""&amp;$A85&amp;""/edit#gid=156619080"",K$3)"),0.40069444444444446)</f>
        <v>0.4006944444</v>
      </c>
      <c r="L85" s="16">
        <f>IFERROR(__xludf.DUMMYFUNCTION("IMPORTRANGE(""https://docs.google.com/spreadsheets/d/""&amp;$A85&amp;""/edit#gid=156619080"",L$3)"),15415.0)</f>
        <v>15415</v>
      </c>
      <c r="M85" s="16">
        <f>IFERROR(__xludf.DUMMYFUNCTION("IMPORTRANGE(""https://docs.google.com/spreadsheets/d/""&amp;$A85&amp;""/edit#gid=156619080"",M$3)"),0.6180555555555556)</f>
        <v>0.6180555556</v>
      </c>
      <c r="N85" s="16">
        <f>IFERROR(__xludf.DUMMYFUNCTION("IMPORTRANGE(""https://docs.google.com/spreadsheets/d/""&amp;$A85&amp;""/edit#gid=156619080"",N$3)"),15455.0)</f>
        <v>15455</v>
      </c>
      <c r="O85" s="16" t="str">
        <f>IFERROR(__xludf.DUMMYFUNCTION("IMPORTRANGE(""https://docs.google.com/spreadsheets/d/""&amp;$A85&amp;""/edit#gid=156619080"",O$3)"),"739700株")</f>
        <v>739700株</v>
      </c>
      <c r="P85" s="16" t="str">
        <f>IFERROR(__xludf.DUMMYFUNCTION("IMPORTRANGE(""https://docs.google.com/spreadsheets/d/""&amp;$A85&amp;""/edit#gid=156619080"",P$3)"),"11463百万円")</f>
        <v>11463百万円</v>
      </c>
      <c r="Q85" s="16" t="str">
        <f>IFERROR(__xludf.DUMMYFUNCTION("IMPORTRANGE(""https://docs.google.com/spreadsheets/d/""&amp;$A85&amp;""/edit#gid=156619080"",Q$3)"),"2211回")</f>
        <v>2211回</v>
      </c>
      <c r="R85" s="16" t="str">
        <f>IFERROR(__xludf.DUMMYFUNCTION("IMPORTRANGE(""https://docs.google.com/spreadsheets/d/""&amp;$A85&amp;""/edit#gid=156619080"",R$3)"),"45301億円")</f>
        <v>45301億円</v>
      </c>
      <c r="S85" s="16" t="str">
        <f>IFERROR(__xludf.DUMMYFUNCTION("IMPORTRANGE(""https://docs.google.com/spreadsheets/d/""&amp;$A85&amp;""/edit#gid=156619080"",S$3)"),"陰線")</f>
        <v>陰線</v>
      </c>
      <c r="T85" s="16" t="str">
        <f>IFERROR(__xludf.DUMMYFUNCTION("IMPORTRANGE(""https://docs.google.com/spreadsheets/d/""&amp;$A85&amp;""/edit#gid=156619080"",T$3)"),"")</f>
        <v/>
      </c>
      <c r="U85" s="16">
        <f>IFERROR(__xludf.DUMMYFUNCTION("IMPORTRANGE(""https://docs.google.com/spreadsheets/d/""&amp;$A85&amp;""/edit#gid=156619080"",U$3)"),15400.0)</f>
        <v>15400</v>
      </c>
      <c r="V85" s="16">
        <f>IFERROR(__xludf.DUMMYFUNCTION("IMPORTRANGE(""https://docs.google.com/spreadsheets/d/""&amp;$A85&amp;""/edit#gid=156619080"",V$3)"),15696.9)</f>
        <v>15696.9</v>
      </c>
      <c r="W85" s="16">
        <f>IFERROR(__xludf.DUMMYFUNCTION("IMPORTRANGE(""https://docs.google.com/spreadsheets/d/""&amp;$A85&amp;""/edit#gid=156619080"",W$3)"),15701.0)</f>
        <v>15701</v>
      </c>
      <c r="X85" s="2">
        <f>IFERROR(__xludf.DUMMYFUNCTION("IMPORTRANGE(""https://docs.google.com/spreadsheets/d/""&amp;$A85&amp;""/edit#gid=156619080"",X$3)"),15135.5)</f>
        <v>15135.5</v>
      </c>
      <c r="Y85" s="17">
        <f>IFERROR(__xludf.DUMMYFUNCTION("IMPORTRANGE(""https://docs.google.com/spreadsheets/d/""&amp;$A85&amp;""/edit#gid=156619080"",Y$3)"),0.0035714285714285713)</f>
        <v>0.003571428571</v>
      </c>
      <c r="Z85" s="2">
        <f>IFERROR(__xludf.DUMMYFUNCTION("IMPORTRANGE(""https://docs.google.com/spreadsheets/d/""&amp;$A85&amp;""/edit#gid=156619080"",Z$3)"),16405.11)</f>
        <v>16405.11</v>
      </c>
      <c r="AA85" s="2">
        <f>IFERROR(__xludf.DUMMYFUNCTION("IMPORTRANGE(""https://docs.google.com/spreadsheets/d/""&amp;$A85&amp;""/edit#gid=156619080"",AA$3)"),16317.09)</f>
        <v>16317.09</v>
      </c>
      <c r="AB85" s="2">
        <f>IFERROR(__xludf.DUMMYFUNCTION("IMPORTRANGE(""https://docs.google.com/spreadsheets/d/""&amp;$A85&amp;""/edit#gid=156619080"",AB$3)"),16229.08)</f>
        <v>16229.08</v>
      </c>
      <c r="AC85" s="18">
        <f>IFERROR(__xludf.DUMMYFUNCTION("IMPORTRANGE(""https://docs.google.com/spreadsheets/d/""&amp;$A85&amp;""/edit#gid=156619080"",AC$3)"),16141.07)</f>
        <v>16141.07</v>
      </c>
      <c r="AD85" s="18">
        <f>IFERROR(__xludf.DUMMYFUNCTION("IMPORTRANGE(""https://docs.google.com/spreadsheets/d/""&amp;$A85&amp;""/edit#gid=156619080"",AD$3)"),16053.05)</f>
        <v>16053.05</v>
      </c>
      <c r="AE85" s="18">
        <f>IFERROR(__xludf.DUMMYFUNCTION("IMPORTRANGE(""https://docs.google.com/spreadsheets/d/""&amp;$A85&amp;""/edit#gid=156619080"",AE$3)"),15701.0)</f>
        <v>15701</v>
      </c>
      <c r="AF85" s="2">
        <f>IFERROR(__xludf.DUMMYFUNCTION("IMPORTRANGE(""https://docs.google.com/spreadsheets/d/""&amp;$A85&amp;""/edit#gid=156619080"",AF$3)"),15348.95)</f>
        <v>15348.95</v>
      </c>
      <c r="AG85" s="2">
        <f>IFERROR(__xludf.DUMMYFUNCTION("IMPORTRANGE(""https://docs.google.com/spreadsheets/d/""&amp;$A85&amp;""/edit#gid=156619080"",AG$3)"),15260.93)</f>
        <v>15260.93</v>
      </c>
      <c r="AH85" s="2">
        <f>IFERROR(__xludf.DUMMYFUNCTION("IMPORTRANGE(""https://docs.google.com/spreadsheets/d/""&amp;$A85&amp;""/edit#gid=156619080"",AH$3)"),15172.92)</f>
        <v>15172.92</v>
      </c>
      <c r="AI85" s="2">
        <f>IFERROR(__xludf.DUMMYFUNCTION("IMPORTRANGE(""https://docs.google.com/spreadsheets/d/""&amp;$A85&amp;""/edit#gid=156619080"",AI$3)"),15084.91)</f>
        <v>15084.91</v>
      </c>
      <c r="AJ85" s="2">
        <f>IFERROR(__xludf.DUMMYFUNCTION("IMPORTRANGE(""https://docs.google.com/spreadsheets/d/""&amp;$A85&amp;""/edit#gid=156619080"",AJ$3)"),14996.89)</f>
        <v>14996.89</v>
      </c>
      <c r="AK85" s="2" t="str">
        <f>IFERROR(__xludf.DUMMYFUNCTION("IMPORTRANGE(""https://docs.google.com/spreadsheets/d/""&amp;$A85&amp;""/edit#gid=156619080"",AK$3)"),"")</f>
        <v/>
      </c>
      <c r="AL85" s="2">
        <f>IFERROR(__xludf.DUMMYFUNCTION("IMPORTRANGE(""https://docs.google.com/spreadsheets/d/""&amp;$A85&amp;""/edit#gid=156619080"",AL$3)"),-1.0)</f>
        <v>-1</v>
      </c>
      <c r="AM85" s="2" t="str">
        <f>IFERROR(__xludf.DUMMYFUNCTION("IMPORTRANGE(""https://docs.google.com/spreadsheets/d/""&amp;$A85&amp;""/edit#gid=156619080"",AM$3)"),"")</f>
        <v/>
      </c>
      <c r="AN85" s="2">
        <f>IFERROR(__xludf.DUMMYFUNCTION("IMPORTRANGE(""https://docs.google.com/spreadsheets/d/""&amp;$A85&amp;""/edit#gid=156619080"",AN$3)"),-1.0)</f>
        <v>-1</v>
      </c>
      <c r="AO85" s="2" t="str">
        <f>IFERROR(__xludf.DUMMYFUNCTION("IMPORTRANGE(""https://docs.google.com/spreadsheets/d/""&amp;$A85&amp;""/edit#gid=156619080"",AO$3)"),"")</f>
        <v/>
      </c>
      <c r="AP85" s="2">
        <f>IFERROR(__xludf.DUMMYFUNCTION("IMPORTRANGE(""https://docs.google.com/spreadsheets/d/""&amp;$A85&amp;""/edit#gid=156619080"",AP$3)"),-1.0)</f>
        <v>-1</v>
      </c>
      <c r="AQ85" s="2" t="str">
        <f>IFERROR(__xludf.DUMMYFUNCTION("IMPORTRANGE(""https://docs.google.com/spreadsheets/d/""&amp;$A85&amp;""/edit#gid=156619080"",AQ$3)"),"")</f>
        <v/>
      </c>
      <c r="AR85" s="18">
        <f>IFERROR(__xludf.DUMMYFUNCTION("IMPORTRANGE(""https://docs.google.com/spreadsheets/d/""&amp;$A85&amp;""/edit#gid=156619080"",AR$3)"),70.0)</f>
        <v>70</v>
      </c>
      <c r="AS85" s="19" t="str">
        <f>IFERROR(__xludf.DUMMYFUNCTION("IMPORTRANGE(""https://docs.google.com/spreadsheets/d/""&amp;$A85&amp;""/edit#gid=156619080"",AS$3)"),"-90
-60
40
90
")</f>
        <v>-90
-60
40
90
</v>
      </c>
      <c r="AT85" s="18">
        <f>IFERROR(__xludf.DUMMYFUNCTION("IMPORTRANGE(""https://docs.google.com/spreadsheets/d/""&amp;$A85&amp;""/edit#gid=156619080"",AT$3)"),-66.4835164835165)</f>
        <v>-66.48351648</v>
      </c>
      <c r="AU85" s="3" t="str">
        <f>IFERROR(__xludf.DUMMYFUNCTION("IMPORTRANGE(""https://docs.google.com/spreadsheets/d/""&amp;$A85&amp;""/edit#gid=156619080"",AU$3)"),"-16.48
-34.07
-53.3
-62.09
")</f>
        <v>-16.48
-34.07
-53.3
-62.09
</v>
      </c>
      <c r="AV85" s="18">
        <f>IFERROR(__xludf.DUMMYFUNCTION("IMPORTRANGE(""https://docs.google.com/spreadsheets/d/""&amp;$A85&amp;""/edit#gid=156619080"",AV$3)"),-39.67532467532469)</f>
        <v>-39.67532468</v>
      </c>
      <c r="AW85" s="19" t="str">
        <f>IFERROR(__xludf.DUMMYFUNCTION("IMPORTRANGE(""https://docs.google.com/spreadsheets/d/""&amp;$A85&amp;""/edit#gid=156619080"",AW$3)"),"-21.62
-36.04
-39.81
-42.53
")</f>
        <v>-21.62
-36.04
-39.81
-42.53
</v>
      </c>
      <c r="AX85" s="2">
        <f>IFERROR(__xludf.DUMMYFUNCTION("IMPORTRANGE(""https://docs.google.com/spreadsheets/d/""&amp;$A85&amp;""/edit#gid=156619080"",AX$3)"),76.8)</f>
        <v>76.8</v>
      </c>
      <c r="AY85" s="2">
        <f>IFERROR(__xludf.DUMMYFUNCTION("IMPORTRANGE(""https://docs.google.com/spreadsheets/d/""&amp;$A85&amp;""/edit#gid=156619080"",AY$3)"),40.23)</f>
        <v>40.23</v>
      </c>
      <c r="AZ85" s="2">
        <f>IFERROR(__xludf.DUMMYFUNCTION("IMPORTRANGE(""https://docs.google.com/spreadsheets/d/""&amp;$A85&amp;""/edit#gid=156619080"",AZ$3)"),15466.19)</f>
        <v>15466.19</v>
      </c>
      <c r="BA85" s="2">
        <f>IFERROR(__xludf.DUMMYFUNCTION("IMPORTRANGE(""https://docs.google.com/spreadsheets/d/""&amp;$A85&amp;""/edit#gid=156619080"",BA$3)"),-160.76999999999862)</f>
        <v>-160.77</v>
      </c>
      <c r="BB85" s="2">
        <f>IFERROR(__xludf.DUMMYFUNCTION("IMPORTRANGE(""https://docs.google.com/spreadsheets/d/""&amp;$A85&amp;""/edit#gid=156619080"",BB$3)"),-59.12)</f>
        <v>-59.12</v>
      </c>
      <c r="BC85" s="2" t="str">
        <f>IFERROR(__xludf.DUMMYFUNCTION("IMPORTRANGE(""https://docs.google.com/spreadsheets/d/""&amp;$A85&amp;""/edit#gid=156619080"",BC$3)"),"DC→DC")</f>
        <v>DC→DC</v>
      </c>
    </row>
    <row r="86" ht="51.0" customHeight="1">
      <c r="A86" s="7" t="str">
        <f t="shared" si="5"/>
        <v>1AoFURbwshE_3wmqxfOd5Ys433sblJyT7WRNX4QJFLiM</v>
      </c>
      <c r="B86" s="1" t="s">
        <v>113</v>
      </c>
      <c r="C86" s="2">
        <f>IFERROR(__xludf.DUMMYFUNCTION("IMPORTRANGE(""https://docs.google.com/spreadsheets/d/""&amp;$A86&amp;""/edit#gid=156619080"",C$3)"),132.0)</f>
        <v>132</v>
      </c>
      <c r="D86" s="2">
        <f>IFERROR(__xludf.DUMMYFUNCTION("IMPORTRANGE(""https://docs.google.com/spreadsheets/d/""&amp;$A86&amp;""/edit#gid=156619080"",D$3)"),6471.0)</f>
        <v>6471</v>
      </c>
      <c r="E86" s="15">
        <f>IFERROR(__xludf.DUMMYFUNCTION("IMPORTRANGE(""https://docs.google.com/spreadsheets/d/""&amp;$A86&amp;""/edit#gid=156619080"",E$3)"),43882.0)</f>
        <v>43882</v>
      </c>
      <c r="F86" s="2">
        <f>IFERROR(__xludf.DUMMYFUNCTION("IMPORTRANGE(""https://docs.google.com/spreadsheets/d/""&amp;$A86&amp;""/edit#gid=156619080"",F$3)"),-7.0)</f>
        <v>-7</v>
      </c>
      <c r="G86" s="16">
        <f>IFERROR(__xludf.DUMMYFUNCTION("IMPORTRANGE(""https://docs.google.com/spreadsheets/d/""&amp;$A86&amp;""/edit#gid=156619080"",G$3)"),-0.77)</f>
        <v>-0.77</v>
      </c>
      <c r="H86" s="16">
        <f>IFERROR(__xludf.DUMMYFUNCTION("IMPORTRANGE(""https://docs.google.com/spreadsheets/d/""&amp;$A86&amp;""/edit#gid=156619080"",H$3)"),903.0)</f>
        <v>903</v>
      </c>
      <c r="I86" s="16">
        <f>IFERROR(__xludf.DUMMYFUNCTION("IMPORTRANGE(""https://docs.google.com/spreadsheets/d/""&amp;$A86&amp;""/edit#gid=156619080"",I$3)"),5.0)</f>
        <v>5</v>
      </c>
      <c r="J86" s="16">
        <f>IFERROR(__xludf.DUMMYFUNCTION("IMPORTRANGE(""https://docs.google.com/spreadsheets/d/""&amp;$A86&amp;""/edit#gid=156619080"",J$3)"),909.0)</f>
        <v>909</v>
      </c>
      <c r="K86" s="16">
        <f>IFERROR(__xludf.DUMMYFUNCTION("IMPORTRANGE(""https://docs.google.com/spreadsheets/d/""&amp;$A86&amp;""/edit#gid=156619080"",K$3)"),0.37916666666666665)</f>
        <v>0.3791666667</v>
      </c>
      <c r="L86" s="16">
        <f>IFERROR(__xludf.DUMMYFUNCTION("IMPORTRANGE(""https://docs.google.com/spreadsheets/d/""&amp;$A86&amp;""/edit#gid=156619080"",L$3)"),898.0)</f>
        <v>898</v>
      </c>
      <c r="M86" s="16">
        <f>IFERROR(__xludf.DUMMYFUNCTION("IMPORTRANGE(""https://docs.google.com/spreadsheets/d/""&amp;$A86&amp;""/edit#gid=156619080"",M$3)"),0.47638888888888886)</f>
        <v>0.4763888889</v>
      </c>
      <c r="N86" s="16">
        <f>IFERROR(__xludf.DUMMYFUNCTION("IMPORTRANGE(""https://docs.google.com/spreadsheets/d/""&amp;$A86&amp;""/edit#gid=156619080"",N$3)"),901.0)</f>
        <v>901</v>
      </c>
      <c r="O86" s="16" t="str">
        <f>IFERROR(__xludf.DUMMYFUNCTION("IMPORTRANGE(""https://docs.google.com/spreadsheets/d/""&amp;$A86&amp;""/edit#gid=156619080"",O$3)"),"1347400株")</f>
        <v>1347400株</v>
      </c>
      <c r="P86" s="16" t="str">
        <f>IFERROR(__xludf.DUMMYFUNCTION("IMPORTRANGE(""https://docs.google.com/spreadsheets/d/""&amp;$A86&amp;""/edit#gid=156619080"",P$3)"),"1217百万円")</f>
        <v>1217百万円</v>
      </c>
      <c r="Q86" s="16" t="str">
        <f>IFERROR(__xludf.DUMMYFUNCTION("IMPORTRANGE(""https://docs.google.com/spreadsheets/d/""&amp;$A86&amp;""/edit#gid=156619080"",Q$3)"),"1748回")</f>
        <v>1748回</v>
      </c>
      <c r="R86" s="16" t="str">
        <f>IFERROR(__xludf.DUMMYFUNCTION("IMPORTRANGE(""https://docs.google.com/spreadsheets/d/""&amp;$A86&amp;""/edit#gid=156619080"",R$3)"),"4967億円")</f>
        <v>4967億円</v>
      </c>
      <c r="S86" s="16" t="str">
        <f>IFERROR(__xludf.DUMMYFUNCTION("IMPORTRANGE(""https://docs.google.com/spreadsheets/d/""&amp;$A86&amp;""/edit#gid=156619080"",S$3)"),"陰線")</f>
        <v>陰線</v>
      </c>
      <c r="T86" s="16" t="str">
        <f>IFERROR(__xludf.DUMMYFUNCTION("IMPORTRANGE(""https://docs.google.com/spreadsheets/d/""&amp;$A86&amp;""/edit#gid=156619080"",T$3)"),"")</f>
        <v/>
      </c>
      <c r="U86" s="16">
        <f>IFERROR(__xludf.DUMMYFUNCTION("IMPORTRANGE(""https://docs.google.com/spreadsheets/d/""&amp;$A86&amp;""/edit#gid=156619080"",U$3)"),903.0)</f>
        <v>903</v>
      </c>
      <c r="V86" s="16">
        <f>IFERROR(__xludf.DUMMYFUNCTION("IMPORTRANGE(""https://docs.google.com/spreadsheets/d/""&amp;$A86&amp;""/edit#gid=156619080"",V$3)"),922.7)</f>
        <v>922.7</v>
      </c>
      <c r="W86" s="16">
        <f>IFERROR(__xludf.DUMMYFUNCTION("IMPORTRANGE(""https://docs.google.com/spreadsheets/d/""&amp;$A86&amp;""/edit#gid=156619080"",W$3)"),930.0)</f>
        <v>930</v>
      </c>
      <c r="X86" s="2">
        <f>IFERROR(__xludf.DUMMYFUNCTION("IMPORTRANGE(""https://docs.google.com/spreadsheets/d/""&amp;$A86&amp;""/edit#gid=156619080"",X$3)"),992.4)</f>
        <v>992.4</v>
      </c>
      <c r="Y86" s="17">
        <f>IFERROR(__xludf.DUMMYFUNCTION("IMPORTRANGE(""https://docs.google.com/spreadsheets/d/""&amp;$A86&amp;""/edit#gid=156619080"",Y$3)"),-0.0022148394241417496)</f>
        <v>-0.002214839424</v>
      </c>
      <c r="Z86" s="2">
        <f>IFERROR(__xludf.DUMMYFUNCTION("IMPORTRANGE(""https://docs.google.com/spreadsheets/d/""&amp;$A86&amp;""/edit#gid=156619080"",Z$3)"),982.29)</f>
        <v>982.29</v>
      </c>
      <c r="AA86" s="2">
        <f>IFERROR(__xludf.DUMMYFUNCTION("IMPORTRANGE(""https://docs.google.com/spreadsheets/d/""&amp;$A86&amp;""/edit#gid=156619080"",AA$3)"),975.75)</f>
        <v>975.75</v>
      </c>
      <c r="AB86" s="2">
        <f>IFERROR(__xludf.DUMMYFUNCTION("IMPORTRANGE(""https://docs.google.com/spreadsheets/d/""&amp;$A86&amp;""/edit#gid=156619080"",AB$3)"),969.22)</f>
        <v>969.22</v>
      </c>
      <c r="AC86" s="18">
        <f>IFERROR(__xludf.DUMMYFUNCTION("IMPORTRANGE(""https://docs.google.com/spreadsheets/d/""&amp;$A86&amp;""/edit#gid=156619080"",AC$3)"),962.68)</f>
        <v>962.68</v>
      </c>
      <c r="AD86" s="18">
        <f>IFERROR(__xludf.DUMMYFUNCTION("IMPORTRANGE(""https://docs.google.com/spreadsheets/d/""&amp;$A86&amp;""/edit#gid=156619080"",AD$3)"),956.15)</f>
        <v>956.15</v>
      </c>
      <c r="AE86" s="18">
        <f>IFERROR(__xludf.DUMMYFUNCTION("IMPORTRANGE(""https://docs.google.com/spreadsheets/d/""&amp;$A86&amp;""/edit#gid=156619080"",AE$3)"),930.0)</f>
        <v>930</v>
      </c>
      <c r="AF86" s="2">
        <f>IFERROR(__xludf.DUMMYFUNCTION("IMPORTRANGE(""https://docs.google.com/spreadsheets/d/""&amp;$A86&amp;""/edit#gid=156619080"",AF$3)"),903.85)</f>
        <v>903.85</v>
      </c>
      <c r="AG86" s="2">
        <f>IFERROR(__xludf.DUMMYFUNCTION("IMPORTRANGE(""https://docs.google.com/spreadsheets/d/""&amp;$A86&amp;""/edit#gid=156619080"",AG$3)"),897.32)</f>
        <v>897.32</v>
      </c>
      <c r="AH86" s="2">
        <f>IFERROR(__xludf.DUMMYFUNCTION("IMPORTRANGE(""https://docs.google.com/spreadsheets/d/""&amp;$A86&amp;""/edit#gid=156619080"",AH$3)"),890.78)</f>
        <v>890.78</v>
      </c>
      <c r="AI86" s="2">
        <f>IFERROR(__xludf.DUMMYFUNCTION("IMPORTRANGE(""https://docs.google.com/spreadsheets/d/""&amp;$A86&amp;""/edit#gid=156619080"",AI$3)"),884.25)</f>
        <v>884.25</v>
      </c>
      <c r="AJ86" s="2">
        <f>IFERROR(__xludf.DUMMYFUNCTION("IMPORTRANGE(""https://docs.google.com/spreadsheets/d/""&amp;$A86&amp;""/edit#gid=156619080"",AJ$3)"),877.71)</f>
        <v>877.71</v>
      </c>
      <c r="AK86" s="2" t="str">
        <f>IFERROR(__xludf.DUMMYFUNCTION("IMPORTRANGE(""https://docs.google.com/spreadsheets/d/""&amp;$A86&amp;""/edit#gid=156619080"",AK$3)"),"-1〜-1.25σ")</f>
        <v>-1〜-1.25σ</v>
      </c>
      <c r="AL86" s="2">
        <f>IFERROR(__xludf.DUMMYFUNCTION("IMPORTRANGE(""https://docs.google.com/spreadsheets/d/""&amp;$A86&amp;""/edit#gid=156619080"",AL$3)"),-1.0)</f>
        <v>-1</v>
      </c>
      <c r="AM86" s="2" t="str">
        <f>IFERROR(__xludf.DUMMYFUNCTION("IMPORTRANGE(""https://docs.google.com/spreadsheets/d/""&amp;$A86&amp;""/edit#gid=156619080"",AM$3)"),"")</f>
        <v/>
      </c>
      <c r="AN86" s="2">
        <f>IFERROR(__xludf.DUMMYFUNCTION("IMPORTRANGE(""https://docs.google.com/spreadsheets/d/""&amp;$A86&amp;""/edit#gid=156619080"",AN$3)"),-1.0)</f>
        <v>-1</v>
      </c>
      <c r="AO86" s="2" t="str">
        <f>IFERROR(__xludf.DUMMYFUNCTION("IMPORTRANGE(""https://docs.google.com/spreadsheets/d/""&amp;$A86&amp;""/edit#gid=156619080"",AO$3)"),"")</f>
        <v/>
      </c>
      <c r="AP86" s="2">
        <f>IFERROR(__xludf.DUMMYFUNCTION("IMPORTRANGE(""https://docs.google.com/spreadsheets/d/""&amp;$A86&amp;""/edit#gid=156619080"",AP$3)"),-1.0)</f>
        <v>-1</v>
      </c>
      <c r="AQ86" s="2" t="str">
        <f>IFERROR(__xludf.DUMMYFUNCTION("IMPORTRANGE(""https://docs.google.com/spreadsheets/d/""&amp;$A86&amp;""/edit#gid=156619080"",AQ$3)"),"")</f>
        <v/>
      </c>
      <c r="AR86" s="18">
        <f>IFERROR(__xludf.DUMMYFUNCTION("IMPORTRANGE(""https://docs.google.com/spreadsheets/d/""&amp;$A86&amp;""/edit#gid=156619080"",AR$3)"),-30.000000000000004)</f>
        <v>-30</v>
      </c>
      <c r="AS86" s="19" t="str">
        <f>IFERROR(__xludf.DUMMYFUNCTION("IMPORTRANGE(""https://docs.google.com/spreadsheets/d/""&amp;$A86&amp;""/edit#gid=156619080"",AS$3)"),"-90
-100
-90
-60
")</f>
        <v>-90
-100
-90
-60
</v>
      </c>
      <c r="AT86" s="18">
        <f>IFERROR(__xludf.DUMMYFUNCTION("IMPORTRANGE(""https://docs.google.com/spreadsheets/d/""&amp;$A86&amp;""/edit#gid=156619080"",AT$3)"),-78.57142857142858)</f>
        <v>-78.57142857</v>
      </c>
      <c r="AU86" s="3" t="str">
        <f>IFERROR(__xludf.DUMMYFUNCTION("IMPORTRANGE(""https://docs.google.com/spreadsheets/d/""&amp;$A86&amp;""/edit#gid=156619080"",AU$3)"),"3.98
-15.25
-50.96
-63.05
")</f>
        <v>3.98
-15.25
-50.96
-63.05
</v>
      </c>
      <c r="AV86" s="18">
        <f>IFERROR(__xludf.DUMMYFUNCTION("IMPORTRANGE(""https://docs.google.com/spreadsheets/d/""&amp;$A86&amp;""/edit#gid=156619080"",AV$3)"),-60.876623376623385)</f>
        <v>-60.87662338</v>
      </c>
      <c r="AW86" s="19" t="str">
        <f>IFERROR(__xludf.DUMMYFUNCTION("IMPORTRANGE(""https://docs.google.com/spreadsheets/d/""&amp;$A86&amp;""/edit#gid=156619080"",AW$3)"),"-63.51
-63.6
-63.47
-61.27
")</f>
        <v>-63.51
-63.6
-63.47
-61.27
</v>
      </c>
      <c r="AX86" s="2">
        <f>IFERROR(__xludf.DUMMYFUNCTION("IMPORTRANGE(""https://docs.google.com/spreadsheets/d/""&amp;$A86&amp;""/edit#gid=156619080"",AX$3)"),29.549999999999997)</f>
        <v>29.55</v>
      </c>
      <c r="AY86" s="2">
        <f>IFERROR(__xludf.DUMMYFUNCTION("IMPORTRANGE(""https://docs.google.com/spreadsheets/d/""&amp;$A86&amp;""/edit#gid=156619080"",AY$3)"),31.069999999999997)</f>
        <v>31.07</v>
      </c>
      <c r="AZ86" s="2">
        <f>IFERROR(__xludf.DUMMYFUNCTION("IMPORTRANGE(""https://docs.google.com/spreadsheets/d/""&amp;$A86&amp;""/edit#gid=156619080"",AZ$3)"),906.27)</f>
        <v>906.27</v>
      </c>
      <c r="BA86" s="2">
        <f>IFERROR(__xludf.DUMMYFUNCTION("IMPORTRANGE(""https://docs.google.com/spreadsheets/d/""&amp;$A86&amp;""/edit#gid=156619080"",BA$3)"),-29.870000000000005)</f>
        <v>-29.87</v>
      </c>
      <c r="BB86" s="2">
        <f>IFERROR(__xludf.DUMMYFUNCTION("IMPORTRANGE(""https://docs.google.com/spreadsheets/d/""&amp;$A86&amp;""/edit#gid=156619080"",BB$3)"),-31.37)</f>
        <v>-31.37</v>
      </c>
      <c r="BC86" s="2" t="str">
        <f>IFERROR(__xludf.DUMMYFUNCTION("IMPORTRANGE(""https://docs.google.com/spreadsheets/d/""&amp;$A86&amp;""/edit#gid=156619080"",BC$3)"),"GC→GC")</f>
        <v>GC→GC</v>
      </c>
    </row>
    <row r="87" ht="51.0" customHeight="1">
      <c r="A87" s="7" t="str">
        <f t="shared" si="5"/>
        <v>1B-pDieRjXc5_z2B8IpX2-Vjya0GWaZDOWcBuDqwmrKU</v>
      </c>
      <c r="B87" s="1" t="s">
        <v>114</v>
      </c>
      <c r="C87" s="2">
        <f>IFERROR(__xludf.DUMMYFUNCTION("IMPORTRANGE(""https://docs.google.com/spreadsheets/d/""&amp;$A87&amp;""/edit#gid=156619080"",C$3)"),132.0)</f>
        <v>132</v>
      </c>
      <c r="D87" s="2">
        <f>IFERROR(__xludf.DUMMYFUNCTION("IMPORTRANGE(""https://docs.google.com/spreadsheets/d/""&amp;$A87&amp;""/edit#gid=156619080"",D$3)"),6472.0)</f>
        <v>6472</v>
      </c>
      <c r="E87" s="15">
        <f>IFERROR(__xludf.DUMMYFUNCTION("IMPORTRANGE(""https://docs.google.com/spreadsheets/d/""&amp;$A87&amp;""/edit#gid=156619080"",E$3)"),43882.0)</f>
        <v>43882</v>
      </c>
      <c r="F87" s="2">
        <f>IFERROR(__xludf.DUMMYFUNCTION("IMPORTRANGE(""https://docs.google.com/spreadsheets/d/""&amp;$A87&amp;""/edit#gid=156619080"",F$3)"),-3.0)</f>
        <v>-3</v>
      </c>
      <c r="G87" s="16">
        <f>IFERROR(__xludf.DUMMYFUNCTION("IMPORTRANGE(""https://docs.google.com/spreadsheets/d/""&amp;$A87&amp;""/edit#gid=156619080"",G$3)"),-1.02)</f>
        <v>-1.02</v>
      </c>
      <c r="H87" s="16">
        <f>IFERROR(__xludf.DUMMYFUNCTION("IMPORTRANGE(""https://docs.google.com/spreadsheets/d/""&amp;$A87&amp;""/edit#gid=156619080"",H$3)"),291.0)</f>
        <v>291</v>
      </c>
      <c r="I87" s="16">
        <f>IFERROR(__xludf.DUMMYFUNCTION("IMPORTRANGE(""https://docs.google.com/spreadsheets/d/""&amp;$A87&amp;""/edit#gid=156619080"",I$3)"),3.0)</f>
        <v>3</v>
      </c>
      <c r="J87" s="16">
        <f>IFERROR(__xludf.DUMMYFUNCTION("IMPORTRANGE(""https://docs.google.com/spreadsheets/d/""&amp;$A87&amp;""/edit#gid=156619080"",J$3)"),296.0)</f>
        <v>296</v>
      </c>
      <c r="K87" s="16">
        <f>IFERROR(__xludf.DUMMYFUNCTION("IMPORTRANGE(""https://docs.google.com/spreadsheets/d/""&amp;$A87&amp;""/edit#gid=156619080"",K$3)"),0.38125)</f>
        <v>0.38125</v>
      </c>
      <c r="L87" s="16">
        <f>IFERROR(__xludf.DUMMYFUNCTION("IMPORTRANGE(""https://docs.google.com/spreadsheets/d/""&amp;$A87&amp;""/edit#gid=156619080"",L$3)"),290.0)</f>
        <v>290</v>
      </c>
      <c r="M87" s="16">
        <f>IFERROR(__xludf.DUMMYFUNCTION("IMPORTRANGE(""https://docs.google.com/spreadsheets/d/""&amp;$A87&amp;""/edit#gid=156619080"",M$3)"),0.6208333333333333)</f>
        <v>0.6208333333</v>
      </c>
      <c r="N87" s="16">
        <f>IFERROR(__xludf.DUMMYFUNCTION("IMPORTRANGE(""https://docs.google.com/spreadsheets/d/""&amp;$A87&amp;""/edit#gid=156619080"",N$3)"),291.0)</f>
        <v>291</v>
      </c>
      <c r="O87" s="16" t="str">
        <f>IFERROR(__xludf.DUMMYFUNCTION("IMPORTRANGE(""https://docs.google.com/spreadsheets/d/""&amp;$A87&amp;""/edit#gid=156619080"",O$3)"),"3506500株")</f>
        <v>3506500株</v>
      </c>
      <c r="P87" s="16" t="str">
        <f>IFERROR(__xludf.DUMMYFUNCTION("IMPORTRANGE(""https://docs.google.com/spreadsheets/d/""&amp;$A87&amp;""/edit#gid=156619080"",P$3)"),"1026百万円")</f>
        <v>1026百万円</v>
      </c>
      <c r="Q87" s="16" t="str">
        <f>IFERROR(__xludf.DUMMYFUNCTION("IMPORTRANGE(""https://docs.google.com/spreadsheets/d/""&amp;$A87&amp;""/edit#gid=156619080"",Q$3)"),"1493回")</f>
        <v>1493回</v>
      </c>
      <c r="R87" s="16" t="str">
        <f>IFERROR(__xludf.DUMMYFUNCTION("IMPORTRANGE(""https://docs.google.com/spreadsheets/d/""&amp;$A87&amp;""/edit#gid=156619080"",R$3)"),"1549億円")</f>
        <v>1549億円</v>
      </c>
      <c r="S87" s="16" t="str">
        <f>IFERROR(__xludf.DUMMYFUNCTION("IMPORTRANGE(""https://docs.google.com/spreadsheets/d/""&amp;$A87&amp;""/edit#gid=156619080"",S$3)"),"一本線")</f>
        <v>一本線</v>
      </c>
      <c r="T87" s="16" t="str">
        <f>IFERROR(__xludf.DUMMYFUNCTION("IMPORTRANGE(""https://docs.google.com/spreadsheets/d/""&amp;$A87&amp;""/edit#gid=156619080"",T$3)"),"")</f>
        <v/>
      </c>
      <c r="U87" s="16">
        <f>IFERROR(__xludf.DUMMYFUNCTION("IMPORTRANGE(""https://docs.google.com/spreadsheets/d/""&amp;$A87&amp;""/edit#gid=156619080"",U$3)"),294.2)</f>
        <v>294.2</v>
      </c>
      <c r="V87" s="16">
        <f>IFERROR(__xludf.DUMMYFUNCTION("IMPORTRANGE(""https://docs.google.com/spreadsheets/d/""&amp;$A87&amp;""/edit#gid=156619080"",V$3)"),296.2)</f>
        <v>296.2</v>
      </c>
      <c r="W87" s="16">
        <f>IFERROR(__xludf.DUMMYFUNCTION("IMPORTRANGE(""https://docs.google.com/spreadsheets/d/""&amp;$A87&amp;""/edit#gid=156619080"",W$3)"),302.1)</f>
        <v>302.1</v>
      </c>
      <c r="X87" s="2">
        <f>IFERROR(__xludf.DUMMYFUNCTION("IMPORTRANGE(""https://docs.google.com/spreadsheets/d/""&amp;$A87&amp;""/edit#gid=156619080"",X$3)"),326.6)</f>
        <v>326.6</v>
      </c>
      <c r="Y87" s="17">
        <f>IFERROR(__xludf.DUMMYFUNCTION("IMPORTRANGE(""https://docs.google.com/spreadsheets/d/""&amp;$A87&amp;""/edit#gid=156619080"",Y$3)"),-0.01087695445275319)</f>
        <v>-0.01087695445</v>
      </c>
      <c r="Z87" s="2">
        <f>IFERROR(__xludf.DUMMYFUNCTION("IMPORTRANGE(""https://docs.google.com/spreadsheets/d/""&amp;$A87&amp;""/edit#gid=156619080"",Z$3)"),327.24)</f>
        <v>327.24</v>
      </c>
      <c r="AA87" s="2">
        <f>IFERROR(__xludf.DUMMYFUNCTION("IMPORTRANGE(""https://docs.google.com/spreadsheets/d/""&amp;$A87&amp;""/edit#gid=156619080"",AA$3)"),324.1)</f>
        <v>324.1</v>
      </c>
      <c r="AB87" s="2">
        <f>IFERROR(__xludf.DUMMYFUNCTION("IMPORTRANGE(""https://docs.google.com/spreadsheets/d/""&amp;$A87&amp;""/edit#gid=156619080"",AB$3)"),320.95)</f>
        <v>320.95</v>
      </c>
      <c r="AC87" s="18">
        <f>IFERROR(__xludf.DUMMYFUNCTION("IMPORTRANGE(""https://docs.google.com/spreadsheets/d/""&amp;$A87&amp;""/edit#gid=156619080"",AC$3)"),317.81)</f>
        <v>317.81</v>
      </c>
      <c r="AD87" s="18">
        <f>IFERROR(__xludf.DUMMYFUNCTION("IMPORTRANGE(""https://docs.google.com/spreadsheets/d/""&amp;$A87&amp;""/edit#gid=156619080"",AD$3)"),314.67)</f>
        <v>314.67</v>
      </c>
      <c r="AE87" s="18">
        <f>IFERROR(__xludf.DUMMYFUNCTION("IMPORTRANGE(""https://docs.google.com/spreadsheets/d/""&amp;$A87&amp;""/edit#gid=156619080"",AE$3)"),302.1)</f>
        <v>302.1</v>
      </c>
      <c r="AF87" s="2">
        <f>IFERROR(__xludf.DUMMYFUNCTION("IMPORTRANGE(""https://docs.google.com/spreadsheets/d/""&amp;$A87&amp;""/edit#gid=156619080"",AF$3)"),289.53)</f>
        <v>289.53</v>
      </c>
      <c r="AG87" s="2">
        <f>IFERROR(__xludf.DUMMYFUNCTION("IMPORTRANGE(""https://docs.google.com/spreadsheets/d/""&amp;$A87&amp;""/edit#gid=156619080"",AG$3)"),286.39)</f>
        <v>286.39</v>
      </c>
      <c r="AH87" s="2">
        <f>IFERROR(__xludf.DUMMYFUNCTION("IMPORTRANGE(""https://docs.google.com/spreadsheets/d/""&amp;$A87&amp;""/edit#gid=156619080"",AH$3)"),283.25)</f>
        <v>283.25</v>
      </c>
      <c r="AI87" s="2">
        <f>IFERROR(__xludf.DUMMYFUNCTION("IMPORTRANGE(""https://docs.google.com/spreadsheets/d/""&amp;$A87&amp;""/edit#gid=156619080"",AI$3)"),280.1)</f>
        <v>280.1</v>
      </c>
      <c r="AJ87" s="2">
        <f>IFERROR(__xludf.DUMMYFUNCTION("IMPORTRANGE(""https://docs.google.com/spreadsheets/d/""&amp;$A87&amp;""/edit#gid=156619080"",AJ$3)"),276.96)</f>
        <v>276.96</v>
      </c>
      <c r="AK87" s="2" t="str">
        <f>IFERROR(__xludf.DUMMYFUNCTION("IMPORTRANGE(""https://docs.google.com/spreadsheets/d/""&amp;$A87&amp;""/edit#gid=156619080"",AK$3)"),"")</f>
        <v/>
      </c>
      <c r="AL87" s="2">
        <f>IFERROR(__xludf.DUMMYFUNCTION("IMPORTRANGE(""https://docs.google.com/spreadsheets/d/""&amp;$A87&amp;""/edit#gid=156619080"",AL$3)"),-1.0)</f>
        <v>-1</v>
      </c>
      <c r="AM87" s="2" t="str">
        <f>IFERROR(__xludf.DUMMYFUNCTION("IMPORTRANGE(""https://docs.google.com/spreadsheets/d/""&amp;$A87&amp;""/edit#gid=156619080"",AM$3)"),"")</f>
        <v/>
      </c>
      <c r="AN87" s="2">
        <f>IFERROR(__xludf.DUMMYFUNCTION("IMPORTRANGE(""https://docs.google.com/spreadsheets/d/""&amp;$A87&amp;""/edit#gid=156619080"",AN$3)"),-1.0)</f>
        <v>-1</v>
      </c>
      <c r="AO87" s="2" t="str">
        <f>IFERROR(__xludf.DUMMYFUNCTION("IMPORTRANGE(""https://docs.google.com/spreadsheets/d/""&amp;$A87&amp;""/edit#gid=156619080"",AO$3)"),"")</f>
        <v/>
      </c>
      <c r="AP87" s="2">
        <f>IFERROR(__xludf.DUMMYFUNCTION("IMPORTRANGE(""https://docs.google.com/spreadsheets/d/""&amp;$A87&amp;""/edit#gid=156619080"",AP$3)"),-1.0)</f>
        <v>-1</v>
      </c>
      <c r="AQ87" s="2" t="str">
        <f>IFERROR(__xludf.DUMMYFUNCTION("IMPORTRANGE(""https://docs.google.com/spreadsheets/d/""&amp;$A87&amp;""/edit#gid=156619080"",AQ$3)"),"")</f>
        <v/>
      </c>
      <c r="AR87" s="18">
        <f>IFERROR(__xludf.DUMMYFUNCTION("IMPORTRANGE(""https://docs.google.com/spreadsheets/d/""&amp;$A87&amp;""/edit#gid=156619080"",AR$3)"),-77.49999999999999)</f>
        <v>-77.5</v>
      </c>
      <c r="AS87" s="19" t="str">
        <f>IFERROR(__xludf.DUMMYFUNCTION("IMPORTRANGE(""https://docs.google.com/spreadsheets/d/""&amp;$A87&amp;""/edit#gid=156619080"",AS$3)"),"7.5
-92.5
-92.5
-70
")</f>
        <v>7.5
-92.5
-92.5
-70
</v>
      </c>
      <c r="AT87" s="18">
        <f>IFERROR(__xludf.DUMMYFUNCTION("IMPORTRANGE(""https://docs.google.com/spreadsheets/d/""&amp;$A87&amp;""/edit#gid=156619080"",AT$3)"),-15.521978021978011)</f>
        <v>-15.52197802</v>
      </c>
      <c r="AU87" s="3" t="str">
        <f>IFERROR(__xludf.DUMMYFUNCTION("IMPORTRANGE(""https://docs.google.com/spreadsheets/d/""&amp;$A87&amp;""/edit#gid=156619080"",AU$3)"),"-2.34
12.5
26.65
20.6
")</f>
        <v>-2.34
12.5
26.65
20.6
</v>
      </c>
      <c r="AV87" s="18">
        <f>IFERROR(__xludf.DUMMYFUNCTION("IMPORTRANGE(""https://docs.google.com/spreadsheets/d/""&amp;$A87&amp;""/edit#gid=156619080"",AV$3)"),-62.24025974025975)</f>
        <v>-62.24025974</v>
      </c>
      <c r="AW87" s="19" t="str">
        <f>IFERROR(__xludf.DUMMYFUNCTION("IMPORTRANGE(""https://docs.google.com/spreadsheets/d/""&amp;$A87&amp;""/edit#gid=156619080"",AW$3)"),"-76.66
-73.28
-69.94
-65.49
")</f>
        <v>-76.66
-73.28
-69.94
-65.49
</v>
      </c>
      <c r="AX87" s="2">
        <f>IFERROR(__xludf.DUMMYFUNCTION("IMPORTRANGE(""https://docs.google.com/spreadsheets/d/""&amp;$A87&amp;""/edit#gid=156619080"",AX$3)"),10.0)</f>
        <v>10</v>
      </c>
      <c r="AY87" s="2">
        <f>IFERROR(__xludf.DUMMYFUNCTION("IMPORTRANGE(""https://docs.google.com/spreadsheets/d/""&amp;$A87&amp;""/edit#gid=156619080"",AY$3)"),22.58)</f>
        <v>22.58</v>
      </c>
      <c r="AZ87" s="2">
        <f>IFERROR(__xludf.DUMMYFUNCTION("IMPORTRANGE(""https://docs.google.com/spreadsheets/d/""&amp;$A87&amp;""/edit#gid=156619080"",AZ$3)"),293.87)</f>
        <v>293.87</v>
      </c>
      <c r="BA87" s="2">
        <f>IFERROR(__xludf.DUMMYFUNCTION("IMPORTRANGE(""https://docs.google.com/spreadsheets/d/""&amp;$A87&amp;""/edit#gid=156619080"",BA$3)"),-10.310000000000002)</f>
        <v>-10.31</v>
      </c>
      <c r="BB87" s="2">
        <f>IFERROR(__xludf.DUMMYFUNCTION("IMPORTRANGE(""https://docs.google.com/spreadsheets/d/""&amp;$A87&amp;""/edit#gid=156619080"",BB$3)"),-12.2)</f>
        <v>-12.2</v>
      </c>
      <c r="BC87" s="2" t="str">
        <f>IFERROR(__xludf.DUMMYFUNCTION("IMPORTRANGE(""https://docs.google.com/spreadsheets/d/""&amp;$A87&amp;""/edit#gid=156619080"",BC$3)"),"GC→GC")</f>
        <v>GC→GC</v>
      </c>
    </row>
    <row r="88" ht="51.0" customHeight="1">
      <c r="A88" s="7" t="str">
        <f t="shared" si="5"/>
        <v>1mBHTRGDH15_lBpDD6llDrkULO-kMvZNIvXsz9Pf6mr4</v>
      </c>
      <c r="B88" s="1" t="s">
        <v>115</v>
      </c>
      <c r="C88" s="2">
        <f>IFERROR(__xludf.DUMMYFUNCTION("IMPORTRANGE(""https://docs.google.com/spreadsheets/d/""&amp;$A88&amp;""/edit#gid=156619080"",C$3)"),132.0)</f>
        <v>132</v>
      </c>
      <c r="D88" s="2">
        <f>IFERROR(__xludf.DUMMYFUNCTION("IMPORTRANGE(""https://docs.google.com/spreadsheets/d/""&amp;$A88&amp;""/edit#gid=156619080"",D$3)"),6473.0)</f>
        <v>6473</v>
      </c>
      <c r="E88" s="15">
        <f>IFERROR(__xludf.DUMMYFUNCTION("IMPORTRANGE(""https://docs.google.com/spreadsheets/d/""&amp;$A88&amp;""/edit#gid=156619080"",E$3)"),43882.0)</f>
        <v>43882</v>
      </c>
      <c r="F88" s="2">
        <f>IFERROR(__xludf.DUMMYFUNCTION("IMPORTRANGE(""https://docs.google.com/spreadsheets/d/""&amp;$A88&amp;""/edit#gid=156619080"",F$3)"),-3.0)</f>
        <v>-3</v>
      </c>
      <c r="G88" s="16">
        <f>IFERROR(__xludf.DUMMYFUNCTION("IMPORTRANGE(""https://docs.google.com/spreadsheets/d/""&amp;$A88&amp;""/edit#gid=156619080"",G$3)"),-0.26)</f>
        <v>-0.26</v>
      </c>
      <c r="H88" s="16">
        <f>IFERROR(__xludf.DUMMYFUNCTION("IMPORTRANGE(""https://docs.google.com/spreadsheets/d/""&amp;$A88&amp;""/edit#gid=156619080"",H$3)"),1162.0)</f>
        <v>1162</v>
      </c>
      <c r="I88" s="16">
        <f>IFERROR(__xludf.DUMMYFUNCTION("IMPORTRANGE(""https://docs.google.com/spreadsheets/d/""&amp;$A88&amp;""/edit#gid=156619080"",I$3)"),-3.0)</f>
        <v>-3</v>
      </c>
      <c r="J88" s="16">
        <f>IFERROR(__xludf.DUMMYFUNCTION("IMPORTRANGE(""https://docs.google.com/spreadsheets/d/""&amp;$A88&amp;""/edit#gid=156619080"",J$3)"),1172.0)</f>
        <v>1172</v>
      </c>
      <c r="K88" s="16">
        <f>IFERROR(__xludf.DUMMYFUNCTION("IMPORTRANGE(""https://docs.google.com/spreadsheets/d/""&amp;$A88&amp;""/edit#gid=156619080"",K$3)"),0.38055555555555554)</f>
        <v>0.3805555556</v>
      </c>
      <c r="L88" s="16">
        <f>IFERROR(__xludf.DUMMYFUNCTION("IMPORTRANGE(""https://docs.google.com/spreadsheets/d/""&amp;$A88&amp;""/edit#gid=156619080"",L$3)"),1156.0)</f>
        <v>1156</v>
      </c>
      <c r="M88" s="16">
        <f>IFERROR(__xludf.DUMMYFUNCTION("IMPORTRANGE(""https://docs.google.com/spreadsheets/d/""&amp;$A88&amp;""/edit#gid=156619080"",M$3)"),0.6243055555555556)</f>
        <v>0.6243055556</v>
      </c>
      <c r="N88" s="16">
        <f>IFERROR(__xludf.DUMMYFUNCTION("IMPORTRANGE(""https://docs.google.com/spreadsheets/d/""&amp;$A88&amp;""/edit#gid=156619080"",N$3)"),1156.0)</f>
        <v>1156</v>
      </c>
      <c r="O88" s="16" t="str">
        <f>IFERROR(__xludf.DUMMYFUNCTION("IMPORTRANGE(""https://docs.google.com/spreadsheets/d/""&amp;$A88&amp;""/edit#gid=156619080"",O$3)"),"729400株")</f>
        <v>729400株</v>
      </c>
      <c r="P88" s="16" t="str">
        <f>IFERROR(__xludf.DUMMYFUNCTION("IMPORTRANGE(""https://docs.google.com/spreadsheets/d/""&amp;$A88&amp;""/edit#gid=156619080"",P$3)"),"847百万円")</f>
        <v>847百万円</v>
      </c>
      <c r="Q88" s="16" t="str">
        <f>IFERROR(__xludf.DUMMYFUNCTION("IMPORTRANGE(""https://docs.google.com/spreadsheets/d/""&amp;$A88&amp;""/edit#gid=156619080"",Q$3)"),"1055回")</f>
        <v>1055回</v>
      </c>
      <c r="R88" s="16" t="str">
        <f>IFERROR(__xludf.DUMMYFUNCTION("IMPORTRANGE(""https://docs.google.com/spreadsheets/d/""&amp;$A88&amp;""/edit#gid=156619080"",R$3)"),"3968億円")</f>
        <v>3968億円</v>
      </c>
      <c r="S88" s="16" t="str">
        <f>IFERROR(__xludf.DUMMYFUNCTION("IMPORTRANGE(""https://docs.google.com/spreadsheets/d/""&amp;$A88&amp;""/edit#gid=156619080"",S$3)"),"陰線")</f>
        <v>陰線</v>
      </c>
      <c r="T88" s="16" t="str">
        <f>IFERROR(__xludf.DUMMYFUNCTION("IMPORTRANGE(""https://docs.google.com/spreadsheets/d/""&amp;$A88&amp;""/edit#gid=156619080"",T$3)"),"")</f>
        <v/>
      </c>
      <c r="U88" s="16">
        <f>IFERROR(__xludf.DUMMYFUNCTION("IMPORTRANGE(""https://docs.google.com/spreadsheets/d/""&amp;$A88&amp;""/edit#gid=156619080"",U$3)"),1159.0)</f>
        <v>1159</v>
      </c>
      <c r="V88" s="16">
        <f>IFERROR(__xludf.DUMMYFUNCTION("IMPORTRANGE(""https://docs.google.com/spreadsheets/d/""&amp;$A88&amp;""/edit#gid=156619080"",V$3)"),1173.8)</f>
        <v>1173.8</v>
      </c>
      <c r="W88" s="16">
        <f>IFERROR(__xludf.DUMMYFUNCTION("IMPORTRANGE(""https://docs.google.com/spreadsheets/d/""&amp;$A88&amp;""/edit#gid=156619080"",W$3)"),1185.3)</f>
        <v>1185.3</v>
      </c>
      <c r="X88" s="2">
        <f>IFERROR(__xludf.DUMMYFUNCTION("IMPORTRANGE(""https://docs.google.com/spreadsheets/d/""&amp;$A88&amp;""/edit#gid=156619080"",X$3)"),1286.7)</f>
        <v>1286.7</v>
      </c>
      <c r="Y88" s="17">
        <f>IFERROR(__xludf.DUMMYFUNCTION("IMPORTRANGE(""https://docs.google.com/spreadsheets/d/""&amp;$A88&amp;""/edit#gid=156619080"",Y$3)"),-0.0025884383088869713)</f>
        <v>-0.002588438309</v>
      </c>
      <c r="Z88" s="2">
        <f>IFERROR(__xludf.DUMMYFUNCTION("IMPORTRANGE(""https://docs.google.com/spreadsheets/d/""&amp;$A88&amp;""/edit#gid=156619080"",Z$3)"),1241.73)</f>
        <v>1241.73</v>
      </c>
      <c r="AA88" s="2">
        <f>IFERROR(__xludf.DUMMYFUNCTION("IMPORTRANGE(""https://docs.google.com/spreadsheets/d/""&amp;$A88&amp;""/edit#gid=156619080"",AA$3)"),1234.68)</f>
        <v>1234.68</v>
      </c>
      <c r="AB88" s="2">
        <f>IFERROR(__xludf.DUMMYFUNCTION("IMPORTRANGE(""https://docs.google.com/spreadsheets/d/""&amp;$A88&amp;""/edit#gid=156619080"",AB$3)"),1227.63)</f>
        <v>1227.63</v>
      </c>
      <c r="AC88" s="18">
        <f>IFERROR(__xludf.DUMMYFUNCTION("IMPORTRANGE(""https://docs.google.com/spreadsheets/d/""&amp;$A88&amp;""/edit#gid=156619080"",AC$3)"),1220.57)</f>
        <v>1220.57</v>
      </c>
      <c r="AD88" s="18">
        <f>IFERROR(__xludf.DUMMYFUNCTION("IMPORTRANGE(""https://docs.google.com/spreadsheets/d/""&amp;$A88&amp;""/edit#gid=156619080"",AD$3)"),1213.52)</f>
        <v>1213.52</v>
      </c>
      <c r="AE88" s="18">
        <f>IFERROR(__xludf.DUMMYFUNCTION("IMPORTRANGE(""https://docs.google.com/spreadsheets/d/""&amp;$A88&amp;""/edit#gid=156619080"",AE$3)"),1185.3)</f>
        <v>1185.3</v>
      </c>
      <c r="AF88" s="2">
        <f>IFERROR(__xludf.DUMMYFUNCTION("IMPORTRANGE(""https://docs.google.com/spreadsheets/d/""&amp;$A88&amp;""/edit#gid=156619080"",AF$3)"),1157.08)</f>
        <v>1157.08</v>
      </c>
      <c r="AG88" s="2">
        <f>IFERROR(__xludf.DUMMYFUNCTION("IMPORTRANGE(""https://docs.google.com/spreadsheets/d/""&amp;$A88&amp;""/edit#gid=156619080"",AG$3)"),1150.03)</f>
        <v>1150.03</v>
      </c>
      <c r="AH88" s="2">
        <f>IFERROR(__xludf.DUMMYFUNCTION("IMPORTRANGE(""https://docs.google.com/spreadsheets/d/""&amp;$A88&amp;""/edit#gid=156619080"",AH$3)"),1142.97)</f>
        <v>1142.97</v>
      </c>
      <c r="AI88" s="2">
        <f>IFERROR(__xludf.DUMMYFUNCTION("IMPORTRANGE(""https://docs.google.com/spreadsheets/d/""&amp;$A88&amp;""/edit#gid=156619080"",AI$3)"),1135.92)</f>
        <v>1135.92</v>
      </c>
      <c r="AJ88" s="2">
        <f>IFERROR(__xludf.DUMMYFUNCTION("IMPORTRANGE(""https://docs.google.com/spreadsheets/d/""&amp;$A88&amp;""/edit#gid=156619080"",AJ$3)"),1128.87)</f>
        <v>1128.87</v>
      </c>
      <c r="AK88" s="2" t="str">
        <f>IFERROR(__xludf.DUMMYFUNCTION("IMPORTRANGE(""https://docs.google.com/spreadsheets/d/""&amp;$A88&amp;""/edit#gid=156619080"",AK$3)"),"-1〜-1.25σ")</f>
        <v>-1〜-1.25σ</v>
      </c>
      <c r="AL88" s="2">
        <f>IFERROR(__xludf.DUMMYFUNCTION("IMPORTRANGE(""https://docs.google.com/spreadsheets/d/""&amp;$A88&amp;""/edit#gid=156619080"",AL$3)"),-1.0)</f>
        <v>-1</v>
      </c>
      <c r="AM88" s="2" t="str">
        <f>IFERROR(__xludf.DUMMYFUNCTION("IMPORTRANGE(""https://docs.google.com/spreadsheets/d/""&amp;$A88&amp;""/edit#gid=156619080"",AM$3)"),"")</f>
        <v/>
      </c>
      <c r="AN88" s="2">
        <f>IFERROR(__xludf.DUMMYFUNCTION("IMPORTRANGE(""https://docs.google.com/spreadsheets/d/""&amp;$A88&amp;""/edit#gid=156619080"",AN$3)"),-1.0)</f>
        <v>-1</v>
      </c>
      <c r="AO88" s="2" t="str">
        <f>IFERROR(__xludf.DUMMYFUNCTION("IMPORTRANGE(""https://docs.google.com/spreadsheets/d/""&amp;$A88&amp;""/edit#gid=156619080"",AO$3)"),"")</f>
        <v/>
      </c>
      <c r="AP88" s="2">
        <f>IFERROR(__xludf.DUMMYFUNCTION("IMPORTRANGE(""https://docs.google.com/spreadsheets/d/""&amp;$A88&amp;""/edit#gid=156619080"",AP$3)"),-1.0)</f>
        <v>-1</v>
      </c>
      <c r="AQ88" s="2" t="str">
        <f>IFERROR(__xludf.DUMMYFUNCTION("IMPORTRANGE(""https://docs.google.com/spreadsheets/d/""&amp;$A88&amp;""/edit#gid=156619080"",AQ$3)"),"")</f>
        <v/>
      </c>
      <c r="AR88" s="18">
        <f>IFERROR(__xludf.DUMMYFUNCTION("IMPORTRANGE(""https://docs.google.com/spreadsheets/d/""&amp;$A88&amp;""/edit#gid=156619080"",AR$3)"),-57.49999999999999)</f>
        <v>-57.5</v>
      </c>
      <c r="AS88" s="19" t="str">
        <f>IFERROR(__xludf.DUMMYFUNCTION("IMPORTRANGE(""https://docs.google.com/spreadsheets/d/""&amp;$A88&amp;""/edit#gid=156619080"",AS$3)"),"-82.5
-90
-90
-77.5
")</f>
        <v>-82.5
-90
-90
-77.5
</v>
      </c>
      <c r="AT88" s="18">
        <f>IFERROR(__xludf.DUMMYFUNCTION("IMPORTRANGE(""https://docs.google.com/spreadsheets/d/""&amp;$A88&amp;""/edit#gid=156619080"",AT$3)"),-54.807692307692314)</f>
        <v>-54.80769231</v>
      </c>
      <c r="AU88" s="3" t="str">
        <f>IFERROR(__xludf.DUMMYFUNCTION("IMPORTRANGE(""https://docs.google.com/spreadsheets/d/""&amp;$A88&amp;""/edit#gid=156619080"",AU$3)"),"-30.36
-32.55
-42.99
-40.66
")</f>
        <v>-30.36
-32.55
-42.99
-40.66
</v>
      </c>
      <c r="AV88" s="18">
        <f>IFERROR(__xludf.DUMMYFUNCTION("IMPORTRANGE(""https://docs.google.com/spreadsheets/d/""&amp;$A88&amp;""/edit#gid=156619080"",AV$3)"),-73.86363636363636)</f>
        <v>-73.86363636</v>
      </c>
      <c r="AW88" s="19" t="str">
        <f>IFERROR(__xludf.DUMMYFUNCTION("IMPORTRANGE(""https://docs.google.com/spreadsheets/d/""&amp;$A88&amp;""/edit#gid=156619080"",AW$3)"),"-79.12
-78.08
-77.4
-75.68
")</f>
        <v>-79.12
-78.08
-77.4
-75.68
</v>
      </c>
      <c r="AX88" s="2">
        <f>IFERROR(__xludf.DUMMYFUNCTION("IMPORTRANGE(""https://docs.google.com/spreadsheets/d/""&amp;$A88&amp;""/edit#gid=156619080"",AX$3)"),22.86)</f>
        <v>22.86</v>
      </c>
      <c r="AY88" s="2">
        <f>IFERROR(__xludf.DUMMYFUNCTION("IMPORTRANGE(""https://docs.google.com/spreadsheets/d/""&amp;$A88&amp;""/edit#gid=156619080"",AY$3)"),29.13)</f>
        <v>29.13</v>
      </c>
      <c r="AZ88" s="2">
        <f>IFERROR(__xludf.DUMMYFUNCTION("IMPORTRANGE(""https://docs.google.com/spreadsheets/d/""&amp;$A88&amp;""/edit#gid=156619080"",AZ$3)"),1160.31)</f>
        <v>1160.31</v>
      </c>
      <c r="BA88" s="2">
        <f>IFERROR(__xludf.DUMMYFUNCTION("IMPORTRANGE(""https://docs.google.com/spreadsheets/d/""&amp;$A88&amp;""/edit#gid=156619080"",BA$3)"),-32.24000000000001)</f>
        <v>-32.24</v>
      </c>
      <c r="BB88" s="2">
        <f>IFERROR(__xludf.DUMMYFUNCTION("IMPORTRANGE(""https://docs.google.com/spreadsheets/d/""&amp;$A88&amp;""/edit#gid=156619080"",BB$3)"),-36.41)</f>
        <v>-36.41</v>
      </c>
      <c r="BC88" s="2" t="str">
        <f>IFERROR(__xludf.DUMMYFUNCTION("IMPORTRANGE(""https://docs.google.com/spreadsheets/d/""&amp;$A88&amp;""/edit#gid=156619080"",BC$3)"),"GC→GC")</f>
        <v>GC→GC</v>
      </c>
    </row>
    <row r="89" ht="51.0" customHeight="1">
      <c r="A89" s="7" t="str">
        <f t="shared" si="5"/>
        <v>1D0RG1ct9cLC6DnmZzqxvIn2siQer-WNavsCIiX4cJKE</v>
      </c>
      <c r="B89" s="1" t="s">
        <v>116</v>
      </c>
      <c r="C89" s="2">
        <f>IFERROR(__xludf.DUMMYFUNCTION("IMPORTRANGE(""https://docs.google.com/spreadsheets/d/""&amp;$A89&amp;""/edit#gid=156619080"",C$3)"),132.0)</f>
        <v>132</v>
      </c>
      <c r="D89" s="2">
        <f>IFERROR(__xludf.DUMMYFUNCTION("IMPORTRANGE(""https://docs.google.com/spreadsheets/d/""&amp;$A89&amp;""/edit#gid=156619080"",D$3)"),7004.0)</f>
        <v>7004</v>
      </c>
      <c r="E89" s="15">
        <f>IFERROR(__xludf.DUMMYFUNCTION("IMPORTRANGE(""https://docs.google.com/spreadsheets/d/""&amp;$A89&amp;""/edit#gid=156619080"",E$3)"),43882.0)</f>
        <v>43882</v>
      </c>
      <c r="F89" s="2">
        <f>IFERROR(__xludf.DUMMYFUNCTION("IMPORTRANGE(""https://docs.google.com/spreadsheets/d/""&amp;$A89&amp;""/edit#gid=156619080"",F$3)"),0.0)</f>
        <v>0</v>
      </c>
      <c r="G89" s="16">
        <f>IFERROR(__xludf.DUMMYFUNCTION("IMPORTRANGE(""https://docs.google.com/spreadsheets/d/""&amp;$A89&amp;""/edit#gid=156619080"",G$3)"),0.0)</f>
        <v>0</v>
      </c>
      <c r="H89" s="16">
        <f>IFERROR(__xludf.DUMMYFUNCTION("IMPORTRANGE(""https://docs.google.com/spreadsheets/d/""&amp;$A89&amp;""/edit#gid=156619080"",H$3)"),421.0)</f>
        <v>421</v>
      </c>
      <c r="I89" s="16">
        <f>IFERROR(__xludf.DUMMYFUNCTION("IMPORTRANGE(""https://docs.google.com/spreadsheets/d/""&amp;$A89&amp;""/edit#gid=156619080"",I$3)"),3.0)</f>
        <v>3</v>
      </c>
      <c r="J89" s="16">
        <f>IFERROR(__xludf.DUMMYFUNCTION("IMPORTRANGE(""https://docs.google.com/spreadsheets/d/""&amp;$A89&amp;""/edit#gid=156619080"",J$3)"),426.0)</f>
        <v>426</v>
      </c>
      <c r="K89" s="16">
        <f>IFERROR(__xludf.DUMMYFUNCTION("IMPORTRANGE(""https://docs.google.com/spreadsheets/d/""&amp;$A89&amp;""/edit#gid=156619080"",K$3)"),0.54375)</f>
        <v>0.54375</v>
      </c>
      <c r="L89" s="16">
        <f>IFERROR(__xludf.DUMMYFUNCTION("IMPORTRANGE(""https://docs.google.com/spreadsheets/d/""&amp;$A89&amp;""/edit#gid=156619080"",L$3)"),421.0)</f>
        <v>421</v>
      </c>
      <c r="M89" s="16">
        <f>IFERROR(__xludf.DUMMYFUNCTION("IMPORTRANGE(""https://docs.google.com/spreadsheets/d/""&amp;$A89&amp;""/edit#gid=156619080"",M$3)"),0.375)</f>
        <v>0.375</v>
      </c>
      <c r="N89" s="16">
        <f>IFERROR(__xludf.DUMMYFUNCTION("IMPORTRANGE(""https://docs.google.com/spreadsheets/d/""&amp;$A89&amp;""/edit#gid=156619080"",N$3)"),424.0)</f>
        <v>424</v>
      </c>
      <c r="O89" s="16" t="str">
        <f>IFERROR(__xludf.DUMMYFUNCTION("IMPORTRANGE(""https://docs.google.com/spreadsheets/d/""&amp;$A89&amp;""/edit#gid=156619080"",O$3)"),"681300株")</f>
        <v>681300株</v>
      </c>
      <c r="P89" s="16" t="str">
        <f>IFERROR(__xludf.DUMMYFUNCTION("IMPORTRANGE(""https://docs.google.com/spreadsheets/d/""&amp;$A89&amp;""/edit#gid=156619080"",P$3)"),"288百万円")</f>
        <v>288百万円</v>
      </c>
      <c r="Q89" s="16" t="str">
        <f>IFERROR(__xludf.DUMMYFUNCTION("IMPORTRANGE(""https://docs.google.com/spreadsheets/d/""&amp;$A89&amp;""/edit#gid=156619080"",Q$3)"),"608回")</f>
        <v>608回</v>
      </c>
      <c r="R89" s="16" t="str">
        <f>IFERROR(__xludf.DUMMYFUNCTION("IMPORTRANGE(""https://docs.google.com/spreadsheets/d/""&amp;$A89&amp;""/edit#gid=156619080"",R$3)"),"722億円")</f>
        <v>722億円</v>
      </c>
      <c r="S89" s="16" t="str">
        <f>IFERROR(__xludf.DUMMYFUNCTION("IMPORTRANGE(""https://docs.google.com/spreadsheets/d/""&amp;$A89&amp;""/edit#gid=156619080"",S$3)"),"陽線")</f>
        <v>陽線</v>
      </c>
      <c r="T89" s="16" t="str">
        <f>IFERROR(__xludf.DUMMYFUNCTION("IMPORTRANGE(""https://docs.google.com/spreadsheets/d/""&amp;$A89&amp;""/edit#gid=156619080"",T$3)"),"")</f>
        <v/>
      </c>
      <c r="U89" s="16">
        <f>IFERROR(__xludf.DUMMYFUNCTION("IMPORTRANGE(""https://docs.google.com/spreadsheets/d/""&amp;$A89&amp;""/edit#gid=156619080"",U$3)"),424.2)</f>
        <v>424.2</v>
      </c>
      <c r="V89" s="16">
        <f>IFERROR(__xludf.DUMMYFUNCTION("IMPORTRANGE(""https://docs.google.com/spreadsheets/d/""&amp;$A89&amp;""/edit#gid=156619080"",V$3)"),422.8)</f>
        <v>422.8</v>
      </c>
      <c r="W89" s="16">
        <f>IFERROR(__xludf.DUMMYFUNCTION("IMPORTRANGE(""https://docs.google.com/spreadsheets/d/""&amp;$A89&amp;""/edit#gid=156619080"",W$3)"),418.0)</f>
        <v>418</v>
      </c>
      <c r="X89" s="2">
        <f>IFERROR(__xludf.DUMMYFUNCTION("IMPORTRANGE(""https://docs.google.com/spreadsheets/d/""&amp;$A89&amp;""/edit#gid=156619080"",X$3)"),394.9)</f>
        <v>394.9</v>
      </c>
      <c r="Y89" s="17">
        <f>IFERROR(__xludf.DUMMYFUNCTION("IMPORTRANGE(""https://docs.google.com/spreadsheets/d/""&amp;$A89&amp;""/edit#gid=156619080"",Y$3)"),-4.714757190004447E-4)</f>
        <v>-0.000471475719</v>
      </c>
      <c r="Z89" s="2">
        <f>IFERROR(__xludf.DUMMYFUNCTION("IMPORTRANGE(""https://docs.google.com/spreadsheets/d/""&amp;$A89&amp;""/edit#gid=156619080"",Z$3)"),432.35)</f>
        <v>432.35</v>
      </c>
      <c r="AA89" s="2">
        <f>IFERROR(__xludf.DUMMYFUNCTION("IMPORTRANGE(""https://docs.google.com/spreadsheets/d/""&amp;$A89&amp;""/edit#gid=156619080"",AA$3)"),430.56)</f>
        <v>430.56</v>
      </c>
      <c r="AB89" s="2">
        <f>IFERROR(__xludf.DUMMYFUNCTION("IMPORTRANGE(""https://docs.google.com/spreadsheets/d/""&amp;$A89&amp;""/edit#gid=156619080"",AB$3)"),428.76)</f>
        <v>428.76</v>
      </c>
      <c r="AC89" s="18">
        <f>IFERROR(__xludf.DUMMYFUNCTION("IMPORTRANGE(""https://docs.google.com/spreadsheets/d/""&amp;$A89&amp;""/edit#gid=156619080"",AC$3)"),426.97)</f>
        <v>426.97</v>
      </c>
      <c r="AD89" s="18">
        <f>IFERROR(__xludf.DUMMYFUNCTION("IMPORTRANGE(""https://docs.google.com/spreadsheets/d/""&amp;$A89&amp;""/edit#gid=156619080"",AD$3)"),425.17)</f>
        <v>425.17</v>
      </c>
      <c r="AE89" s="18">
        <f>IFERROR(__xludf.DUMMYFUNCTION("IMPORTRANGE(""https://docs.google.com/spreadsheets/d/""&amp;$A89&amp;""/edit#gid=156619080"",AE$3)"),418.0)</f>
        <v>418</v>
      </c>
      <c r="AF89" s="2">
        <f>IFERROR(__xludf.DUMMYFUNCTION("IMPORTRANGE(""https://docs.google.com/spreadsheets/d/""&amp;$A89&amp;""/edit#gid=156619080"",AF$3)"),410.83)</f>
        <v>410.83</v>
      </c>
      <c r="AG89" s="2">
        <f>IFERROR(__xludf.DUMMYFUNCTION("IMPORTRANGE(""https://docs.google.com/spreadsheets/d/""&amp;$A89&amp;""/edit#gid=156619080"",AG$3)"),409.03)</f>
        <v>409.03</v>
      </c>
      <c r="AH89" s="2">
        <f>IFERROR(__xludf.DUMMYFUNCTION("IMPORTRANGE(""https://docs.google.com/spreadsheets/d/""&amp;$A89&amp;""/edit#gid=156619080"",AH$3)"),407.24)</f>
        <v>407.24</v>
      </c>
      <c r="AI89" s="2">
        <f>IFERROR(__xludf.DUMMYFUNCTION("IMPORTRANGE(""https://docs.google.com/spreadsheets/d/""&amp;$A89&amp;""/edit#gid=156619080"",AI$3)"),405.44)</f>
        <v>405.44</v>
      </c>
      <c r="AJ89" s="2">
        <f>IFERROR(__xludf.DUMMYFUNCTION("IMPORTRANGE(""https://docs.google.com/spreadsheets/d/""&amp;$A89&amp;""/edit#gid=156619080"",AJ$3)"),403.65)</f>
        <v>403.65</v>
      </c>
      <c r="AK89" s="2" t="str">
        <f>IFERROR(__xludf.DUMMYFUNCTION("IMPORTRANGE(""https://docs.google.com/spreadsheets/d/""&amp;$A89&amp;""/edit#gid=156619080"",AK$3)"),"")</f>
        <v/>
      </c>
      <c r="AL89" s="2">
        <f>IFERROR(__xludf.DUMMYFUNCTION("IMPORTRANGE(""https://docs.google.com/spreadsheets/d/""&amp;$A89&amp;""/edit#gid=156619080"",AL$3)"),1.0)</f>
        <v>1</v>
      </c>
      <c r="AM89" s="2" t="str">
        <f>IFERROR(__xludf.DUMMYFUNCTION("IMPORTRANGE(""https://docs.google.com/spreadsheets/d/""&amp;$A89&amp;""/edit#gid=156619080"",AM$3)"),"")</f>
        <v/>
      </c>
      <c r="AN89" s="2">
        <f>IFERROR(__xludf.DUMMYFUNCTION("IMPORTRANGE(""https://docs.google.com/spreadsheets/d/""&amp;$A89&amp;""/edit#gid=156619080"",AN$3)"),1.0)</f>
        <v>1</v>
      </c>
      <c r="AO89" s="2" t="str">
        <f>IFERROR(__xludf.DUMMYFUNCTION("IMPORTRANGE(""https://docs.google.com/spreadsheets/d/""&amp;$A89&amp;""/edit#gid=156619080"",AO$3)"),"")</f>
        <v/>
      </c>
      <c r="AP89" s="2">
        <f>IFERROR(__xludf.DUMMYFUNCTION("IMPORTRANGE(""https://docs.google.com/spreadsheets/d/""&amp;$A89&amp;""/edit#gid=156619080"",AP$3)"),1.0)</f>
        <v>1</v>
      </c>
      <c r="AQ89" s="2" t="str">
        <f>IFERROR(__xludf.DUMMYFUNCTION("IMPORTRANGE(""https://docs.google.com/spreadsheets/d/""&amp;$A89&amp;""/edit#gid=156619080"",AQ$3)"),"")</f>
        <v/>
      </c>
      <c r="AR89" s="18">
        <f>IFERROR(__xludf.DUMMYFUNCTION("IMPORTRANGE(""https://docs.google.com/spreadsheets/d/""&amp;$A89&amp;""/edit#gid=156619080"",AR$3)"),15.000000000000002)</f>
        <v>15</v>
      </c>
      <c r="AS89" s="19" t="str">
        <f>IFERROR(__xludf.DUMMYFUNCTION("IMPORTRANGE(""https://docs.google.com/spreadsheets/d/""&amp;$A89&amp;""/edit#gid=156619080"",AS$3)"),"37.5
55
95
67.5
")</f>
        <v>37.5
55
95
67.5
</v>
      </c>
      <c r="AT89" s="18">
        <f>IFERROR(__xludf.DUMMYFUNCTION("IMPORTRANGE(""https://docs.google.com/spreadsheets/d/""&amp;$A89&amp;""/edit#gid=156619080"",AT$3)"),37.5)</f>
        <v>37.5</v>
      </c>
      <c r="AU89" s="3" t="str">
        <f>IFERROR(__xludf.DUMMYFUNCTION("IMPORTRANGE(""https://docs.google.com/spreadsheets/d/""&amp;$A89&amp;""/edit#gid=156619080"",AU$3)"),"72.8
67.45
60.16
50.82
")</f>
        <v>72.8
67.45
60.16
50.82
</v>
      </c>
      <c r="AV89" s="18">
        <f>IFERROR(__xludf.DUMMYFUNCTION("IMPORTRANGE(""https://docs.google.com/spreadsheets/d/""&amp;$A89&amp;""/edit#gid=156619080"",AV$3)"),74.02597402597402)</f>
        <v>74.02597403</v>
      </c>
      <c r="AW89" s="19" t="str">
        <f>IFERROR(__xludf.DUMMYFUNCTION("IMPORTRANGE(""https://docs.google.com/spreadsheets/d/""&amp;$A89&amp;""/edit#gid=156619080"",AW$3)"),"43.25
50.91
57.99
62.4
")</f>
        <v>43.25
50.91
57.99
62.4
</v>
      </c>
      <c r="AX89" s="2">
        <f>IFERROR(__xludf.DUMMYFUNCTION("IMPORTRANGE(""https://docs.google.com/spreadsheets/d/""&amp;$A89&amp;""/edit#gid=156619080"",AX$3)"),75.0)</f>
        <v>75</v>
      </c>
      <c r="AY89" s="2">
        <f>IFERROR(__xludf.DUMMYFUNCTION("IMPORTRANGE(""https://docs.google.com/spreadsheets/d/""&amp;$A89&amp;""/edit#gid=156619080"",AY$3)"),50.68)</f>
        <v>50.68</v>
      </c>
      <c r="AZ89" s="2">
        <f>IFERROR(__xludf.DUMMYFUNCTION("IMPORTRANGE(""https://docs.google.com/spreadsheets/d/""&amp;$A89&amp;""/edit#gid=156619080"",AZ$3)"),423.91)</f>
        <v>423.91</v>
      </c>
      <c r="BA89" s="2">
        <f>IFERROR(__xludf.DUMMYFUNCTION("IMPORTRANGE(""https://docs.google.com/spreadsheets/d/""&amp;$A89&amp;""/edit#gid=156619080"",BA$3)"),3.660000000000025)</f>
        <v>3.66</v>
      </c>
      <c r="BB89" s="2">
        <f>IFERROR(__xludf.DUMMYFUNCTION("IMPORTRANGE(""https://docs.google.com/spreadsheets/d/""&amp;$A89&amp;""/edit#gid=156619080"",BB$3)"),3.03)</f>
        <v>3.03</v>
      </c>
      <c r="BC89" s="2" t="str">
        <f>IFERROR(__xludf.DUMMYFUNCTION("IMPORTRANGE(""https://docs.google.com/spreadsheets/d/""&amp;$A89&amp;""/edit#gid=156619080"",BC$3)"),"GC→GC")</f>
        <v>GC→GC</v>
      </c>
    </row>
    <row r="90" ht="51.0" customHeight="1">
      <c r="A90" s="7" t="str">
        <f t="shared" si="5"/>
        <v>1Z3uVfKG2-dQWdT2Aa_T2v7aAKh1Hmb9TEdgzxEmS7oM</v>
      </c>
      <c r="B90" s="1" t="s">
        <v>117</v>
      </c>
      <c r="C90" s="2">
        <f>IFERROR(__xludf.DUMMYFUNCTION("IMPORTRANGE(""https://docs.google.com/spreadsheets/d/""&amp;$A90&amp;""/edit#gid=156619080"",C$3)"),132.0)</f>
        <v>132</v>
      </c>
      <c r="D90" s="2">
        <f>IFERROR(__xludf.DUMMYFUNCTION("IMPORTRANGE(""https://docs.google.com/spreadsheets/d/""&amp;$A90&amp;""/edit#gid=156619080"",D$3)"),7011.0)</f>
        <v>7011</v>
      </c>
      <c r="E90" s="15">
        <f>IFERROR(__xludf.DUMMYFUNCTION("IMPORTRANGE(""https://docs.google.com/spreadsheets/d/""&amp;$A90&amp;""/edit#gid=156619080"",E$3)"),43882.0)</f>
        <v>43882</v>
      </c>
      <c r="F90" s="2">
        <f>IFERROR(__xludf.DUMMYFUNCTION("IMPORTRANGE(""https://docs.google.com/spreadsheets/d/""&amp;$A90&amp;""/edit#gid=156619080"",F$3)"),6.0)</f>
        <v>6</v>
      </c>
      <c r="G90" s="16">
        <f>IFERROR(__xludf.DUMMYFUNCTION("IMPORTRANGE(""https://docs.google.com/spreadsheets/d/""&amp;$A90&amp;""/edit#gid=156619080"",G$3)"),0.16)</f>
        <v>0.16</v>
      </c>
      <c r="H90" s="16">
        <f>IFERROR(__xludf.DUMMYFUNCTION("IMPORTRANGE(""https://docs.google.com/spreadsheets/d/""&amp;$A90&amp;""/edit#gid=156619080"",H$3)"),3756.0)</f>
        <v>3756</v>
      </c>
      <c r="I90" s="16">
        <f>IFERROR(__xludf.DUMMYFUNCTION("IMPORTRANGE(""https://docs.google.com/spreadsheets/d/""&amp;$A90&amp;""/edit#gid=156619080"",I$3)"),6.0)</f>
        <v>6</v>
      </c>
      <c r="J90" s="16">
        <f>IFERROR(__xludf.DUMMYFUNCTION("IMPORTRANGE(""https://docs.google.com/spreadsheets/d/""&amp;$A90&amp;""/edit#gid=156619080"",J$3)"),3805.0)</f>
        <v>3805</v>
      </c>
      <c r="K90" s="16">
        <f>IFERROR(__xludf.DUMMYFUNCTION("IMPORTRANGE(""https://docs.google.com/spreadsheets/d/""&amp;$A90&amp;""/edit#gid=156619080"",K$3)"),0.5243055555555556)</f>
        <v>0.5243055556</v>
      </c>
      <c r="L90" s="16">
        <f>IFERROR(__xludf.DUMMYFUNCTION("IMPORTRANGE(""https://docs.google.com/spreadsheets/d/""&amp;$A90&amp;""/edit#gid=156619080"",L$3)"),3752.0)</f>
        <v>3752</v>
      </c>
      <c r="M90" s="16">
        <f>IFERROR(__xludf.DUMMYFUNCTION("IMPORTRANGE(""https://docs.google.com/spreadsheets/d/""&amp;$A90&amp;""/edit#gid=156619080"",M$3)"),0.375)</f>
        <v>0.375</v>
      </c>
      <c r="N90" s="16">
        <f>IFERROR(__xludf.DUMMYFUNCTION("IMPORTRANGE(""https://docs.google.com/spreadsheets/d/""&amp;$A90&amp;""/edit#gid=156619080"",N$3)"),3768.0)</f>
        <v>3768</v>
      </c>
      <c r="O90" s="16" t="str">
        <f>IFERROR(__xludf.DUMMYFUNCTION("IMPORTRANGE(""https://docs.google.com/spreadsheets/d/""&amp;$A90&amp;""/edit#gid=156619080"",O$3)"),"1172100株")</f>
        <v>1172100株</v>
      </c>
      <c r="P90" s="16" t="str">
        <f>IFERROR(__xludf.DUMMYFUNCTION("IMPORTRANGE(""https://docs.google.com/spreadsheets/d/""&amp;$A90&amp;""/edit#gid=156619080"",P$3)"),"4428百万円")</f>
        <v>4428百万円</v>
      </c>
      <c r="Q90" s="16" t="str">
        <f>IFERROR(__xludf.DUMMYFUNCTION("IMPORTRANGE(""https://docs.google.com/spreadsheets/d/""&amp;$A90&amp;""/edit#gid=156619080"",Q$3)"),"2693回")</f>
        <v>2693回</v>
      </c>
      <c r="R90" s="16" t="str">
        <f>IFERROR(__xludf.DUMMYFUNCTION("IMPORTRANGE(""https://docs.google.com/spreadsheets/d/""&amp;$A90&amp;""/edit#gid=156619080"",R$3)"),"12712億円")</f>
        <v>12712億円</v>
      </c>
      <c r="S90" s="16" t="str">
        <f>IFERROR(__xludf.DUMMYFUNCTION("IMPORTRANGE(""https://docs.google.com/spreadsheets/d/""&amp;$A90&amp;""/edit#gid=156619080"",S$3)"),"陽線")</f>
        <v>陽線</v>
      </c>
      <c r="T90" s="16" t="str">
        <f>IFERROR(__xludf.DUMMYFUNCTION("IMPORTRANGE(""https://docs.google.com/spreadsheets/d/""&amp;$A90&amp;""/edit#gid=156619080"",T$3)"),"")</f>
        <v/>
      </c>
      <c r="U90" s="16">
        <f>IFERROR(__xludf.DUMMYFUNCTION("IMPORTRANGE(""https://docs.google.com/spreadsheets/d/""&amp;$A90&amp;""/edit#gid=156619080"",U$3)"),3805.4)</f>
        <v>3805.4</v>
      </c>
      <c r="V90" s="16">
        <f>IFERROR(__xludf.DUMMYFUNCTION("IMPORTRANGE(""https://docs.google.com/spreadsheets/d/""&amp;$A90&amp;""/edit#gid=156619080"",V$3)"),3920.8)</f>
        <v>3920.8</v>
      </c>
      <c r="W90" s="16">
        <f>IFERROR(__xludf.DUMMYFUNCTION("IMPORTRANGE(""https://docs.google.com/spreadsheets/d/""&amp;$A90&amp;""/edit#gid=156619080"",W$3)"),3980.4)</f>
        <v>3980.4</v>
      </c>
      <c r="X90" s="2">
        <f>IFERROR(__xludf.DUMMYFUNCTION("IMPORTRANGE(""https://docs.google.com/spreadsheets/d/""&amp;$A90&amp;""/edit#gid=156619080"",X$3)"),4203.2)</f>
        <v>4203.2</v>
      </c>
      <c r="Y90" s="17">
        <f>IFERROR(__xludf.DUMMYFUNCTION("IMPORTRANGE(""https://docs.google.com/spreadsheets/d/""&amp;$A90&amp;""/edit#gid=156619080"",Y$3)"),-0.009828138960424683)</f>
        <v>-0.00982813896</v>
      </c>
      <c r="Z90" s="2">
        <f>IFERROR(__xludf.DUMMYFUNCTION("IMPORTRANGE(""https://docs.google.com/spreadsheets/d/""&amp;$A90&amp;""/edit#gid=156619080"",Z$3)"),4225.54)</f>
        <v>4225.54</v>
      </c>
      <c r="AA90" s="2">
        <f>IFERROR(__xludf.DUMMYFUNCTION("IMPORTRANGE(""https://docs.google.com/spreadsheets/d/""&amp;$A90&amp;""/edit#gid=156619080"",AA$3)"),4194.9)</f>
        <v>4194.9</v>
      </c>
      <c r="AB90" s="2">
        <f>IFERROR(__xludf.DUMMYFUNCTION("IMPORTRANGE(""https://docs.google.com/spreadsheets/d/""&amp;$A90&amp;""/edit#gid=156619080"",AB$3)"),4164.26)</f>
        <v>4164.26</v>
      </c>
      <c r="AC90" s="18">
        <f>IFERROR(__xludf.DUMMYFUNCTION("IMPORTRANGE(""https://docs.google.com/spreadsheets/d/""&amp;$A90&amp;""/edit#gid=156619080"",AC$3)"),4133.61)</f>
        <v>4133.61</v>
      </c>
      <c r="AD90" s="18">
        <f>IFERROR(__xludf.DUMMYFUNCTION("IMPORTRANGE(""https://docs.google.com/spreadsheets/d/""&amp;$A90&amp;""/edit#gid=156619080"",AD$3)"),4102.97)</f>
        <v>4102.97</v>
      </c>
      <c r="AE90" s="18">
        <f>IFERROR(__xludf.DUMMYFUNCTION("IMPORTRANGE(""https://docs.google.com/spreadsheets/d/""&amp;$A90&amp;""/edit#gid=156619080"",AE$3)"),3980.4)</f>
        <v>3980.4</v>
      </c>
      <c r="AF90" s="2">
        <f>IFERROR(__xludf.DUMMYFUNCTION("IMPORTRANGE(""https://docs.google.com/spreadsheets/d/""&amp;$A90&amp;""/edit#gid=156619080"",AF$3)"),3857.83)</f>
        <v>3857.83</v>
      </c>
      <c r="AG90" s="2">
        <f>IFERROR(__xludf.DUMMYFUNCTION("IMPORTRANGE(""https://docs.google.com/spreadsheets/d/""&amp;$A90&amp;""/edit#gid=156619080"",AG$3)"),3827.19)</f>
        <v>3827.19</v>
      </c>
      <c r="AH90" s="2">
        <f>IFERROR(__xludf.DUMMYFUNCTION("IMPORTRANGE(""https://docs.google.com/spreadsheets/d/""&amp;$A90&amp;""/edit#gid=156619080"",AH$3)"),3796.54)</f>
        <v>3796.54</v>
      </c>
      <c r="AI90" s="2">
        <f>IFERROR(__xludf.DUMMYFUNCTION("IMPORTRANGE(""https://docs.google.com/spreadsheets/d/""&amp;$A90&amp;""/edit#gid=156619080"",AI$3)"),3765.9)</f>
        <v>3765.9</v>
      </c>
      <c r="AJ90" s="2">
        <f>IFERROR(__xludf.DUMMYFUNCTION("IMPORTRANGE(""https://docs.google.com/spreadsheets/d/""&amp;$A90&amp;""/edit#gid=156619080"",AJ$3)"),3735.26)</f>
        <v>3735.26</v>
      </c>
      <c r="AK90" s="2" t="str">
        <f>IFERROR(__xludf.DUMMYFUNCTION("IMPORTRANGE(""https://docs.google.com/spreadsheets/d/""&amp;$A90&amp;""/edit#gid=156619080"",AK$3)"),"-1.5σ〜-1.75σ")</f>
        <v>-1.5σ〜-1.75σ</v>
      </c>
      <c r="AL90" s="2">
        <f>IFERROR(__xludf.DUMMYFUNCTION("IMPORTRANGE(""https://docs.google.com/spreadsheets/d/""&amp;$A90&amp;""/edit#gid=156619080"",AL$3)"),-1.0)</f>
        <v>-1</v>
      </c>
      <c r="AM90" s="2" t="str">
        <f>IFERROR(__xludf.DUMMYFUNCTION("IMPORTRANGE(""https://docs.google.com/spreadsheets/d/""&amp;$A90&amp;""/edit#gid=156619080"",AM$3)"),"")</f>
        <v/>
      </c>
      <c r="AN90" s="2">
        <f>IFERROR(__xludf.DUMMYFUNCTION("IMPORTRANGE(""https://docs.google.com/spreadsheets/d/""&amp;$A90&amp;""/edit#gid=156619080"",AN$3)"),-1.0)</f>
        <v>-1</v>
      </c>
      <c r="AO90" s="2" t="str">
        <f>IFERROR(__xludf.DUMMYFUNCTION("IMPORTRANGE(""https://docs.google.com/spreadsheets/d/""&amp;$A90&amp;""/edit#gid=156619080"",AO$3)"),"")</f>
        <v/>
      </c>
      <c r="AP90" s="2">
        <f>IFERROR(__xludf.DUMMYFUNCTION("IMPORTRANGE(""https://docs.google.com/spreadsheets/d/""&amp;$A90&amp;""/edit#gid=156619080"",AP$3)"),-1.0)</f>
        <v>-1</v>
      </c>
      <c r="AQ90" s="2" t="str">
        <f>IFERROR(__xludf.DUMMYFUNCTION("IMPORTRANGE(""https://docs.google.com/spreadsheets/d/""&amp;$A90&amp;""/edit#gid=156619080"",AQ$3)"),"")</f>
        <v/>
      </c>
      <c r="AR90" s="18">
        <f>IFERROR(__xludf.DUMMYFUNCTION("IMPORTRANGE(""https://docs.google.com/spreadsheets/d/""&amp;$A90&amp;""/edit#gid=156619080"",AR$3)"),-89.99999999999999)</f>
        <v>-90</v>
      </c>
      <c r="AS90" s="19" t="str">
        <f>IFERROR(__xludf.DUMMYFUNCTION("IMPORTRANGE(""https://docs.google.com/spreadsheets/d/""&amp;$A90&amp;""/edit#gid=156619080"",AS$3)"),"-90
-90
-90
-90
")</f>
        <v>-90
-90
-90
-90
</v>
      </c>
      <c r="AT90" s="18">
        <f>IFERROR(__xludf.DUMMYFUNCTION("IMPORTRANGE(""https://docs.google.com/spreadsheets/d/""&amp;$A90&amp;""/edit#gid=156619080"",AT$3)"),-93.95604395604396)</f>
        <v>-93.95604396</v>
      </c>
      <c r="AU90" s="3" t="str">
        <f>IFERROR(__xludf.DUMMYFUNCTION("IMPORTRANGE(""https://docs.google.com/spreadsheets/d/""&amp;$A90&amp;""/edit#gid=156619080"",AU$3)"),"-67.45
-70.74
-80.08
-87.23
")</f>
        <v>-67.45
-70.74
-80.08
-87.23
</v>
      </c>
      <c r="AV90" s="18">
        <f>IFERROR(__xludf.DUMMYFUNCTION("IMPORTRANGE(""https://docs.google.com/spreadsheets/d/""&amp;$A90&amp;""/edit#gid=156619080"",AV$3)"),-89.96753246753246)</f>
        <v>-89.96753247</v>
      </c>
      <c r="AW90" s="19" t="str">
        <f>IFERROR(__xludf.DUMMYFUNCTION("IMPORTRANGE(""https://docs.google.com/spreadsheets/d/""&amp;$A90&amp;""/edit#gid=156619080"",AW$3)"),"-89.71
-90.1
-90.1
-90.1
")</f>
        <v>-89.71
-90.1
-90.1
-90.1
</v>
      </c>
      <c r="AX90" s="2">
        <f>IFERROR(__xludf.DUMMYFUNCTION("IMPORTRANGE(""https://docs.google.com/spreadsheets/d/""&amp;$A90&amp;""/edit#gid=156619080"",AX$3)"),7.630000000000001)</f>
        <v>7.63</v>
      </c>
      <c r="AY90" s="2">
        <f>IFERROR(__xludf.DUMMYFUNCTION("IMPORTRANGE(""https://docs.google.com/spreadsheets/d/""&amp;$A90&amp;""/edit#gid=156619080"",AY$3)"),23.03)</f>
        <v>23.03</v>
      </c>
      <c r="AZ90" s="2">
        <f>IFERROR(__xludf.DUMMYFUNCTION("IMPORTRANGE(""https://docs.google.com/spreadsheets/d/""&amp;$A90&amp;""/edit#gid=156619080"",AZ$3)"),3806.25)</f>
        <v>3806.25</v>
      </c>
      <c r="BA90" s="2">
        <f>IFERROR(__xludf.DUMMYFUNCTION("IMPORTRANGE(""https://docs.google.com/spreadsheets/d/""&amp;$A90&amp;""/edit#gid=156619080"",BA$3)"),-158.5999999999999)</f>
        <v>-158.6</v>
      </c>
      <c r="BB90" s="2">
        <f>IFERROR(__xludf.DUMMYFUNCTION("IMPORTRANGE(""https://docs.google.com/spreadsheets/d/""&amp;$A90&amp;""/edit#gid=156619080"",BB$3)"),-121.65)</f>
        <v>-121.65</v>
      </c>
      <c r="BC90" s="2" t="str">
        <f>IFERROR(__xludf.DUMMYFUNCTION("IMPORTRANGE(""https://docs.google.com/spreadsheets/d/""&amp;$A90&amp;""/edit#gid=156619080"",BC$3)"),"DC→DC")</f>
        <v>DC→DC</v>
      </c>
    </row>
    <row r="91" ht="51.0" customHeight="1">
      <c r="A91" s="7" t="str">
        <f t="shared" si="5"/>
        <v>1ByWLl9gpo9LeElG7_j71V8f0bWP1vzmm2rRUpZePnpw</v>
      </c>
      <c r="B91" s="1" t="s">
        <v>118</v>
      </c>
      <c r="C91" s="2">
        <f>IFERROR(__xludf.DUMMYFUNCTION("IMPORTRANGE(""https://docs.google.com/spreadsheets/d/""&amp;$A91&amp;""/edit#gid=156619080"",C$3)"),132.0)</f>
        <v>132</v>
      </c>
      <c r="D91" s="2">
        <f>IFERROR(__xludf.DUMMYFUNCTION("IMPORTRANGE(""https://docs.google.com/spreadsheets/d/""&amp;$A91&amp;""/edit#gid=156619080"",D$3)"),7013.0)</f>
        <v>7013</v>
      </c>
      <c r="E91" s="15">
        <f>IFERROR(__xludf.DUMMYFUNCTION("IMPORTRANGE(""https://docs.google.com/spreadsheets/d/""&amp;$A91&amp;""/edit#gid=156619080"",E$3)"),43882.0)</f>
        <v>43882</v>
      </c>
      <c r="F91" s="2">
        <f>IFERROR(__xludf.DUMMYFUNCTION("IMPORTRANGE(""https://docs.google.com/spreadsheets/d/""&amp;$A91&amp;""/edit#gid=156619080"",F$3)"),-8.0)</f>
        <v>-8</v>
      </c>
      <c r="G91" s="16">
        <f>IFERROR(__xludf.DUMMYFUNCTION("IMPORTRANGE(""https://docs.google.com/spreadsheets/d/""&amp;$A91&amp;""/edit#gid=156619080"",G$3)"),-0.29)</f>
        <v>-0.29</v>
      </c>
      <c r="H91" s="16">
        <f>IFERROR(__xludf.DUMMYFUNCTION("IMPORTRANGE(""https://docs.google.com/spreadsheets/d/""&amp;$A91&amp;""/edit#gid=156619080"",H$3)"),2715.0)</f>
        <v>2715</v>
      </c>
      <c r="I91" s="16">
        <f>IFERROR(__xludf.DUMMYFUNCTION("IMPORTRANGE(""https://docs.google.com/spreadsheets/d/""&amp;$A91&amp;""/edit#gid=156619080"",I$3)"),22.0)</f>
        <v>22</v>
      </c>
      <c r="J91" s="16">
        <f>IFERROR(__xludf.DUMMYFUNCTION("IMPORTRANGE(""https://docs.google.com/spreadsheets/d/""&amp;$A91&amp;""/edit#gid=156619080"",J$3)"),2770.0)</f>
        <v>2770</v>
      </c>
      <c r="K91" s="16">
        <f>IFERROR(__xludf.DUMMYFUNCTION("IMPORTRANGE(""https://docs.google.com/spreadsheets/d/""&amp;$A91&amp;""/edit#gid=156619080"",K$3)"),0.5583333333333333)</f>
        <v>0.5583333333</v>
      </c>
      <c r="L91" s="16">
        <f>IFERROR(__xludf.DUMMYFUNCTION("IMPORTRANGE(""https://docs.google.com/spreadsheets/d/""&amp;$A91&amp;""/edit#gid=156619080"",L$3)"),2699.0)</f>
        <v>2699</v>
      </c>
      <c r="M91" s="16">
        <f>IFERROR(__xludf.DUMMYFUNCTION("IMPORTRANGE(""https://docs.google.com/spreadsheets/d/""&amp;$A91&amp;""/edit#gid=156619080"",M$3)"),0.41875)</f>
        <v>0.41875</v>
      </c>
      <c r="N91" s="16">
        <f>IFERROR(__xludf.DUMMYFUNCTION("IMPORTRANGE(""https://docs.google.com/spreadsheets/d/""&amp;$A91&amp;""/edit#gid=156619080"",N$3)"),2729.0)</f>
        <v>2729</v>
      </c>
      <c r="O91" s="16" t="str">
        <f>IFERROR(__xludf.DUMMYFUNCTION("IMPORTRANGE(""https://docs.google.com/spreadsheets/d/""&amp;$A91&amp;""/edit#gid=156619080"",O$3)"),"910900株")</f>
        <v>910900株</v>
      </c>
      <c r="P91" s="16" t="str">
        <f>IFERROR(__xludf.DUMMYFUNCTION("IMPORTRANGE(""https://docs.google.com/spreadsheets/d/""&amp;$A91&amp;""/edit#gid=156619080"",P$3)"),"2488百万円")</f>
        <v>2488百万円</v>
      </c>
      <c r="Q91" s="16" t="str">
        <f>IFERROR(__xludf.DUMMYFUNCTION("IMPORTRANGE(""https://docs.google.com/spreadsheets/d/""&amp;$A91&amp;""/edit#gid=156619080"",Q$3)"),"2401回")</f>
        <v>2401回</v>
      </c>
      <c r="R91" s="16" t="str">
        <f>IFERROR(__xludf.DUMMYFUNCTION("IMPORTRANGE(""https://docs.google.com/spreadsheets/d/""&amp;$A91&amp;""/edit#gid=156619080"",R$3)"),"4221億円")</f>
        <v>4221億円</v>
      </c>
      <c r="S91" s="16" t="str">
        <f>IFERROR(__xludf.DUMMYFUNCTION("IMPORTRANGE(""https://docs.google.com/spreadsheets/d/""&amp;$A91&amp;""/edit#gid=156619080"",S$3)"),"陽線")</f>
        <v>陽線</v>
      </c>
      <c r="T91" s="16" t="str">
        <f>IFERROR(__xludf.DUMMYFUNCTION("IMPORTRANGE(""https://docs.google.com/spreadsheets/d/""&amp;$A91&amp;""/edit#gid=156619080"",T$3)"),"")</f>
        <v/>
      </c>
      <c r="U91" s="16">
        <f>IFERROR(__xludf.DUMMYFUNCTION("IMPORTRANGE(""https://docs.google.com/spreadsheets/d/""&amp;$A91&amp;""/edit#gid=156619080"",U$3)"),2737.8)</f>
        <v>2737.8</v>
      </c>
      <c r="V91" s="16">
        <f>IFERROR(__xludf.DUMMYFUNCTION("IMPORTRANGE(""https://docs.google.com/spreadsheets/d/""&amp;$A91&amp;""/edit#gid=156619080"",V$3)"),2757.5)</f>
        <v>2757.5</v>
      </c>
      <c r="W91" s="16">
        <f>IFERROR(__xludf.DUMMYFUNCTION("IMPORTRANGE(""https://docs.google.com/spreadsheets/d/""&amp;$A91&amp;""/edit#gid=156619080"",W$3)"),2737.2)</f>
        <v>2737.2</v>
      </c>
      <c r="X91" s="2">
        <f>IFERROR(__xludf.DUMMYFUNCTION("IMPORTRANGE(""https://docs.google.com/spreadsheets/d/""&amp;$A91&amp;""/edit#gid=156619080"",X$3)"),2574.1)</f>
        <v>2574.1</v>
      </c>
      <c r="Y91" s="17">
        <f>IFERROR(__xludf.DUMMYFUNCTION("IMPORTRANGE(""https://docs.google.com/spreadsheets/d/""&amp;$A91&amp;""/edit#gid=156619080"",Y$3)"),-0.003214259624516101)</f>
        <v>-0.003214259625</v>
      </c>
      <c r="Z91" s="2">
        <f>IFERROR(__xludf.DUMMYFUNCTION("IMPORTRANGE(""https://docs.google.com/spreadsheets/d/""&amp;$A91&amp;""/edit#gid=156619080"",Z$3)"),2901.46)</f>
        <v>2901.46</v>
      </c>
      <c r="AA91" s="2">
        <f>IFERROR(__xludf.DUMMYFUNCTION("IMPORTRANGE(""https://docs.google.com/spreadsheets/d/""&amp;$A91&amp;""/edit#gid=156619080"",AA$3)"),2880.93)</f>
        <v>2880.93</v>
      </c>
      <c r="AB91" s="2">
        <f>IFERROR(__xludf.DUMMYFUNCTION("IMPORTRANGE(""https://docs.google.com/spreadsheets/d/""&amp;$A91&amp;""/edit#gid=156619080"",AB$3)"),2860.39)</f>
        <v>2860.39</v>
      </c>
      <c r="AC91" s="18">
        <f>IFERROR(__xludf.DUMMYFUNCTION("IMPORTRANGE(""https://docs.google.com/spreadsheets/d/""&amp;$A91&amp;""/edit#gid=156619080"",AC$3)"),2839.86)</f>
        <v>2839.86</v>
      </c>
      <c r="AD91" s="18">
        <f>IFERROR(__xludf.DUMMYFUNCTION("IMPORTRANGE(""https://docs.google.com/spreadsheets/d/""&amp;$A91&amp;""/edit#gid=156619080"",AD$3)"),2819.33)</f>
        <v>2819.33</v>
      </c>
      <c r="AE91" s="18">
        <f>IFERROR(__xludf.DUMMYFUNCTION("IMPORTRANGE(""https://docs.google.com/spreadsheets/d/""&amp;$A91&amp;""/edit#gid=156619080"",AE$3)"),2737.2)</f>
        <v>2737.2</v>
      </c>
      <c r="AF91" s="2">
        <f>IFERROR(__xludf.DUMMYFUNCTION("IMPORTRANGE(""https://docs.google.com/spreadsheets/d/""&amp;$A91&amp;""/edit#gid=156619080"",AF$3)"),2655.07)</f>
        <v>2655.07</v>
      </c>
      <c r="AG91" s="2">
        <f>IFERROR(__xludf.DUMMYFUNCTION("IMPORTRANGE(""https://docs.google.com/spreadsheets/d/""&amp;$A91&amp;""/edit#gid=156619080"",AG$3)"),2634.54)</f>
        <v>2634.54</v>
      </c>
      <c r="AH91" s="2">
        <f>IFERROR(__xludf.DUMMYFUNCTION("IMPORTRANGE(""https://docs.google.com/spreadsheets/d/""&amp;$A91&amp;""/edit#gid=156619080"",AH$3)"),2614.01)</f>
        <v>2614.01</v>
      </c>
      <c r="AI91" s="2">
        <f>IFERROR(__xludf.DUMMYFUNCTION("IMPORTRANGE(""https://docs.google.com/spreadsheets/d/""&amp;$A91&amp;""/edit#gid=156619080"",AI$3)"),2593.47)</f>
        <v>2593.47</v>
      </c>
      <c r="AJ91" s="2">
        <f>IFERROR(__xludf.DUMMYFUNCTION("IMPORTRANGE(""https://docs.google.com/spreadsheets/d/""&amp;$A91&amp;""/edit#gid=156619080"",AJ$3)"),2572.94)</f>
        <v>2572.94</v>
      </c>
      <c r="AK91" s="2" t="str">
        <f>IFERROR(__xludf.DUMMYFUNCTION("IMPORTRANGE(""https://docs.google.com/spreadsheets/d/""&amp;$A91&amp;""/edit#gid=156619080"",AK$3)"),"")</f>
        <v/>
      </c>
      <c r="AL91" s="2">
        <f>IFERROR(__xludf.DUMMYFUNCTION("IMPORTRANGE(""https://docs.google.com/spreadsheets/d/""&amp;$A91&amp;""/edit#gid=156619080"",AL$3)"),-1.0)</f>
        <v>-1</v>
      </c>
      <c r="AM91" s="2" t="str">
        <f>IFERROR(__xludf.DUMMYFUNCTION("IMPORTRANGE(""https://docs.google.com/spreadsheets/d/""&amp;$A91&amp;""/edit#gid=156619080"",AM$3)"),"bs1")</f>
        <v>bs1</v>
      </c>
      <c r="AN91" s="2">
        <f>IFERROR(__xludf.DUMMYFUNCTION("IMPORTRANGE(""https://docs.google.com/spreadsheets/d/""&amp;$A91&amp;""/edit#gid=156619080"",AN$3)"),1.0)</f>
        <v>1</v>
      </c>
      <c r="AO91" s="2" t="str">
        <f>IFERROR(__xludf.DUMMYFUNCTION("IMPORTRANGE(""https://docs.google.com/spreadsheets/d/""&amp;$A91&amp;""/edit#gid=156619080"",AO$3)"),"")</f>
        <v/>
      </c>
      <c r="AP91" s="2">
        <f>IFERROR(__xludf.DUMMYFUNCTION("IMPORTRANGE(""https://docs.google.com/spreadsheets/d/""&amp;$A91&amp;""/edit#gid=156619080"",AP$3)"),1.0)</f>
        <v>1</v>
      </c>
      <c r="AQ91" s="2" t="str">
        <f>IFERROR(__xludf.DUMMYFUNCTION("IMPORTRANGE(""https://docs.google.com/spreadsheets/d/""&amp;$A91&amp;""/edit#gid=156619080"",AQ$3)"),"")</f>
        <v/>
      </c>
      <c r="AR91" s="18">
        <f>IFERROR(__xludf.DUMMYFUNCTION("IMPORTRANGE(""https://docs.google.com/spreadsheets/d/""&amp;$A91&amp;""/edit#gid=156619080"",AR$3)"),-32.49999999999999)</f>
        <v>-32.5</v>
      </c>
      <c r="AS91" s="19" t="str">
        <f>IFERROR(__xludf.DUMMYFUNCTION("IMPORTRANGE(""https://docs.google.com/spreadsheets/d/""&amp;$A91&amp;""/edit#gid=156619080"",AS$3)"),"-90
-90
-90
-70
")</f>
        <v>-90
-90
-90
-70
</v>
      </c>
      <c r="AT91" s="18">
        <f>IFERROR(__xludf.DUMMYFUNCTION("IMPORTRANGE(""https://docs.google.com/spreadsheets/d/""&amp;$A91&amp;""/edit#gid=156619080"",AT$3)"),-5.082417582417587)</f>
        <v>-5.082417582</v>
      </c>
      <c r="AU91" s="3" t="str">
        <f>IFERROR(__xludf.DUMMYFUNCTION("IMPORTRANGE(""https://docs.google.com/spreadsheets/d/""&amp;$A91&amp;""/edit#gid=156619080"",AU$3)"),"65.38
61.54
44.51
23.08
")</f>
        <v>65.38
61.54
44.51
23.08
</v>
      </c>
      <c r="AV91" s="18">
        <f>IFERROR(__xludf.DUMMYFUNCTION("IMPORTRANGE(""https://docs.google.com/spreadsheets/d/""&amp;$A91&amp;""/edit#gid=156619080"",AV$3)"),13.99350649350649)</f>
        <v>13.99350649</v>
      </c>
      <c r="AW91" s="19" t="str">
        <f>IFERROR(__xludf.DUMMYFUNCTION("IMPORTRANGE(""https://docs.google.com/spreadsheets/d/""&amp;$A91&amp;""/edit#gid=156619080"",AW$3)"),"3.67
-4.64
-2.73
6.1
")</f>
        <v>3.67
-4.64
-2.73
6.1
</v>
      </c>
      <c r="AX91" s="2">
        <f>IFERROR(__xludf.DUMMYFUNCTION("IMPORTRANGE(""https://docs.google.com/spreadsheets/d/""&amp;$A91&amp;""/edit#gid=156619080"",AX$3)"),20.8)</f>
        <v>20.8</v>
      </c>
      <c r="AY91" s="2">
        <f>IFERROR(__xludf.DUMMYFUNCTION("IMPORTRANGE(""https://docs.google.com/spreadsheets/d/""&amp;$A91&amp;""/edit#gid=156619080"",AY$3)"),43.26)</f>
        <v>43.26</v>
      </c>
      <c r="AZ91" s="2">
        <f>IFERROR(__xludf.DUMMYFUNCTION("IMPORTRANGE(""https://docs.google.com/spreadsheets/d/""&amp;$A91&amp;""/edit#gid=156619080"",AZ$3)"),2740.97)</f>
        <v>2740.97</v>
      </c>
      <c r="BA91" s="2">
        <f>IFERROR(__xludf.DUMMYFUNCTION("IMPORTRANGE(""https://docs.google.com/spreadsheets/d/""&amp;$A91&amp;""/edit#gid=156619080"",BA$3)"),0.6999999999998181)</f>
        <v>0.7</v>
      </c>
      <c r="BB91" s="2">
        <f>IFERROR(__xludf.DUMMYFUNCTION("IMPORTRANGE(""https://docs.google.com/spreadsheets/d/""&amp;$A91&amp;""/edit#gid=156619080"",BB$3)"),23.9)</f>
        <v>23.9</v>
      </c>
      <c r="BC91" s="2" t="str">
        <f>IFERROR(__xludf.DUMMYFUNCTION("IMPORTRANGE(""https://docs.google.com/spreadsheets/d/""&amp;$A91&amp;""/edit#gid=156619080"",BC$3)"),"DC→DC")</f>
        <v>DC→DC</v>
      </c>
    </row>
    <row r="92" ht="51.0" customHeight="1">
      <c r="A92" s="7" t="str">
        <f t="shared" si="5"/>
        <v>1LJiQ0g3IpzSjdeplcEW_kaCFYsk3CLOCma_FNLJmg-g</v>
      </c>
      <c r="B92" s="1" t="s">
        <v>119</v>
      </c>
      <c r="C92" s="2">
        <f>IFERROR(__xludf.DUMMYFUNCTION("IMPORTRANGE(""https://docs.google.com/spreadsheets/d/""&amp;$A92&amp;""/edit#gid=156619080"",C$3)"),132.0)</f>
        <v>132</v>
      </c>
      <c r="D92" s="2">
        <f>IFERROR(__xludf.DUMMYFUNCTION("IMPORTRANGE(""https://docs.google.com/spreadsheets/d/""&amp;$A92&amp;""/edit#gid=156619080"",D$3)"),3105.0)</f>
        <v>3105</v>
      </c>
      <c r="E92" s="15">
        <f>IFERROR(__xludf.DUMMYFUNCTION("IMPORTRANGE(""https://docs.google.com/spreadsheets/d/""&amp;$A92&amp;""/edit#gid=156619080"",E$3)"),43882.0)</f>
        <v>43882</v>
      </c>
      <c r="F92" s="2">
        <f>IFERROR(__xludf.DUMMYFUNCTION("IMPORTRANGE(""https://docs.google.com/spreadsheets/d/""&amp;$A92&amp;""/edit#gid=156619080"",F$3)"),13.0)</f>
        <v>13</v>
      </c>
      <c r="G92" s="16">
        <f>IFERROR(__xludf.DUMMYFUNCTION("IMPORTRANGE(""https://docs.google.com/spreadsheets/d/""&amp;$A92&amp;""/edit#gid=156619080"",G$3)"),1.25)</f>
        <v>1.25</v>
      </c>
      <c r="H92" s="16">
        <f>IFERROR(__xludf.DUMMYFUNCTION("IMPORTRANGE(""https://docs.google.com/spreadsheets/d/""&amp;$A92&amp;""/edit#gid=156619080"",H$3)"),1034.0)</f>
        <v>1034</v>
      </c>
      <c r="I92" s="16">
        <f>IFERROR(__xludf.DUMMYFUNCTION("IMPORTRANGE(""https://docs.google.com/spreadsheets/d/""&amp;$A92&amp;""/edit#gid=156619080"",I$3)"),4.0)</f>
        <v>4</v>
      </c>
      <c r="J92" s="16">
        <f>IFERROR(__xludf.DUMMYFUNCTION("IMPORTRANGE(""https://docs.google.com/spreadsheets/d/""&amp;$A92&amp;""/edit#gid=156619080"",J$3)"),1060.0)</f>
        <v>1060</v>
      </c>
      <c r="K92" s="16">
        <f>IFERROR(__xludf.DUMMYFUNCTION("IMPORTRANGE(""https://docs.google.com/spreadsheets/d/""&amp;$A92&amp;""/edit#gid=156619080"",K$3)"),0.5430555555555555)</f>
        <v>0.5430555556</v>
      </c>
      <c r="L92" s="16">
        <f>IFERROR(__xludf.DUMMYFUNCTION("IMPORTRANGE(""https://docs.google.com/spreadsheets/d/""&amp;$A92&amp;""/edit#gid=156619080"",L$3)"),1034.0)</f>
        <v>1034</v>
      </c>
      <c r="M92" s="16">
        <f>IFERROR(__xludf.DUMMYFUNCTION("IMPORTRANGE(""https://docs.google.com/spreadsheets/d/""&amp;$A92&amp;""/edit#gid=156619080"",M$3)"),0.375)</f>
        <v>0.375</v>
      </c>
      <c r="N92" s="16">
        <f>IFERROR(__xludf.DUMMYFUNCTION("IMPORTRANGE(""https://docs.google.com/spreadsheets/d/""&amp;$A92&amp;""/edit#gid=156619080"",N$3)"),1051.0)</f>
        <v>1051</v>
      </c>
      <c r="O92" s="16" t="str">
        <f>IFERROR(__xludf.DUMMYFUNCTION("IMPORTRANGE(""https://docs.google.com/spreadsheets/d/""&amp;$A92&amp;""/edit#gid=156619080"",O$3)"),"910000株")</f>
        <v>910000株</v>
      </c>
      <c r="P92" s="16" t="str">
        <f>IFERROR(__xludf.DUMMYFUNCTION("IMPORTRANGE(""https://docs.google.com/spreadsheets/d/""&amp;$A92&amp;""/edit#gid=156619080"",P$3)"),"957百万円")</f>
        <v>957百万円</v>
      </c>
      <c r="Q92" s="16" t="str">
        <f>IFERROR(__xludf.DUMMYFUNCTION("IMPORTRANGE(""https://docs.google.com/spreadsheets/d/""&amp;$A92&amp;""/edit#gid=156619080"",Q$3)"),"1269回")</f>
        <v>1269回</v>
      </c>
      <c r="R92" s="16" t="str">
        <f>IFERROR(__xludf.DUMMYFUNCTION("IMPORTRANGE(""https://docs.google.com/spreadsheets/d/""&amp;$A92&amp;""/edit#gid=156619080"",R$3)"),"1880億円")</f>
        <v>1880億円</v>
      </c>
      <c r="S92" s="16" t="str">
        <f>IFERROR(__xludf.DUMMYFUNCTION("IMPORTRANGE(""https://docs.google.com/spreadsheets/d/""&amp;$A92&amp;""/edit#gid=156619080"",S$3)"),"陽線")</f>
        <v>陽線</v>
      </c>
      <c r="T92" s="16" t="str">
        <f>IFERROR(__xludf.DUMMYFUNCTION("IMPORTRANGE(""https://docs.google.com/spreadsheets/d/""&amp;$A92&amp;""/edit#gid=156619080"",T$3)"),"")</f>
        <v/>
      </c>
      <c r="U92" s="16">
        <f>IFERROR(__xludf.DUMMYFUNCTION("IMPORTRANGE(""https://docs.google.com/spreadsheets/d/""&amp;$A92&amp;""/edit#gid=156619080"",U$3)"),1024.2)</f>
        <v>1024.2</v>
      </c>
      <c r="V92" s="16">
        <f>IFERROR(__xludf.DUMMYFUNCTION("IMPORTRANGE(""https://docs.google.com/spreadsheets/d/""&amp;$A92&amp;""/edit#gid=156619080"",V$3)"),1015.7)</f>
        <v>1015.7</v>
      </c>
      <c r="W92" s="16">
        <f>IFERROR(__xludf.DUMMYFUNCTION("IMPORTRANGE(""https://docs.google.com/spreadsheets/d/""&amp;$A92&amp;""/edit#gid=156619080"",W$3)"),1000.5)</f>
        <v>1000.5</v>
      </c>
      <c r="X92" s="2">
        <f>IFERROR(__xludf.DUMMYFUNCTION("IMPORTRANGE(""https://docs.google.com/spreadsheets/d/""&amp;$A92&amp;""/edit#gid=156619080"",X$3)"),958.7)</f>
        <v>958.7</v>
      </c>
      <c r="Y92" s="17">
        <f>IFERROR(__xludf.DUMMYFUNCTION("IMPORTRANGE(""https://docs.google.com/spreadsheets/d/""&amp;$A92&amp;""/edit#gid=156619080"",Y$3)"),0.02616676430384686)</f>
        <v>0.0261667643</v>
      </c>
      <c r="Z92" s="2">
        <f>IFERROR(__xludf.DUMMYFUNCTION("IMPORTRANGE(""https://docs.google.com/spreadsheets/d/""&amp;$A92&amp;""/edit#gid=156619080"",Z$3)"),1059.02)</f>
        <v>1059.02</v>
      </c>
      <c r="AA92" s="2">
        <f>IFERROR(__xludf.DUMMYFUNCTION("IMPORTRANGE(""https://docs.google.com/spreadsheets/d/""&amp;$A92&amp;""/edit#gid=156619080"",AA$3)"),1051.7)</f>
        <v>1051.7</v>
      </c>
      <c r="AB92" s="2">
        <f>IFERROR(__xludf.DUMMYFUNCTION("IMPORTRANGE(""https://docs.google.com/spreadsheets/d/""&amp;$A92&amp;""/edit#gid=156619080"",AB$3)"),1044.39)</f>
        <v>1044.39</v>
      </c>
      <c r="AC92" s="18">
        <f>IFERROR(__xludf.DUMMYFUNCTION("IMPORTRANGE(""https://docs.google.com/spreadsheets/d/""&amp;$A92&amp;""/edit#gid=156619080"",AC$3)"),1037.07)</f>
        <v>1037.07</v>
      </c>
      <c r="AD92" s="18">
        <f>IFERROR(__xludf.DUMMYFUNCTION("IMPORTRANGE(""https://docs.google.com/spreadsheets/d/""&amp;$A92&amp;""/edit#gid=156619080"",AD$3)"),1029.76)</f>
        <v>1029.76</v>
      </c>
      <c r="AE92" s="18">
        <f>IFERROR(__xludf.DUMMYFUNCTION("IMPORTRANGE(""https://docs.google.com/spreadsheets/d/""&amp;$A92&amp;""/edit#gid=156619080"",AE$3)"),1000.5)</f>
        <v>1000.5</v>
      </c>
      <c r="AF92" s="2">
        <f>IFERROR(__xludf.DUMMYFUNCTION("IMPORTRANGE(""https://docs.google.com/spreadsheets/d/""&amp;$A92&amp;""/edit#gid=156619080"",AF$3)"),971.24)</f>
        <v>971.24</v>
      </c>
      <c r="AG92" s="2">
        <f>IFERROR(__xludf.DUMMYFUNCTION("IMPORTRANGE(""https://docs.google.com/spreadsheets/d/""&amp;$A92&amp;""/edit#gid=156619080"",AG$3)"),963.93)</f>
        <v>963.93</v>
      </c>
      <c r="AH92" s="2">
        <f>IFERROR(__xludf.DUMMYFUNCTION("IMPORTRANGE(""https://docs.google.com/spreadsheets/d/""&amp;$A92&amp;""/edit#gid=156619080"",AH$3)"),956.61)</f>
        <v>956.61</v>
      </c>
      <c r="AI92" s="2">
        <f>IFERROR(__xludf.DUMMYFUNCTION("IMPORTRANGE(""https://docs.google.com/spreadsheets/d/""&amp;$A92&amp;""/edit#gid=156619080"",AI$3)"),949.3)</f>
        <v>949.3</v>
      </c>
      <c r="AJ92" s="2">
        <f>IFERROR(__xludf.DUMMYFUNCTION("IMPORTRANGE(""https://docs.google.com/spreadsheets/d/""&amp;$A92&amp;""/edit#gid=156619080"",AJ$3)"),941.98)</f>
        <v>941.98</v>
      </c>
      <c r="AK92" s="2" t="str">
        <f>IFERROR(__xludf.DUMMYFUNCTION("IMPORTRANGE(""https://docs.google.com/spreadsheets/d/""&amp;$A92&amp;""/edit#gid=156619080"",AK$3)"),"1.5σ〜1.75σ")</f>
        <v>1.5σ〜1.75σ</v>
      </c>
      <c r="AL92" s="2">
        <f>IFERROR(__xludf.DUMMYFUNCTION("IMPORTRANGE(""https://docs.google.com/spreadsheets/d/""&amp;$A92&amp;""/edit#gid=156619080"",AL$3)"),1.0)</f>
        <v>1</v>
      </c>
      <c r="AM92" s="2" t="str">
        <f>IFERROR(__xludf.DUMMYFUNCTION("IMPORTRANGE(""https://docs.google.com/spreadsheets/d/""&amp;$A92&amp;""/edit#gid=156619080"",AM$3)"),"")</f>
        <v/>
      </c>
      <c r="AN92" s="2">
        <f>IFERROR(__xludf.DUMMYFUNCTION("IMPORTRANGE(""https://docs.google.com/spreadsheets/d/""&amp;$A92&amp;""/edit#gid=156619080"",AN$3)"),1.0)</f>
        <v>1</v>
      </c>
      <c r="AO92" s="2" t="str">
        <f>IFERROR(__xludf.DUMMYFUNCTION("IMPORTRANGE(""https://docs.google.com/spreadsheets/d/""&amp;$A92&amp;""/edit#gid=156619080"",AO$3)"),"")</f>
        <v/>
      </c>
      <c r="AP92" s="2">
        <f>IFERROR(__xludf.DUMMYFUNCTION("IMPORTRANGE(""https://docs.google.com/spreadsheets/d/""&amp;$A92&amp;""/edit#gid=156619080"",AP$3)"),1.0)</f>
        <v>1</v>
      </c>
      <c r="AQ92" s="2" t="str">
        <f>IFERROR(__xludf.DUMMYFUNCTION("IMPORTRANGE(""https://docs.google.com/spreadsheets/d/""&amp;$A92&amp;""/edit#gid=156619080"",AQ$3)"),"")</f>
        <v/>
      </c>
      <c r="AR92" s="18">
        <f>IFERROR(__xludf.DUMMYFUNCTION("IMPORTRANGE(""https://docs.google.com/spreadsheets/d/""&amp;$A92&amp;""/edit#gid=156619080"",AR$3)"),70.0)</f>
        <v>70</v>
      </c>
      <c r="AS92" s="19" t="str">
        <f>IFERROR(__xludf.DUMMYFUNCTION("IMPORTRANGE(""https://docs.google.com/spreadsheets/d/""&amp;$A92&amp;""/edit#gid=156619080"",AS$3)"),"87.5
-12.5
-60
10
")</f>
        <v>87.5
-12.5
-60
10
</v>
      </c>
      <c r="AT92" s="18">
        <f>IFERROR(__xludf.DUMMYFUNCTION("IMPORTRANGE(""https://docs.google.com/spreadsheets/d/""&amp;$A92&amp;""/edit#gid=156619080"",AT$3)"),50.41208791208791)</f>
        <v>50.41208791</v>
      </c>
      <c r="AU92" s="3" t="str">
        <f>IFERROR(__xludf.DUMMYFUNCTION("IMPORTRANGE(""https://docs.google.com/spreadsheets/d/""&amp;$A92&amp;""/edit#gid=156619080"",AU$3)"),"74.59
64.7
49.86
50.41
")</f>
        <v>74.59
64.7
49.86
50.41
</v>
      </c>
      <c r="AV92" s="18">
        <f>IFERROR(__xludf.DUMMYFUNCTION("IMPORTRANGE(""https://docs.google.com/spreadsheets/d/""&amp;$A92&amp;""/edit#gid=156619080"",AV$3)"),65.94155844155844)</f>
        <v>65.94155844</v>
      </c>
      <c r="AW92" s="19" t="str">
        <f>IFERROR(__xludf.DUMMYFUNCTION("IMPORTRANGE(""https://docs.google.com/spreadsheets/d/""&amp;$A92&amp;""/edit#gid=156619080"",AW$3)"),"-3.47
5.26
23.7
46.33
")</f>
        <v>-3.47
5.26
23.7
46.33
</v>
      </c>
      <c r="AX92" s="2">
        <f>IFERROR(__xludf.DUMMYFUNCTION("IMPORTRANGE(""https://docs.google.com/spreadsheets/d/""&amp;$A92&amp;""/edit#gid=156619080"",AX$3)"),64.1)</f>
        <v>64.1</v>
      </c>
      <c r="AY92" s="2">
        <f>IFERROR(__xludf.DUMMYFUNCTION("IMPORTRANGE(""https://docs.google.com/spreadsheets/d/""&amp;$A92&amp;""/edit#gid=156619080"",AY$3)"),54.21)</f>
        <v>54.21</v>
      </c>
      <c r="AZ92" s="2">
        <f>IFERROR(__xludf.DUMMYFUNCTION("IMPORTRANGE(""https://docs.google.com/spreadsheets/d/""&amp;$A92&amp;""/edit#gid=156619080"",AZ$3)"),1030.89)</f>
        <v>1030.89</v>
      </c>
      <c r="BA92" s="2">
        <f>IFERROR(__xludf.DUMMYFUNCTION("IMPORTRANGE(""https://docs.google.com/spreadsheets/d/""&amp;$A92&amp;""/edit#gid=156619080"",BA$3)"),16.22000000000014)</f>
        <v>16.22</v>
      </c>
      <c r="BB92" s="2">
        <f>IFERROR(__xludf.DUMMYFUNCTION("IMPORTRANGE(""https://docs.google.com/spreadsheets/d/""&amp;$A92&amp;""/edit#gid=156619080"",BB$3)"),1.88)</f>
        <v>1.88</v>
      </c>
      <c r="BC92" s="2" t="str">
        <f>IFERROR(__xludf.DUMMYFUNCTION("IMPORTRANGE(""https://docs.google.com/spreadsheets/d/""&amp;$A92&amp;""/edit#gid=156619080"",BC$3)"),"GC→GC")</f>
        <v>GC→GC</v>
      </c>
    </row>
    <row r="93" ht="51.0" customHeight="1">
      <c r="A93" s="7" t="str">
        <f t="shared" si="5"/>
        <v>16_59Gpogr1d5NlUlXAIvVG5zOS-Wh0d1cd0vUsZYFyM</v>
      </c>
      <c r="B93" s="1" t="s">
        <v>120</v>
      </c>
      <c r="C93" s="2">
        <f>IFERROR(__xludf.DUMMYFUNCTION("IMPORTRANGE(""https://docs.google.com/spreadsheets/d/""&amp;$A93&amp;""/edit#gid=156619080"",C$3)"),132.0)</f>
        <v>132</v>
      </c>
      <c r="D93" s="2">
        <f>IFERROR(__xludf.DUMMYFUNCTION("IMPORTRANGE(""https://docs.google.com/spreadsheets/d/""&amp;$A93&amp;""/edit#gid=156619080"",D$3)"),6479.0)</f>
        <v>6479</v>
      </c>
      <c r="E93" s="15">
        <f>IFERROR(__xludf.DUMMYFUNCTION("IMPORTRANGE(""https://docs.google.com/spreadsheets/d/""&amp;$A93&amp;""/edit#gid=156619080"",E$3)"),43882.0)</f>
        <v>43882</v>
      </c>
      <c r="F93" s="2">
        <f>IFERROR(__xludf.DUMMYFUNCTION("IMPORTRANGE(""https://docs.google.com/spreadsheets/d/""&amp;$A93&amp;""/edit#gid=156619080"",F$3)"),17.0)</f>
        <v>17</v>
      </c>
      <c r="G93" s="16">
        <f>IFERROR(__xludf.DUMMYFUNCTION("IMPORTRANGE(""https://docs.google.com/spreadsheets/d/""&amp;$A93&amp;""/edit#gid=156619080"",G$3)"),0.78)</f>
        <v>0.78</v>
      </c>
      <c r="H93" s="16">
        <f>IFERROR(__xludf.DUMMYFUNCTION("IMPORTRANGE(""https://docs.google.com/spreadsheets/d/""&amp;$A93&amp;""/edit#gid=156619080"",H$3)"),2153.0)</f>
        <v>2153</v>
      </c>
      <c r="I93" s="16">
        <f>IFERROR(__xludf.DUMMYFUNCTION("IMPORTRANGE(""https://docs.google.com/spreadsheets/d/""&amp;$A93&amp;""/edit#gid=156619080"",I$3)"),19.0)</f>
        <v>19</v>
      </c>
      <c r="J93" s="16">
        <f>IFERROR(__xludf.DUMMYFUNCTION("IMPORTRANGE(""https://docs.google.com/spreadsheets/d/""&amp;$A93&amp;""/edit#gid=156619080"",J$3)"),2204.0)</f>
        <v>2204</v>
      </c>
      <c r="K93" s="16">
        <f>IFERROR(__xludf.DUMMYFUNCTION("IMPORTRANGE(""https://docs.google.com/spreadsheets/d/""&amp;$A93&amp;""/edit#gid=156619080"",K$3)"),0.44513888888888886)</f>
        <v>0.4451388889</v>
      </c>
      <c r="L93" s="16">
        <f>IFERROR(__xludf.DUMMYFUNCTION("IMPORTRANGE(""https://docs.google.com/spreadsheets/d/""&amp;$A93&amp;""/edit#gid=156619080"",L$3)"),2150.0)</f>
        <v>2150</v>
      </c>
      <c r="M93" s="16">
        <f>IFERROR(__xludf.DUMMYFUNCTION("IMPORTRANGE(""https://docs.google.com/spreadsheets/d/""&amp;$A93&amp;""/edit#gid=156619080"",M$3)"),0.37569444444444444)</f>
        <v>0.3756944444</v>
      </c>
      <c r="N93" s="16">
        <f>IFERROR(__xludf.DUMMYFUNCTION("IMPORTRANGE(""https://docs.google.com/spreadsheets/d/""&amp;$A93&amp;""/edit#gid=156619080"",N$3)"),2189.0)</f>
        <v>2189</v>
      </c>
      <c r="O93" s="16" t="str">
        <f>IFERROR(__xludf.DUMMYFUNCTION("IMPORTRANGE(""https://docs.google.com/spreadsheets/d/""&amp;$A93&amp;""/edit#gid=156619080"",O$3)"),"1612900株")</f>
        <v>1612900株</v>
      </c>
      <c r="P93" s="16" t="str">
        <f>IFERROR(__xludf.DUMMYFUNCTION("IMPORTRANGE(""https://docs.google.com/spreadsheets/d/""&amp;$A93&amp;""/edit#gid=156619080"",P$3)"),"3530百万円")</f>
        <v>3530百万円</v>
      </c>
      <c r="Q93" s="16" t="str">
        <f>IFERROR(__xludf.DUMMYFUNCTION("IMPORTRANGE(""https://docs.google.com/spreadsheets/d/""&amp;$A93&amp;""/edit#gid=156619080"",Q$3)"),"2999回")</f>
        <v>2999回</v>
      </c>
      <c r="R93" s="16" t="str">
        <f>IFERROR(__xludf.DUMMYFUNCTION("IMPORTRANGE(""https://docs.google.com/spreadsheets/d/""&amp;$A93&amp;""/edit#gid=156619080"",R$3)"),"9349億円")</f>
        <v>9349億円</v>
      </c>
      <c r="S93" s="16" t="str">
        <f>IFERROR(__xludf.DUMMYFUNCTION("IMPORTRANGE(""https://docs.google.com/spreadsheets/d/""&amp;$A93&amp;""/edit#gid=156619080"",S$3)"),"陽線")</f>
        <v>陽線</v>
      </c>
      <c r="T93" s="16" t="str">
        <f>IFERROR(__xludf.DUMMYFUNCTION("IMPORTRANGE(""https://docs.google.com/spreadsheets/d/""&amp;$A93&amp;""/edit#gid=156619080"",T$3)"),"")</f>
        <v/>
      </c>
      <c r="U93" s="16">
        <f>IFERROR(__xludf.DUMMYFUNCTION("IMPORTRANGE(""https://docs.google.com/spreadsheets/d/""&amp;$A93&amp;""/edit#gid=156619080"",U$3)"),2168.2)</f>
        <v>2168.2</v>
      </c>
      <c r="V93" s="16">
        <f>IFERROR(__xludf.DUMMYFUNCTION("IMPORTRANGE(""https://docs.google.com/spreadsheets/d/""&amp;$A93&amp;""/edit#gid=156619080"",V$3)"),2208.5)</f>
        <v>2208.5</v>
      </c>
      <c r="W93" s="16">
        <f>IFERROR(__xludf.DUMMYFUNCTION("IMPORTRANGE(""https://docs.google.com/spreadsheets/d/""&amp;$A93&amp;""/edit#gid=156619080"",W$3)"),2229.4)</f>
        <v>2229.4</v>
      </c>
      <c r="X93" s="2">
        <f>IFERROR(__xludf.DUMMYFUNCTION("IMPORTRANGE(""https://docs.google.com/spreadsheets/d/""&amp;$A93&amp;""/edit#gid=156619080"",X$3)"),2104.2)</f>
        <v>2104.2</v>
      </c>
      <c r="Y93" s="17">
        <f>IFERROR(__xludf.DUMMYFUNCTION("IMPORTRANGE(""https://docs.google.com/spreadsheets/d/""&amp;$A93&amp;""/edit#gid=156619080"",Y$3)"),0.009593210958398756)</f>
        <v>0.009593210958</v>
      </c>
      <c r="Z93" s="2">
        <f>IFERROR(__xludf.DUMMYFUNCTION("IMPORTRANGE(""https://docs.google.com/spreadsheets/d/""&amp;$A93&amp;""/edit#gid=156619080"",Z$3)"),2365.29)</f>
        <v>2365.29</v>
      </c>
      <c r="AA93" s="2">
        <f>IFERROR(__xludf.DUMMYFUNCTION("IMPORTRANGE(""https://docs.google.com/spreadsheets/d/""&amp;$A93&amp;""/edit#gid=156619080"",AA$3)"),2348.3)</f>
        <v>2348.3</v>
      </c>
      <c r="AB93" s="2">
        <f>IFERROR(__xludf.DUMMYFUNCTION("IMPORTRANGE(""https://docs.google.com/spreadsheets/d/""&amp;$A93&amp;""/edit#gid=156619080"",AB$3)"),2331.32)</f>
        <v>2331.32</v>
      </c>
      <c r="AC93" s="18">
        <f>IFERROR(__xludf.DUMMYFUNCTION("IMPORTRANGE(""https://docs.google.com/spreadsheets/d/""&amp;$A93&amp;""/edit#gid=156619080"",AC$3)"),2314.33)</f>
        <v>2314.33</v>
      </c>
      <c r="AD93" s="18">
        <f>IFERROR(__xludf.DUMMYFUNCTION("IMPORTRANGE(""https://docs.google.com/spreadsheets/d/""&amp;$A93&amp;""/edit#gid=156619080"",AD$3)"),2297.34)</f>
        <v>2297.34</v>
      </c>
      <c r="AE93" s="18">
        <f>IFERROR(__xludf.DUMMYFUNCTION("IMPORTRANGE(""https://docs.google.com/spreadsheets/d/""&amp;$A93&amp;""/edit#gid=156619080"",AE$3)"),2229.4)</f>
        <v>2229.4</v>
      </c>
      <c r="AF93" s="2">
        <f>IFERROR(__xludf.DUMMYFUNCTION("IMPORTRANGE(""https://docs.google.com/spreadsheets/d/""&amp;$A93&amp;""/edit#gid=156619080"",AF$3)"),2161.46)</f>
        <v>2161.46</v>
      </c>
      <c r="AG93" s="2">
        <f>IFERROR(__xludf.DUMMYFUNCTION("IMPORTRANGE(""https://docs.google.com/spreadsheets/d/""&amp;$A93&amp;""/edit#gid=156619080"",AG$3)"),2144.47)</f>
        <v>2144.47</v>
      </c>
      <c r="AH93" s="2">
        <f>IFERROR(__xludf.DUMMYFUNCTION("IMPORTRANGE(""https://docs.google.com/spreadsheets/d/""&amp;$A93&amp;""/edit#gid=156619080"",AH$3)"),2127.48)</f>
        <v>2127.48</v>
      </c>
      <c r="AI93" s="2">
        <f>IFERROR(__xludf.DUMMYFUNCTION("IMPORTRANGE(""https://docs.google.com/spreadsheets/d/""&amp;$A93&amp;""/edit#gid=156619080"",AI$3)"),2110.5)</f>
        <v>2110.5</v>
      </c>
      <c r="AJ93" s="2">
        <f>IFERROR(__xludf.DUMMYFUNCTION("IMPORTRANGE(""https://docs.google.com/spreadsheets/d/""&amp;$A93&amp;""/edit#gid=156619080"",AJ$3)"),2093.51)</f>
        <v>2093.51</v>
      </c>
      <c r="AK93" s="2" t="str">
        <f>IFERROR(__xludf.DUMMYFUNCTION("IMPORTRANGE(""https://docs.google.com/spreadsheets/d/""&amp;$A93&amp;""/edit#gid=156619080"",AK$3)"),"")</f>
        <v/>
      </c>
      <c r="AL93" s="2">
        <f>IFERROR(__xludf.DUMMYFUNCTION("IMPORTRANGE(""https://docs.google.com/spreadsheets/d/""&amp;$A93&amp;""/edit#gid=156619080"",AL$3)"),-1.0)</f>
        <v>-1</v>
      </c>
      <c r="AM93" s="2" t="str">
        <f>IFERROR(__xludf.DUMMYFUNCTION("IMPORTRANGE(""https://docs.google.com/spreadsheets/d/""&amp;$A93&amp;""/edit#gid=156619080"",AM$3)"),"")</f>
        <v/>
      </c>
      <c r="AN93" s="2">
        <f>IFERROR(__xludf.DUMMYFUNCTION("IMPORTRANGE(""https://docs.google.com/spreadsheets/d/""&amp;$A93&amp;""/edit#gid=156619080"",AN$3)"),-1.0)</f>
        <v>-1</v>
      </c>
      <c r="AO93" s="2" t="str">
        <f>IFERROR(__xludf.DUMMYFUNCTION("IMPORTRANGE(""https://docs.google.com/spreadsheets/d/""&amp;$A93&amp;""/edit#gid=156619080"",AO$3)"),"")</f>
        <v/>
      </c>
      <c r="AP93" s="2">
        <f>IFERROR(__xludf.DUMMYFUNCTION("IMPORTRANGE(""https://docs.google.com/spreadsheets/d/""&amp;$A93&amp;""/edit#gid=156619080"",AP$3)"),-1.0)</f>
        <v>-1</v>
      </c>
      <c r="AQ93" s="2" t="str">
        <f>IFERROR(__xludf.DUMMYFUNCTION("IMPORTRANGE(""https://docs.google.com/spreadsheets/d/""&amp;$A93&amp;""/edit#gid=156619080"",AQ$3)"),"")</f>
        <v/>
      </c>
      <c r="AR93" s="18">
        <f>IFERROR(__xludf.DUMMYFUNCTION("IMPORTRANGE(""https://docs.google.com/spreadsheets/d/""&amp;$A93&amp;""/edit#gid=156619080"",AR$3)"),0.0)</f>
        <v>0</v>
      </c>
      <c r="AS93" s="19" t="str">
        <f>IFERROR(__xludf.DUMMYFUNCTION("IMPORTRANGE(""https://docs.google.com/spreadsheets/d/""&amp;$A93&amp;""/edit#gid=156619080"",AS$3)"),"-60
-90
-90
-60
")</f>
        <v>-60
-90
-90
-60
</v>
      </c>
      <c r="AT93" s="18">
        <f>IFERROR(__xludf.DUMMYFUNCTION("IMPORTRANGE(""https://docs.google.com/spreadsheets/d/""&amp;$A93&amp;""/edit#gid=156619080"",AT$3)"),-65.38461538461537)</f>
        <v>-65.38461538</v>
      </c>
      <c r="AU93" s="3" t="str">
        <f>IFERROR(__xludf.DUMMYFUNCTION("IMPORTRANGE(""https://docs.google.com/spreadsheets/d/""&amp;$A93&amp;""/edit#gid=156619080"",AU$3)"),"14.84
8.79
-23.63
-43.96
")</f>
        <v>14.84
8.79
-23.63
-43.96
</v>
      </c>
      <c r="AV93" s="18">
        <f>IFERROR(__xludf.DUMMYFUNCTION("IMPORTRANGE(""https://docs.google.com/spreadsheets/d/""&amp;$A93&amp;""/edit#gid=156619080"",AV$3)"),-60.12987012987012)</f>
        <v>-60.12987013</v>
      </c>
      <c r="AW93" s="19" t="str">
        <f>IFERROR(__xludf.DUMMYFUNCTION("IMPORTRANGE(""https://docs.google.com/spreadsheets/d/""&amp;$A93&amp;""/edit#gid=156619080"",AW$3)"),"-68.7
-69.22
-69.09
-67.92
")</f>
        <v>-68.7
-69.22
-69.09
-67.92
</v>
      </c>
      <c r="AX93" s="2">
        <f>IFERROR(__xludf.DUMMYFUNCTION("IMPORTRANGE(""https://docs.google.com/spreadsheets/d/""&amp;$A93&amp;""/edit#gid=156619080"",AX$3)"),45.67)</f>
        <v>45.67</v>
      </c>
      <c r="AY93" s="2">
        <f>IFERROR(__xludf.DUMMYFUNCTION("IMPORTRANGE(""https://docs.google.com/spreadsheets/d/""&amp;$A93&amp;""/edit#gid=156619080"",AY$3)"),34.07)</f>
        <v>34.07</v>
      </c>
      <c r="AZ93" s="2">
        <f>IFERROR(__xludf.DUMMYFUNCTION("IMPORTRANGE(""https://docs.google.com/spreadsheets/d/""&amp;$A93&amp;""/edit#gid=156619080"",AZ$3)"),2178.58)</f>
        <v>2178.58</v>
      </c>
      <c r="BA93" s="2">
        <f>IFERROR(__xludf.DUMMYFUNCTION("IMPORTRANGE(""https://docs.google.com/spreadsheets/d/""&amp;$A93&amp;""/edit#gid=156619080"",BA$3)"),-44.460000000000036)</f>
        <v>-44.46</v>
      </c>
      <c r="BB93" s="2">
        <f>IFERROR(__xludf.DUMMYFUNCTION("IMPORTRANGE(""https://docs.google.com/spreadsheets/d/""&amp;$A93&amp;""/edit#gid=156619080"",BB$3)"),-38.74)</f>
        <v>-38.74</v>
      </c>
      <c r="BC93" s="2" t="str">
        <f>IFERROR(__xludf.DUMMYFUNCTION("IMPORTRANGE(""https://docs.google.com/spreadsheets/d/""&amp;$A93&amp;""/edit#gid=156619080"",BC$3)"),"DC→DC")</f>
        <v>DC→DC</v>
      </c>
    </row>
    <row r="94" ht="51.0" customHeight="1">
      <c r="A94" s="7" t="str">
        <f t="shared" si="5"/>
        <v>15IU5STsFQrJK_wv5oQ7cQDuQWhKeFviYXfS7AIOezts</v>
      </c>
      <c r="B94" s="1" t="s">
        <v>121</v>
      </c>
      <c r="C94" s="2">
        <f>IFERROR(__xludf.DUMMYFUNCTION("IMPORTRANGE(""https://docs.google.com/spreadsheets/d/""&amp;$A94&amp;""/edit#gid=156619080"",C$3)"),132.0)</f>
        <v>132</v>
      </c>
      <c r="D94" s="2">
        <f>IFERROR(__xludf.DUMMYFUNCTION("IMPORTRANGE(""https://docs.google.com/spreadsheets/d/""&amp;$A94&amp;""/edit#gid=156619080"",D$3)"),6501.0)</f>
        <v>6501</v>
      </c>
      <c r="E94" s="15">
        <f>IFERROR(__xludf.DUMMYFUNCTION("IMPORTRANGE(""https://docs.google.com/spreadsheets/d/""&amp;$A94&amp;""/edit#gid=156619080"",E$3)"),43882.0)</f>
        <v>43882</v>
      </c>
      <c r="F94" s="2">
        <f>IFERROR(__xludf.DUMMYFUNCTION("IMPORTRANGE(""https://docs.google.com/spreadsheets/d/""&amp;$A94&amp;""/edit#gid=156619080"",F$3)"),-11.0)</f>
        <v>-11</v>
      </c>
      <c r="G94" s="16">
        <f>IFERROR(__xludf.DUMMYFUNCTION("IMPORTRANGE(""https://docs.google.com/spreadsheets/d/""&amp;$A94&amp;""/edit#gid=156619080"",G$3)"),-0.26)</f>
        <v>-0.26</v>
      </c>
      <c r="H94" s="16">
        <f>IFERROR(__xludf.DUMMYFUNCTION("IMPORTRANGE(""https://docs.google.com/spreadsheets/d/""&amp;$A94&amp;""/edit#gid=156619080"",H$3)"),4169.0)</f>
        <v>4169</v>
      </c>
      <c r="I94" s="16">
        <f>IFERROR(__xludf.DUMMYFUNCTION("IMPORTRANGE(""https://docs.google.com/spreadsheets/d/""&amp;$A94&amp;""/edit#gid=156619080"",I$3)"),20.0)</f>
        <v>20</v>
      </c>
      <c r="J94" s="16">
        <f>IFERROR(__xludf.DUMMYFUNCTION("IMPORTRANGE(""https://docs.google.com/spreadsheets/d/""&amp;$A94&amp;""/edit#gid=156619080"",J$3)"),4206.0)</f>
        <v>4206</v>
      </c>
      <c r="K94" s="16">
        <f>IFERROR(__xludf.DUMMYFUNCTION("IMPORTRANGE(""https://docs.google.com/spreadsheets/d/""&amp;$A94&amp;""/edit#gid=156619080"",K$3)"),0.3958333333333333)</f>
        <v>0.3958333333</v>
      </c>
      <c r="L94" s="16">
        <f>IFERROR(__xludf.DUMMYFUNCTION("IMPORTRANGE(""https://docs.google.com/spreadsheets/d/""&amp;$A94&amp;""/edit#gid=156619080"",L$3)"),4149.0)</f>
        <v>4149</v>
      </c>
      <c r="M94" s="16">
        <f>IFERROR(__xludf.DUMMYFUNCTION("IMPORTRANGE(""https://docs.google.com/spreadsheets/d/""&amp;$A94&amp;""/edit#gid=156619080"",M$3)"),0.3763888888888889)</f>
        <v>0.3763888889</v>
      </c>
      <c r="N94" s="16">
        <f>IFERROR(__xludf.DUMMYFUNCTION("IMPORTRANGE(""https://docs.google.com/spreadsheets/d/""&amp;$A94&amp;""/edit#gid=156619080"",N$3)"),4178.0)</f>
        <v>4178</v>
      </c>
      <c r="O94" s="16" t="str">
        <f>IFERROR(__xludf.DUMMYFUNCTION("IMPORTRANGE(""https://docs.google.com/spreadsheets/d/""&amp;$A94&amp;""/edit#gid=156619080"",O$3)"),"3419500株")</f>
        <v>3419500株</v>
      </c>
      <c r="P94" s="16" t="str">
        <f>IFERROR(__xludf.DUMMYFUNCTION("IMPORTRANGE(""https://docs.google.com/spreadsheets/d/""&amp;$A94&amp;""/edit#gid=156619080"",P$3)"),"14283百万円")</f>
        <v>14283百万円</v>
      </c>
      <c r="Q94" s="16" t="str">
        <f>IFERROR(__xludf.DUMMYFUNCTION("IMPORTRANGE(""https://docs.google.com/spreadsheets/d/""&amp;$A94&amp;""/edit#gid=156619080"",Q$3)"),"5710回")</f>
        <v>5710回</v>
      </c>
      <c r="R94" s="16" t="str">
        <f>IFERROR(__xludf.DUMMYFUNCTION("IMPORTRANGE(""https://docs.google.com/spreadsheets/d/""&amp;$A94&amp;""/edit#gid=156619080"",R$3)"),"40413億円")</f>
        <v>40413億円</v>
      </c>
      <c r="S94" s="16" t="str">
        <f>IFERROR(__xludf.DUMMYFUNCTION("IMPORTRANGE(""https://docs.google.com/spreadsheets/d/""&amp;$A94&amp;""/edit#gid=156619080"",S$3)"),"陽線")</f>
        <v>陽線</v>
      </c>
      <c r="T94" s="16" t="str">
        <f>IFERROR(__xludf.DUMMYFUNCTION("IMPORTRANGE(""https://docs.google.com/spreadsheets/d/""&amp;$A94&amp;""/edit#gid=156619080"",T$3)"),"")</f>
        <v/>
      </c>
      <c r="U94" s="16">
        <f>IFERROR(__xludf.DUMMYFUNCTION("IMPORTRANGE(""https://docs.google.com/spreadsheets/d/""&amp;$A94&amp;""/edit#gid=156619080"",U$3)"),4143.0)</f>
        <v>4143</v>
      </c>
      <c r="V94" s="16">
        <f>IFERROR(__xludf.DUMMYFUNCTION("IMPORTRANGE(""https://docs.google.com/spreadsheets/d/""&amp;$A94&amp;""/edit#gid=156619080"",V$3)"),4177.7)</f>
        <v>4177.7</v>
      </c>
      <c r="W94" s="16">
        <f>IFERROR(__xludf.DUMMYFUNCTION("IMPORTRANGE(""https://docs.google.com/spreadsheets/d/""&amp;$A94&amp;""/edit#gid=156619080"",W$3)"),4243.0)</f>
        <v>4243</v>
      </c>
      <c r="X94" s="2">
        <f>IFERROR(__xludf.DUMMYFUNCTION("IMPORTRANGE(""https://docs.google.com/spreadsheets/d/""&amp;$A94&amp;""/edit#gid=156619080"",X$3)"),4220.7)</f>
        <v>4220.7</v>
      </c>
      <c r="Y94" s="17">
        <f>IFERROR(__xludf.DUMMYFUNCTION("IMPORTRANGE(""https://docs.google.com/spreadsheets/d/""&amp;$A94&amp;""/edit#gid=156619080"",Y$3)"),0.008447984552256819)</f>
        <v>0.008447984552</v>
      </c>
      <c r="Z94" s="2">
        <f>IFERROR(__xludf.DUMMYFUNCTION("IMPORTRANGE(""https://docs.google.com/spreadsheets/d/""&amp;$A94&amp;""/edit#gid=156619080"",Z$3)"),4502.92)</f>
        <v>4502.92</v>
      </c>
      <c r="AA94" s="2">
        <f>IFERROR(__xludf.DUMMYFUNCTION("IMPORTRANGE(""https://docs.google.com/spreadsheets/d/""&amp;$A94&amp;""/edit#gid=156619080"",AA$3)"),4470.43)</f>
        <v>4470.43</v>
      </c>
      <c r="AB94" s="2">
        <f>IFERROR(__xludf.DUMMYFUNCTION("IMPORTRANGE(""https://docs.google.com/spreadsheets/d/""&amp;$A94&amp;""/edit#gid=156619080"",AB$3)"),4437.94)</f>
        <v>4437.94</v>
      </c>
      <c r="AC94" s="18">
        <f>IFERROR(__xludf.DUMMYFUNCTION("IMPORTRANGE(""https://docs.google.com/spreadsheets/d/""&amp;$A94&amp;""/edit#gid=156619080"",AC$3)"),4405.45)</f>
        <v>4405.45</v>
      </c>
      <c r="AD94" s="18">
        <f>IFERROR(__xludf.DUMMYFUNCTION("IMPORTRANGE(""https://docs.google.com/spreadsheets/d/""&amp;$A94&amp;""/edit#gid=156619080"",AD$3)"),4372.96)</f>
        <v>4372.96</v>
      </c>
      <c r="AE94" s="18">
        <f>IFERROR(__xludf.DUMMYFUNCTION("IMPORTRANGE(""https://docs.google.com/spreadsheets/d/""&amp;$A94&amp;""/edit#gid=156619080"",AE$3)"),4243.0)</f>
        <v>4243</v>
      </c>
      <c r="AF94" s="2">
        <f>IFERROR(__xludf.DUMMYFUNCTION("IMPORTRANGE(""https://docs.google.com/spreadsheets/d/""&amp;$A94&amp;""/edit#gid=156619080"",AF$3)"),4113.04)</f>
        <v>4113.04</v>
      </c>
      <c r="AG94" s="2">
        <f>IFERROR(__xludf.DUMMYFUNCTION("IMPORTRANGE(""https://docs.google.com/spreadsheets/d/""&amp;$A94&amp;""/edit#gid=156619080"",AG$3)"),4080.55)</f>
        <v>4080.55</v>
      </c>
      <c r="AH94" s="2">
        <f>IFERROR(__xludf.DUMMYFUNCTION("IMPORTRANGE(""https://docs.google.com/spreadsheets/d/""&amp;$A94&amp;""/edit#gid=156619080"",AH$3)"),4048.06)</f>
        <v>4048.06</v>
      </c>
      <c r="AI94" s="2">
        <f>IFERROR(__xludf.DUMMYFUNCTION("IMPORTRANGE(""https://docs.google.com/spreadsheets/d/""&amp;$A94&amp;""/edit#gid=156619080"",AI$3)"),4015.57)</f>
        <v>4015.57</v>
      </c>
      <c r="AJ94" s="2">
        <f>IFERROR(__xludf.DUMMYFUNCTION("IMPORTRANGE(""https://docs.google.com/spreadsheets/d/""&amp;$A94&amp;""/edit#gid=156619080"",AJ$3)"),3983.08)</f>
        <v>3983.08</v>
      </c>
      <c r="AK94" s="2" t="str">
        <f>IFERROR(__xludf.DUMMYFUNCTION("IMPORTRANGE(""https://docs.google.com/spreadsheets/d/""&amp;$A94&amp;""/edit#gid=156619080"",AK$3)"),"")</f>
        <v/>
      </c>
      <c r="AL94" s="2">
        <f>IFERROR(__xludf.DUMMYFUNCTION("IMPORTRANGE(""https://docs.google.com/spreadsheets/d/""&amp;$A94&amp;""/edit#gid=156619080"",AL$3)"),-1.0)</f>
        <v>-1</v>
      </c>
      <c r="AM94" s="2" t="str">
        <f>IFERROR(__xludf.DUMMYFUNCTION("IMPORTRANGE(""https://docs.google.com/spreadsheets/d/""&amp;$A94&amp;""/edit#gid=156619080"",AM$3)"),"")</f>
        <v/>
      </c>
      <c r="AN94" s="2">
        <f>IFERROR(__xludf.DUMMYFUNCTION("IMPORTRANGE(""https://docs.google.com/spreadsheets/d/""&amp;$A94&amp;""/edit#gid=156619080"",AN$3)"),-1.0)</f>
        <v>-1</v>
      </c>
      <c r="AO94" s="2" t="str">
        <f>IFERROR(__xludf.DUMMYFUNCTION("IMPORTRANGE(""https://docs.google.com/spreadsheets/d/""&amp;$A94&amp;""/edit#gid=156619080"",AO$3)"),"")</f>
        <v/>
      </c>
      <c r="AP94" s="2">
        <f>IFERROR(__xludf.DUMMYFUNCTION("IMPORTRANGE(""https://docs.google.com/spreadsheets/d/""&amp;$A94&amp;""/edit#gid=156619080"",AP$3)"),-1.0)</f>
        <v>-1</v>
      </c>
      <c r="AQ94" s="2" t="str">
        <f>IFERROR(__xludf.DUMMYFUNCTION("IMPORTRANGE(""https://docs.google.com/spreadsheets/d/""&amp;$A94&amp;""/edit#gid=156619080"",AQ$3)"),"")</f>
        <v/>
      </c>
      <c r="AR94" s="18">
        <f>IFERROR(__xludf.DUMMYFUNCTION("IMPORTRANGE(""https://docs.google.com/spreadsheets/d/""&amp;$A94&amp;""/edit#gid=156619080"",AR$3)"),80.0)</f>
        <v>80</v>
      </c>
      <c r="AS94" s="19" t="str">
        <f>IFERROR(__xludf.DUMMYFUNCTION("IMPORTRANGE(""https://docs.google.com/spreadsheets/d/""&amp;$A94&amp;""/edit#gid=156619080"",AS$3)"),"-90
-100
-70
30
")</f>
        <v>-90
-100
-70
30
</v>
      </c>
      <c r="AT94" s="18">
        <f>IFERROR(__xludf.DUMMYFUNCTION("IMPORTRANGE(""https://docs.google.com/spreadsheets/d/""&amp;$A94&amp;""/edit#gid=156619080"",AT$3)"),-11.538461538461542)</f>
        <v>-11.53846154</v>
      </c>
      <c r="AU94" s="3" t="str">
        <f>IFERROR(__xludf.DUMMYFUNCTION("IMPORTRANGE(""https://docs.google.com/spreadsheets/d/""&amp;$A94&amp;""/edit#gid=156619080"",AU$3)"),"-10.03
-10.03
-6.59
4.95
")</f>
        <v>-10.03
-10.03
-6.59
4.95
</v>
      </c>
      <c r="AV94" s="18">
        <f>IFERROR(__xludf.DUMMYFUNCTION("IMPORTRANGE(""https://docs.google.com/spreadsheets/d/""&amp;$A94&amp;""/edit#gid=156619080"",AV$3)"),-62.11038961038962)</f>
        <v>-62.11038961</v>
      </c>
      <c r="AW94" s="19" t="str">
        <f>IFERROR(__xludf.DUMMYFUNCTION("IMPORTRANGE(""https://docs.google.com/spreadsheets/d/""&amp;$A94&amp;""/edit#gid=156619080"",AW$3)"),"-77.99
-78.38
-74.19
-68.6
")</f>
        <v>-77.99
-78.38
-74.19
-68.6
</v>
      </c>
      <c r="AX94" s="2">
        <f>IFERROR(__xludf.DUMMYFUNCTION("IMPORTRANGE(""https://docs.google.com/spreadsheets/d/""&amp;$A94&amp;""/edit#gid=156619080"",AX$3)"),53.239999999999995)</f>
        <v>53.24</v>
      </c>
      <c r="AY94" s="2">
        <f>IFERROR(__xludf.DUMMYFUNCTION("IMPORTRANGE(""https://docs.google.com/spreadsheets/d/""&amp;$A94&amp;""/edit#gid=156619080"",AY$3)"),33.67)</f>
        <v>33.67</v>
      </c>
      <c r="AZ94" s="2">
        <f>IFERROR(__xludf.DUMMYFUNCTION("IMPORTRANGE(""https://docs.google.com/spreadsheets/d/""&amp;$A94&amp;""/edit#gid=156619080"",AZ$3)"),4167.11)</f>
        <v>4167.11</v>
      </c>
      <c r="BA94" s="2">
        <f>IFERROR(__xludf.DUMMYFUNCTION("IMPORTRANGE(""https://docs.google.com/spreadsheets/d/""&amp;$A94&amp;""/edit#gid=156619080"",BA$3)"),-78.61000000000058)</f>
        <v>-78.61</v>
      </c>
      <c r="BB94" s="2">
        <f>IFERROR(__xludf.DUMMYFUNCTION("IMPORTRANGE(""https://docs.google.com/spreadsheets/d/""&amp;$A94&amp;""/edit#gid=156619080"",BB$3)"),-98.98)</f>
        <v>-98.98</v>
      </c>
      <c r="BC94" s="2" t="str">
        <f>IFERROR(__xludf.DUMMYFUNCTION("IMPORTRANGE(""https://docs.google.com/spreadsheets/d/""&amp;$A94&amp;""/edit#gid=156619080"",BC$3)"),"GC→GC")</f>
        <v>GC→GC</v>
      </c>
    </row>
    <row r="95" ht="51.0" customHeight="1">
      <c r="A95" s="7" t="str">
        <f t="shared" si="5"/>
        <v>1MMaFcAAH7E-uDZ3ONO8ZtlpAPt6i5_bPUBXXOI_bpqY</v>
      </c>
      <c r="B95" s="1" t="s">
        <v>122</v>
      </c>
      <c r="C95" s="2">
        <f>IFERROR(__xludf.DUMMYFUNCTION("IMPORTRANGE(""https://docs.google.com/spreadsheets/d/""&amp;$A95&amp;""/edit#gid=156619080"",C$3)"),132.0)</f>
        <v>132</v>
      </c>
      <c r="D95" s="2">
        <f>IFERROR(__xludf.DUMMYFUNCTION("IMPORTRANGE(""https://docs.google.com/spreadsheets/d/""&amp;$A95&amp;""/edit#gid=156619080"",D$3)"),6503.0)</f>
        <v>6503</v>
      </c>
      <c r="E95" s="15">
        <f>IFERROR(__xludf.DUMMYFUNCTION("IMPORTRANGE(""https://docs.google.com/spreadsheets/d/""&amp;$A95&amp;""/edit#gid=156619080"",E$3)"),43882.0)</f>
        <v>43882</v>
      </c>
      <c r="F95" s="2">
        <f>IFERROR(__xludf.DUMMYFUNCTION("IMPORTRANGE(""https://docs.google.com/spreadsheets/d/""&amp;$A95&amp;""/edit#gid=156619080"",F$3)"),-10.5)</f>
        <v>-10.5</v>
      </c>
      <c r="G95" s="16">
        <f>IFERROR(__xludf.DUMMYFUNCTION("IMPORTRANGE(""https://docs.google.com/spreadsheets/d/""&amp;$A95&amp;""/edit#gid=156619080"",G$3)"),-0.67)</f>
        <v>-0.67</v>
      </c>
      <c r="H95" s="16">
        <f>IFERROR(__xludf.DUMMYFUNCTION("IMPORTRANGE(""https://docs.google.com/spreadsheets/d/""&amp;$A95&amp;""/edit#gid=156619080"",H$3)"),1563.0)</f>
        <v>1563</v>
      </c>
      <c r="I95" s="16">
        <f>IFERROR(__xludf.DUMMYFUNCTION("IMPORTRANGE(""https://docs.google.com/spreadsheets/d/""&amp;$A95&amp;""/edit#gid=156619080"",I$3)"),3.5)</f>
        <v>3.5</v>
      </c>
      <c r="J95" s="16">
        <f>IFERROR(__xludf.DUMMYFUNCTION("IMPORTRANGE(""https://docs.google.com/spreadsheets/d/""&amp;$A95&amp;""/edit#gid=156619080"",J$3)"),1572.5)</f>
        <v>1572.5</v>
      </c>
      <c r="K95" s="16">
        <f>IFERROR(__xludf.DUMMYFUNCTION("IMPORTRANGE(""https://docs.google.com/spreadsheets/d/""&amp;$A95&amp;""/edit#gid=156619080"",K$3)"),0.3763888888888889)</f>
        <v>0.3763888889</v>
      </c>
      <c r="L95" s="16">
        <f>IFERROR(__xludf.DUMMYFUNCTION("IMPORTRANGE(""https://docs.google.com/spreadsheets/d/""&amp;$A95&amp;""/edit#gid=156619080"",L$3)"),1552.5)</f>
        <v>1552.5</v>
      </c>
      <c r="M95" s="16">
        <f>IFERROR(__xludf.DUMMYFUNCTION("IMPORTRANGE(""https://docs.google.com/spreadsheets/d/""&amp;$A95&amp;""/edit#gid=156619080"",M$3)"),0.6243055555555556)</f>
        <v>0.6243055556</v>
      </c>
      <c r="N95" s="16">
        <f>IFERROR(__xludf.DUMMYFUNCTION("IMPORTRANGE(""https://docs.google.com/spreadsheets/d/""&amp;$A95&amp;""/edit#gid=156619080"",N$3)"),1556.0)</f>
        <v>1556</v>
      </c>
      <c r="O95" s="16" t="str">
        <f>IFERROR(__xludf.DUMMYFUNCTION("IMPORTRANGE(""https://docs.google.com/spreadsheets/d/""&amp;$A95&amp;""/edit#gid=156619080"",O$3)"),"3658000株")</f>
        <v>3658000株</v>
      </c>
      <c r="P95" s="16" t="str">
        <f>IFERROR(__xludf.DUMMYFUNCTION("IMPORTRANGE(""https://docs.google.com/spreadsheets/d/""&amp;$A95&amp;""/edit#gid=156619080"",P$3)"),"5710百万円")</f>
        <v>5710百万円</v>
      </c>
      <c r="Q95" s="16" t="str">
        <f>IFERROR(__xludf.DUMMYFUNCTION("IMPORTRANGE(""https://docs.google.com/spreadsheets/d/""&amp;$A95&amp;""/edit#gid=156619080"",Q$3)"),"4521回")</f>
        <v>4521回</v>
      </c>
      <c r="R95" s="16" t="str">
        <f>IFERROR(__xludf.DUMMYFUNCTION("IMPORTRANGE(""https://docs.google.com/spreadsheets/d/""&amp;$A95&amp;""/edit#gid=156619080"",R$3)"),"33410億円")</f>
        <v>33410億円</v>
      </c>
      <c r="S95" s="16" t="str">
        <f>IFERROR(__xludf.DUMMYFUNCTION("IMPORTRANGE(""https://docs.google.com/spreadsheets/d/""&amp;$A95&amp;""/edit#gid=156619080"",S$3)"),"陰線")</f>
        <v>陰線</v>
      </c>
      <c r="T95" s="16" t="str">
        <f>IFERROR(__xludf.DUMMYFUNCTION("IMPORTRANGE(""https://docs.google.com/spreadsheets/d/""&amp;$A95&amp;""/edit#gid=156619080"",T$3)"),"")</f>
        <v/>
      </c>
      <c r="U95" s="16">
        <f>IFERROR(__xludf.DUMMYFUNCTION("IMPORTRANGE(""https://docs.google.com/spreadsheets/d/""&amp;$A95&amp;""/edit#gid=156619080"",U$3)"),1558.2)</f>
        <v>1558.2</v>
      </c>
      <c r="V95" s="16">
        <f>IFERROR(__xludf.DUMMYFUNCTION("IMPORTRANGE(""https://docs.google.com/spreadsheets/d/""&amp;$A95&amp;""/edit#gid=156619080"",V$3)"),1586.9)</f>
        <v>1586.9</v>
      </c>
      <c r="W95" s="16">
        <f>IFERROR(__xludf.DUMMYFUNCTION("IMPORTRANGE(""https://docs.google.com/spreadsheets/d/""&amp;$A95&amp;""/edit#gid=156619080"",W$3)"),1577.7)</f>
        <v>1577.7</v>
      </c>
      <c r="X95" s="2">
        <f>IFERROR(__xludf.DUMMYFUNCTION("IMPORTRANGE(""https://docs.google.com/spreadsheets/d/""&amp;$A95&amp;""/edit#gid=156619080"",X$3)"),1513.8)</f>
        <v>1513.8</v>
      </c>
      <c r="Y95" s="17">
        <f>IFERROR(__xludf.DUMMYFUNCTION("IMPORTRANGE(""https://docs.google.com/spreadsheets/d/""&amp;$A95&amp;""/edit#gid=156619080"",Y$3)"),-0.0014118855089205785)</f>
        <v>-0.001411885509</v>
      </c>
      <c r="Z95" s="2">
        <f>IFERROR(__xludf.DUMMYFUNCTION("IMPORTRANGE(""https://docs.google.com/spreadsheets/d/""&amp;$A95&amp;""/edit#gid=156619080"",Z$3)"),1636.39)</f>
        <v>1636.39</v>
      </c>
      <c r="AA95" s="2">
        <f>IFERROR(__xludf.DUMMYFUNCTION("IMPORTRANGE(""https://docs.google.com/spreadsheets/d/""&amp;$A95&amp;""/edit#gid=156619080"",AA$3)"),1629.05)</f>
        <v>1629.05</v>
      </c>
      <c r="AB95" s="2">
        <f>IFERROR(__xludf.DUMMYFUNCTION("IMPORTRANGE(""https://docs.google.com/spreadsheets/d/""&amp;$A95&amp;""/edit#gid=156619080"",AB$3)"),1621.72)</f>
        <v>1621.72</v>
      </c>
      <c r="AC95" s="18">
        <f>IFERROR(__xludf.DUMMYFUNCTION("IMPORTRANGE(""https://docs.google.com/spreadsheets/d/""&amp;$A95&amp;""/edit#gid=156619080"",AC$3)"),1614.38)</f>
        <v>1614.38</v>
      </c>
      <c r="AD95" s="18">
        <f>IFERROR(__xludf.DUMMYFUNCTION("IMPORTRANGE(""https://docs.google.com/spreadsheets/d/""&amp;$A95&amp;""/edit#gid=156619080"",AD$3)"),1607.04)</f>
        <v>1607.04</v>
      </c>
      <c r="AE95" s="18">
        <f>IFERROR(__xludf.DUMMYFUNCTION("IMPORTRANGE(""https://docs.google.com/spreadsheets/d/""&amp;$A95&amp;""/edit#gid=156619080"",AE$3)"),1577.7)</f>
        <v>1577.7</v>
      </c>
      <c r="AF95" s="2">
        <f>IFERROR(__xludf.DUMMYFUNCTION("IMPORTRANGE(""https://docs.google.com/spreadsheets/d/""&amp;$A95&amp;""/edit#gid=156619080"",AF$3)"),1548.36)</f>
        <v>1548.36</v>
      </c>
      <c r="AG95" s="2">
        <f>IFERROR(__xludf.DUMMYFUNCTION("IMPORTRANGE(""https://docs.google.com/spreadsheets/d/""&amp;$A95&amp;""/edit#gid=156619080"",AG$3)"),1541.02)</f>
        <v>1541.02</v>
      </c>
      <c r="AH95" s="2">
        <f>IFERROR(__xludf.DUMMYFUNCTION("IMPORTRANGE(""https://docs.google.com/spreadsheets/d/""&amp;$A95&amp;""/edit#gid=156619080"",AH$3)"),1533.68)</f>
        <v>1533.68</v>
      </c>
      <c r="AI95" s="2">
        <f>IFERROR(__xludf.DUMMYFUNCTION("IMPORTRANGE(""https://docs.google.com/spreadsheets/d/""&amp;$A95&amp;""/edit#gid=156619080"",AI$3)"),1526.35)</f>
        <v>1526.35</v>
      </c>
      <c r="AJ95" s="2">
        <f>IFERROR(__xludf.DUMMYFUNCTION("IMPORTRANGE(""https://docs.google.com/spreadsheets/d/""&amp;$A95&amp;""/edit#gid=156619080"",AJ$3)"),1519.01)</f>
        <v>1519.01</v>
      </c>
      <c r="AK95" s="2" t="str">
        <f>IFERROR(__xludf.DUMMYFUNCTION("IMPORTRANGE(""https://docs.google.com/spreadsheets/d/""&amp;$A95&amp;""/edit#gid=156619080"",AK$3)"),"")</f>
        <v/>
      </c>
      <c r="AL95" s="2">
        <f>IFERROR(__xludf.DUMMYFUNCTION("IMPORTRANGE(""https://docs.google.com/spreadsheets/d/""&amp;$A95&amp;""/edit#gid=156619080"",AL$3)"),-1.0)</f>
        <v>-1</v>
      </c>
      <c r="AM95" s="2" t="str">
        <f>IFERROR(__xludf.DUMMYFUNCTION("IMPORTRANGE(""https://docs.google.com/spreadsheets/d/""&amp;$A95&amp;""/edit#gid=156619080"",AM$3)"),"")</f>
        <v/>
      </c>
      <c r="AN95" s="2">
        <f>IFERROR(__xludf.DUMMYFUNCTION("IMPORTRANGE(""https://docs.google.com/spreadsheets/d/""&amp;$A95&amp;""/edit#gid=156619080"",AN$3)"),-1.0)</f>
        <v>-1</v>
      </c>
      <c r="AO95" s="2" t="str">
        <f>IFERROR(__xludf.DUMMYFUNCTION("IMPORTRANGE(""https://docs.google.com/spreadsheets/d/""&amp;$A95&amp;""/edit#gid=156619080"",AO$3)"),"")</f>
        <v/>
      </c>
      <c r="AP95" s="2">
        <f>IFERROR(__xludf.DUMMYFUNCTION("IMPORTRANGE(""https://docs.google.com/spreadsheets/d/""&amp;$A95&amp;""/edit#gid=156619080"",AP$3)"),1.0)</f>
        <v>1</v>
      </c>
      <c r="AQ95" s="2" t="str">
        <f>IFERROR(__xludf.DUMMYFUNCTION("IMPORTRANGE(""https://docs.google.com/spreadsheets/d/""&amp;$A95&amp;""/edit#gid=156619080"",AQ$3)"),"")</f>
        <v/>
      </c>
      <c r="AR95" s="18">
        <f>IFERROR(__xludf.DUMMYFUNCTION("IMPORTRANGE(""https://docs.google.com/spreadsheets/d/""&amp;$A95&amp;""/edit#gid=156619080"",AR$3)"),19.999999999999996)</f>
        <v>20</v>
      </c>
      <c r="AS95" s="19" t="str">
        <f>IFERROR(__xludf.DUMMYFUNCTION("IMPORTRANGE(""https://docs.google.com/spreadsheets/d/""&amp;$A95&amp;""/edit#gid=156619080"",AS$3)"),"-100
-100
-90
-30
")</f>
        <v>-100
-100
-90
-30
</v>
      </c>
      <c r="AT95" s="18">
        <f>IFERROR(__xludf.DUMMYFUNCTION("IMPORTRANGE(""https://docs.google.com/spreadsheets/d/""&amp;$A95&amp;""/edit#gid=156619080"",AT$3)"),-76.37362637362637)</f>
        <v>-76.37362637</v>
      </c>
      <c r="AU95" s="3" t="str">
        <f>IFERROR(__xludf.DUMMYFUNCTION("IMPORTRANGE(""https://docs.google.com/spreadsheets/d/""&amp;$A95&amp;""/edit#gid=156619080"",AU$3)"),"33.52
11.54
-24.18
-63.74
")</f>
        <v>33.52
11.54
-24.18
-63.74
</v>
      </c>
      <c r="AV95" s="18">
        <f>IFERROR(__xludf.DUMMYFUNCTION("IMPORTRANGE(""https://docs.google.com/spreadsheets/d/""&amp;$A95&amp;""/edit#gid=156619080"",AV$3)"),1.2987012987012991)</f>
        <v>1.298701299</v>
      </c>
      <c r="AW95" s="19" t="str">
        <f>IFERROR(__xludf.DUMMYFUNCTION("IMPORTRANGE(""https://docs.google.com/spreadsheets/d/""&amp;$A95&amp;""/edit#gid=156619080"",AW$3)"),"31.82
21.43
5.71
2.47
")</f>
        <v>31.82
21.43
5.71
2.47
</v>
      </c>
      <c r="AX95" s="2">
        <f>IFERROR(__xludf.DUMMYFUNCTION("IMPORTRANGE(""https://docs.google.com/spreadsheets/d/""&amp;$A95&amp;""/edit#gid=156619080"",AX$3)"),36.9)</f>
        <v>36.9</v>
      </c>
      <c r="AY95" s="2">
        <f>IFERROR(__xludf.DUMMYFUNCTION("IMPORTRANGE(""https://docs.google.com/spreadsheets/d/""&amp;$A95&amp;""/edit#gid=156619080"",AY$3)"),45.01)</f>
        <v>45.01</v>
      </c>
      <c r="AZ95" s="2">
        <f>IFERROR(__xludf.DUMMYFUNCTION("IMPORTRANGE(""https://docs.google.com/spreadsheets/d/""&amp;$A95&amp;""/edit#gid=156619080"",AZ$3)"),1562.59)</f>
        <v>1562.59</v>
      </c>
      <c r="BA95" s="2">
        <f>IFERROR(__xludf.DUMMYFUNCTION("IMPORTRANGE(""https://docs.google.com/spreadsheets/d/""&amp;$A95&amp;""/edit#gid=156619080"",BA$3)"),-8.120000000000118)</f>
        <v>-8.12</v>
      </c>
      <c r="BB95" s="2">
        <f>IFERROR(__xludf.DUMMYFUNCTION("IMPORTRANGE(""https://docs.google.com/spreadsheets/d/""&amp;$A95&amp;""/edit#gid=156619080"",BB$3)"),7.63)</f>
        <v>7.63</v>
      </c>
      <c r="BC95" s="2" t="str">
        <f>IFERROR(__xludf.DUMMYFUNCTION("IMPORTRANGE(""https://docs.google.com/spreadsheets/d/""&amp;$A95&amp;""/edit#gid=156619080"",BC$3)"),"DC→DC")</f>
        <v>DC→DC</v>
      </c>
    </row>
    <row r="96" ht="51.0" customHeight="1">
      <c r="A96" s="7" t="str">
        <f t="shared" si="5"/>
        <v>1xlszI4OZqxHKkOMutajd1KcdT5zZqsN-I5HUgVfYJv0</v>
      </c>
      <c r="B96" s="1" t="s">
        <v>123</v>
      </c>
      <c r="C96" s="2">
        <f>IFERROR(__xludf.DUMMYFUNCTION("IMPORTRANGE(""https://docs.google.com/spreadsheets/d/""&amp;$A96&amp;""/edit#gid=156619080"",C$3)"),132.0)</f>
        <v>132</v>
      </c>
      <c r="D96" s="2">
        <f>IFERROR(__xludf.DUMMYFUNCTION("IMPORTRANGE(""https://docs.google.com/spreadsheets/d/""&amp;$A96&amp;""/edit#gid=156619080"",D$3)"),6504.0)</f>
        <v>6504</v>
      </c>
      <c r="E96" s="15">
        <f>IFERROR(__xludf.DUMMYFUNCTION("IMPORTRANGE(""https://docs.google.com/spreadsheets/d/""&amp;$A96&amp;""/edit#gid=156619080"",E$3)"),43882.0)</f>
        <v>43882</v>
      </c>
      <c r="F96" s="2">
        <f>IFERROR(__xludf.DUMMYFUNCTION("IMPORTRANGE(""https://docs.google.com/spreadsheets/d/""&amp;$A96&amp;""/edit#gid=156619080"",F$3)"),-30.0)</f>
        <v>-30</v>
      </c>
      <c r="G96" s="16">
        <f>IFERROR(__xludf.DUMMYFUNCTION("IMPORTRANGE(""https://docs.google.com/spreadsheets/d/""&amp;$A96&amp;""/edit#gid=156619080"",G$3)"),-0.89)</f>
        <v>-0.89</v>
      </c>
      <c r="H96" s="16">
        <f>IFERROR(__xludf.DUMMYFUNCTION("IMPORTRANGE(""https://docs.google.com/spreadsheets/d/""&amp;$A96&amp;""/edit#gid=156619080"",H$3)"),3370.0)</f>
        <v>3370</v>
      </c>
      <c r="I96" s="16">
        <f>IFERROR(__xludf.DUMMYFUNCTION("IMPORTRANGE(""https://docs.google.com/spreadsheets/d/""&amp;$A96&amp;""/edit#gid=156619080"",I$3)"),15.0)</f>
        <v>15</v>
      </c>
      <c r="J96" s="16">
        <f>IFERROR(__xludf.DUMMYFUNCTION("IMPORTRANGE(""https://docs.google.com/spreadsheets/d/""&amp;$A96&amp;""/edit#gid=156619080"",J$3)"),3395.0)</f>
        <v>3395</v>
      </c>
      <c r="K96" s="16">
        <f>IFERROR(__xludf.DUMMYFUNCTION("IMPORTRANGE(""https://docs.google.com/spreadsheets/d/""&amp;$A96&amp;""/edit#gid=156619080"",K$3)"),0.3993055555555556)</f>
        <v>0.3993055556</v>
      </c>
      <c r="L96" s="16">
        <f>IFERROR(__xludf.DUMMYFUNCTION("IMPORTRANGE(""https://docs.google.com/spreadsheets/d/""&amp;$A96&amp;""/edit#gid=156619080"",L$3)"),3340.0)</f>
        <v>3340</v>
      </c>
      <c r="M96" s="16">
        <f>IFERROR(__xludf.DUMMYFUNCTION("IMPORTRANGE(""https://docs.google.com/spreadsheets/d/""&amp;$A96&amp;""/edit#gid=156619080"",M$3)"),0.47847222222222224)</f>
        <v>0.4784722222</v>
      </c>
      <c r="N96" s="16">
        <f>IFERROR(__xludf.DUMMYFUNCTION("IMPORTRANGE(""https://docs.google.com/spreadsheets/d/""&amp;$A96&amp;""/edit#gid=156619080"",N$3)"),3355.0)</f>
        <v>3355</v>
      </c>
      <c r="O96" s="16" t="str">
        <f>IFERROR(__xludf.DUMMYFUNCTION("IMPORTRANGE(""https://docs.google.com/spreadsheets/d/""&amp;$A96&amp;""/edit#gid=156619080"",O$3)"),"848300株")</f>
        <v>848300株</v>
      </c>
      <c r="P96" s="16" t="str">
        <f>IFERROR(__xludf.DUMMYFUNCTION("IMPORTRANGE(""https://docs.google.com/spreadsheets/d/""&amp;$A96&amp;""/edit#gid=156619080"",P$3)"),"2854百万円")</f>
        <v>2854百万円</v>
      </c>
      <c r="Q96" s="16" t="str">
        <f>IFERROR(__xludf.DUMMYFUNCTION("IMPORTRANGE(""https://docs.google.com/spreadsheets/d/""&amp;$A96&amp;""/edit#gid=156619080"",Q$3)"),"1463回")</f>
        <v>1463回</v>
      </c>
      <c r="R96" s="16" t="str">
        <f>IFERROR(__xludf.DUMMYFUNCTION("IMPORTRANGE(""https://docs.google.com/spreadsheets/d/""&amp;$A96&amp;""/edit#gid=156619080"",R$3)"),"5009億円")</f>
        <v>5009億円</v>
      </c>
      <c r="S96" s="16" t="str">
        <f>IFERROR(__xludf.DUMMYFUNCTION("IMPORTRANGE(""https://docs.google.com/spreadsheets/d/""&amp;$A96&amp;""/edit#gid=156619080"",S$3)"),"陰線")</f>
        <v>陰線</v>
      </c>
      <c r="T96" s="16" t="str">
        <f>IFERROR(__xludf.DUMMYFUNCTION("IMPORTRANGE(""https://docs.google.com/spreadsheets/d/""&amp;$A96&amp;""/edit#gid=156619080"",T$3)"),"")</f>
        <v/>
      </c>
      <c r="U96" s="16">
        <f>IFERROR(__xludf.DUMMYFUNCTION("IMPORTRANGE(""https://docs.google.com/spreadsheets/d/""&amp;$A96&amp;""/edit#gid=156619080"",U$3)"),3402.0)</f>
        <v>3402</v>
      </c>
      <c r="V96" s="16">
        <f>IFERROR(__xludf.DUMMYFUNCTION("IMPORTRANGE(""https://docs.google.com/spreadsheets/d/""&amp;$A96&amp;""/edit#gid=156619080"",V$3)"),3463.5)</f>
        <v>3463.5</v>
      </c>
      <c r="W96" s="16">
        <f>IFERROR(__xludf.DUMMYFUNCTION("IMPORTRANGE(""https://docs.google.com/spreadsheets/d/""&amp;$A96&amp;""/edit#gid=156619080"",W$3)"),3420.0)</f>
        <v>3420</v>
      </c>
      <c r="X96" s="2">
        <f>IFERROR(__xludf.DUMMYFUNCTION("IMPORTRANGE(""https://docs.google.com/spreadsheets/d/""&amp;$A96&amp;""/edit#gid=156619080"",X$3)"),3358.2)</f>
        <v>3358.2</v>
      </c>
      <c r="Y96" s="17">
        <f>IFERROR(__xludf.DUMMYFUNCTION("IMPORTRANGE(""https://docs.google.com/spreadsheets/d/""&amp;$A96&amp;""/edit#gid=156619080"",Y$3)"),-0.013815402704291593)</f>
        <v>-0.0138154027</v>
      </c>
      <c r="Z96" s="2">
        <f>IFERROR(__xludf.DUMMYFUNCTION("IMPORTRANGE(""https://docs.google.com/spreadsheets/d/""&amp;$A96&amp;""/edit#gid=156619080"",Z$3)"),3634.56)</f>
        <v>3634.56</v>
      </c>
      <c r="AA96" s="2">
        <f>IFERROR(__xludf.DUMMYFUNCTION("IMPORTRANGE(""https://docs.google.com/spreadsheets/d/""&amp;$A96&amp;""/edit#gid=156619080"",AA$3)"),3607.74)</f>
        <v>3607.74</v>
      </c>
      <c r="AB96" s="2">
        <f>IFERROR(__xludf.DUMMYFUNCTION("IMPORTRANGE(""https://docs.google.com/spreadsheets/d/""&amp;$A96&amp;""/edit#gid=156619080"",AB$3)"),3580.92)</f>
        <v>3580.92</v>
      </c>
      <c r="AC96" s="18">
        <f>IFERROR(__xludf.DUMMYFUNCTION("IMPORTRANGE(""https://docs.google.com/spreadsheets/d/""&amp;$A96&amp;""/edit#gid=156619080"",AC$3)"),3554.1)</f>
        <v>3554.1</v>
      </c>
      <c r="AD96" s="18">
        <f>IFERROR(__xludf.DUMMYFUNCTION("IMPORTRANGE(""https://docs.google.com/spreadsheets/d/""&amp;$A96&amp;""/edit#gid=156619080"",AD$3)"),3527.28)</f>
        <v>3527.28</v>
      </c>
      <c r="AE96" s="18">
        <f>IFERROR(__xludf.DUMMYFUNCTION("IMPORTRANGE(""https://docs.google.com/spreadsheets/d/""&amp;$A96&amp;""/edit#gid=156619080"",AE$3)"),3420.0)</f>
        <v>3420</v>
      </c>
      <c r="AF96" s="2">
        <f>IFERROR(__xludf.DUMMYFUNCTION("IMPORTRANGE(""https://docs.google.com/spreadsheets/d/""&amp;$A96&amp;""/edit#gid=156619080"",AF$3)"),3312.72)</f>
        <v>3312.72</v>
      </c>
      <c r="AG96" s="2">
        <f>IFERROR(__xludf.DUMMYFUNCTION("IMPORTRANGE(""https://docs.google.com/spreadsheets/d/""&amp;$A96&amp;""/edit#gid=156619080"",AG$3)"),3285.9)</f>
        <v>3285.9</v>
      </c>
      <c r="AH96" s="2">
        <f>IFERROR(__xludf.DUMMYFUNCTION("IMPORTRANGE(""https://docs.google.com/spreadsheets/d/""&amp;$A96&amp;""/edit#gid=156619080"",AH$3)"),3259.08)</f>
        <v>3259.08</v>
      </c>
      <c r="AI96" s="2">
        <f>IFERROR(__xludf.DUMMYFUNCTION("IMPORTRANGE(""https://docs.google.com/spreadsheets/d/""&amp;$A96&amp;""/edit#gid=156619080"",AI$3)"),3232.26)</f>
        <v>3232.26</v>
      </c>
      <c r="AJ96" s="2">
        <f>IFERROR(__xludf.DUMMYFUNCTION("IMPORTRANGE(""https://docs.google.com/spreadsheets/d/""&amp;$A96&amp;""/edit#gid=156619080"",AJ$3)"),3205.44)</f>
        <v>3205.44</v>
      </c>
      <c r="AK96" s="2" t="str">
        <f>IFERROR(__xludf.DUMMYFUNCTION("IMPORTRANGE(""https://docs.google.com/spreadsheets/d/""&amp;$A96&amp;""/edit#gid=156619080"",AK$3)"),"")</f>
        <v/>
      </c>
      <c r="AL96" s="2">
        <f>IFERROR(__xludf.DUMMYFUNCTION("IMPORTRANGE(""https://docs.google.com/spreadsheets/d/""&amp;$A96&amp;""/edit#gid=156619080"",AL$3)"),-1.0)</f>
        <v>-1</v>
      </c>
      <c r="AM96" s="2" t="str">
        <f>IFERROR(__xludf.DUMMYFUNCTION("IMPORTRANGE(""https://docs.google.com/spreadsheets/d/""&amp;$A96&amp;""/edit#gid=156619080"",AM$3)"),"")</f>
        <v/>
      </c>
      <c r="AN96" s="2">
        <f>IFERROR(__xludf.DUMMYFUNCTION("IMPORTRANGE(""https://docs.google.com/spreadsheets/d/""&amp;$A96&amp;""/edit#gid=156619080"",AN$3)"),-1.0)</f>
        <v>-1</v>
      </c>
      <c r="AO96" s="2" t="str">
        <f>IFERROR(__xludf.DUMMYFUNCTION("IMPORTRANGE(""https://docs.google.com/spreadsheets/d/""&amp;$A96&amp;""/edit#gid=156619080"",AO$3)"),"")</f>
        <v/>
      </c>
      <c r="AP96" s="2">
        <f>IFERROR(__xludf.DUMMYFUNCTION("IMPORTRANGE(""https://docs.google.com/spreadsheets/d/""&amp;$A96&amp;""/edit#gid=156619080"",AP$3)"),1.0)</f>
        <v>1</v>
      </c>
      <c r="AQ96" s="2" t="str">
        <f>IFERROR(__xludf.DUMMYFUNCTION("IMPORTRANGE(""https://docs.google.com/spreadsheets/d/""&amp;$A96&amp;""/edit#gid=156619080"",AQ$3)"),"")</f>
        <v/>
      </c>
      <c r="AR96" s="18">
        <f>IFERROR(__xludf.DUMMYFUNCTION("IMPORTRANGE(""https://docs.google.com/spreadsheets/d/""&amp;$A96&amp;""/edit#gid=156619080"",AR$3)"),-89.99999999999999)</f>
        <v>-90</v>
      </c>
      <c r="AS96" s="19" t="str">
        <f>IFERROR(__xludf.DUMMYFUNCTION("IMPORTRANGE(""https://docs.google.com/spreadsheets/d/""&amp;$A96&amp;""/edit#gid=156619080"",AS$3)"),"-100
-100
-90
-90
")</f>
        <v>-100
-100
-90
-90
</v>
      </c>
      <c r="AT96" s="18">
        <f>IFERROR(__xludf.DUMMYFUNCTION("IMPORTRANGE(""https://docs.google.com/spreadsheets/d/""&amp;$A96&amp;""/edit#gid=156619080"",AT$3)"),-57.692307692307686)</f>
        <v>-57.69230769</v>
      </c>
      <c r="AU96" s="3" t="str">
        <f>IFERROR(__xludf.DUMMYFUNCTION("IMPORTRANGE(""https://docs.google.com/spreadsheets/d/""&amp;$A96&amp;""/edit#gid=156619080"",AU$3)"),"58.79
39.56
15.38
-14.84
")</f>
        <v>58.79
39.56
15.38
-14.84
</v>
      </c>
      <c r="AV96" s="18">
        <f>IFERROR(__xludf.DUMMYFUNCTION("IMPORTRANGE(""https://docs.google.com/spreadsheets/d/""&amp;$A96&amp;""/edit#gid=156619080"",AV$3)"),15.06493506493507)</f>
        <v>15.06493506</v>
      </c>
      <c r="AW96" s="19" t="str">
        <f>IFERROR(__xludf.DUMMYFUNCTION("IMPORTRANGE(""https://docs.google.com/spreadsheets/d/""&amp;$A96&amp;""/edit#gid=156619080"",AW$3)"),"-25.58
-19.22
-7.27
5.32
")</f>
        <v>-25.58
-19.22
-7.27
5.32
</v>
      </c>
      <c r="AX96" s="2">
        <f>IFERROR(__xludf.DUMMYFUNCTION("IMPORTRANGE(""https://docs.google.com/spreadsheets/d/""&amp;$A96&amp;""/edit#gid=156619080"",AX$3)"),8.33)</f>
        <v>8.33</v>
      </c>
      <c r="AY96" s="2">
        <f>IFERROR(__xludf.DUMMYFUNCTION("IMPORTRANGE(""https://docs.google.com/spreadsheets/d/""&amp;$A96&amp;""/edit#gid=156619080"",AY$3)"),38.29)</f>
        <v>38.29</v>
      </c>
      <c r="AZ96" s="2">
        <f>IFERROR(__xludf.DUMMYFUNCTION("IMPORTRANGE(""https://docs.google.com/spreadsheets/d/""&amp;$A96&amp;""/edit#gid=156619080"",AZ$3)"),3398.51)</f>
        <v>3398.51</v>
      </c>
      <c r="BA96" s="2">
        <f>IFERROR(__xludf.DUMMYFUNCTION("IMPORTRANGE(""https://docs.google.com/spreadsheets/d/""&amp;$A96&amp;""/edit#gid=156619080"",BA$3)"),-28.98999999999978)</f>
        <v>-28.99</v>
      </c>
      <c r="BB96" s="2">
        <f>IFERROR(__xludf.DUMMYFUNCTION("IMPORTRANGE(""https://docs.google.com/spreadsheets/d/""&amp;$A96&amp;""/edit#gid=156619080"",BB$3)"),9.86)</f>
        <v>9.86</v>
      </c>
      <c r="BC96" s="2" t="str">
        <f>IFERROR(__xludf.DUMMYFUNCTION("IMPORTRANGE(""https://docs.google.com/spreadsheets/d/""&amp;$A96&amp;""/edit#gid=156619080"",BC$3)"),"DC→DC")</f>
        <v>DC→DC</v>
      </c>
    </row>
    <row r="97" ht="51.0" customHeight="1">
      <c r="A97" s="7" t="str">
        <f t="shared" si="5"/>
        <v>1Z4ZgN4Sy0zq6E4piPBPDWvWgVtgzT8w4Mi02n_LoCPA</v>
      </c>
      <c r="B97" s="1" t="s">
        <v>124</v>
      </c>
      <c r="C97" s="2">
        <f>IFERROR(__xludf.DUMMYFUNCTION("IMPORTRANGE(""https://docs.google.com/spreadsheets/d/""&amp;$A97&amp;""/edit#gid=156619080"",C$3)"),132.0)</f>
        <v>132</v>
      </c>
      <c r="D97" s="2">
        <f>IFERROR(__xludf.DUMMYFUNCTION("IMPORTRANGE(""https://docs.google.com/spreadsheets/d/""&amp;$A97&amp;""/edit#gid=156619080"",D$3)"),6506.0)</f>
        <v>6506</v>
      </c>
      <c r="E97" s="15">
        <f>IFERROR(__xludf.DUMMYFUNCTION("IMPORTRANGE(""https://docs.google.com/spreadsheets/d/""&amp;$A97&amp;""/edit#gid=156619080"",E$3)"),43882.0)</f>
        <v>43882</v>
      </c>
      <c r="F97" s="2">
        <f>IFERROR(__xludf.DUMMYFUNCTION("IMPORTRANGE(""https://docs.google.com/spreadsheets/d/""&amp;$A97&amp;""/edit#gid=156619080"",F$3)"),-30.0)</f>
        <v>-30</v>
      </c>
      <c r="G97" s="16">
        <f>IFERROR(__xludf.DUMMYFUNCTION("IMPORTRANGE(""https://docs.google.com/spreadsheets/d/""&amp;$A97&amp;""/edit#gid=156619080"",G$3)"),-0.8)</f>
        <v>-0.8</v>
      </c>
      <c r="H97" s="16">
        <f>IFERROR(__xludf.DUMMYFUNCTION("IMPORTRANGE(""https://docs.google.com/spreadsheets/d/""&amp;$A97&amp;""/edit#gid=156619080"",H$3)"),3685.0)</f>
        <v>3685</v>
      </c>
      <c r="I97" s="16">
        <f>IFERROR(__xludf.DUMMYFUNCTION("IMPORTRANGE(""https://docs.google.com/spreadsheets/d/""&amp;$A97&amp;""/edit#gid=156619080"",I$3)"),50.0)</f>
        <v>50</v>
      </c>
      <c r="J97" s="16">
        <f>IFERROR(__xludf.DUMMYFUNCTION("IMPORTRANGE(""https://docs.google.com/spreadsheets/d/""&amp;$A97&amp;""/edit#gid=156619080"",J$3)"),3750.0)</f>
        <v>3750</v>
      </c>
      <c r="K97" s="16">
        <f>IFERROR(__xludf.DUMMYFUNCTION("IMPORTRANGE(""https://docs.google.com/spreadsheets/d/""&amp;$A97&amp;""/edit#gid=156619080"",K$3)"),0.3909722222222222)</f>
        <v>0.3909722222</v>
      </c>
      <c r="L97" s="16">
        <f>IFERROR(__xludf.DUMMYFUNCTION("IMPORTRANGE(""https://docs.google.com/spreadsheets/d/""&amp;$A97&amp;""/edit#gid=156619080"",L$3)"),3685.0)</f>
        <v>3685</v>
      </c>
      <c r="M97" s="16">
        <f>IFERROR(__xludf.DUMMYFUNCTION("IMPORTRANGE(""https://docs.google.com/spreadsheets/d/""&amp;$A97&amp;""/edit#gid=156619080"",M$3)"),0.375)</f>
        <v>0.375</v>
      </c>
      <c r="N97" s="16">
        <f>IFERROR(__xludf.DUMMYFUNCTION("IMPORTRANGE(""https://docs.google.com/spreadsheets/d/""&amp;$A97&amp;""/edit#gid=156619080"",N$3)"),3705.0)</f>
        <v>3705</v>
      </c>
      <c r="O97" s="16" t="str">
        <f>IFERROR(__xludf.DUMMYFUNCTION("IMPORTRANGE(""https://docs.google.com/spreadsheets/d/""&amp;$A97&amp;""/edit#gid=156619080"",O$3)"),"1729400株")</f>
        <v>1729400株</v>
      </c>
      <c r="P97" s="16" t="str">
        <f>IFERROR(__xludf.DUMMYFUNCTION("IMPORTRANGE(""https://docs.google.com/spreadsheets/d/""&amp;$A97&amp;""/edit#gid=156619080"",P$3)"),"6432百万円")</f>
        <v>6432百万円</v>
      </c>
      <c r="Q97" s="16" t="str">
        <f>IFERROR(__xludf.DUMMYFUNCTION("IMPORTRANGE(""https://docs.google.com/spreadsheets/d/""&amp;$A97&amp;""/edit#gid=156619080"",Q$3)"),"2062回")</f>
        <v>2062回</v>
      </c>
      <c r="R97" s="16" t="str">
        <f>IFERROR(__xludf.DUMMYFUNCTION("IMPORTRANGE(""https://docs.google.com/spreadsheets/d/""&amp;$A97&amp;""/edit#gid=156619080"",R$3)"),"9881億円")</f>
        <v>9881億円</v>
      </c>
      <c r="S97" s="16" t="str">
        <f>IFERROR(__xludf.DUMMYFUNCTION("IMPORTRANGE(""https://docs.google.com/spreadsheets/d/""&amp;$A97&amp;""/edit#gid=156619080"",S$3)"),"陽線")</f>
        <v>陽線</v>
      </c>
      <c r="T97" s="16" t="str">
        <f>IFERROR(__xludf.DUMMYFUNCTION("IMPORTRANGE(""https://docs.google.com/spreadsheets/d/""&amp;$A97&amp;""/edit#gid=156619080"",T$3)"),"RSV1")</f>
        <v>RSV1</v>
      </c>
      <c r="U97" s="16">
        <f>IFERROR(__xludf.DUMMYFUNCTION("IMPORTRANGE(""https://docs.google.com/spreadsheets/d/""&amp;$A97&amp;""/edit#gid=156619080"",U$3)"),3757.0)</f>
        <v>3757</v>
      </c>
      <c r="V97" s="16">
        <f>IFERROR(__xludf.DUMMYFUNCTION("IMPORTRANGE(""https://docs.google.com/spreadsheets/d/""&amp;$A97&amp;""/edit#gid=156619080"",V$3)"),3851.2)</f>
        <v>3851.2</v>
      </c>
      <c r="W97" s="16">
        <f>IFERROR(__xludf.DUMMYFUNCTION("IMPORTRANGE(""https://docs.google.com/spreadsheets/d/""&amp;$A97&amp;""/edit#gid=156619080"",W$3)"),3883.3)</f>
        <v>3883.3</v>
      </c>
      <c r="X97" s="2">
        <f>IFERROR(__xludf.DUMMYFUNCTION("IMPORTRANGE(""https://docs.google.com/spreadsheets/d/""&amp;$A97&amp;""/edit#gid=156619080"",X$3)"),4025.6)</f>
        <v>4025.6</v>
      </c>
      <c r="Y97" s="17">
        <f>IFERROR(__xludf.DUMMYFUNCTION("IMPORTRANGE(""https://docs.google.com/spreadsheets/d/""&amp;$A97&amp;""/edit#gid=156619080"",Y$3)"),-0.01384083044982699)</f>
        <v>-0.01384083045</v>
      </c>
      <c r="Z97" s="2">
        <f>IFERROR(__xludf.DUMMYFUNCTION("IMPORTRANGE(""https://docs.google.com/spreadsheets/d/""&amp;$A97&amp;""/edit#gid=156619080"",Z$3)"),4083.43)</f>
        <v>4083.43</v>
      </c>
      <c r="AA97" s="2">
        <f>IFERROR(__xludf.DUMMYFUNCTION("IMPORTRANGE(""https://docs.google.com/spreadsheets/d/""&amp;$A97&amp;""/edit#gid=156619080"",AA$3)"),4058.41)</f>
        <v>4058.41</v>
      </c>
      <c r="AB97" s="2">
        <f>IFERROR(__xludf.DUMMYFUNCTION("IMPORTRANGE(""https://docs.google.com/spreadsheets/d/""&amp;$A97&amp;""/edit#gid=156619080"",AB$3)"),4033.4)</f>
        <v>4033.4</v>
      </c>
      <c r="AC97" s="18">
        <f>IFERROR(__xludf.DUMMYFUNCTION("IMPORTRANGE(""https://docs.google.com/spreadsheets/d/""&amp;$A97&amp;""/edit#gid=156619080"",AC$3)"),4008.38)</f>
        <v>4008.38</v>
      </c>
      <c r="AD97" s="18">
        <f>IFERROR(__xludf.DUMMYFUNCTION("IMPORTRANGE(""https://docs.google.com/spreadsheets/d/""&amp;$A97&amp;""/edit#gid=156619080"",AD$3)"),3983.36)</f>
        <v>3983.36</v>
      </c>
      <c r="AE97" s="18">
        <f>IFERROR(__xludf.DUMMYFUNCTION("IMPORTRANGE(""https://docs.google.com/spreadsheets/d/""&amp;$A97&amp;""/edit#gid=156619080"",AE$3)"),3883.3)</f>
        <v>3883.3</v>
      </c>
      <c r="AF97" s="2">
        <f>IFERROR(__xludf.DUMMYFUNCTION("IMPORTRANGE(""https://docs.google.com/spreadsheets/d/""&amp;$A97&amp;""/edit#gid=156619080"",AF$3)"),3783.24)</f>
        <v>3783.24</v>
      </c>
      <c r="AG97" s="2">
        <f>IFERROR(__xludf.DUMMYFUNCTION("IMPORTRANGE(""https://docs.google.com/spreadsheets/d/""&amp;$A97&amp;""/edit#gid=156619080"",AG$3)"),3758.22)</f>
        <v>3758.22</v>
      </c>
      <c r="AH97" s="2">
        <f>IFERROR(__xludf.DUMMYFUNCTION("IMPORTRANGE(""https://docs.google.com/spreadsheets/d/""&amp;$A97&amp;""/edit#gid=156619080"",AH$3)"),3733.2)</f>
        <v>3733.2</v>
      </c>
      <c r="AI97" s="2">
        <f>IFERROR(__xludf.DUMMYFUNCTION("IMPORTRANGE(""https://docs.google.com/spreadsheets/d/""&amp;$A97&amp;""/edit#gid=156619080"",AI$3)"),3708.19)</f>
        <v>3708.19</v>
      </c>
      <c r="AJ97" s="2">
        <f>IFERROR(__xludf.DUMMYFUNCTION("IMPORTRANGE(""https://docs.google.com/spreadsheets/d/""&amp;$A97&amp;""/edit#gid=156619080"",AJ$3)"),3683.17)</f>
        <v>3683.17</v>
      </c>
      <c r="AK97" s="2" t="str">
        <f>IFERROR(__xludf.DUMMYFUNCTION("IMPORTRANGE(""https://docs.google.com/spreadsheets/d/""&amp;$A97&amp;""/edit#gid=156619080"",AK$3)"),"-1.75σ〜-2σ")</f>
        <v>-1.75σ〜-2σ</v>
      </c>
      <c r="AL97" s="2">
        <f>IFERROR(__xludf.DUMMYFUNCTION("IMPORTRANGE(""https://docs.google.com/spreadsheets/d/""&amp;$A97&amp;""/edit#gid=156619080"",AL$3)"),-1.0)</f>
        <v>-1</v>
      </c>
      <c r="AM97" s="2" t="str">
        <f>IFERROR(__xludf.DUMMYFUNCTION("IMPORTRANGE(""https://docs.google.com/spreadsheets/d/""&amp;$A97&amp;""/edit#gid=156619080"",AM$3)"),"")</f>
        <v/>
      </c>
      <c r="AN97" s="2">
        <f>IFERROR(__xludf.DUMMYFUNCTION("IMPORTRANGE(""https://docs.google.com/spreadsheets/d/""&amp;$A97&amp;""/edit#gid=156619080"",AN$3)"),-1.0)</f>
        <v>-1</v>
      </c>
      <c r="AO97" s="2" t="str">
        <f>IFERROR(__xludf.DUMMYFUNCTION("IMPORTRANGE(""https://docs.google.com/spreadsheets/d/""&amp;$A97&amp;""/edit#gid=156619080"",AO$3)"),"")</f>
        <v/>
      </c>
      <c r="AP97" s="2">
        <f>IFERROR(__xludf.DUMMYFUNCTION("IMPORTRANGE(""https://docs.google.com/spreadsheets/d/""&amp;$A97&amp;""/edit#gid=156619080"",AP$3)"),-1.0)</f>
        <v>-1</v>
      </c>
      <c r="AQ97" s="2" t="str">
        <f>IFERROR(__xludf.DUMMYFUNCTION("IMPORTRANGE(""https://docs.google.com/spreadsheets/d/""&amp;$A97&amp;""/edit#gid=156619080"",AQ$3)"),"")</f>
        <v/>
      </c>
      <c r="AR97" s="18">
        <f>IFERROR(__xludf.DUMMYFUNCTION("IMPORTRANGE(""https://docs.google.com/spreadsheets/d/""&amp;$A97&amp;""/edit#gid=156619080"",AR$3)"),-89.99999999999999)</f>
        <v>-90</v>
      </c>
      <c r="AS97" s="19" t="str">
        <f>IFERROR(__xludf.DUMMYFUNCTION("IMPORTRANGE(""https://docs.google.com/spreadsheets/d/""&amp;$A97&amp;""/edit#gid=156619080"",AS$3)"),"10
-90
-100
-90
")</f>
        <v>10
-90
-100
-90
</v>
      </c>
      <c r="AT97" s="18">
        <f>IFERROR(__xludf.DUMMYFUNCTION("IMPORTRANGE(""https://docs.google.com/spreadsheets/d/""&amp;$A97&amp;""/edit#gid=156619080"",AT$3)"),-67.44505494505495)</f>
        <v>-67.44505495</v>
      </c>
      <c r="AU97" s="3" t="str">
        <f>IFERROR(__xludf.DUMMYFUNCTION("IMPORTRANGE(""https://docs.google.com/spreadsheets/d/""&amp;$A97&amp;""/edit#gid=156619080"",AU$3)"),"12.36
9.07
-20.6
-42.72
")</f>
        <v>12.36
9.07
-20.6
-42.72
</v>
      </c>
      <c r="AV97" s="18">
        <f>IFERROR(__xludf.DUMMYFUNCTION("IMPORTRANGE(""https://docs.google.com/spreadsheets/d/""&amp;$A97&amp;""/edit#gid=156619080"",AV$3)"),-59.44805194805194)</f>
        <v>-59.44805195</v>
      </c>
      <c r="AW97" s="19" t="str">
        <f>IFERROR(__xludf.DUMMYFUNCTION("IMPORTRANGE(""https://docs.google.com/spreadsheets/d/""&amp;$A97&amp;""/edit#gid=156619080"",AW$3)"),"-59.32
-59.45
-59.45
-59.45
")</f>
        <v>-59.32
-59.45
-59.45
-59.45
</v>
      </c>
      <c r="AX97" s="2">
        <f>IFERROR(__xludf.DUMMYFUNCTION("IMPORTRANGE(""https://docs.google.com/spreadsheets/d/""&amp;$A97&amp;""/edit#gid=156619080"",AX$3)"),2.56)</f>
        <v>2.56</v>
      </c>
      <c r="AY97" s="2">
        <f>IFERROR(__xludf.DUMMYFUNCTION("IMPORTRANGE(""https://docs.google.com/spreadsheets/d/""&amp;$A97&amp;""/edit#gid=156619080"",AY$3)"),30.23)</f>
        <v>30.23</v>
      </c>
      <c r="AZ97" s="2">
        <f>IFERROR(__xludf.DUMMYFUNCTION("IMPORTRANGE(""https://docs.google.com/spreadsheets/d/""&amp;$A97&amp;""/edit#gid=156619080"",AZ$3)"),3756.75)</f>
        <v>3756.75</v>
      </c>
      <c r="BA97" s="2">
        <f>IFERROR(__xludf.DUMMYFUNCTION("IMPORTRANGE(""https://docs.google.com/spreadsheets/d/""&amp;$A97&amp;""/edit#gid=156619080"",BA$3)"),-135.57000000000016)</f>
        <v>-135.57</v>
      </c>
      <c r="BB97" s="2">
        <f>IFERROR(__xludf.DUMMYFUNCTION("IMPORTRANGE(""https://docs.google.com/spreadsheets/d/""&amp;$A97&amp;""/edit#gid=156619080"",BB$3)"),-104.64)</f>
        <v>-104.64</v>
      </c>
      <c r="BC97" s="2" t="str">
        <f>IFERROR(__xludf.DUMMYFUNCTION("IMPORTRANGE(""https://docs.google.com/spreadsheets/d/""&amp;$A97&amp;""/edit#gid=156619080"",BC$3)"),"DC→DC")</f>
        <v>DC→DC</v>
      </c>
    </row>
    <row r="98" ht="51.0" customHeight="1">
      <c r="A98" s="7" t="str">
        <f t="shared" si="5"/>
        <v>1ZozIfpVo4IOkL2QwZ5L2WSDtElcRY1JU6kueA2kSsEk</v>
      </c>
      <c r="B98" s="1" t="s">
        <v>125</v>
      </c>
      <c r="C98" s="2">
        <f>IFERROR(__xludf.DUMMYFUNCTION("IMPORTRANGE(""https://docs.google.com/spreadsheets/d/""&amp;$A98&amp;""/edit#gid=156619080"",C$3)"),132.0)</f>
        <v>132</v>
      </c>
      <c r="D98" s="2">
        <f>IFERROR(__xludf.DUMMYFUNCTION("IMPORTRANGE(""https://docs.google.com/spreadsheets/d/""&amp;$A98&amp;""/edit#gid=156619080"",D$3)"),6645.0)</f>
        <v>6645</v>
      </c>
      <c r="E98" s="15">
        <f>IFERROR(__xludf.DUMMYFUNCTION("IMPORTRANGE(""https://docs.google.com/spreadsheets/d/""&amp;$A98&amp;""/edit#gid=156619080"",E$3)"),43882.0)</f>
        <v>43882</v>
      </c>
      <c r="F98" s="2">
        <f>IFERROR(__xludf.DUMMYFUNCTION("IMPORTRANGE(""https://docs.google.com/spreadsheets/d/""&amp;$A98&amp;""/edit#gid=156619080"",F$3)"),-60.0)</f>
        <v>-60</v>
      </c>
      <c r="G98" s="16">
        <f>IFERROR(__xludf.DUMMYFUNCTION("IMPORTRANGE(""https://docs.google.com/spreadsheets/d/""&amp;$A98&amp;""/edit#gid=156619080"",G$3)"),-0.89)</f>
        <v>-0.89</v>
      </c>
      <c r="H98" s="16">
        <f>IFERROR(__xludf.DUMMYFUNCTION("IMPORTRANGE(""https://docs.google.com/spreadsheets/d/""&amp;$A98&amp;""/edit#gid=156619080"",H$3)"),6690.0)</f>
        <v>6690</v>
      </c>
      <c r="I98" s="16">
        <f>IFERROR(__xludf.DUMMYFUNCTION("IMPORTRANGE(""https://docs.google.com/spreadsheets/d/""&amp;$A98&amp;""/edit#gid=156619080"",I$3)"),30.0)</f>
        <v>30</v>
      </c>
      <c r="J98" s="16">
        <f>IFERROR(__xludf.DUMMYFUNCTION("IMPORTRANGE(""https://docs.google.com/spreadsheets/d/""&amp;$A98&amp;""/edit#gid=156619080"",J$3)"),6740.0)</f>
        <v>6740</v>
      </c>
      <c r="K98" s="16">
        <f>IFERROR(__xludf.DUMMYFUNCTION("IMPORTRANGE(""https://docs.google.com/spreadsheets/d/""&amp;$A98&amp;""/edit#gid=156619080"",K$3)"),0.3875)</f>
        <v>0.3875</v>
      </c>
      <c r="L98" s="16">
        <f>IFERROR(__xludf.DUMMYFUNCTION("IMPORTRANGE(""https://docs.google.com/spreadsheets/d/""&amp;$A98&amp;""/edit#gid=156619080"",L$3)"),6660.0)</f>
        <v>6660</v>
      </c>
      <c r="M98" s="16">
        <f>IFERROR(__xludf.DUMMYFUNCTION("IMPORTRANGE(""https://docs.google.com/spreadsheets/d/""&amp;$A98&amp;""/edit#gid=156619080"",M$3)"),0.375)</f>
        <v>0.375</v>
      </c>
      <c r="N98" s="16">
        <f>IFERROR(__xludf.DUMMYFUNCTION("IMPORTRANGE(""https://docs.google.com/spreadsheets/d/""&amp;$A98&amp;""/edit#gid=156619080"",N$3)"),6660.0)</f>
        <v>6660</v>
      </c>
      <c r="O98" s="16" t="str">
        <f>IFERROR(__xludf.DUMMYFUNCTION("IMPORTRANGE(""https://docs.google.com/spreadsheets/d/""&amp;$A98&amp;""/edit#gid=156619080"",O$3)"),"557600株")</f>
        <v>557600株</v>
      </c>
      <c r="P98" s="16" t="str">
        <f>IFERROR(__xludf.DUMMYFUNCTION("IMPORTRANGE(""https://docs.google.com/spreadsheets/d/""&amp;$A98&amp;""/edit#gid=156619080"",P$3)"),"3727百万円")</f>
        <v>3727百万円</v>
      </c>
      <c r="Q98" s="16" t="str">
        <f>IFERROR(__xludf.DUMMYFUNCTION("IMPORTRANGE(""https://docs.google.com/spreadsheets/d/""&amp;$A98&amp;""/edit#gid=156619080"",Q$3)"),"988回")</f>
        <v>988回</v>
      </c>
      <c r="R98" s="16" t="str">
        <f>IFERROR(__xludf.DUMMYFUNCTION("IMPORTRANGE(""https://docs.google.com/spreadsheets/d/""&amp;$A98&amp;""/edit#gid=156619080"",R$3)"),"13736億円")</f>
        <v>13736億円</v>
      </c>
      <c r="S98" s="16" t="str">
        <f>IFERROR(__xludf.DUMMYFUNCTION("IMPORTRANGE(""https://docs.google.com/spreadsheets/d/""&amp;$A98&amp;""/edit#gid=156619080"",S$3)"),"陰線")</f>
        <v>陰線</v>
      </c>
      <c r="T98" s="16" t="str">
        <f>IFERROR(__xludf.DUMMYFUNCTION("IMPORTRANGE(""https://docs.google.com/spreadsheets/d/""&amp;$A98&amp;""/edit#gid=156619080"",T$3)"),"")</f>
        <v/>
      </c>
      <c r="U98" s="16">
        <f>IFERROR(__xludf.DUMMYFUNCTION("IMPORTRANGE(""https://docs.google.com/spreadsheets/d/""&amp;$A98&amp;""/edit#gid=156619080"",U$3)"),6664.0)</f>
        <v>6664</v>
      </c>
      <c r="V98" s="16">
        <f>IFERROR(__xludf.DUMMYFUNCTION("IMPORTRANGE(""https://docs.google.com/spreadsheets/d/""&amp;$A98&amp;""/edit#gid=156619080"",V$3)"),6706.9)</f>
        <v>6706.9</v>
      </c>
      <c r="W98" s="16">
        <f>IFERROR(__xludf.DUMMYFUNCTION("IMPORTRANGE(""https://docs.google.com/spreadsheets/d/""&amp;$A98&amp;""/edit#gid=156619080"",W$3)"),6574.3)</f>
        <v>6574.3</v>
      </c>
      <c r="X98" s="2">
        <f>IFERROR(__xludf.DUMMYFUNCTION("IMPORTRANGE(""https://docs.google.com/spreadsheets/d/""&amp;$A98&amp;""/edit#gid=156619080"",X$3)"),6330.4)</f>
        <v>6330.4</v>
      </c>
      <c r="Y98" s="17">
        <f>IFERROR(__xludf.DUMMYFUNCTION("IMPORTRANGE(""https://docs.google.com/spreadsheets/d/""&amp;$A98&amp;""/edit#gid=156619080"",Y$3)"),-6.002400960384153E-4)</f>
        <v>-0.000600240096</v>
      </c>
      <c r="Z98" s="2">
        <f>IFERROR(__xludf.DUMMYFUNCTION("IMPORTRANGE(""https://docs.google.com/spreadsheets/d/""&amp;$A98&amp;""/edit#gid=156619080"",Z$3)"),6965.32)</f>
        <v>6965.32</v>
      </c>
      <c r="AA98" s="2">
        <f>IFERROR(__xludf.DUMMYFUNCTION("IMPORTRANGE(""https://docs.google.com/spreadsheets/d/""&amp;$A98&amp;""/edit#gid=156619080"",AA$3)"),6916.44)</f>
        <v>6916.44</v>
      </c>
      <c r="AB98" s="2">
        <f>IFERROR(__xludf.DUMMYFUNCTION("IMPORTRANGE(""https://docs.google.com/spreadsheets/d/""&amp;$A98&amp;""/edit#gid=156619080"",AB$3)"),6867.57)</f>
        <v>6867.57</v>
      </c>
      <c r="AC98" s="18">
        <f>IFERROR(__xludf.DUMMYFUNCTION("IMPORTRANGE(""https://docs.google.com/spreadsheets/d/""&amp;$A98&amp;""/edit#gid=156619080"",AC$3)"),6818.69)</f>
        <v>6818.69</v>
      </c>
      <c r="AD98" s="18">
        <f>IFERROR(__xludf.DUMMYFUNCTION("IMPORTRANGE(""https://docs.google.com/spreadsheets/d/""&amp;$A98&amp;""/edit#gid=156619080"",AD$3)"),6769.81)</f>
        <v>6769.81</v>
      </c>
      <c r="AE98" s="18">
        <f>IFERROR(__xludf.DUMMYFUNCTION("IMPORTRANGE(""https://docs.google.com/spreadsheets/d/""&amp;$A98&amp;""/edit#gid=156619080"",AE$3)"),6574.3)</f>
        <v>6574.3</v>
      </c>
      <c r="AF98" s="2">
        <f>IFERROR(__xludf.DUMMYFUNCTION("IMPORTRANGE(""https://docs.google.com/spreadsheets/d/""&amp;$A98&amp;""/edit#gid=156619080"",AF$3)"),6378.79)</f>
        <v>6378.79</v>
      </c>
      <c r="AG98" s="2">
        <f>IFERROR(__xludf.DUMMYFUNCTION("IMPORTRANGE(""https://docs.google.com/spreadsheets/d/""&amp;$A98&amp;""/edit#gid=156619080"",AG$3)"),6329.91)</f>
        <v>6329.91</v>
      </c>
      <c r="AH98" s="2">
        <f>IFERROR(__xludf.DUMMYFUNCTION("IMPORTRANGE(""https://docs.google.com/spreadsheets/d/""&amp;$A98&amp;""/edit#gid=156619080"",AH$3)"),6281.03)</f>
        <v>6281.03</v>
      </c>
      <c r="AI98" s="2">
        <f>IFERROR(__xludf.DUMMYFUNCTION("IMPORTRANGE(""https://docs.google.com/spreadsheets/d/""&amp;$A98&amp;""/edit#gid=156619080"",AI$3)"),6232.16)</f>
        <v>6232.16</v>
      </c>
      <c r="AJ98" s="2">
        <f>IFERROR(__xludf.DUMMYFUNCTION("IMPORTRANGE(""https://docs.google.com/spreadsheets/d/""&amp;$A98&amp;""/edit#gid=156619080"",AJ$3)"),6183.28)</f>
        <v>6183.28</v>
      </c>
      <c r="AK98" s="2" t="str">
        <f>IFERROR(__xludf.DUMMYFUNCTION("IMPORTRANGE(""https://docs.google.com/spreadsheets/d/""&amp;$A98&amp;""/edit#gid=156619080"",AK$3)"),"")</f>
        <v/>
      </c>
      <c r="AL98" s="2">
        <f>IFERROR(__xludf.DUMMYFUNCTION("IMPORTRANGE(""https://docs.google.com/spreadsheets/d/""&amp;$A98&amp;""/edit#gid=156619080"",AL$3)"),-1.0)</f>
        <v>-1</v>
      </c>
      <c r="AM98" s="2" t="str">
        <f>IFERROR(__xludf.DUMMYFUNCTION("IMPORTRANGE(""https://docs.google.com/spreadsheets/d/""&amp;$A98&amp;""/edit#gid=156619080"",AM$3)"),"")</f>
        <v/>
      </c>
      <c r="AN98" s="2">
        <f>IFERROR(__xludf.DUMMYFUNCTION("IMPORTRANGE(""https://docs.google.com/spreadsheets/d/""&amp;$A98&amp;""/edit#gid=156619080"",AN$3)"),1.0)</f>
        <v>1</v>
      </c>
      <c r="AO98" s="2" t="str">
        <f>IFERROR(__xludf.DUMMYFUNCTION("IMPORTRANGE(""https://docs.google.com/spreadsheets/d/""&amp;$A98&amp;""/edit#gid=156619080"",AO$3)"),"")</f>
        <v/>
      </c>
      <c r="AP98" s="2">
        <f>IFERROR(__xludf.DUMMYFUNCTION("IMPORTRANGE(""https://docs.google.com/spreadsheets/d/""&amp;$A98&amp;""/edit#gid=156619080"",AP$3)"),1.0)</f>
        <v>1</v>
      </c>
      <c r="AQ98" s="2" t="str">
        <f>IFERROR(__xludf.DUMMYFUNCTION("IMPORTRANGE(""https://docs.google.com/spreadsheets/d/""&amp;$A98&amp;""/edit#gid=156619080"",AQ$3)"),"")</f>
        <v/>
      </c>
      <c r="AR98" s="18">
        <f>IFERROR(__xludf.DUMMYFUNCTION("IMPORTRANGE(""https://docs.google.com/spreadsheets/d/""&amp;$A98&amp;""/edit#gid=156619080"",AR$3)"),-10.000000000000009)</f>
        <v>-10</v>
      </c>
      <c r="AS98" s="19" t="str">
        <f>IFERROR(__xludf.DUMMYFUNCTION("IMPORTRANGE(""https://docs.google.com/spreadsheets/d/""&amp;$A98&amp;""/edit#gid=156619080"",AS$3)"),"30
-70
-60
-52.5
")</f>
        <v>30
-70
-60
-52.5
</v>
      </c>
      <c r="AT98" s="18">
        <f>IFERROR(__xludf.DUMMYFUNCTION("IMPORTRANGE(""https://docs.google.com/spreadsheets/d/""&amp;$A98&amp;""/edit#gid=156619080"",AT$3)"),-18.818681318681318)</f>
        <v>-18.81868132</v>
      </c>
      <c r="AU98" s="3" t="str">
        <f>IFERROR(__xludf.DUMMYFUNCTION("IMPORTRANGE(""https://docs.google.com/spreadsheets/d/""&amp;$A98&amp;""/edit#gid=156619080"",AU$3)"),"77.88
53.16
23.49
4.26
")</f>
        <v>77.88
53.16
23.49
4.26
</v>
      </c>
      <c r="AV98" s="18">
        <f>IFERROR(__xludf.DUMMYFUNCTION("IMPORTRANGE(""https://docs.google.com/spreadsheets/d/""&amp;$A98&amp;""/edit#gid=156619080"",AV$3)"),65.12987012987013)</f>
        <v>65.12987013</v>
      </c>
      <c r="AW98" s="19" t="str">
        <f>IFERROR(__xludf.DUMMYFUNCTION("IMPORTRANGE(""https://docs.google.com/spreadsheets/d/""&amp;$A98&amp;""/edit#gid=156619080"",AW$3)"),"67.31
66.92
66.56
65.91
")</f>
        <v>67.31
66.92
66.56
65.91
</v>
      </c>
      <c r="AX98" s="2">
        <f>IFERROR(__xludf.DUMMYFUNCTION("IMPORTRANGE(""https://docs.google.com/spreadsheets/d/""&amp;$A98&amp;""/edit#gid=156619080"",AX$3)"),39.39)</f>
        <v>39.39</v>
      </c>
      <c r="AY98" s="2">
        <f>IFERROR(__xludf.DUMMYFUNCTION("IMPORTRANGE(""https://docs.google.com/spreadsheets/d/""&amp;$A98&amp;""/edit#gid=156619080"",AY$3)"),52.25)</f>
        <v>52.25</v>
      </c>
      <c r="AZ98" s="2">
        <f>IFERROR(__xludf.DUMMYFUNCTION("IMPORTRANGE(""https://docs.google.com/spreadsheets/d/""&amp;$A98&amp;""/edit#gid=156619080"",AZ$3)"),6674.12)</f>
        <v>6674.12</v>
      </c>
      <c r="BA98" s="2">
        <f>IFERROR(__xludf.DUMMYFUNCTION("IMPORTRANGE(""https://docs.google.com/spreadsheets/d/""&amp;$A98&amp;""/edit#gid=156619080"",BA$3)"),59.32999999999993)</f>
        <v>59.33</v>
      </c>
      <c r="BB98" s="2">
        <f>IFERROR(__xludf.DUMMYFUNCTION("IMPORTRANGE(""https://docs.google.com/spreadsheets/d/""&amp;$A98&amp;""/edit#gid=156619080"",BB$3)"),82.39)</f>
        <v>82.39</v>
      </c>
      <c r="BC98" s="2" t="str">
        <f>IFERROR(__xludf.DUMMYFUNCTION("IMPORTRANGE(""https://docs.google.com/spreadsheets/d/""&amp;$A98&amp;""/edit#gid=156619080"",BC$3)"),"DC→DC")</f>
        <v>DC→DC</v>
      </c>
    </row>
    <row r="99" ht="51.0" customHeight="1">
      <c r="A99" s="7" t="str">
        <f t="shared" si="5"/>
        <v>1LGFqOrelFgVO2CDo9CMIzx_S09fMv8MR6yKse7w9o4I</v>
      </c>
      <c r="B99" s="1" t="s">
        <v>126</v>
      </c>
      <c r="C99" s="2">
        <f>IFERROR(__xludf.DUMMYFUNCTION("IMPORTRANGE(""https://docs.google.com/spreadsheets/d/""&amp;$A99&amp;""/edit#gid=156619080"",C$3)"),132.0)</f>
        <v>132</v>
      </c>
      <c r="D99" s="2">
        <f>IFERROR(__xludf.DUMMYFUNCTION("IMPORTRANGE(""https://docs.google.com/spreadsheets/d/""&amp;$A99&amp;""/edit#gid=156619080"",D$3)"),6674.0)</f>
        <v>6674</v>
      </c>
      <c r="E99" s="15">
        <f>IFERROR(__xludf.DUMMYFUNCTION("IMPORTRANGE(""https://docs.google.com/spreadsheets/d/""&amp;$A99&amp;""/edit#gid=156619080"",E$3)"),43882.0)</f>
        <v>43882</v>
      </c>
      <c r="F99" s="2">
        <f>IFERROR(__xludf.DUMMYFUNCTION("IMPORTRANGE(""https://docs.google.com/spreadsheets/d/""&amp;$A99&amp;""/edit#gid=156619080"",F$3)"),-19.0)</f>
        <v>-19</v>
      </c>
      <c r="G99" s="16">
        <f>IFERROR(__xludf.DUMMYFUNCTION("IMPORTRANGE(""https://docs.google.com/spreadsheets/d/""&amp;$A99&amp;""/edit#gid=156619080"",G$3)"),-0.89)</f>
        <v>-0.89</v>
      </c>
      <c r="H99" s="16">
        <f>IFERROR(__xludf.DUMMYFUNCTION("IMPORTRANGE(""https://docs.google.com/spreadsheets/d/""&amp;$A99&amp;""/edit#gid=156619080"",H$3)"),2128.0)</f>
        <v>2128</v>
      </c>
      <c r="I99" s="16">
        <f>IFERROR(__xludf.DUMMYFUNCTION("IMPORTRANGE(""https://docs.google.com/spreadsheets/d/""&amp;$A99&amp;""/edit#gid=156619080"",I$3)"),9.0)</f>
        <v>9</v>
      </c>
      <c r="J99" s="16">
        <f>IFERROR(__xludf.DUMMYFUNCTION("IMPORTRANGE(""https://docs.google.com/spreadsheets/d/""&amp;$A99&amp;""/edit#gid=156619080"",J$3)"),2146.0)</f>
        <v>2146</v>
      </c>
      <c r="K99" s="16">
        <f>IFERROR(__xludf.DUMMYFUNCTION("IMPORTRANGE(""https://docs.google.com/spreadsheets/d/""&amp;$A99&amp;""/edit#gid=156619080"",K$3)"),0.5409722222222222)</f>
        <v>0.5409722222</v>
      </c>
      <c r="L99" s="16">
        <f>IFERROR(__xludf.DUMMYFUNCTION("IMPORTRANGE(""https://docs.google.com/spreadsheets/d/""&amp;$A99&amp;""/edit#gid=156619080"",L$3)"),2115.0)</f>
        <v>2115</v>
      </c>
      <c r="M99" s="16">
        <f>IFERROR(__xludf.DUMMYFUNCTION("IMPORTRANGE(""https://docs.google.com/spreadsheets/d/""&amp;$A99&amp;""/edit#gid=156619080"",M$3)"),0.375)</f>
        <v>0.375</v>
      </c>
      <c r="N99" s="16">
        <f>IFERROR(__xludf.DUMMYFUNCTION("IMPORTRANGE(""https://docs.google.com/spreadsheets/d/""&amp;$A99&amp;""/edit#gid=156619080"",N$3)"),2118.0)</f>
        <v>2118</v>
      </c>
      <c r="O99" s="16" t="str">
        <f>IFERROR(__xludf.DUMMYFUNCTION("IMPORTRANGE(""https://docs.google.com/spreadsheets/d/""&amp;$A99&amp;""/edit#gid=156619080"",O$3)"),"297300株")</f>
        <v>297300株</v>
      </c>
      <c r="P99" s="16" t="str">
        <f>IFERROR(__xludf.DUMMYFUNCTION("IMPORTRANGE(""https://docs.google.com/spreadsheets/d/""&amp;$A99&amp;""/edit#gid=156619080"",P$3)"),"633百万円")</f>
        <v>633百万円</v>
      </c>
      <c r="Q99" s="16" t="str">
        <f>IFERROR(__xludf.DUMMYFUNCTION("IMPORTRANGE(""https://docs.google.com/spreadsheets/d/""&amp;$A99&amp;""/edit#gid=156619080"",Q$3)"),"1134回")</f>
        <v>1134回</v>
      </c>
      <c r="R99" s="16" t="str">
        <f>IFERROR(__xludf.DUMMYFUNCTION("IMPORTRANGE(""https://docs.google.com/spreadsheets/d/""&amp;$A99&amp;""/edit#gid=156619080"",R$3)"),"1752億円")</f>
        <v>1752億円</v>
      </c>
      <c r="S99" s="16" t="str">
        <f>IFERROR(__xludf.DUMMYFUNCTION("IMPORTRANGE(""https://docs.google.com/spreadsheets/d/""&amp;$A99&amp;""/edit#gid=156619080"",S$3)"),"陰線")</f>
        <v>陰線</v>
      </c>
      <c r="T99" s="16" t="str">
        <f>IFERROR(__xludf.DUMMYFUNCTION("IMPORTRANGE(""https://docs.google.com/spreadsheets/d/""&amp;$A99&amp;""/edit#gid=156619080"",T$3)"),"")</f>
        <v/>
      </c>
      <c r="U99" s="16">
        <f>IFERROR(__xludf.DUMMYFUNCTION("IMPORTRANGE(""https://docs.google.com/spreadsheets/d/""&amp;$A99&amp;""/edit#gid=156619080"",U$3)"),2126.4)</f>
        <v>2126.4</v>
      </c>
      <c r="V99" s="16">
        <f>IFERROR(__xludf.DUMMYFUNCTION("IMPORTRANGE(""https://docs.google.com/spreadsheets/d/""&amp;$A99&amp;""/edit#gid=156619080"",V$3)"),2187.5)</f>
        <v>2187.5</v>
      </c>
      <c r="W99" s="16">
        <f>IFERROR(__xludf.DUMMYFUNCTION("IMPORTRANGE(""https://docs.google.com/spreadsheets/d/""&amp;$A99&amp;""/edit#gid=156619080"",W$3)"),2211.7)</f>
        <v>2211.7</v>
      </c>
      <c r="X99" s="2">
        <f>IFERROR(__xludf.DUMMYFUNCTION("IMPORTRANGE(""https://docs.google.com/spreadsheets/d/""&amp;$A99&amp;""/edit#gid=156619080"",X$3)"),2148.2)</f>
        <v>2148.2</v>
      </c>
      <c r="Y99" s="17">
        <f>IFERROR(__xludf.DUMMYFUNCTION("IMPORTRANGE(""https://docs.google.com/spreadsheets/d/""&amp;$A99&amp;""/edit#gid=156619080"",Y$3)"),-0.00395033860045151)</f>
        <v>-0.0039503386</v>
      </c>
      <c r="Z99" s="2">
        <f>IFERROR(__xludf.DUMMYFUNCTION("IMPORTRANGE(""https://docs.google.com/spreadsheets/d/""&amp;$A99&amp;""/edit#gid=156619080"",Z$3)"),2342.6)</f>
        <v>2342.6</v>
      </c>
      <c r="AA99" s="2">
        <f>IFERROR(__xludf.DUMMYFUNCTION("IMPORTRANGE(""https://docs.google.com/spreadsheets/d/""&amp;$A99&amp;""/edit#gid=156619080"",AA$3)"),2326.24)</f>
        <v>2326.24</v>
      </c>
      <c r="AB99" s="2">
        <f>IFERROR(__xludf.DUMMYFUNCTION("IMPORTRANGE(""https://docs.google.com/spreadsheets/d/""&amp;$A99&amp;""/edit#gid=156619080"",AB$3)"),2309.88)</f>
        <v>2309.88</v>
      </c>
      <c r="AC99" s="18">
        <f>IFERROR(__xludf.DUMMYFUNCTION("IMPORTRANGE(""https://docs.google.com/spreadsheets/d/""&amp;$A99&amp;""/edit#gid=156619080"",AC$3)"),2293.51)</f>
        <v>2293.51</v>
      </c>
      <c r="AD99" s="18">
        <f>IFERROR(__xludf.DUMMYFUNCTION("IMPORTRANGE(""https://docs.google.com/spreadsheets/d/""&amp;$A99&amp;""/edit#gid=156619080"",AD$3)"),2277.15)</f>
        <v>2277.15</v>
      </c>
      <c r="AE99" s="18">
        <f>IFERROR(__xludf.DUMMYFUNCTION("IMPORTRANGE(""https://docs.google.com/spreadsheets/d/""&amp;$A99&amp;""/edit#gid=156619080"",AE$3)"),2211.7)</f>
        <v>2211.7</v>
      </c>
      <c r="AF99" s="2">
        <f>IFERROR(__xludf.DUMMYFUNCTION("IMPORTRANGE(""https://docs.google.com/spreadsheets/d/""&amp;$A99&amp;""/edit#gid=156619080"",AF$3)"),2146.25)</f>
        <v>2146.25</v>
      </c>
      <c r="AG99" s="2">
        <f>IFERROR(__xludf.DUMMYFUNCTION("IMPORTRANGE(""https://docs.google.com/spreadsheets/d/""&amp;$A99&amp;""/edit#gid=156619080"",AG$3)"),2129.89)</f>
        <v>2129.89</v>
      </c>
      <c r="AH99" s="2">
        <f>IFERROR(__xludf.DUMMYFUNCTION("IMPORTRANGE(""https://docs.google.com/spreadsheets/d/""&amp;$A99&amp;""/edit#gid=156619080"",AH$3)"),2113.52)</f>
        <v>2113.52</v>
      </c>
      <c r="AI99" s="2">
        <f>IFERROR(__xludf.DUMMYFUNCTION("IMPORTRANGE(""https://docs.google.com/spreadsheets/d/""&amp;$A99&amp;""/edit#gid=156619080"",AI$3)"),2097.16)</f>
        <v>2097.16</v>
      </c>
      <c r="AJ99" s="2">
        <f>IFERROR(__xludf.DUMMYFUNCTION("IMPORTRANGE(""https://docs.google.com/spreadsheets/d/""&amp;$A99&amp;""/edit#gid=156619080"",AJ$3)"),2080.8)</f>
        <v>2080.8</v>
      </c>
      <c r="AK99" s="2" t="str">
        <f>IFERROR(__xludf.DUMMYFUNCTION("IMPORTRANGE(""https://docs.google.com/spreadsheets/d/""&amp;$A99&amp;""/edit#gid=156619080"",AK$3)"),"-1.25σ〜-1.5σ")</f>
        <v>-1.25σ〜-1.5σ</v>
      </c>
      <c r="AL99" s="2">
        <f>IFERROR(__xludf.DUMMYFUNCTION("IMPORTRANGE(""https://docs.google.com/spreadsheets/d/""&amp;$A99&amp;""/edit#gid=156619080"",AL$3)"),-1.0)</f>
        <v>-1</v>
      </c>
      <c r="AM99" s="2" t="str">
        <f>IFERROR(__xludf.DUMMYFUNCTION("IMPORTRANGE(""https://docs.google.com/spreadsheets/d/""&amp;$A99&amp;""/edit#gid=156619080"",AM$3)"),"")</f>
        <v/>
      </c>
      <c r="AN99" s="2">
        <f>IFERROR(__xludf.DUMMYFUNCTION("IMPORTRANGE(""https://docs.google.com/spreadsheets/d/""&amp;$A99&amp;""/edit#gid=156619080"",AN$3)"),-1.0)</f>
        <v>-1</v>
      </c>
      <c r="AO99" s="2" t="str">
        <f>IFERROR(__xludf.DUMMYFUNCTION("IMPORTRANGE(""https://docs.google.com/spreadsheets/d/""&amp;$A99&amp;""/edit#gid=156619080"",AO$3)"),"")</f>
        <v/>
      </c>
      <c r="AP99" s="2">
        <f>IFERROR(__xludf.DUMMYFUNCTION("IMPORTRANGE(""https://docs.google.com/spreadsheets/d/""&amp;$A99&amp;""/edit#gid=156619080"",AP$3)"),-1.0)</f>
        <v>-1</v>
      </c>
      <c r="AQ99" s="2" t="str">
        <f>IFERROR(__xludf.DUMMYFUNCTION("IMPORTRANGE(""https://docs.google.com/spreadsheets/d/""&amp;$A99&amp;""/edit#gid=156619080"",AQ$3)"),"")</f>
        <v/>
      </c>
      <c r="AR99" s="18">
        <f>IFERROR(__xludf.DUMMYFUNCTION("IMPORTRANGE(""https://docs.google.com/spreadsheets/d/""&amp;$A99&amp;""/edit#gid=156619080"",AR$3)"),-19.999999999999996)</f>
        <v>-20</v>
      </c>
      <c r="AS99" s="19" t="str">
        <f>IFERROR(__xludf.DUMMYFUNCTION("IMPORTRANGE(""https://docs.google.com/spreadsheets/d/""&amp;$A99&amp;""/edit#gid=156619080"",AS$3)"),"-70
-100
-100
-70
")</f>
        <v>-70
-100
-100
-70
</v>
      </c>
      <c r="AT99" s="18">
        <f>IFERROR(__xludf.DUMMYFUNCTION("IMPORTRANGE(""https://docs.google.com/spreadsheets/d/""&amp;$A99&amp;""/edit#gid=156619080"",AT$3)"),-71.97802197802199)</f>
        <v>-71.97802198</v>
      </c>
      <c r="AU99" s="3" t="str">
        <f>IFERROR(__xludf.DUMMYFUNCTION("IMPORTRANGE(""https://docs.google.com/spreadsheets/d/""&amp;$A99&amp;""/edit#gid=156619080"",AU$3)"),"-1.1
-4.4
-33.52
-54.95
")</f>
        <v>-1.1
-4.4
-33.52
-54.95
</v>
      </c>
      <c r="AV99" s="18">
        <f>IFERROR(__xludf.DUMMYFUNCTION("IMPORTRANGE(""https://docs.google.com/spreadsheets/d/""&amp;$A99&amp;""/edit#gid=156619080"",AV$3)"),-74.67532467532467)</f>
        <v>-74.67532468</v>
      </c>
      <c r="AW99" s="19" t="str">
        <f>IFERROR(__xludf.DUMMYFUNCTION("IMPORTRANGE(""https://docs.google.com/spreadsheets/d/""&amp;$A99&amp;""/edit#gid=156619080"",AW$3)"),"-75.58
-75.58
-75.58
-75.32
")</f>
        <v>-75.58
-75.58
-75.58
-75.32
</v>
      </c>
      <c r="AX99" s="2">
        <f>IFERROR(__xludf.DUMMYFUNCTION("IMPORTRANGE(""https://docs.google.com/spreadsheets/d/""&amp;$A99&amp;""/edit#gid=156619080"",AX$3)"),20.979999999999997)</f>
        <v>20.98</v>
      </c>
      <c r="AY99" s="2">
        <f>IFERROR(__xludf.DUMMYFUNCTION("IMPORTRANGE(""https://docs.google.com/spreadsheets/d/""&amp;$A99&amp;""/edit#gid=156619080"",AY$3)"),28.84)</f>
        <v>28.84</v>
      </c>
      <c r="AZ99" s="2">
        <f>IFERROR(__xludf.DUMMYFUNCTION("IMPORTRANGE(""https://docs.google.com/spreadsheets/d/""&amp;$A99&amp;""/edit#gid=156619080"",AZ$3)"),2135.99)</f>
        <v>2135.99</v>
      </c>
      <c r="BA99" s="2">
        <f>IFERROR(__xludf.DUMMYFUNCTION("IMPORTRANGE(""https://docs.google.com/spreadsheets/d/""&amp;$A99&amp;""/edit#gid=156619080"",BA$3)"),-72.65000000000009)</f>
        <v>-72.65</v>
      </c>
      <c r="BB99" s="2">
        <f>IFERROR(__xludf.DUMMYFUNCTION("IMPORTRANGE(""https://docs.google.com/spreadsheets/d/""&amp;$A99&amp;""/edit#gid=156619080"",BB$3)"),-57.5)</f>
        <v>-57.5</v>
      </c>
      <c r="BC99" s="2" t="str">
        <f>IFERROR(__xludf.DUMMYFUNCTION("IMPORTRANGE(""https://docs.google.com/spreadsheets/d/""&amp;$A99&amp;""/edit#gid=156619080"",BC$3)"),"DC→DC")</f>
        <v>DC→DC</v>
      </c>
    </row>
    <row r="100" ht="51.0" customHeight="1">
      <c r="A100" s="7" t="str">
        <f t="shared" si="5"/>
        <v>1lsEsnYT0PF0Ob2qOxnFgGnQ5xdBRpfWfI5aueJ3SAzo</v>
      </c>
      <c r="B100" s="1" t="s">
        <v>127</v>
      </c>
      <c r="C100" s="2">
        <f>IFERROR(__xludf.DUMMYFUNCTION("IMPORTRANGE(""https://docs.google.com/spreadsheets/d/""&amp;$A100&amp;""/edit#gid=156619080"",C$3)"),132.0)</f>
        <v>132</v>
      </c>
      <c r="D100" s="2">
        <f>IFERROR(__xludf.DUMMYFUNCTION("IMPORTRANGE(""https://docs.google.com/spreadsheets/d/""&amp;$A100&amp;""/edit#gid=156619080"",D$3)"),6701.0)</f>
        <v>6701</v>
      </c>
      <c r="E100" s="15">
        <f>IFERROR(__xludf.DUMMYFUNCTION("IMPORTRANGE(""https://docs.google.com/spreadsheets/d/""&amp;$A100&amp;""/edit#gid=156619080"",E$3)"),43882.0)</f>
        <v>43882</v>
      </c>
      <c r="F100" s="2">
        <f>IFERROR(__xludf.DUMMYFUNCTION("IMPORTRANGE(""https://docs.google.com/spreadsheets/d/""&amp;$A100&amp;""/edit#gid=156619080"",F$3)"),-15.0)</f>
        <v>-15</v>
      </c>
      <c r="G100" s="16">
        <f>IFERROR(__xludf.DUMMYFUNCTION("IMPORTRANGE(""https://docs.google.com/spreadsheets/d/""&amp;$A100&amp;""/edit#gid=156619080"",G$3)"),-0.31)</f>
        <v>-0.31</v>
      </c>
      <c r="H100" s="16">
        <f>IFERROR(__xludf.DUMMYFUNCTION("IMPORTRANGE(""https://docs.google.com/spreadsheets/d/""&amp;$A100&amp;""/edit#gid=156619080"",H$3)"),4795.0)</f>
        <v>4795</v>
      </c>
      <c r="I100" s="16">
        <f>IFERROR(__xludf.DUMMYFUNCTION("IMPORTRANGE(""https://docs.google.com/spreadsheets/d/""&amp;$A100&amp;""/edit#gid=156619080"",I$3)"),0.0)</f>
        <v>0</v>
      </c>
      <c r="J100" s="16">
        <f>IFERROR(__xludf.DUMMYFUNCTION("IMPORTRANGE(""https://docs.google.com/spreadsheets/d/""&amp;$A100&amp;""/edit#gid=156619080"",J$3)"),4810.0)</f>
        <v>4810</v>
      </c>
      <c r="K100" s="16">
        <f>IFERROR(__xludf.DUMMYFUNCTION("IMPORTRANGE(""https://docs.google.com/spreadsheets/d/""&amp;$A100&amp;""/edit#gid=156619080"",K$3)"),0.44166666666666665)</f>
        <v>0.4416666667</v>
      </c>
      <c r="L100" s="16">
        <f>IFERROR(__xludf.DUMMYFUNCTION("IMPORTRANGE(""https://docs.google.com/spreadsheets/d/""&amp;$A100&amp;""/edit#gid=156619080"",L$3)"),4755.0)</f>
        <v>4755</v>
      </c>
      <c r="M100" s="16">
        <f>IFERROR(__xludf.DUMMYFUNCTION("IMPORTRANGE(""https://docs.google.com/spreadsheets/d/""&amp;$A100&amp;""/edit#gid=156619080"",M$3)"),0.41805555555555557)</f>
        <v>0.4180555556</v>
      </c>
      <c r="N100" s="16">
        <f>IFERROR(__xludf.DUMMYFUNCTION("IMPORTRANGE(""https://docs.google.com/spreadsheets/d/""&amp;$A100&amp;""/edit#gid=156619080"",N$3)"),4780.0)</f>
        <v>4780</v>
      </c>
      <c r="O100" s="16" t="str">
        <f>IFERROR(__xludf.DUMMYFUNCTION("IMPORTRANGE(""https://docs.google.com/spreadsheets/d/""&amp;$A100&amp;""/edit#gid=156619080"",O$3)"),"982000株")</f>
        <v>982000株</v>
      </c>
      <c r="P100" s="16" t="str">
        <f>IFERROR(__xludf.DUMMYFUNCTION("IMPORTRANGE(""https://docs.google.com/spreadsheets/d/""&amp;$A100&amp;""/edit#gid=156619080"",P$3)"),"4697百万円")</f>
        <v>4697百万円</v>
      </c>
      <c r="Q100" s="16" t="str">
        <f>IFERROR(__xludf.DUMMYFUNCTION("IMPORTRANGE(""https://docs.google.com/spreadsheets/d/""&amp;$A100&amp;""/edit#gid=156619080"",Q$3)"),"1593回")</f>
        <v>1593回</v>
      </c>
      <c r="R100" s="16" t="str">
        <f>IFERROR(__xludf.DUMMYFUNCTION("IMPORTRANGE(""https://docs.google.com/spreadsheets/d/""&amp;$A100&amp;""/edit#gid=156619080"",R$3)"),"12451億円")</f>
        <v>12451億円</v>
      </c>
      <c r="S100" s="16" t="str">
        <f>IFERROR(__xludf.DUMMYFUNCTION("IMPORTRANGE(""https://docs.google.com/spreadsheets/d/""&amp;$A100&amp;""/edit#gid=156619080"",S$3)"),"陰線")</f>
        <v>陰線</v>
      </c>
      <c r="T100" s="16" t="str">
        <f>IFERROR(__xludf.DUMMYFUNCTION("IMPORTRANGE(""https://docs.google.com/spreadsheets/d/""&amp;$A100&amp;""/edit#gid=156619080"",T$3)"),"")</f>
        <v/>
      </c>
      <c r="U100" s="16">
        <f>IFERROR(__xludf.DUMMYFUNCTION("IMPORTRANGE(""https://docs.google.com/spreadsheets/d/""&amp;$A100&amp;""/edit#gid=156619080"",U$3)"),4774.0)</f>
        <v>4774</v>
      </c>
      <c r="V100" s="16">
        <f>IFERROR(__xludf.DUMMYFUNCTION("IMPORTRANGE(""https://docs.google.com/spreadsheets/d/""&amp;$A100&amp;""/edit#gid=156619080"",V$3)"),4903.8)</f>
        <v>4903.8</v>
      </c>
      <c r="W100" s="16">
        <f>IFERROR(__xludf.DUMMYFUNCTION("IMPORTRANGE(""https://docs.google.com/spreadsheets/d/""&amp;$A100&amp;""/edit#gid=156619080"",W$3)"),4942.4)</f>
        <v>4942.4</v>
      </c>
      <c r="X100" s="2">
        <f>IFERROR(__xludf.DUMMYFUNCTION("IMPORTRANGE(""https://docs.google.com/spreadsheets/d/""&amp;$A100&amp;""/edit#gid=156619080"",X$3)"),4594.7)</f>
        <v>4594.7</v>
      </c>
      <c r="Y100" s="17">
        <f>IFERROR(__xludf.DUMMYFUNCTION("IMPORTRANGE(""https://docs.google.com/spreadsheets/d/""&amp;$A100&amp;""/edit#gid=156619080"",Y$3)"),0.0012568077084206116)</f>
        <v>0.001256807708</v>
      </c>
      <c r="Z100" s="2">
        <f>IFERROR(__xludf.DUMMYFUNCTION("IMPORTRANGE(""https://docs.google.com/spreadsheets/d/""&amp;$A100&amp;""/edit#gid=156619080"",Z$3)"),5174.44)</f>
        <v>5174.44</v>
      </c>
      <c r="AA100" s="2">
        <f>IFERROR(__xludf.DUMMYFUNCTION("IMPORTRANGE(""https://docs.google.com/spreadsheets/d/""&amp;$A100&amp;""/edit#gid=156619080"",AA$3)"),5145.44)</f>
        <v>5145.44</v>
      </c>
      <c r="AB100" s="2">
        <f>IFERROR(__xludf.DUMMYFUNCTION("IMPORTRANGE(""https://docs.google.com/spreadsheets/d/""&amp;$A100&amp;""/edit#gid=156619080"",AB$3)"),5116.43)</f>
        <v>5116.43</v>
      </c>
      <c r="AC100" s="18">
        <f>IFERROR(__xludf.DUMMYFUNCTION("IMPORTRANGE(""https://docs.google.com/spreadsheets/d/""&amp;$A100&amp;""/edit#gid=156619080"",AC$3)"),5087.43)</f>
        <v>5087.43</v>
      </c>
      <c r="AD100" s="18">
        <f>IFERROR(__xludf.DUMMYFUNCTION("IMPORTRANGE(""https://docs.google.com/spreadsheets/d/""&amp;$A100&amp;""/edit#gid=156619080"",AD$3)"),5058.42)</f>
        <v>5058.42</v>
      </c>
      <c r="AE100" s="18">
        <f>IFERROR(__xludf.DUMMYFUNCTION("IMPORTRANGE(""https://docs.google.com/spreadsheets/d/""&amp;$A100&amp;""/edit#gid=156619080"",AE$3)"),4942.4)</f>
        <v>4942.4</v>
      </c>
      <c r="AF100" s="2">
        <f>IFERROR(__xludf.DUMMYFUNCTION("IMPORTRANGE(""https://docs.google.com/spreadsheets/d/""&amp;$A100&amp;""/edit#gid=156619080"",AF$3)"),4826.38)</f>
        <v>4826.38</v>
      </c>
      <c r="AG100" s="2">
        <f>IFERROR(__xludf.DUMMYFUNCTION("IMPORTRANGE(""https://docs.google.com/spreadsheets/d/""&amp;$A100&amp;""/edit#gid=156619080"",AG$3)"),4797.37)</f>
        <v>4797.37</v>
      </c>
      <c r="AH100" s="2">
        <f>IFERROR(__xludf.DUMMYFUNCTION("IMPORTRANGE(""https://docs.google.com/spreadsheets/d/""&amp;$A100&amp;""/edit#gid=156619080"",AH$3)"),4768.37)</f>
        <v>4768.37</v>
      </c>
      <c r="AI100" s="2">
        <f>IFERROR(__xludf.DUMMYFUNCTION("IMPORTRANGE(""https://docs.google.com/spreadsheets/d/""&amp;$A100&amp;""/edit#gid=156619080"",AI$3)"),4739.36)</f>
        <v>4739.36</v>
      </c>
      <c r="AJ100" s="2">
        <f>IFERROR(__xludf.DUMMYFUNCTION("IMPORTRANGE(""https://docs.google.com/spreadsheets/d/""&amp;$A100&amp;""/edit#gid=156619080"",AJ$3)"),4710.36)</f>
        <v>4710.36</v>
      </c>
      <c r="AK100" s="2" t="str">
        <f>IFERROR(__xludf.DUMMYFUNCTION("IMPORTRANGE(""https://docs.google.com/spreadsheets/d/""&amp;$A100&amp;""/edit#gid=156619080"",AK$3)"),"-1.25σ〜-1.5σ")</f>
        <v>-1.25σ〜-1.5σ</v>
      </c>
      <c r="AL100" s="2">
        <f>IFERROR(__xludf.DUMMYFUNCTION("IMPORTRANGE(""https://docs.google.com/spreadsheets/d/""&amp;$A100&amp;""/edit#gid=156619080"",AL$3)"),-1.0)</f>
        <v>-1</v>
      </c>
      <c r="AM100" s="2" t="str">
        <f>IFERROR(__xludf.DUMMYFUNCTION("IMPORTRANGE(""https://docs.google.com/spreadsheets/d/""&amp;$A100&amp;""/edit#gid=156619080"",AM$3)"),"")</f>
        <v/>
      </c>
      <c r="AN100" s="2">
        <f>IFERROR(__xludf.DUMMYFUNCTION("IMPORTRANGE(""https://docs.google.com/spreadsheets/d/""&amp;$A100&amp;""/edit#gid=156619080"",AN$3)"),-1.0)</f>
        <v>-1</v>
      </c>
      <c r="AO100" s="2" t="str">
        <f>IFERROR(__xludf.DUMMYFUNCTION("IMPORTRANGE(""https://docs.google.com/spreadsheets/d/""&amp;$A100&amp;""/edit#gid=156619080"",AO$3)"),"")</f>
        <v/>
      </c>
      <c r="AP100" s="2">
        <f>IFERROR(__xludf.DUMMYFUNCTION("IMPORTRANGE(""https://docs.google.com/spreadsheets/d/""&amp;$A100&amp;""/edit#gid=156619080"",AP$3)"),-1.0)</f>
        <v>-1</v>
      </c>
      <c r="AQ100" s="2" t="str">
        <f>IFERROR(__xludf.DUMMYFUNCTION("IMPORTRANGE(""https://docs.google.com/spreadsheets/d/""&amp;$A100&amp;""/edit#gid=156619080"",AQ$3)"),"")</f>
        <v/>
      </c>
      <c r="AR100" s="18">
        <f>IFERROR(__xludf.DUMMYFUNCTION("IMPORTRANGE(""https://docs.google.com/spreadsheets/d/""&amp;$A100&amp;""/edit#gid=156619080"",AR$3)"),-10.000000000000009)</f>
        <v>-10</v>
      </c>
      <c r="AS100" s="19" t="str">
        <f>IFERROR(__xludf.DUMMYFUNCTION("IMPORTRANGE(""https://docs.google.com/spreadsheets/d/""&amp;$A100&amp;""/edit#gid=156619080"",AS$3)"),"-70
-100
-90
-60
")</f>
        <v>-70
-100
-90
-60
</v>
      </c>
      <c r="AT100" s="18">
        <f>IFERROR(__xludf.DUMMYFUNCTION("IMPORTRANGE(""https://docs.google.com/spreadsheets/d/""&amp;$A100&amp;""/edit#gid=156619080"",AT$3)"),-85.30219780219781)</f>
        <v>-85.3021978</v>
      </c>
      <c r="AU100" s="3" t="str">
        <f>IFERROR(__xludf.DUMMYFUNCTION("IMPORTRANGE(""https://docs.google.com/spreadsheets/d/""&amp;$A100&amp;""/edit#gid=156619080"",AU$3)"),"-15.52
-32.01
-61.68
-79.81
")</f>
        <v>-15.52
-32.01
-61.68
-79.81
</v>
      </c>
      <c r="AV100" s="18">
        <f>IFERROR(__xludf.DUMMYFUNCTION("IMPORTRANGE(""https://docs.google.com/spreadsheets/d/""&amp;$A100&amp;""/edit#gid=156619080"",AV$3)"),-77.95454545454545)</f>
        <v>-77.95454545</v>
      </c>
      <c r="AW100" s="19" t="str">
        <f>IFERROR(__xludf.DUMMYFUNCTION("IMPORTRANGE(""https://docs.google.com/spreadsheets/d/""&amp;$A100&amp;""/edit#gid=156619080"",AW$3)"),"-28.44
-48.18
-65.71
-77.14
")</f>
        <v>-28.44
-48.18
-65.71
-77.14
</v>
      </c>
      <c r="AX100" s="2">
        <f>IFERROR(__xludf.DUMMYFUNCTION("IMPORTRANGE(""https://docs.google.com/spreadsheets/d/""&amp;$A100&amp;""/edit#gid=156619080"",AX$3)"),28.000000000000004)</f>
        <v>28</v>
      </c>
      <c r="AY100" s="2">
        <f>IFERROR(__xludf.DUMMYFUNCTION("IMPORTRANGE(""https://docs.google.com/spreadsheets/d/""&amp;$A100&amp;""/edit#gid=156619080"",AY$3)"),39.08)</f>
        <v>39.08</v>
      </c>
      <c r="AZ100" s="2">
        <f>IFERROR(__xludf.DUMMYFUNCTION("IMPORTRANGE(""https://docs.google.com/spreadsheets/d/""&amp;$A100&amp;""/edit#gid=156619080"",AZ$3)"),4800.85)</f>
        <v>4800.85</v>
      </c>
      <c r="BA100" s="2">
        <f>IFERROR(__xludf.DUMMYFUNCTION("IMPORTRANGE(""https://docs.google.com/spreadsheets/d/""&amp;$A100&amp;""/edit#gid=156619080"",BA$3)"),-77.78999999999996)</f>
        <v>-77.79</v>
      </c>
      <c r="BB100" s="2">
        <f>IFERROR(__xludf.DUMMYFUNCTION("IMPORTRANGE(""https://docs.google.com/spreadsheets/d/""&amp;$A100&amp;""/edit#gid=156619080"",BB$3)"),-3.76)</f>
        <v>-3.76</v>
      </c>
      <c r="BC100" s="2" t="str">
        <f>IFERROR(__xludf.DUMMYFUNCTION("IMPORTRANGE(""https://docs.google.com/spreadsheets/d/""&amp;$A100&amp;""/edit#gid=156619080"",BC$3)"),"DC→DC")</f>
        <v>DC→DC</v>
      </c>
    </row>
    <row r="101" ht="51.0" customHeight="1">
      <c r="A101" s="7" t="str">
        <f t="shared" si="5"/>
        <v>1IZaaAUY02pcTdkt7uUsJAWJAQ_P13GeMwyfYS7Vlcy0</v>
      </c>
      <c r="B101" s="1" t="s">
        <v>128</v>
      </c>
      <c r="C101" s="2">
        <f>IFERROR(__xludf.DUMMYFUNCTION("IMPORTRANGE(""https://docs.google.com/spreadsheets/d/""&amp;$A101&amp;""/edit#gid=156619080"",C$3)"),132.0)</f>
        <v>132</v>
      </c>
      <c r="D101" s="2">
        <f>IFERROR(__xludf.DUMMYFUNCTION("IMPORTRANGE(""https://docs.google.com/spreadsheets/d/""&amp;$A101&amp;""/edit#gid=156619080"",D$3)"),6702.0)</f>
        <v>6702</v>
      </c>
      <c r="E101" s="15">
        <f>IFERROR(__xludf.DUMMYFUNCTION("IMPORTRANGE(""https://docs.google.com/spreadsheets/d/""&amp;$A101&amp;""/edit#gid=156619080"",E$3)"),43882.0)</f>
        <v>43882</v>
      </c>
      <c r="F101" s="2">
        <f>IFERROR(__xludf.DUMMYFUNCTION("IMPORTRANGE(""https://docs.google.com/spreadsheets/d/""&amp;$A101&amp;""/edit#gid=156619080"",F$3)"),-145.0)</f>
        <v>-145</v>
      </c>
      <c r="G101" s="16">
        <f>IFERROR(__xludf.DUMMYFUNCTION("IMPORTRANGE(""https://docs.google.com/spreadsheets/d/""&amp;$A101&amp;""/edit#gid=156619080"",G$3)"),-1.15)</f>
        <v>-1.15</v>
      </c>
      <c r="H101" s="16">
        <f>IFERROR(__xludf.DUMMYFUNCTION("IMPORTRANGE(""https://docs.google.com/spreadsheets/d/""&amp;$A101&amp;""/edit#gid=156619080"",H$3)"),12560.0)</f>
        <v>12560</v>
      </c>
      <c r="I101" s="16">
        <f>IFERROR(__xludf.DUMMYFUNCTION("IMPORTRANGE(""https://docs.google.com/spreadsheets/d/""&amp;$A101&amp;""/edit#gid=156619080"",I$3)"),70.0)</f>
        <v>70</v>
      </c>
      <c r="J101" s="16">
        <f>IFERROR(__xludf.DUMMYFUNCTION("IMPORTRANGE(""https://docs.google.com/spreadsheets/d/""&amp;$A101&amp;""/edit#gid=156619080"",J$3)"),12680.0)</f>
        <v>12680</v>
      </c>
      <c r="K101" s="16">
        <f>IFERROR(__xludf.DUMMYFUNCTION("IMPORTRANGE(""https://docs.google.com/spreadsheets/d/""&amp;$A101&amp;""/edit#gid=156619080"",K$3)"),0.3923611111111111)</f>
        <v>0.3923611111</v>
      </c>
      <c r="L101" s="16">
        <f>IFERROR(__xludf.DUMMYFUNCTION("IMPORTRANGE(""https://docs.google.com/spreadsheets/d/""&amp;$A101&amp;""/edit#gid=156619080"",L$3)"),12475.0)</f>
        <v>12475</v>
      </c>
      <c r="M101" s="16">
        <f>IFERROR(__xludf.DUMMYFUNCTION("IMPORTRANGE(""https://docs.google.com/spreadsheets/d/""&amp;$A101&amp;""/edit#gid=156619080"",M$3)"),0.525)</f>
        <v>0.525</v>
      </c>
      <c r="N101" s="16">
        <f>IFERROR(__xludf.DUMMYFUNCTION("IMPORTRANGE(""https://docs.google.com/spreadsheets/d/""&amp;$A101&amp;""/edit#gid=156619080"",N$3)"),12485.0)</f>
        <v>12485</v>
      </c>
      <c r="O101" s="16" t="str">
        <f>IFERROR(__xludf.DUMMYFUNCTION("IMPORTRANGE(""https://docs.google.com/spreadsheets/d/""&amp;$A101&amp;""/edit#gid=156619080"",O$3)"),"800200株")</f>
        <v>800200株</v>
      </c>
      <c r="P101" s="16" t="str">
        <f>IFERROR(__xludf.DUMMYFUNCTION("IMPORTRANGE(""https://docs.google.com/spreadsheets/d/""&amp;$A101&amp;""/edit#gid=156619080"",P$3)"),"10031百万円")</f>
        <v>10031百万円</v>
      </c>
      <c r="Q101" s="16" t="str">
        <f>IFERROR(__xludf.DUMMYFUNCTION("IMPORTRANGE(""https://docs.google.com/spreadsheets/d/""&amp;$A101&amp;""/edit#gid=156619080"",Q$3)"),"2908回")</f>
        <v>2908回</v>
      </c>
      <c r="R101" s="16" t="str">
        <f>IFERROR(__xludf.DUMMYFUNCTION("IMPORTRANGE(""https://docs.google.com/spreadsheets/d/""&amp;$A101&amp;""/edit#gid=156619080"",R$3)"),"25844億円")</f>
        <v>25844億円</v>
      </c>
      <c r="S101" s="16" t="str">
        <f>IFERROR(__xludf.DUMMYFUNCTION("IMPORTRANGE(""https://docs.google.com/spreadsheets/d/""&amp;$A101&amp;""/edit#gid=156619080"",S$3)"),"陰線")</f>
        <v>陰線</v>
      </c>
      <c r="T101" s="16" t="str">
        <f>IFERROR(__xludf.DUMMYFUNCTION("IMPORTRANGE(""https://docs.google.com/spreadsheets/d/""&amp;$A101&amp;""/edit#gid=156619080"",T$3)"),"")</f>
        <v/>
      </c>
      <c r="U101" s="16">
        <f>IFERROR(__xludf.DUMMYFUNCTION("IMPORTRANGE(""https://docs.google.com/spreadsheets/d/""&amp;$A101&amp;""/edit#gid=156619080"",U$3)"),12544.0)</f>
        <v>12544</v>
      </c>
      <c r="V101" s="16">
        <f>IFERROR(__xludf.DUMMYFUNCTION("IMPORTRANGE(""https://docs.google.com/spreadsheets/d/""&amp;$A101&amp;""/edit#gid=156619080"",V$3)"),12591.9)</f>
        <v>12591.9</v>
      </c>
      <c r="W101" s="16">
        <f>IFERROR(__xludf.DUMMYFUNCTION("IMPORTRANGE(""https://docs.google.com/spreadsheets/d/""&amp;$A101&amp;""/edit#gid=156619080"",W$3)"),12000.2)</f>
        <v>12000.2</v>
      </c>
      <c r="X101" s="2">
        <f>IFERROR(__xludf.DUMMYFUNCTION("IMPORTRANGE(""https://docs.google.com/spreadsheets/d/""&amp;$A101&amp;""/edit#gid=156619080"",X$3)"),10043.7)</f>
        <v>10043.7</v>
      </c>
      <c r="Y101" s="17">
        <f>IFERROR(__xludf.DUMMYFUNCTION("IMPORTRANGE(""https://docs.google.com/spreadsheets/d/""&amp;$A101&amp;""/edit#gid=156619080"",Y$3)"),-0.00470344387755102)</f>
        <v>-0.004703443878</v>
      </c>
      <c r="Z101" s="2">
        <f>IFERROR(__xludf.DUMMYFUNCTION("IMPORTRANGE(""https://docs.google.com/spreadsheets/d/""&amp;$A101&amp;""/edit#gid=156619080"",Z$3)"),13628.39)</f>
        <v>13628.39</v>
      </c>
      <c r="AA101" s="2">
        <f>IFERROR(__xludf.DUMMYFUNCTION("IMPORTRANGE(""https://docs.google.com/spreadsheets/d/""&amp;$A101&amp;""/edit#gid=156619080"",AA$3)"),13424.87)</f>
        <v>13424.87</v>
      </c>
      <c r="AB101" s="2">
        <f>IFERROR(__xludf.DUMMYFUNCTION("IMPORTRANGE(""https://docs.google.com/spreadsheets/d/""&amp;$A101&amp;""/edit#gid=156619080"",AB$3)"),13221.35)</f>
        <v>13221.35</v>
      </c>
      <c r="AC101" s="18">
        <f>IFERROR(__xludf.DUMMYFUNCTION("IMPORTRANGE(""https://docs.google.com/spreadsheets/d/""&amp;$A101&amp;""/edit#gid=156619080"",AC$3)"),13017.82)</f>
        <v>13017.82</v>
      </c>
      <c r="AD101" s="18">
        <f>IFERROR(__xludf.DUMMYFUNCTION("IMPORTRANGE(""https://docs.google.com/spreadsheets/d/""&amp;$A101&amp;""/edit#gid=156619080"",AD$3)"),12814.3)</f>
        <v>12814.3</v>
      </c>
      <c r="AE101" s="18">
        <f>IFERROR(__xludf.DUMMYFUNCTION("IMPORTRANGE(""https://docs.google.com/spreadsheets/d/""&amp;$A101&amp;""/edit#gid=156619080"",AE$3)"),12000.2)</f>
        <v>12000.2</v>
      </c>
      <c r="AF101" s="2">
        <f>IFERROR(__xludf.DUMMYFUNCTION("IMPORTRANGE(""https://docs.google.com/spreadsheets/d/""&amp;$A101&amp;""/edit#gid=156619080"",AF$3)"),11186.1)</f>
        <v>11186.1</v>
      </c>
      <c r="AG101" s="2">
        <f>IFERROR(__xludf.DUMMYFUNCTION("IMPORTRANGE(""https://docs.google.com/spreadsheets/d/""&amp;$A101&amp;""/edit#gid=156619080"",AG$3)"),10982.58)</f>
        <v>10982.58</v>
      </c>
      <c r="AH101" s="2">
        <f>IFERROR(__xludf.DUMMYFUNCTION("IMPORTRANGE(""https://docs.google.com/spreadsheets/d/""&amp;$A101&amp;""/edit#gid=156619080"",AH$3)"),10779.05)</f>
        <v>10779.05</v>
      </c>
      <c r="AI101" s="2">
        <f>IFERROR(__xludf.DUMMYFUNCTION("IMPORTRANGE(""https://docs.google.com/spreadsheets/d/""&amp;$A101&amp;""/edit#gid=156619080"",AI$3)"),10575.53)</f>
        <v>10575.53</v>
      </c>
      <c r="AJ101" s="2">
        <f>IFERROR(__xludf.DUMMYFUNCTION("IMPORTRANGE(""https://docs.google.com/spreadsheets/d/""&amp;$A101&amp;""/edit#gid=156619080"",AJ$3)"),10372.01)</f>
        <v>10372.01</v>
      </c>
      <c r="AK101" s="2" t="str">
        <f>IFERROR(__xludf.DUMMYFUNCTION("IMPORTRANGE(""https://docs.google.com/spreadsheets/d/""&amp;$A101&amp;""/edit#gid=156619080"",AK$3)"),"")</f>
        <v/>
      </c>
      <c r="AL101" s="2">
        <f>IFERROR(__xludf.DUMMYFUNCTION("IMPORTRANGE(""https://docs.google.com/spreadsheets/d/""&amp;$A101&amp;""/edit#gid=156619080"",AL$3)"),-1.0)</f>
        <v>-1</v>
      </c>
      <c r="AM101" s="2" t="str">
        <f>IFERROR(__xludf.DUMMYFUNCTION("IMPORTRANGE(""https://docs.google.com/spreadsheets/d/""&amp;$A101&amp;""/edit#gid=156619080"",AM$3)"),"")</f>
        <v/>
      </c>
      <c r="AN101" s="2">
        <f>IFERROR(__xludf.DUMMYFUNCTION("IMPORTRANGE(""https://docs.google.com/spreadsheets/d/""&amp;$A101&amp;""/edit#gid=156619080"",AN$3)"),1.0)</f>
        <v>1</v>
      </c>
      <c r="AO101" s="2" t="str">
        <f>IFERROR(__xludf.DUMMYFUNCTION("IMPORTRANGE(""https://docs.google.com/spreadsheets/d/""&amp;$A101&amp;""/edit#gid=156619080"",AO$3)"),"")</f>
        <v/>
      </c>
      <c r="AP101" s="2">
        <f>IFERROR(__xludf.DUMMYFUNCTION("IMPORTRANGE(""https://docs.google.com/spreadsheets/d/""&amp;$A101&amp;""/edit#gid=156619080"",AP$3)"),1.0)</f>
        <v>1</v>
      </c>
      <c r="AQ101" s="2" t="str">
        <f>IFERROR(__xludf.DUMMYFUNCTION("IMPORTRANGE(""https://docs.google.com/spreadsheets/d/""&amp;$A101&amp;""/edit#gid=156619080"",AQ$3)"),"")</f>
        <v/>
      </c>
      <c r="AR101" s="18">
        <f>IFERROR(__xludf.DUMMYFUNCTION("IMPORTRANGE(""https://docs.google.com/spreadsheets/d/""&amp;$A101&amp;""/edit#gid=156619080"",AR$3)"),9.999999999999998)</f>
        <v>10</v>
      </c>
      <c r="AS101" s="19" t="str">
        <f>IFERROR(__xludf.DUMMYFUNCTION("IMPORTRANGE(""https://docs.google.com/spreadsheets/d/""&amp;$A101&amp;""/edit#gid=156619080"",AS$3)"),"-80
-90
10
60
")</f>
        <v>-80
-90
10
60
</v>
      </c>
      <c r="AT101" s="18">
        <f>IFERROR(__xludf.DUMMYFUNCTION("IMPORTRANGE(""https://docs.google.com/spreadsheets/d/""&amp;$A101&amp;""/edit#gid=156619080"",AT$3)"),-44.64285714285714)</f>
        <v>-44.64285714</v>
      </c>
      <c r="AU101" s="3" t="str">
        <f>IFERROR(__xludf.DUMMYFUNCTION("IMPORTRANGE(""https://docs.google.com/spreadsheets/d/""&amp;$A101&amp;""/edit#gid=156619080"",AU$3)"),"52.61
28.43
12.5
-6.18
")</f>
        <v>52.61
28.43
12.5
-6.18
</v>
      </c>
      <c r="AV101" s="18">
        <f>IFERROR(__xludf.DUMMYFUNCTION("IMPORTRANGE(""https://docs.google.com/spreadsheets/d/""&amp;$A101&amp;""/edit#gid=156619080"",AV$3)"),61.46103896103896)</f>
        <v>61.46103896</v>
      </c>
      <c r="AW101" s="19" t="str">
        <f>IFERROR(__xludf.DUMMYFUNCTION("IMPORTRANGE(""https://docs.google.com/spreadsheets/d/""&amp;$A101&amp;""/edit#gid=156619080"",AW$3)"),"70.16
69.77
69.38
67.82
")</f>
        <v>70.16
69.77
69.38
67.82
</v>
      </c>
      <c r="AX101" s="2">
        <f>IFERROR(__xludf.DUMMYFUNCTION("IMPORTRANGE(""https://docs.google.com/spreadsheets/d/""&amp;$A101&amp;""/edit#gid=156619080"",AX$3)"),53.06999999999999)</f>
        <v>53.07</v>
      </c>
      <c r="AY101" s="2">
        <f>IFERROR(__xludf.DUMMYFUNCTION("IMPORTRANGE(""https://docs.google.com/spreadsheets/d/""&amp;$A101&amp;""/edit#gid=156619080"",AY$3)"),65.83)</f>
        <v>65.83</v>
      </c>
      <c r="AZ101" s="2">
        <f>IFERROR(__xludf.DUMMYFUNCTION("IMPORTRANGE(""https://docs.google.com/spreadsheets/d/""&amp;$A101&amp;""/edit#gid=156619080"",AZ$3)"),12543.89)</f>
        <v>12543.89</v>
      </c>
      <c r="BA101" s="2">
        <f>IFERROR(__xludf.DUMMYFUNCTION("IMPORTRANGE(""https://docs.google.com/spreadsheets/d/""&amp;$A101&amp;""/edit#gid=156619080"",BA$3)"),448.40999999999985)</f>
        <v>448.41</v>
      </c>
      <c r="BB101" s="2">
        <f>IFERROR(__xludf.DUMMYFUNCTION("IMPORTRANGE(""https://docs.google.com/spreadsheets/d/""&amp;$A101&amp;""/edit#gid=156619080"",BB$3)"),586.98)</f>
        <v>586.98</v>
      </c>
      <c r="BC101" s="2" t="str">
        <f>IFERROR(__xludf.DUMMYFUNCTION("IMPORTRANGE(""https://docs.google.com/spreadsheets/d/""&amp;$A101&amp;""/edit#gid=156619080"",BC$3)"),"DC→DC")</f>
        <v>DC→DC</v>
      </c>
    </row>
    <row r="102" ht="51.0" customHeight="1">
      <c r="A102" s="7" t="str">
        <f t="shared" si="5"/>
        <v>1LWmlGmP0GSnn9bXuTnRNh7OhkUV3M42GFM2yWjeS6kI</v>
      </c>
      <c r="B102" s="1" t="s">
        <v>129</v>
      </c>
      <c r="C102" s="2">
        <f>IFERROR(__xludf.DUMMYFUNCTION("IMPORTRANGE(""https://docs.google.com/spreadsheets/d/""&amp;$A102&amp;""/edit#gid=156619080"",C$3)"),132.0)</f>
        <v>132</v>
      </c>
      <c r="D102" s="2">
        <f>IFERROR(__xludf.DUMMYFUNCTION("IMPORTRANGE(""https://docs.google.com/spreadsheets/d/""&amp;$A102&amp;""/edit#gid=156619080"",D$3)"),6703.0)</f>
        <v>6703</v>
      </c>
      <c r="E102" s="15">
        <f>IFERROR(__xludf.DUMMYFUNCTION("IMPORTRANGE(""https://docs.google.com/spreadsheets/d/""&amp;$A102&amp;""/edit#gid=156619080"",E$3)"),43882.0)</f>
        <v>43882</v>
      </c>
      <c r="F102" s="2">
        <f>IFERROR(__xludf.DUMMYFUNCTION("IMPORTRANGE(""https://docs.google.com/spreadsheets/d/""&amp;$A102&amp;""/edit#gid=156619080"",F$3)"),-6.0)</f>
        <v>-6</v>
      </c>
      <c r="G102" s="16">
        <f>IFERROR(__xludf.DUMMYFUNCTION("IMPORTRANGE(""https://docs.google.com/spreadsheets/d/""&amp;$A102&amp;""/edit#gid=156619080"",G$3)"),-0.45)</f>
        <v>-0.45</v>
      </c>
      <c r="H102" s="16">
        <f>IFERROR(__xludf.DUMMYFUNCTION("IMPORTRANGE(""https://docs.google.com/spreadsheets/d/""&amp;$A102&amp;""/edit#gid=156619080"",H$3)"),1325.0)</f>
        <v>1325</v>
      </c>
      <c r="I102" s="16">
        <f>IFERROR(__xludf.DUMMYFUNCTION("IMPORTRANGE(""https://docs.google.com/spreadsheets/d/""&amp;$A102&amp;""/edit#gid=156619080"",I$3)"),5.0)</f>
        <v>5</v>
      </c>
      <c r="J102" s="16">
        <f>IFERROR(__xludf.DUMMYFUNCTION("IMPORTRANGE(""https://docs.google.com/spreadsheets/d/""&amp;$A102&amp;""/edit#gid=156619080"",J$3)"),1334.0)</f>
        <v>1334</v>
      </c>
      <c r="K102" s="16">
        <f>IFERROR(__xludf.DUMMYFUNCTION("IMPORTRANGE(""https://docs.google.com/spreadsheets/d/""&amp;$A102&amp;""/edit#gid=156619080"",K$3)"),0.4423611111111111)</f>
        <v>0.4423611111</v>
      </c>
      <c r="L102" s="16">
        <f>IFERROR(__xludf.DUMMYFUNCTION("IMPORTRANGE(""https://docs.google.com/spreadsheets/d/""&amp;$A102&amp;""/edit#gid=156619080"",L$3)"),1323.0)</f>
        <v>1323</v>
      </c>
      <c r="M102" s="16">
        <f>IFERROR(__xludf.DUMMYFUNCTION("IMPORTRANGE(""https://docs.google.com/spreadsheets/d/""&amp;$A102&amp;""/edit#gid=156619080"",M$3)"),0.3763888888888889)</f>
        <v>0.3763888889</v>
      </c>
      <c r="N102" s="16">
        <f>IFERROR(__xludf.DUMMYFUNCTION("IMPORTRANGE(""https://docs.google.com/spreadsheets/d/""&amp;$A102&amp;""/edit#gid=156619080"",N$3)"),1324.0)</f>
        <v>1324</v>
      </c>
      <c r="O102" s="16" t="str">
        <f>IFERROR(__xludf.DUMMYFUNCTION("IMPORTRANGE(""https://docs.google.com/spreadsheets/d/""&amp;$A102&amp;""/edit#gid=156619080"",O$3)"),"297500株")</f>
        <v>297500株</v>
      </c>
      <c r="P102" s="16" t="str">
        <f>IFERROR(__xludf.DUMMYFUNCTION("IMPORTRANGE(""https://docs.google.com/spreadsheets/d/""&amp;$A102&amp;""/edit#gid=156619080"",P$3)"),"395百万円")</f>
        <v>395百万円</v>
      </c>
      <c r="Q102" s="16" t="str">
        <f>IFERROR(__xludf.DUMMYFUNCTION("IMPORTRANGE(""https://docs.google.com/spreadsheets/d/""&amp;$A102&amp;""/edit#gid=156619080"",Q$3)"),"815回")</f>
        <v>815回</v>
      </c>
      <c r="R102" s="16" t="str">
        <f>IFERROR(__xludf.DUMMYFUNCTION("IMPORTRANGE(""https://docs.google.com/spreadsheets/d/""&amp;$A102&amp;""/edit#gid=156619080"",R$3)"),"1155億円")</f>
        <v>1155億円</v>
      </c>
      <c r="S102" s="16" t="str">
        <f>IFERROR(__xludf.DUMMYFUNCTION("IMPORTRANGE(""https://docs.google.com/spreadsheets/d/""&amp;$A102&amp;""/edit#gid=156619080"",S$3)"),"陰線")</f>
        <v>陰線</v>
      </c>
      <c r="T102" s="16" t="str">
        <f>IFERROR(__xludf.DUMMYFUNCTION("IMPORTRANGE(""https://docs.google.com/spreadsheets/d/""&amp;$A102&amp;""/edit#gid=156619080"",T$3)"),"")</f>
        <v/>
      </c>
      <c r="U102" s="16">
        <f>IFERROR(__xludf.DUMMYFUNCTION("IMPORTRANGE(""https://docs.google.com/spreadsheets/d/""&amp;$A102&amp;""/edit#gid=156619080"",U$3)"),1334.4)</f>
        <v>1334.4</v>
      </c>
      <c r="V102" s="16">
        <f>IFERROR(__xludf.DUMMYFUNCTION("IMPORTRANGE(""https://docs.google.com/spreadsheets/d/""&amp;$A102&amp;""/edit#gid=156619080"",V$3)"),1358.5)</f>
        <v>1358.5</v>
      </c>
      <c r="W102" s="16">
        <f>IFERROR(__xludf.DUMMYFUNCTION("IMPORTRANGE(""https://docs.google.com/spreadsheets/d/""&amp;$A102&amp;""/edit#gid=156619080"",W$3)"),1369.8)</f>
        <v>1369.8</v>
      </c>
      <c r="X102" s="2">
        <f>IFERROR(__xludf.DUMMYFUNCTION("IMPORTRANGE(""https://docs.google.com/spreadsheets/d/""&amp;$A102&amp;""/edit#gid=156619080"",X$3)"),1457.9)</f>
        <v>1457.9</v>
      </c>
      <c r="Y102" s="17">
        <f>IFERROR(__xludf.DUMMYFUNCTION("IMPORTRANGE(""https://docs.google.com/spreadsheets/d/""&amp;$A102&amp;""/edit#gid=156619080"",Y$3)"),-0.00779376498800966)</f>
        <v>-0.007793764988</v>
      </c>
      <c r="Z102" s="2">
        <f>IFERROR(__xludf.DUMMYFUNCTION("IMPORTRANGE(""https://docs.google.com/spreadsheets/d/""&amp;$A102&amp;""/edit#gid=156619080"",Z$3)"),1423.47)</f>
        <v>1423.47</v>
      </c>
      <c r="AA102" s="2">
        <f>IFERROR(__xludf.DUMMYFUNCTION("IMPORTRANGE(""https://docs.google.com/spreadsheets/d/""&amp;$A102&amp;""/edit#gid=156619080"",AA$3)"),1416.77)</f>
        <v>1416.77</v>
      </c>
      <c r="AB102" s="2">
        <f>IFERROR(__xludf.DUMMYFUNCTION("IMPORTRANGE(""https://docs.google.com/spreadsheets/d/""&amp;$A102&amp;""/edit#gid=156619080"",AB$3)"),1410.06)</f>
        <v>1410.06</v>
      </c>
      <c r="AC102" s="18">
        <f>IFERROR(__xludf.DUMMYFUNCTION("IMPORTRANGE(""https://docs.google.com/spreadsheets/d/""&amp;$A102&amp;""/edit#gid=156619080"",AC$3)"),1403.35)</f>
        <v>1403.35</v>
      </c>
      <c r="AD102" s="18">
        <f>IFERROR(__xludf.DUMMYFUNCTION("IMPORTRANGE(""https://docs.google.com/spreadsheets/d/""&amp;$A102&amp;""/edit#gid=156619080"",AD$3)"),1396.64)</f>
        <v>1396.64</v>
      </c>
      <c r="AE102" s="18">
        <f>IFERROR(__xludf.DUMMYFUNCTION("IMPORTRANGE(""https://docs.google.com/spreadsheets/d/""&amp;$A102&amp;""/edit#gid=156619080"",AE$3)"),1369.8)</f>
        <v>1369.8</v>
      </c>
      <c r="AF102" s="2">
        <f>IFERROR(__xludf.DUMMYFUNCTION("IMPORTRANGE(""https://docs.google.com/spreadsheets/d/""&amp;$A102&amp;""/edit#gid=156619080"",AF$3)"),1342.96)</f>
        <v>1342.96</v>
      </c>
      <c r="AG102" s="2">
        <f>IFERROR(__xludf.DUMMYFUNCTION("IMPORTRANGE(""https://docs.google.com/spreadsheets/d/""&amp;$A102&amp;""/edit#gid=156619080"",AG$3)"),1336.25)</f>
        <v>1336.25</v>
      </c>
      <c r="AH102" s="2">
        <f>IFERROR(__xludf.DUMMYFUNCTION("IMPORTRANGE(""https://docs.google.com/spreadsheets/d/""&amp;$A102&amp;""/edit#gid=156619080"",AH$3)"),1329.54)</f>
        <v>1329.54</v>
      </c>
      <c r="AI102" s="2">
        <f>IFERROR(__xludf.DUMMYFUNCTION("IMPORTRANGE(""https://docs.google.com/spreadsheets/d/""&amp;$A102&amp;""/edit#gid=156619080"",AI$3)"),1322.83)</f>
        <v>1322.83</v>
      </c>
      <c r="AJ102" s="2">
        <f>IFERROR(__xludf.DUMMYFUNCTION("IMPORTRANGE(""https://docs.google.com/spreadsheets/d/""&amp;$A102&amp;""/edit#gid=156619080"",AJ$3)"),1316.13)</f>
        <v>1316.13</v>
      </c>
      <c r="AK102" s="2" t="str">
        <f>IFERROR(__xludf.DUMMYFUNCTION("IMPORTRANGE(""https://docs.google.com/spreadsheets/d/""&amp;$A102&amp;""/edit#gid=156619080"",AK$3)"),"-1.5σ〜-1.75σ")</f>
        <v>-1.5σ〜-1.75σ</v>
      </c>
      <c r="AL102" s="2">
        <f>IFERROR(__xludf.DUMMYFUNCTION("IMPORTRANGE(""https://docs.google.com/spreadsheets/d/""&amp;$A102&amp;""/edit#gid=156619080"",AL$3)"),-1.0)</f>
        <v>-1</v>
      </c>
      <c r="AM102" s="2" t="str">
        <f>IFERROR(__xludf.DUMMYFUNCTION("IMPORTRANGE(""https://docs.google.com/spreadsheets/d/""&amp;$A102&amp;""/edit#gid=156619080"",AM$3)"),"")</f>
        <v/>
      </c>
      <c r="AN102" s="2">
        <f>IFERROR(__xludf.DUMMYFUNCTION("IMPORTRANGE(""https://docs.google.com/spreadsheets/d/""&amp;$A102&amp;""/edit#gid=156619080"",AN$3)"),-1.0)</f>
        <v>-1</v>
      </c>
      <c r="AO102" s="2" t="str">
        <f>IFERROR(__xludf.DUMMYFUNCTION("IMPORTRANGE(""https://docs.google.com/spreadsheets/d/""&amp;$A102&amp;""/edit#gid=156619080"",AO$3)"),"")</f>
        <v/>
      </c>
      <c r="AP102" s="2">
        <f>IFERROR(__xludf.DUMMYFUNCTION("IMPORTRANGE(""https://docs.google.com/spreadsheets/d/""&amp;$A102&amp;""/edit#gid=156619080"",AP$3)"),-1.0)</f>
        <v>-1</v>
      </c>
      <c r="AQ102" s="2" t="str">
        <f>IFERROR(__xludf.DUMMYFUNCTION("IMPORTRANGE(""https://docs.google.com/spreadsheets/d/""&amp;$A102&amp;""/edit#gid=156619080"",AQ$3)"),"")</f>
        <v/>
      </c>
      <c r="AR102" s="18">
        <f>IFERROR(__xludf.DUMMYFUNCTION("IMPORTRANGE(""https://docs.google.com/spreadsheets/d/""&amp;$A102&amp;""/edit#gid=156619080"",AR$3)"),-89.99999999999999)</f>
        <v>-90</v>
      </c>
      <c r="AS102" s="19" t="str">
        <f>IFERROR(__xludf.DUMMYFUNCTION("IMPORTRANGE(""https://docs.google.com/spreadsheets/d/""&amp;$A102&amp;""/edit#gid=156619080"",AS$3)"),"-77.5
-77.5
-67.5
-90
")</f>
        <v>-77.5
-77.5
-67.5
-90
</v>
      </c>
      <c r="AT102" s="18">
        <f>IFERROR(__xludf.DUMMYFUNCTION("IMPORTRANGE(""https://docs.google.com/spreadsheets/d/""&amp;$A102&amp;""/edit#gid=156619080"",AT$3)"),-85.43956043956045)</f>
        <v>-85.43956044</v>
      </c>
      <c r="AU102" s="3" t="str">
        <f>IFERROR(__xludf.DUMMYFUNCTION("IMPORTRANGE(""https://docs.google.com/spreadsheets/d/""&amp;$A102&amp;""/edit#gid=156619080"",AU$3)"),"-39.29
-43.13
-59.62
-69.51
")</f>
        <v>-39.29
-43.13
-59.62
-69.51
</v>
      </c>
      <c r="AV102" s="18">
        <f>IFERROR(__xludf.DUMMYFUNCTION("IMPORTRANGE(""https://docs.google.com/spreadsheets/d/""&amp;$A102&amp;""/edit#gid=156619080"",AV$3)"),-83.31168831168831)</f>
        <v>-83.31168831</v>
      </c>
      <c r="AW102" s="19" t="str">
        <f>IFERROR(__xludf.DUMMYFUNCTION("IMPORTRANGE(""https://docs.google.com/spreadsheets/d/""&amp;$A102&amp;""/edit#gid=156619080"",AW$3)"),"-83.05
-83.44
-83.31
-83.31
")</f>
        <v>-83.05
-83.44
-83.31
-83.31
</v>
      </c>
      <c r="AX102" s="2">
        <f>IFERROR(__xludf.DUMMYFUNCTION("IMPORTRANGE(""https://docs.google.com/spreadsheets/d/""&amp;$A102&amp;""/edit#gid=156619080"",AX$3)"),13.04)</f>
        <v>13.04</v>
      </c>
      <c r="AY102" s="2">
        <f>IFERROR(__xludf.DUMMYFUNCTION("IMPORTRANGE(""https://docs.google.com/spreadsheets/d/""&amp;$A102&amp;""/edit#gid=156619080"",AY$3)"),25.650000000000002)</f>
        <v>25.65</v>
      </c>
      <c r="AZ102" s="2">
        <f>IFERROR(__xludf.DUMMYFUNCTION("IMPORTRANGE(""https://docs.google.com/spreadsheets/d/""&amp;$A102&amp;""/edit#gid=156619080"",AZ$3)"),1335.27)</f>
        <v>1335.27</v>
      </c>
      <c r="BA102" s="2">
        <f>IFERROR(__xludf.DUMMYFUNCTION("IMPORTRANGE(""https://docs.google.com/spreadsheets/d/""&amp;$A102&amp;""/edit#gid=156619080"",BA$3)"),-40.49000000000001)</f>
        <v>-40.49</v>
      </c>
      <c r="BB102" s="2">
        <f>IFERROR(__xludf.DUMMYFUNCTION("IMPORTRANGE(""https://docs.google.com/spreadsheets/d/""&amp;$A102&amp;""/edit#gid=156619080"",BB$3)"),-39.8)</f>
        <v>-39.8</v>
      </c>
      <c r="BC102" s="2" t="str">
        <f>IFERROR(__xludf.DUMMYFUNCTION("IMPORTRANGE(""https://docs.google.com/spreadsheets/d/""&amp;$A102&amp;""/edit#gid=156619080"",BC$3)"),"DC→DC")</f>
        <v>DC→DC</v>
      </c>
    </row>
    <row r="103" ht="51.0" customHeight="1">
      <c r="A103" s="7" t="str">
        <f t="shared" si="5"/>
        <v>1S9Q_hKVQQCm67koCn8FLRRQup3Bah-haJTSIclfCiGM</v>
      </c>
      <c r="B103" s="1" t="s">
        <v>130</v>
      </c>
      <c r="C103" s="2">
        <f>IFERROR(__xludf.DUMMYFUNCTION("IMPORTRANGE(""https://docs.google.com/spreadsheets/d/""&amp;$A103&amp;""/edit#gid=156619080"",C$3)"),132.0)</f>
        <v>132</v>
      </c>
      <c r="D103" s="2">
        <f>IFERROR(__xludf.DUMMYFUNCTION("IMPORTRANGE(""https://docs.google.com/spreadsheets/d/""&amp;$A103&amp;""/edit#gid=156619080"",D$3)"),6724.0)</f>
        <v>6724</v>
      </c>
      <c r="E103" s="15">
        <f>IFERROR(__xludf.DUMMYFUNCTION("IMPORTRANGE(""https://docs.google.com/spreadsheets/d/""&amp;$A103&amp;""/edit#gid=156619080"",E$3)"),43882.0)</f>
        <v>43882</v>
      </c>
      <c r="F103" s="2">
        <f>IFERROR(__xludf.DUMMYFUNCTION("IMPORTRANGE(""https://docs.google.com/spreadsheets/d/""&amp;$A103&amp;""/edit#gid=156619080"",F$3)"),5.0)</f>
        <v>5</v>
      </c>
      <c r="G103" s="16">
        <f>IFERROR(__xludf.DUMMYFUNCTION("IMPORTRANGE(""https://docs.google.com/spreadsheets/d/""&amp;$A103&amp;""/edit#gid=156619080"",G$3)"),0.3)</f>
        <v>0.3</v>
      </c>
      <c r="H103" s="16">
        <f>IFERROR(__xludf.DUMMYFUNCTION("IMPORTRANGE(""https://docs.google.com/spreadsheets/d/""&amp;$A103&amp;""/edit#gid=156619080"",H$3)"),1687.0)</f>
        <v>1687</v>
      </c>
      <c r="I103" s="16">
        <f>IFERROR(__xludf.DUMMYFUNCTION("IMPORTRANGE(""https://docs.google.com/spreadsheets/d/""&amp;$A103&amp;""/edit#gid=156619080"",I$3)"),4.0)</f>
        <v>4</v>
      </c>
      <c r="J103" s="16">
        <f>IFERROR(__xludf.DUMMYFUNCTION("IMPORTRANGE(""https://docs.google.com/spreadsheets/d/""&amp;$A103&amp;""/edit#gid=156619080"",J$3)"),1708.0)</f>
        <v>1708</v>
      </c>
      <c r="K103" s="16">
        <f>IFERROR(__xludf.DUMMYFUNCTION("IMPORTRANGE(""https://docs.google.com/spreadsheets/d/""&amp;$A103&amp;""/edit#gid=156619080"",K$3)"),0.5243055555555556)</f>
        <v>0.5243055556</v>
      </c>
      <c r="L103" s="16">
        <f>IFERROR(__xludf.DUMMYFUNCTION("IMPORTRANGE(""https://docs.google.com/spreadsheets/d/""&amp;$A103&amp;""/edit#gid=156619080"",L$3)"),1687.0)</f>
        <v>1687</v>
      </c>
      <c r="M103" s="16">
        <f>IFERROR(__xludf.DUMMYFUNCTION("IMPORTRANGE(""https://docs.google.com/spreadsheets/d/""&amp;$A103&amp;""/edit#gid=156619080"",M$3)"),0.375)</f>
        <v>0.375</v>
      </c>
      <c r="N103" s="16">
        <f>IFERROR(__xludf.DUMMYFUNCTION("IMPORTRANGE(""https://docs.google.com/spreadsheets/d/""&amp;$A103&amp;""/edit#gid=156619080"",N$3)"),1696.0)</f>
        <v>1696</v>
      </c>
      <c r="O103" s="16" t="str">
        <f>IFERROR(__xludf.DUMMYFUNCTION("IMPORTRANGE(""https://docs.google.com/spreadsheets/d/""&amp;$A103&amp;""/edit#gid=156619080"",O$3)"),"1195200株")</f>
        <v>1195200株</v>
      </c>
      <c r="P103" s="16" t="str">
        <f>IFERROR(__xludf.DUMMYFUNCTION("IMPORTRANGE(""https://docs.google.com/spreadsheets/d/""&amp;$A103&amp;""/edit#gid=156619080"",P$3)"),"2028百万円")</f>
        <v>2028百万円</v>
      </c>
      <c r="Q103" s="16" t="str">
        <f>IFERROR(__xludf.DUMMYFUNCTION("IMPORTRANGE(""https://docs.google.com/spreadsheets/d/""&amp;$A103&amp;""/edit#gid=156619080"",Q$3)"),"1701回")</f>
        <v>1701回</v>
      </c>
      <c r="R103" s="16" t="str">
        <f>IFERROR(__xludf.DUMMYFUNCTION("IMPORTRANGE(""https://docs.google.com/spreadsheets/d/""&amp;$A103&amp;""/edit#gid=156619080"",R$3)"),"6778億円")</f>
        <v>6778億円</v>
      </c>
      <c r="S103" s="16" t="str">
        <f>IFERROR(__xludf.DUMMYFUNCTION("IMPORTRANGE(""https://docs.google.com/spreadsheets/d/""&amp;$A103&amp;""/edit#gid=156619080"",S$3)"),"陽線")</f>
        <v>陽線</v>
      </c>
      <c r="T103" s="16" t="str">
        <f>IFERROR(__xludf.DUMMYFUNCTION("IMPORTRANGE(""https://docs.google.com/spreadsheets/d/""&amp;$A103&amp;""/edit#gid=156619080"",T$3)"),"")</f>
        <v/>
      </c>
      <c r="U103" s="16">
        <f>IFERROR(__xludf.DUMMYFUNCTION("IMPORTRANGE(""https://docs.google.com/spreadsheets/d/""&amp;$A103&amp;""/edit#gid=156619080"",U$3)"),1681.8)</f>
        <v>1681.8</v>
      </c>
      <c r="V103" s="16">
        <f>IFERROR(__xludf.DUMMYFUNCTION("IMPORTRANGE(""https://docs.google.com/spreadsheets/d/""&amp;$A103&amp;""/edit#gid=156619080"",V$3)"),1690.6)</f>
        <v>1690.6</v>
      </c>
      <c r="W103" s="16">
        <f>IFERROR(__xludf.DUMMYFUNCTION("IMPORTRANGE(""https://docs.google.com/spreadsheets/d/""&amp;$A103&amp;""/edit#gid=156619080"",W$3)"),1665.7)</f>
        <v>1665.7</v>
      </c>
      <c r="X103" s="2">
        <f>IFERROR(__xludf.DUMMYFUNCTION("IMPORTRANGE(""https://docs.google.com/spreadsheets/d/""&amp;$A103&amp;""/edit#gid=156619080"",X$3)"),1589.0)</f>
        <v>1589</v>
      </c>
      <c r="Y103" s="17">
        <f>IFERROR(__xludf.DUMMYFUNCTION("IMPORTRANGE(""https://docs.google.com/spreadsheets/d/""&amp;$A103&amp;""/edit#gid=156619080"",Y$3)"),0.008443334522535406)</f>
        <v>0.008443334523</v>
      </c>
      <c r="Z103" s="2">
        <f>IFERROR(__xludf.DUMMYFUNCTION("IMPORTRANGE(""https://docs.google.com/spreadsheets/d/""&amp;$A103&amp;""/edit#gid=156619080"",Z$3)"),1741.84)</f>
        <v>1741.84</v>
      </c>
      <c r="AA103" s="2">
        <f>IFERROR(__xludf.DUMMYFUNCTION("IMPORTRANGE(""https://docs.google.com/spreadsheets/d/""&amp;$A103&amp;""/edit#gid=156619080"",AA$3)"),1732.32)</f>
        <v>1732.32</v>
      </c>
      <c r="AB103" s="2">
        <f>IFERROR(__xludf.DUMMYFUNCTION("IMPORTRANGE(""https://docs.google.com/spreadsheets/d/""&amp;$A103&amp;""/edit#gid=156619080"",AB$3)"),1722.8)</f>
        <v>1722.8</v>
      </c>
      <c r="AC103" s="18">
        <f>IFERROR(__xludf.DUMMYFUNCTION("IMPORTRANGE(""https://docs.google.com/spreadsheets/d/""&amp;$A103&amp;""/edit#gid=156619080"",AC$3)"),1713.28)</f>
        <v>1713.28</v>
      </c>
      <c r="AD103" s="18">
        <f>IFERROR(__xludf.DUMMYFUNCTION("IMPORTRANGE(""https://docs.google.com/spreadsheets/d/""&amp;$A103&amp;""/edit#gid=156619080"",AD$3)"),1703.77)</f>
        <v>1703.77</v>
      </c>
      <c r="AE103" s="18">
        <f>IFERROR(__xludf.DUMMYFUNCTION("IMPORTRANGE(""https://docs.google.com/spreadsheets/d/""&amp;$A103&amp;""/edit#gid=156619080"",AE$3)"),1665.7)</f>
        <v>1665.7</v>
      </c>
      <c r="AF103" s="2">
        <f>IFERROR(__xludf.DUMMYFUNCTION("IMPORTRANGE(""https://docs.google.com/spreadsheets/d/""&amp;$A103&amp;""/edit#gid=156619080"",AF$3)"),1627.63)</f>
        <v>1627.63</v>
      </c>
      <c r="AG103" s="2">
        <f>IFERROR(__xludf.DUMMYFUNCTION("IMPORTRANGE(""https://docs.google.com/spreadsheets/d/""&amp;$A103&amp;""/edit#gid=156619080"",AG$3)"),1618.12)</f>
        <v>1618.12</v>
      </c>
      <c r="AH103" s="2">
        <f>IFERROR(__xludf.DUMMYFUNCTION("IMPORTRANGE(""https://docs.google.com/spreadsheets/d/""&amp;$A103&amp;""/edit#gid=156619080"",AH$3)"),1608.6)</f>
        <v>1608.6</v>
      </c>
      <c r="AI103" s="2">
        <f>IFERROR(__xludf.DUMMYFUNCTION("IMPORTRANGE(""https://docs.google.com/spreadsheets/d/""&amp;$A103&amp;""/edit#gid=156619080"",AI$3)"),1599.08)</f>
        <v>1599.08</v>
      </c>
      <c r="AJ103" s="2">
        <f>IFERROR(__xludf.DUMMYFUNCTION("IMPORTRANGE(""https://docs.google.com/spreadsheets/d/""&amp;$A103&amp;""/edit#gid=156619080"",AJ$3)"),1589.56)</f>
        <v>1589.56</v>
      </c>
      <c r="AK103" s="2" t="str">
        <f>IFERROR(__xludf.DUMMYFUNCTION("IMPORTRANGE(""https://docs.google.com/spreadsheets/d/""&amp;$A103&amp;""/edit#gid=156619080"",AK$3)"),"")</f>
        <v/>
      </c>
      <c r="AL103" s="2">
        <f>IFERROR(__xludf.DUMMYFUNCTION("IMPORTRANGE(""https://docs.google.com/spreadsheets/d/""&amp;$A103&amp;""/edit#gid=156619080"",AL$3)"),-1.0)</f>
        <v>-1</v>
      </c>
      <c r="AM103" s="2" t="str">
        <f>IFERROR(__xludf.DUMMYFUNCTION("IMPORTRANGE(""https://docs.google.com/spreadsheets/d/""&amp;$A103&amp;""/edit#gid=156619080"",AM$3)"),"")</f>
        <v/>
      </c>
      <c r="AN103" s="2">
        <f>IFERROR(__xludf.DUMMYFUNCTION("IMPORTRANGE(""https://docs.google.com/spreadsheets/d/""&amp;$A103&amp;""/edit#gid=156619080"",AN$3)"),1.0)</f>
        <v>1</v>
      </c>
      <c r="AO103" s="2" t="str">
        <f>IFERROR(__xludf.DUMMYFUNCTION("IMPORTRANGE(""https://docs.google.com/spreadsheets/d/""&amp;$A103&amp;""/edit#gid=156619080"",AO$3)"),"")</f>
        <v/>
      </c>
      <c r="AP103" s="2">
        <f>IFERROR(__xludf.DUMMYFUNCTION("IMPORTRANGE(""https://docs.google.com/spreadsheets/d/""&amp;$A103&amp;""/edit#gid=156619080"",AP$3)"),1.0)</f>
        <v>1</v>
      </c>
      <c r="AQ103" s="2" t="str">
        <f>IFERROR(__xludf.DUMMYFUNCTION("IMPORTRANGE(""https://docs.google.com/spreadsheets/d/""&amp;$A103&amp;""/edit#gid=156619080"",AQ$3)"),"")</f>
        <v/>
      </c>
      <c r="AR103" s="18">
        <f>IFERROR(__xludf.DUMMYFUNCTION("IMPORTRANGE(""https://docs.google.com/spreadsheets/d/""&amp;$A103&amp;""/edit#gid=156619080"",AR$3)"),97.5)</f>
        <v>97.5</v>
      </c>
      <c r="AS103" s="19" t="str">
        <f>IFERROR(__xludf.DUMMYFUNCTION("IMPORTRANGE(""https://docs.google.com/spreadsheets/d/""&amp;$A103&amp;""/edit#gid=156619080"",AS$3)"),"-90
-7.5
67.5
87.5
")</f>
        <v>-90
-7.5
67.5
87.5
</v>
      </c>
      <c r="AT103" s="18">
        <f>IFERROR(__xludf.DUMMYFUNCTION("IMPORTRANGE(""https://docs.google.com/spreadsheets/d/""&amp;$A103&amp;""/edit#gid=156619080"",AT$3)"),-36.81318681318682)</f>
        <v>-36.81318681</v>
      </c>
      <c r="AU103" s="3" t="str">
        <f>IFERROR(__xludf.DUMMYFUNCTION("IMPORTRANGE(""https://docs.google.com/spreadsheets/d/""&amp;$A103&amp;""/edit#gid=156619080"",AU$3)"),"40.11
21.57
-1.65
-20.33
")</f>
        <v>40.11
21.57
-1.65
-20.33
</v>
      </c>
      <c r="AV103" s="18">
        <f>IFERROR(__xludf.DUMMYFUNCTION("IMPORTRANGE(""https://docs.google.com/spreadsheets/d/""&amp;$A103&amp;""/edit#gid=156619080"",AV$3)"),61.16883116883116)</f>
        <v>61.16883117</v>
      </c>
      <c r="AW103" s="19" t="str">
        <f>IFERROR(__xludf.DUMMYFUNCTION("IMPORTRANGE(""https://docs.google.com/spreadsheets/d/""&amp;$A103&amp;""/edit#gid=156619080"",AW$3)"),"32.21
36.75
53.47
59.32
")</f>
        <v>32.21
36.75
53.47
59.32
</v>
      </c>
      <c r="AX103" s="2">
        <f>IFERROR(__xludf.DUMMYFUNCTION("IMPORTRANGE(""https://docs.google.com/spreadsheets/d/""&amp;$A103&amp;""/edit#gid=156619080"",AX$3)"),77.78)</f>
        <v>77.78</v>
      </c>
      <c r="AY103" s="2">
        <f>IFERROR(__xludf.DUMMYFUNCTION("IMPORTRANGE(""https://docs.google.com/spreadsheets/d/""&amp;$A103&amp;""/edit#gid=156619080"",AY$3)"),53.7)</f>
        <v>53.7</v>
      </c>
      <c r="AZ103" s="2">
        <f>IFERROR(__xludf.DUMMYFUNCTION("IMPORTRANGE(""https://docs.google.com/spreadsheets/d/""&amp;$A103&amp;""/edit#gid=156619080"",AZ$3)"),1686.52)</f>
        <v>1686.52</v>
      </c>
      <c r="BA103" s="2">
        <f>IFERROR(__xludf.DUMMYFUNCTION("IMPORTRANGE(""https://docs.google.com/spreadsheets/d/""&amp;$A103&amp;""/edit#gid=156619080"",BA$3)"),12.569999999999936)</f>
        <v>12.57</v>
      </c>
      <c r="BB103" s="2">
        <f>IFERROR(__xludf.DUMMYFUNCTION("IMPORTRANGE(""https://docs.google.com/spreadsheets/d/""&amp;$A103&amp;""/edit#gid=156619080"",BB$3)"),11.56)</f>
        <v>11.56</v>
      </c>
      <c r="BC103" s="2" t="str">
        <f>IFERROR(__xludf.DUMMYFUNCTION("IMPORTRANGE(""https://docs.google.com/spreadsheets/d/""&amp;$A103&amp;""/edit#gid=156619080"",BC$3)"),"DC→GC")</f>
        <v>DC→GC</v>
      </c>
    </row>
    <row r="104" ht="51.0" customHeight="1">
      <c r="A104" s="7" t="str">
        <f t="shared" si="5"/>
        <v>1eoKSqKAvtz1nX27w255filxD7FLWfj12JoZcbU2NnBY</v>
      </c>
      <c r="B104" s="1" t="s">
        <v>131</v>
      </c>
      <c r="C104" s="2">
        <f>IFERROR(__xludf.DUMMYFUNCTION("IMPORTRANGE(""https://docs.google.com/spreadsheets/d/""&amp;$A104&amp;""/edit#gid=156619080"",C$3)"),132.0)</f>
        <v>132</v>
      </c>
      <c r="D104" s="2">
        <f>IFERROR(__xludf.DUMMYFUNCTION("IMPORTRANGE(""https://docs.google.com/spreadsheets/d/""&amp;$A104&amp;""/edit#gid=156619080"",D$3)"),6752.0)</f>
        <v>6752</v>
      </c>
      <c r="E104" s="15">
        <f>IFERROR(__xludf.DUMMYFUNCTION("IMPORTRANGE(""https://docs.google.com/spreadsheets/d/""&amp;$A104&amp;""/edit#gid=156619080"",E$3)"),43882.0)</f>
        <v>43882</v>
      </c>
      <c r="F104" s="2">
        <f>IFERROR(__xludf.DUMMYFUNCTION("IMPORTRANGE(""https://docs.google.com/spreadsheets/d/""&amp;$A104&amp;""/edit#gid=156619080"",F$3)"),6.0)</f>
        <v>6</v>
      </c>
      <c r="G104" s="16">
        <f>IFERROR(__xludf.DUMMYFUNCTION("IMPORTRANGE(""https://docs.google.com/spreadsheets/d/""&amp;$A104&amp;""/edit#gid=156619080"",G$3)"),0.5)</f>
        <v>0.5</v>
      </c>
      <c r="H104" s="16">
        <f>IFERROR(__xludf.DUMMYFUNCTION("IMPORTRANGE(""https://docs.google.com/spreadsheets/d/""&amp;$A104&amp;""/edit#gid=156619080"",H$3)"),1188.0)</f>
        <v>1188</v>
      </c>
      <c r="I104" s="16">
        <f>IFERROR(__xludf.DUMMYFUNCTION("IMPORTRANGE(""https://docs.google.com/spreadsheets/d/""&amp;$A104&amp;""/edit#gid=156619080"",I$3)"),1.0)</f>
        <v>1</v>
      </c>
      <c r="J104" s="16">
        <f>IFERROR(__xludf.DUMMYFUNCTION("IMPORTRANGE(""https://docs.google.com/spreadsheets/d/""&amp;$A104&amp;""/edit#gid=156619080"",J$3)"),1200.5)</f>
        <v>1200.5</v>
      </c>
      <c r="K104" s="16">
        <f>IFERROR(__xludf.DUMMYFUNCTION("IMPORTRANGE(""https://docs.google.com/spreadsheets/d/""&amp;$A104&amp;""/edit#gid=156619080"",K$3)"),0.5402777777777777)</f>
        <v>0.5402777778</v>
      </c>
      <c r="L104" s="16">
        <f>IFERROR(__xludf.DUMMYFUNCTION("IMPORTRANGE(""https://docs.google.com/spreadsheets/d/""&amp;$A104&amp;""/edit#gid=156619080"",L$3)"),1184.5)</f>
        <v>1184.5</v>
      </c>
      <c r="M104" s="16">
        <f>IFERROR(__xludf.DUMMYFUNCTION("IMPORTRANGE(""https://docs.google.com/spreadsheets/d/""&amp;$A104&amp;""/edit#gid=156619080"",M$3)"),0.3763888888888889)</f>
        <v>0.3763888889</v>
      </c>
      <c r="N104" s="16">
        <f>IFERROR(__xludf.DUMMYFUNCTION("IMPORTRANGE(""https://docs.google.com/spreadsheets/d/""&amp;$A104&amp;""/edit#gid=156619080"",N$3)"),1195.0)</f>
        <v>1195</v>
      </c>
      <c r="O104" s="16" t="str">
        <f>IFERROR(__xludf.DUMMYFUNCTION("IMPORTRANGE(""https://docs.google.com/spreadsheets/d/""&amp;$A104&amp;""/edit#gid=156619080"",O$3)"),"6648700株")</f>
        <v>6648700株</v>
      </c>
      <c r="P104" s="16" t="str">
        <f>IFERROR(__xludf.DUMMYFUNCTION("IMPORTRANGE(""https://docs.google.com/spreadsheets/d/""&amp;$A104&amp;""/edit#gid=156619080"",P$3)"),"7942百万円")</f>
        <v>7942百万円</v>
      </c>
      <c r="Q104" s="16" t="str">
        <f>IFERROR(__xludf.DUMMYFUNCTION("IMPORTRANGE(""https://docs.google.com/spreadsheets/d/""&amp;$A104&amp;""/edit#gid=156619080"",Q$3)"),"4203回")</f>
        <v>4203回</v>
      </c>
      <c r="R104" s="16" t="str">
        <f>IFERROR(__xludf.DUMMYFUNCTION("IMPORTRANGE(""https://docs.google.com/spreadsheets/d/""&amp;$A104&amp;""/edit#gid=156619080"",R$3)"),"29317億円")</f>
        <v>29317億円</v>
      </c>
      <c r="S104" s="16" t="str">
        <f>IFERROR(__xludf.DUMMYFUNCTION("IMPORTRANGE(""https://docs.google.com/spreadsheets/d/""&amp;$A104&amp;""/edit#gid=156619080"",S$3)"),"陽線")</f>
        <v>陽線</v>
      </c>
      <c r="T104" s="16" t="str">
        <f>IFERROR(__xludf.DUMMYFUNCTION("IMPORTRANGE(""https://docs.google.com/spreadsheets/d/""&amp;$A104&amp;""/edit#gid=156619080"",T$3)"),"")</f>
        <v/>
      </c>
      <c r="U104" s="16">
        <f>IFERROR(__xludf.DUMMYFUNCTION("IMPORTRANGE(""https://docs.google.com/spreadsheets/d/""&amp;$A104&amp;""/edit#gid=156619080"",U$3)"),1189.2)</f>
        <v>1189.2</v>
      </c>
      <c r="V104" s="16">
        <f>IFERROR(__xludf.DUMMYFUNCTION("IMPORTRANGE(""https://docs.google.com/spreadsheets/d/""&amp;$A104&amp;""/edit#gid=156619080"",V$3)"),1211.7)</f>
        <v>1211.7</v>
      </c>
      <c r="W104" s="16">
        <f>IFERROR(__xludf.DUMMYFUNCTION("IMPORTRANGE(""https://docs.google.com/spreadsheets/d/""&amp;$A104&amp;""/edit#gid=156619080"",W$3)"),1171.0)</f>
        <v>1171</v>
      </c>
      <c r="X104" s="2">
        <f>IFERROR(__xludf.DUMMYFUNCTION("IMPORTRANGE(""https://docs.google.com/spreadsheets/d/""&amp;$A104&amp;""/edit#gid=156619080"",X$3)"),1008.8)</f>
        <v>1008.8</v>
      </c>
      <c r="Y104" s="17">
        <f>IFERROR(__xludf.DUMMYFUNCTION("IMPORTRANGE(""https://docs.google.com/spreadsheets/d/""&amp;$A104&amp;""/edit#gid=156619080"",Y$3)"),0.0048772283888327906)</f>
        <v>0.004877228389</v>
      </c>
      <c r="Z104" s="2">
        <f>IFERROR(__xludf.DUMMYFUNCTION("IMPORTRANGE(""https://docs.google.com/spreadsheets/d/""&amp;$A104&amp;""/edit#gid=156619080"",Z$3)"),1282.73)</f>
        <v>1282.73</v>
      </c>
      <c r="AA104" s="2">
        <f>IFERROR(__xludf.DUMMYFUNCTION("IMPORTRANGE(""https://docs.google.com/spreadsheets/d/""&amp;$A104&amp;""/edit#gid=156619080"",AA$3)"),1268.76)</f>
        <v>1268.76</v>
      </c>
      <c r="AB104" s="2">
        <f>IFERROR(__xludf.DUMMYFUNCTION("IMPORTRANGE(""https://docs.google.com/spreadsheets/d/""&amp;$A104&amp;""/edit#gid=156619080"",AB$3)"),1254.8)</f>
        <v>1254.8</v>
      </c>
      <c r="AC104" s="18">
        <f>IFERROR(__xludf.DUMMYFUNCTION("IMPORTRANGE(""https://docs.google.com/spreadsheets/d/""&amp;$A104&amp;""/edit#gid=156619080"",AC$3)"),1240.83)</f>
        <v>1240.83</v>
      </c>
      <c r="AD104" s="18">
        <f>IFERROR(__xludf.DUMMYFUNCTION("IMPORTRANGE(""https://docs.google.com/spreadsheets/d/""&amp;$A104&amp;""/edit#gid=156619080"",AD$3)"),1226.86)</f>
        <v>1226.86</v>
      </c>
      <c r="AE104" s="18">
        <f>IFERROR(__xludf.DUMMYFUNCTION("IMPORTRANGE(""https://docs.google.com/spreadsheets/d/""&amp;$A104&amp;""/edit#gid=156619080"",AE$3)"),1171.0)</f>
        <v>1171</v>
      </c>
      <c r="AF104" s="2">
        <f>IFERROR(__xludf.DUMMYFUNCTION("IMPORTRANGE(""https://docs.google.com/spreadsheets/d/""&amp;$A104&amp;""/edit#gid=156619080"",AF$3)"),1115.14)</f>
        <v>1115.14</v>
      </c>
      <c r="AG104" s="2">
        <f>IFERROR(__xludf.DUMMYFUNCTION("IMPORTRANGE(""https://docs.google.com/spreadsheets/d/""&amp;$A104&amp;""/edit#gid=156619080"",AG$3)"),1101.17)</f>
        <v>1101.17</v>
      </c>
      <c r="AH104" s="2">
        <f>IFERROR(__xludf.DUMMYFUNCTION("IMPORTRANGE(""https://docs.google.com/spreadsheets/d/""&amp;$A104&amp;""/edit#gid=156619080"",AH$3)"),1087.2)</f>
        <v>1087.2</v>
      </c>
      <c r="AI104" s="2">
        <f>IFERROR(__xludf.DUMMYFUNCTION("IMPORTRANGE(""https://docs.google.com/spreadsheets/d/""&amp;$A104&amp;""/edit#gid=156619080"",AI$3)"),1073.24)</f>
        <v>1073.24</v>
      </c>
      <c r="AJ104" s="2">
        <f>IFERROR(__xludf.DUMMYFUNCTION("IMPORTRANGE(""https://docs.google.com/spreadsheets/d/""&amp;$A104&amp;""/edit#gid=156619080"",AJ$3)"),1059.27)</f>
        <v>1059.27</v>
      </c>
      <c r="AK104" s="2" t="str">
        <f>IFERROR(__xludf.DUMMYFUNCTION("IMPORTRANGE(""https://docs.google.com/spreadsheets/d/""&amp;$A104&amp;""/edit#gid=156619080"",AK$3)"),"")</f>
        <v/>
      </c>
      <c r="AL104" s="2">
        <f>IFERROR(__xludf.DUMMYFUNCTION("IMPORTRANGE(""https://docs.google.com/spreadsheets/d/""&amp;$A104&amp;""/edit#gid=156619080"",AL$3)"),-1.0)</f>
        <v>-1</v>
      </c>
      <c r="AM104" s="2" t="str">
        <f>IFERROR(__xludf.DUMMYFUNCTION("IMPORTRANGE(""https://docs.google.com/spreadsheets/d/""&amp;$A104&amp;""/edit#gid=156619080"",AM$3)"),"")</f>
        <v/>
      </c>
      <c r="AN104" s="2">
        <f>IFERROR(__xludf.DUMMYFUNCTION("IMPORTRANGE(""https://docs.google.com/spreadsheets/d/""&amp;$A104&amp;""/edit#gid=156619080"",AN$3)"),1.0)</f>
        <v>1</v>
      </c>
      <c r="AO104" s="2" t="str">
        <f>IFERROR(__xludf.DUMMYFUNCTION("IMPORTRANGE(""https://docs.google.com/spreadsheets/d/""&amp;$A104&amp;""/edit#gid=156619080"",AO$3)"),"")</f>
        <v/>
      </c>
      <c r="AP104" s="2">
        <f>IFERROR(__xludf.DUMMYFUNCTION("IMPORTRANGE(""https://docs.google.com/spreadsheets/d/""&amp;$A104&amp;""/edit#gid=156619080"",AP$3)"),1.0)</f>
        <v>1</v>
      </c>
      <c r="AQ104" s="2" t="str">
        <f>IFERROR(__xludf.DUMMYFUNCTION("IMPORTRANGE(""https://docs.google.com/spreadsheets/d/""&amp;$A104&amp;""/edit#gid=156619080"",AQ$3)"),"")</f>
        <v/>
      </c>
      <c r="AR104" s="18">
        <f>IFERROR(__xludf.DUMMYFUNCTION("IMPORTRANGE(""https://docs.google.com/spreadsheets/d/""&amp;$A104&amp;""/edit#gid=156619080"",AR$3)"),0.0)</f>
        <v>0</v>
      </c>
      <c r="AS104" s="19" t="str">
        <f>IFERROR(__xludf.DUMMYFUNCTION("IMPORTRANGE(""https://docs.google.com/spreadsheets/d/""&amp;$A104&amp;""/edit#gid=156619080"",AS$3)"),"-100
-100
-90
-60
")</f>
        <v>-100
-100
-90
-60
</v>
      </c>
      <c r="AT104" s="18">
        <f>IFERROR(__xludf.DUMMYFUNCTION("IMPORTRANGE(""https://docs.google.com/spreadsheets/d/""&amp;$A104&amp;""/edit#gid=156619080"",AT$3)"),-54.94505494505495)</f>
        <v>-54.94505495</v>
      </c>
      <c r="AU104" s="3" t="str">
        <f>IFERROR(__xludf.DUMMYFUNCTION("IMPORTRANGE(""https://docs.google.com/spreadsheets/d/""&amp;$A104&amp;""/edit#gid=156619080"",AU$3)"),"50.55
29.12
6.04
-21.98
")</f>
        <v>50.55
29.12
6.04
-21.98
</v>
      </c>
      <c r="AV104" s="18">
        <f>IFERROR(__xludf.DUMMYFUNCTION("IMPORTRANGE(""https://docs.google.com/spreadsheets/d/""&amp;$A104&amp;""/edit#gid=156619080"",AV$3)"),53.116883116883116)</f>
        <v>53.11688312</v>
      </c>
      <c r="AW104" s="19" t="str">
        <f>IFERROR(__xludf.DUMMYFUNCTION("IMPORTRANGE(""https://docs.google.com/spreadsheets/d/""&amp;$A104&amp;""/edit#gid=156619080"",AW$3)"),"57.14
59.87
60.13
56.49
")</f>
        <v>57.14
59.87
60.13
56.49
</v>
      </c>
      <c r="AX104" s="2">
        <f>IFERROR(__xludf.DUMMYFUNCTION("IMPORTRANGE(""https://docs.google.com/spreadsheets/d/""&amp;$A104&amp;""/edit#gid=156619080"",AX$3)"),33.33)</f>
        <v>33.33</v>
      </c>
      <c r="AY104" s="2">
        <f>IFERROR(__xludf.DUMMYFUNCTION("IMPORTRANGE(""https://docs.google.com/spreadsheets/d/""&amp;$A104&amp;""/edit#gid=156619080"",AY$3)"),60.83)</f>
        <v>60.83</v>
      </c>
      <c r="AZ104" s="2">
        <f>IFERROR(__xludf.DUMMYFUNCTION("IMPORTRANGE(""https://docs.google.com/spreadsheets/d/""&amp;$A104&amp;""/edit#gid=156619080"",AZ$3)"),1193.82)</f>
        <v>1193.82</v>
      </c>
      <c r="BA104" s="2">
        <f>IFERROR(__xludf.DUMMYFUNCTION("IMPORTRANGE(""https://docs.google.com/spreadsheets/d/""&amp;$A104&amp;""/edit#gid=156619080"",BA$3)"),22.659999999999854)</f>
        <v>22.66</v>
      </c>
      <c r="BB104" s="2">
        <f>IFERROR(__xludf.DUMMYFUNCTION("IMPORTRANGE(""https://docs.google.com/spreadsheets/d/""&amp;$A104&amp;""/edit#gid=156619080"",BB$3)"),40.79)</f>
        <v>40.79</v>
      </c>
      <c r="BC104" s="2" t="str">
        <f>IFERROR(__xludf.DUMMYFUNCTION("IMPORTRANGE(""https://docs.google.com/spreadsheets/d/""&amp;$A104&amp;""/edit#gid=156619080"",BC$3)"),"DC→DC")</f>
        <v>DC→DC</v>
      </c>
    </row>
    <row r="105" ht="51.0" customHeight="1">
      <c r="A105" s="7" t="str">
        <f t="shared" si="5"/>
        <v>1KEQgRdnXwl7JFkf-wcR4QZOYqQujHVtgRaF0-Br8dn8</v>
      </c>
      <c r="B105" s="1" t="s">
        <v>132</v>
      </c>
      <c r="C105" s="2">
        <f>IFERROR(__xludf.DUMMYFUNCTION("IMPORTRANGE(""https://docs.google.com/spreadsheets/d/""&amp;$A105&amp;""/edit#gid=156619080"",C$3)"),132.0)</f>
        <v>132</v>
      </c>
      <c r="D105" s="2">
        <f>IFERROR(__xludf.DUMMYFUNCTION("IMPORTRANGE(""https://docs.google.com/spreadsheets/d/""&amp;$A105&amp;""/edit#gid=156619080"",D$3)"),6758.0)</f>
        <v>6758</v>
      </c>
      <c r="E105" s="15">
        <f>IFERROR(__xludf.DUMMYFUNCTION("IMPORTRANGE(""https://docs.google.com/spreadsheets/d/""&amp;$A105&amp;""/edit#gid=156619080"",E$3)"),43882.0)</f>
        <v>43882</v>
      </c>
      <c r="F105" s="2">
        <f>IFERROR(__xludf.DUMMYFUNCTION("IMPORTRANGE(""https://docs.google.com/spreadsheets/d/""&amp;$A105&amp;""/edit#gid=156619080"",F$3)"),-43.0)</f>
        <v>-43</v>
      </c>
      <c r="G105" s="16">
        <f>IFERROR(__xludf.DUMMYFUNCTION("IMPORTRANGE(""https://docs.google.com/spreadsheets/d/""&amp;$A105&amp;""/edit#gid=156619080"",G$3)"),-0.57)</f>
        <v>-0.57</v>
      </c>
      <c r="H105" s="16">
        <f>IFERROR(__xludf.DUMMYFUNCTION("IMPORTRANGE(""https://docs.google.com/spreadsheets/d/""&amp;$A105&amp;""/edit#gid=156619080"",H$3)"),7456.0)</f>
        <v>7456</v>
      </c>
      <c r="I105" s="16">
        <f>IFERROR(__xludf.DUMMYFUNCTION("IMPORTRANGE(""https://docs.google.com/spreadsheets/d/""&amp;$A105&amp;""/edit#gid=156619080"",I$3)"),66.0)</f>
        <v>66</v>
      </c>
      <c r="J105" s="16">
        <f>IFERROR(__xludf.DUMMYFUNCTION("IMPORTRANGE(""https://docs.google.com/spreadsheets/d/""&amp;$A105&amp;""/edit#gid=156619080"",J$3)"),7548.0)</f>
        <v>7548</v>
      </c>
      <c r="K105" s="16">
        <f>IFERROR(__xludf.DUMMYFUNCTION("IMPORTRANGE(""https://docs.google.com/spreadsheets/d/""&amp;$A105&amp;""/edit#gid=156619080"",K$3)"),0.4027777777777778)</f>
        <v>0.4027777778</v>
      </c>
      <c r="L105" s="16">
        <f>IFERROR(__xludf.DUMMYFUNCTION("IMPORTRANGE(""https://docs.google.com/spreadsheets/d/""&amp;$A105&amp;""/edit#gid=156619080"",L$3)"),7451.0)</f>
        <v>7451</v>
      </c>
      <c r="M105" s="16">
        <f>IFERROR(__xludf.DUMMYFUNCTION("IMPORTRANGE(""https://docs.google.com/spreadsheets/d/""&amp;$A105&amp;""/edit#gid=156619080"",M$3)"),0.375)</f>
        <v>0.375</v>
      </c>
      <c r="N105" s="16">
        <f>IFERROR(__xludf.DUMMYFUNCTION("IMPORTRANGE(""https://docs.google.com/spreadsheets/d/""&amp;$A105&amp;""/edit#gid=156619080"",N$3)"),7479.0)</f>
        <v>7479</v>
      </c>
      <c r="O105" s="16" t="str">
        <f>IFERROR(__xludf.DUMMYFUNCTION("IMPORTRANGE(""https://docs.google.com/spreadsheets/d/""&amp;$A105&amp;""/edit#gid=156619080"",O$3)"),"4197200株")</f>
        <v>4197200株</v>
      </c>
      <c r="P105" s="16" t="str">
        <f>IFERROR(__xludf.DUMMYFUNCTION("IMPORTRANGE(""https://docs.google.com/spreadsheets/d/""&amp;$A105&amp;""/edit#gid=156619080"",P$3)"),"31462百万円")</f>
        <v>31462百万円</v>
      </c>
      <c r="Q105" s="16" t="str">
        <f>IFERROR(__xludf.DUMMYFUNCTION("IMPORTRANGE(""https://docs.google.com/spreadsheets/d/""&amp;$A105&amp;""/edit#gid=156619080"",Q$3)"),"10110回")</f>
        <v>10110回</v>
      </c>
      <c r="R105" s="16" t="str">
        <f>IFERROR(__xludf.DUMMYFUNCTION("IMPORTRANGE(""https://docs.google.com/spreadsheets/d/""&amp;$A105&amp;""/edit#gid=156619080"",R$3)"),"95213億円")</f>
        <v>95213億円</v>
      </c>
      <c r="S105" s="16" t="str">
        <f>IFERROR(__xludf.DUMMYFUNCTION("IMPORTRANGE(""https://docs.google.com/spreadsheets/d/""&amp;$A105&amp;""/edit#gid=156619080"",S$3)"),"陽線")</f>
        <v>陽線</v>
      </c>
      <c r="T105" s="16" t="str">
        <f>IFERROR(__xludf.DUMMYFUNCTION("IMPORTRANGE(""https://docs.google.com/spreadsheets/d/""&amp;$A105&amp;""/edit#gid=156619080"",T$3)"),"")</f>
        <v/>
      </c>
      <c r="U105" s="16">
        <f>IFERROR(__xludf.DUMMYFUNCTION("IMPORTRANGE(""https://docs.google.com/spreadsheets/d/""&amp;$A105&amp;""/edit#gid=156619080"",U$3)"),7417.6)</f>
        <v>7417.6</v>
      </c>
      <c r="V105" s="16">
        <f>IFERROR(__xludf.DUMMYFUNCTION("IMPORTRANGE(""https://docs.google.com/spreadsheets/d/""&amp;$A105&amp;""/edit#gid=156619080"",V$3)"),7601.4)</f>
        <v>7601.4</v>
      </c>
      <c r="W105" s="16">
        <f>IFERROR(__xludf.DUMMYFUNCTION("IMPORTRANGE(""https://docs.google.com/spreadsheets/d/""&amp;$A105&amp;""/edit#gid=156619080"",W$3)"),7679.4)</f>
        <v>7679.4</v>
      </c>
      <c r="X105" s="2">
        <f>IFERROR(__xludf.DUMMYFUNCTION("IMPORTRANGE(""https://docs.google.com/spreadsheets/d/""&amp;$A105&amp;""/edit#gid=156619080"",X$3)"),6983.1)</f>
        <v>6983.1</v>
      </c>
      <c r="Y105" s="17">
        <f>IFERROR(__xludf.DUMMYFUNCTION("IMPORTRANGE(""https://docs.google.com/spreadsheets/d/""&amp;$A105&amp;""/edit#gid=156619080"",Y$3)"),0.008277610008628079)</f>
        <v>0.008277610009</v>
      </c>
      <c r="Z105" s="2">
        <f>IFERROR(__xludf.DUMMYFUNCTION("IMPORTRANGE(""https://docs.google.com/spreadsheets/d/""&amp;$A105&amp;""/edit#gid=156619080"",Z$3)"),8031.0)</f>
        <v>8031</v>
      </c>
      <c r="AA105" s="2">
        <f>IFERROR(__xludf.DUMMYFUNCTION("IMPORTRANGE(""https://docs.google.com/spreadsheets/d/""&amp;$A105&amp;""/edit#gid=156619080"",AA$3)"),7987.05)</f>
        <v>7987.05</v>
      </c>
      <c r="AB105" s="2">
        <f>IFERROR(__xludf.DUMMYFUNCTION("IMPORTRANGE(""https://docs.google.com/spreadsheets/d/""&amp;$A105&amp;""/edit#gid=156619080"",AB$3)"),7943.1)</f>
        <v>7943.1</v>
      </c>
      <c r="AC105" s="18">
        <f>IFERROR(__xludf.DUMMYFUNCTION("IMPORTRANGE(""https://docs.google.com/spreadsheets/d/""&amp;$A105&amp;""/edit#gid=156619080"",AC$3)"),7899.15)</f>
        <v>7899.15</v>
      </c>
      <c r="AD105" s="18">
        <f>IFERROR(__xludf.DUMMYFUNCTION("IMPORTRANGE(""https://docs.google.com/spreadsheets/d/""&amp;$A105&amp;""/edit#gid=156619080"",AD$3)"),7855.2)</f>
        <v>7855.2</v>
      </c>
      <c r="AE105" s="18">
        <f>IFERROR(__xludf.DUMMYFUNCTION("IMPORTRANGE(""https://docs.google.com/spreadsheets/d/""&amp;$A105&amp;""/edit#gid=156619080"",AE$3)"),7679.4)</f>
        <v>7679.4</v>
      </c>
      <c r="AF105" s="2">
        <f>IFERROR(__xludf.DUMMYFUNCTION("IMPORTRANGE(""https://docs.google.com/spreadsheets/d/""&amp;$A105&amp;""/edit#gid=156619080"",AF$3)"),7503.6)</f>
        <v>7503.6</v>
      </c>
      <c r="AG105" s="2">
        <f>IFERROR(__xludf.DUMMYFUNCTION("IMPORTRANGE(""https://docs.google.com/spreadsheets/d/""&amp;$A105&amp;""/edit#gid=156619080"",AG$3)"),7459.65)</f>
        <v>7459.65</v>
      </c>
      <c r="AH105" s="2">
        <f>IFERROR(__xludf.DUMMYFUNCTION("IMPORTRANGE(""https://docs.google.com/spreadsheets/d/""&amp;$A105&amp;""/edit#gid=156619080"",AH$3)"),7415.7)</f>
        <v>7415.7</v>
      </c>
      <c r="AI105" s="2">
        <f>IFERROR(__xludf.DUMMYFUNCTION("IMPORTRANGE(""https://docs.google.com/spreadsheets/d/""&amp;$A105&amp;""/edit#gid=156619080"",AI$3)"),7371.75)</f>
        <v>7371.75</v>
      </c>
      <c r="AJ105" s="2">
        <f>IFERROR(__xludf.DUMMYFUNCTION("IMPORTRANGE(""https://docs.google.com/spreadsheets/d/""&amp;$A105&amp;""/edit#gid=156619080"",AJ$3)"),7327.8)</f>
        <v>7327.8</v>
      </c>
      <c r="AK105" s="2" t="str">
        <f>IFERROR(__xludf.DUMMYFUNCTION("IMPORTRANGE(""https://docs.google.com/spreadsheets/d/""&amp;$A105&amp;""/edit#gid=156619080"",AK$3)"),"-1〜-1.25σ")</f>
        <v>-1〜-1.25σ</v>
      </c>
      <c r="AL105" s="2">
        <f>IFERROR(__xludf.DUMMYFUNCTION("IMPORTRANGE(""https://docs.google.com/spreadsheets/d/""&amp;$A105&amp;""/edit#gid=156619080"",AL$3)"),-1.0)</f>
        <v>-1</v>
      </c>
      <c r="AM105" s="2" t="str">
        <f>IFERROR(__xludf.DUMMYFUNCTION("IMPORTRANGE(""https://docs.google.com/spreadsheets/d/""&amp;$A105&amp;""/edit#gid=156619080"",AM$3)"),"")</f>
        <v/>
      </c>
      <c r="AN105" s="2">
        <f>IFERROR(__xludf.DUMMYFUNCTION("IMPORTRANGE(""https://docs.google.com/spreadsheets/d/""&amp;$A105&amp;""/edit#gid=156619080"",AN$3)"),-1.0)</f>
        <v>-1</v>
      </c>
      <c r="AO105" s="2" t="str">
        <f>IFERROR(__xludf.DUMMYFUNCTION("IMPORTRANGE(""https://docs.google.com/spreadsheets/d/""&amp;$A105&amp;""/edit#gid=156619080"",AO$3)"),"")</f>
        <v/>
      </c>
      <c r="AP105" s="2">
        <f>IFERROR(__xludf.DUMMYFUNCTION("IMPORTRANGE(""https://docs.google.com/spreadsheets/d/""&amp;$A105&amp;""/edit#gid=156619080"",AP$3)"),-1.0)</f>
        <v>-1</v>
      </c>
      <c r="AQ105" s="2" t="str">
        <f>IFERROR(__xludf.DUMMYFUNCTION("IMPORTRANGE(""https://docs.google.com/spreadsheets/d/""&amp;$A105&amp;""/edit#gid=156619080"",AQ$3)"),"")</f>
        <v/>
      </c>
      <c r="AR105" s="18">
        <f>IFERROR(__xludf.DUMMYFUNCTION("IMPORTRANGE(""https://docs.google.com/spreadsheets/d/""&amp;$A105&amp;""/edit#gid=156619080"",AR$3)"),60.0)</f>
        <v>60</v>
      </c>
      <c r="AS105" s="19" t="str">
        <f>IFERROR(__xludf.DUMMYFUNCTION("IMPORTRANGE(""https://docs.google.com/spreadsheets/d/""&amp;$A105&amp;""/edit#gid=156619080"",AS$3)"),"-90
-100
-90
-30
")</f>
        <v>-90
-100
-90
-30
</v>
      </c>
      <c r="AT105" s="18">
        <f>IFERROR(__xludf.DUMMYFUNCTION("IMPORTRANGE(""https://docs.google.com/spreadsheets/d/""&amp;$A105&amp;""/edit#gid=156619080"",AT$3)"),-76.92307692307692)</f>
        <v>-76.92307692</v>
      </c>
      <c r="AU105" s="3" t="str">
        <f>IFERROR(__xludf.DUMMYFUNCTION("IMPORTRANGE(""https://docs.google.com/spreadsheets/d/""&amp;$A105&amp;""/edit#gid=156619080"",AU$3)"),"-47.8
-51.1
-73.08
-74.73
")</f>
        <v>-47.8
-51.1
-73.08
-74.73
</v>
      </c>
      <c r="AV105" s="18">
        <f>IFERROR(__xludf.DUMMYFUNCTION("IMPORTRANGE(""https://docs.google.com/spreadsheets/d/""&amp;$A105&amp;""/edit#gid=156619080"",AV$3)"),-83.50649350649351)</f>
        <v>-83.50649351</v>
      </c>
      <c r="AW105" s="19" t="str">
        <f>IFERROR(__xludf.DUMMYFUNCTION("IMPORTRANGE(""https://docs.google.com/spreadsheets/d/""&amp;$A105&amp;""/edit#gid=156619080"",AW$3)"),"-83.25
-85.19
-85.06
-84.68
")</f>
        <v>-83.25
-85.19
-85.06
-84.68
</v>
      </c>
      <c r="AX105" s="2">
        <f>IFERROR(__xludf.DUMMYFUNCTION("IMPORTRANGE(""https://docs.google.com/spreadsheets/d/""&amp;$A105&amp;""/edit#gid=156619080"",AX$3)"),39.12)</f>
        <v>39.12</v>
      </c>
      <c r="AY105" s="2">
        <f>IFERROR(__xludf.DUMMYFUNCTION("IMPORTRANGE(""https://docs.google.com/spreadsheets/d/""&amp;$A105&amp;""/edit#gid=156619080"",AY$3)"),35.4)</f>
        <v>35.4</v>
      </c>
      <c r="AZ105" s="2">
        <f>IFERROR(__xludf.DUMMYFUNCTION("IMPORTRANGE(""https://docs.google.com/spreadsheets/d/""&amp;$A105&amp;""/edit#gid=156619080"",AZ$3)"),7476.53)</f>
        <v>7476.53</v>
      </c>
      <c r="BA105" s="2">
        <f>IFERROR(__xludf.DUMMYFUNCTION("IMPORTRANGE(""https://docs.google.com/spreadsheets/d/""&amp;$A105&amp;""/edit#gid=156619080"",BA$3)"),-132.40000000000055)</f>
        <v>-132.4</v>
      </c>
      <c r="BB105" s="2">
        <f>IFERROR(__xludf.DUMMYFUNCTION("IMPORTRANGE(""https://docs.google.com/spreadsheets/d/""&amp;$A105&amp;""/edit#gid=156619080"",BB$3)"),-60.07)</f>
        <v>-60.07</v>
      </c>
      <c r="BC105" s="2" t="str">
        <f>IFERROR(__xludf.DUMMYFUNCTION("IMPORTRANGE(""https://docs.google.com/spreadsheets/d/""&amp;$A105&amp;""/edit#gid=156619080"",BC$3)"),"DC→DC")</f>
        <v>DC→DC</v>
      </c>
    </row>
    <row r="106" ht="51.0" customHeight="1">
      <c r="A106" s="7" t="str">
        <f t="shared" si="5"/>
        <v>1WLnjewwEXRyhA1swLkysYw7ka6g0k3-E9WVdSzUXGvo</v>
      </c>
      <c r="B106" s="1" t="s">
        <v>133</v>
      </c>
      <c r="C106" s="2">
        <f>IFERROR(__xludf.DUMMYFUNCTION("IMPORTRANGE(""https://docs.google.com/spreadsheets/d/""&amp;$A106&amp;""/edit#gid=156619080"",C$3)"),114.0)</f>
        <v>114</v>
      </c>
      <c r="D106" s="2">
        <f>IFERROR(__xludf.DUMMYFUNCTION("IMPORTRANGE(""https://docs.google.com/spreadsheets/d/""&amp;$A106&amp;""/edit#gid=156619080"",D$3)"),6762.0)</f>
        <v>6762</v>
      </c>
      <c r="E106" s="15">
        <f>IFERROR(__xludf.DUMMYFUNCTION("IMPORTRANGE(""https://docs.google.com/spreadsheets/d/""&amp;$A106&amp;""/edit#gid=156619080"",E$3)"),43882.0)</f>
        <v>43882</v>
      </c>
      <c r="F106" s="2">
        <f>IFERROR(__xludf.DUMMYFUNCTION("IMPORTRANGE(""https://docs.google.com/spreadsheets/d/""&amp;$A106&amp;""/edit#gid=156619080"",F$3)"),-140.0)</f>
        <v>-140</v>
      </c>
      <c r="G106" s="16">
        <f>IFERROR(__xludf.DUMMYFUNCTION("IMPORTRANGE(""https://docs.google.com/spreadsheets/d/""&amp;$A106&amp;""/edit#gid=156619080"",G$3)"),-1.22)</f>
        <v>-1.22</v>
      </c>
      <c r="H106" s="16">
        <f>IFERROR(__xludf.DUMMYFUNCTION("IMPORTRANGE(""https://docs.google.com/spreadsheets/d/""&amp;$A106&amp;""/edit#gid=156619080"",H$3)"),11340.0)</f>
        <v>11340</v>
      </c>
      <c r="I106" s="16">
        <f>IFERROR(__xludf.DUMMYFUNCTION("IMPORTRANGE(""https://docs.google.com/spreadsheets/d/""&amp;$A106&amp;""/edit#gid=156619080"",I$3)"),110.0)</f>
        <v>110</v>
      </c>
      <c r="J106" s="16">
        <f>IFERROR(__xludf.DUMMYFUNCTION("IMPORTRANGE(""https://docs.google.com/spreadsheets/d/""&amp;$A106&amp;""/edit#gid=156619080"",J$3)"),11500.0)</f>
        <v>11500</v>
      </c>
      <c r="K106" s="16">
        <f>IFERROR(__xludf.DUMMYFUNCTION("IMPORTRANGE(""https://docs.google.com/spreadsheets/d/""&amp;$A106&amp;""/edit#gid=156619080"",K$3)"),0.39305555555555555)</f>
        <v>0.3930555556</v>
      </c>
      <c r="L106" s="16">
        <f>IFERROR(__xludf.DUMMYFUNCTION("IMPORTRANGE(""https://docs.google.com/spreadsheets/d/""&amp;$A106&amp;""/edit#gid=156619080"",L$3)"),11290.0)</f>
        <v>11290</v>
      </c>
      <c r="M106" s="16">
        <f>IFERROR(__xludf.DUMMYFUNCTION("IMPORTRANGE(""https://docs.google.com/spreadsheets/d/""&amp;$A106&amp;""/edit#gid=156619080"",M$3)"),0.4201388888888889)</f>
        <v>0.4201388889</v>
      </c>
      <c r="N106" s="16">
        <f>IFERROR(__xludf.DUMMYFUNCTION("IMPORTRANGE(""https://docs.google.com/spreadsheets/d/""&amp;$A106&amp;""/edit#gid=156619080"",N$3)"),11310.0)</f>
        <v>11310</v>
      </c>
      <c r="O106" s="16" t="str">
        <f>IFERROR(__xludf.DUMMYFUNCTION("IMPORTRANGE(""https://docs.google.com/spreadsheets/d/""&amp;$A106&amp;""/edit#gid=156619080"",O$3)"),"762500株")</f>
        <v>762500株</v>
      </c>
      <c r="P106" s="16" t="str">
        <f>IFERROR(__xludf.DUMMYFUNCTION("IMPORTRANGE(""https://docs.google.com/spreadsheets/d/""&amp;$A106&amp;""/edit#gid=156619080"",P$3)"),"8665百万円")</f>
        <v>8665百万円</v>
      </c>
      <c r="Q106" s="16" t="str">
        <f>IFERROR(__xludf.DUMMYFUNCTION("IMPORTRANGE(""https://docs.google.com/spreadsheets/d/""&amp;$A106&amp;""/edit#gid=156619080"",Q$3)"),"1952回")</f>
        <v>1952回</v>
      </c>
      <c r="R106" s="16" t="str">
        <f>IFERROR(__xludf.DUMMYFUNCTION("IMPORTRANGE(""https://docs.google.com/spreadsheets/d/""&amp;$A106&amp;""/edit#gid=156619080"",R$3)"),"14657億円")</f>
        <v>14657億円</v>
      </c>
      <c r="S106" s="16" t="str">
        <f>IFERROR(__xludf.DUMMYFUNCTION("IMPORTRANGE(""https://docs.google.com/spreadsheets/d/""&amp;$A106&amp;""/edit#gid=156619080"",S$3)"),"陰線")</f>
        <v>陰線</v>
      </c>
      <c r="T106" s="16" t="str">
        <f>IFERROR(__xludf.DUMMYFUNCTION("IMPORTRANGE(""https://docs.google.com/spreadsheets/d/""&amp;$A106&amp;""/edit#gid=156619080"",T$3)"),"")</f>
        <v/>
      </c>
      <c r="U106" s="16">
        <f>IFERROR(__xludf.DUMMYFUNCTION("IMPORTRANGE(""https://docs.google.com/spreadsheets/d/""&amp;$A106&amp;""/edit#gid=156619080"",U$3)"),11368.0)</f>
        <v>11368</v>
      </c>
      <c r="V106" s="16">
        <f>IFERROR(__xludf.DUMMYFUNCTION("IMPORTRANGE(""https://docs.google.com/spreadsheets/d/""&amp;$A106&amp;""/edit#gid=156619080"",V$3)"),11743.1)</f>
        <v>11743.1</v>
      </c>
      <c r="W106" s="16">
        <f>IFERROR(__xludf.DUMMYFUNCTION("IMPORTRANGE(""https://docs.google.com/spreadsheets/d/""&amp;$A106&amp;""/edit#gid=156619080"",W$3)"),11925.7)</f>
        <v>11925.7</v>
      </c>
      <c r="X106" s="2">
        <f>IFERROR(__xludf.DUMMYFUNCTION("IMPORTRANGE(""https://docs.google.com/spreadsheets/d/""&amp;$A106&amp;""/edit#gid=156619080"",X$3)"),11294.1)</f>
        <v>11294.1</v>
      </c>
      <c r="Y106" s="17">
        <f>IFERROR(__xludf.DUMMYFUNCTION("IMPORTRANGE(""https://docs.google.com/spreadsheets/d/""&amp;$A106&amp;""/edit#gid=156619080"",Y$3)"),-0.00510204081632653)</f>
        <v>-0.005102040816</v>
      </c>
      <c r="Z106" s="2">
        <f>IFERROR(__xludf.DUMMYFUNCTION("IMPORTRANGE(""https://docs.google.com/spreadsheets/d/""&amp;$A106&amp;""/edit#gid=156619080"",Z$3)"),12777.53)</f>
        <v>12777.53</v>
      </c>
      <c r="AA106" s="2">
        <f>IFERROR(__xludf.DUMMYFUNCTION("IMPORTRANGE(""https://docs.google.com/spreadsheets/d/""&amp;$A106&amp;""/edit#gid=156619080"",AA$3)"),12671.06)</f>
        <v>12671.06</v>
      </c>
      <c r="AB106" s="2">
        <f>IFERROR(__xludf.DUMMYFUNCTION("IMPORTRANGE(""https://docs.google.com/spreadsheets/d/""&amp;$A106&amp;""/edit#gid=156619080"",AB$3)"),12564.58)</f>
        <v>12564.58</v>
      </c>
      <c r="AC106" s="18">
        <f>IFERROR(__xludf.DUMMYFUNCTION("IMPORTRANGE(""https://docs.google.com/spreadsheets/d/""&amp;$A106&amp;""/edit#gid=156619080"",AC$3)"),12458.1)</f>
        <v>12458.1</v>
      </c>
      <c r="AD106" s="18">
        <f>IFERROR(__xludf.DUMMYFUNCTION("IMPORTRANGE(""https://docs.google.com/spreadsheets/d/""&amp;$A106&amp;""/edit#gid=156619080"",AD$3)"),12351.62)</f>
        <v>12351.62</v>
      </c>
      <c r="AE106" s="18">
        <f>IFERROR(__xludf.DUMMYFUNCTION("IMPORTRANGE(""https://docs.google.com/spreadsheets/d/""&amp;$A106&amp;""/edit#gid=156619080"",AE$3)"),11925.7)</f>
        <v>11925.7</v>
      </c>
      <c r="AF106" s="2">
        <f>IFERROR(__xludf.DUMMYFUNCTION("IMPORTRANGE(""https://docs.google.com/spreadsheets/d/""&amp;$A106&amp;""/edit#gid=156619080"",AF$3)"),11499.78)</f>
        <v>11499.78</v>
      </c>
      <c r="AG106" s="2">
        <f>IFERROR(__xludf.DUMMYFUNCTION("IMPORTRANGE(""https://docs.google.com/spreadsheets/d/""&amp;$A106&amp;""/edit#gid=156619080"",AG$3)"),11393.3)</f>
        <v>11393.3</v>
      </c>
      <c r="AH106" s="2">
        <f>IFERROR(__xludf.DUMMYFUNCTION("IMPORTRANGE(""https://docs.google.com/spreadsheets/d/""&amp;$A106&amp;""/edit#gid=156619080"",AH$3)"),11286.82)</f>
        <v>11286.82</v>
      </c>
      <c r="AI106" s="2">
        <f>IFERROR(__xludf.DUMMYFUNCTION("IMPORTRANGE(""https://docs.google.com/spreadsheets/d/""&amp;$A106&amp;""/edit#gid=156619080"",AI$3)"),11180.34)</f>
        <v>11180.34</v>
      </c>
      <c r="AJ106" s="2">
        <f>IFERROR(__xludf.DUMMYFUNCTION("IMPORTRANGE(""https://docs.google.com/spreadsheets/d/""&amp;$A106&amp;""/edit#gid=156619080"",AJ$3)"),11073.87)</f>
        <v>11073.87</v>
      </c>
      <c r="AK106" s="2" t="str">
        <f>IFERROR(__xludf.DUMMYFUNCTION("IMPORTRANGE(""https://docs.google.com/spreadsheets/d/""&amp;$A106&amp;""/edit#gid=156619080"",AK$3)"),"-1.25σ〜-1.5σ")</f>
        <v>-1.25σ〜-1.5σ</v>
      </c>
      <c r="AL106" s="2">
        <f>IFERROR(__xludf.DUMMYFUNCTION("IMPORTRANGE(""https://docs.google.com/spreadsheets/d/""&amp;$A106&amp;""/edit#gid=156619080"",AL$3)"),-1.0)</f>
        <v>-1</v>
      </c>
      <c r="AM106" s="2" t="str">
        <f>IFERROR(__xludf.DUMMYFUNCTION("IMPORTRANGE(""https://docs.google.com/spreadsheets/d/""&amp;$A106&amp;""/edit#gid=156619080"",AM$3)"),"")</f>
        <v/>
      </c>
      <c r="AN106" s="2">
        <f>IFERROR(__xludf.DUMMYFUNCTION("IMPORTRANGE(""https://docs.google.com/spreadsheets/d/""&amp;$A106&amp;""/edit#gid=156619080"",AN$3)"),-1.0)</f>
        <v>-1</v>
      </c>
      <c r="AO106" s="2" t="str">
        <f>IFERROR(__xludf.DUMMYFUNCTION("IMPORTRANGE(""https://docs.google.com/spreadsheets/d/""&amp;$A106&amp;""/edit#gid=156619080"",AO$3)"),"")</f>
        <v/>
      </c>
      <c r="AP106" s="2">
        <f>IFERROR(__xludf.DUMMYFUNCTION("IMPORTRANGE(""https://docs.google.com/spreadsheets/d/""&amp;$A106&amp;""/edit#gid=156619080"",AP$3)"),-1.0)</f>
        <v>-1</v>
      </c>
      <c r="AQ106" s="2" t="str">
        <f>IFERROR(__xludf.DUMMYFUNCTION("IMPORTRANGE(""https://docs.google.com/spreadsheets/d/""&amp;$A106&amp;""/edit#gid=156619080"",AQ$3)"),"")</f>
        <v/>
      </c>
      <c r="AR106" s="18">
        <f>IFERROR(__xludf.DUMMYFUNCTION("IMPORTRANGE(""https://docs.google.com/spreadsheets/d/""&amp;$A106&amp;""/edit#gid=156619080"",AR$3)"),-30.000000000000004)</f>
        <v>-30</v>
      </c>
      <c r="AS106" s="19" t="str">
        <f>IFERROR(__xludf.DUMMYFUNCTION("IMPORTRANGE(""https://docs.google.com/spreadsheets/d/""&amp;$A106&amp;""/edit#gid=156619080"",AS$3)"),"-32.5
-92.5
-90
-60
")</f>
        <v>-32.5
-92.5
-90
-60
</v>
      </c>
      <c r="AT106" s="18">
        <f>IFERROR(__xludf.DUMMYFUNCTION("IMPORTRANGE(""https://docs.google.com/spreadsheets/d/""&amp;$A106&amp;""/edit#gid=156619080"",AT$3)"),-71.97802197802199)</f>
        <v>-71.97802198</v>
      </c>
      <c r="AU106" s="3" t="str">
        <f>IFERROR(__xludf.DUMMYFUNCTION("IMPORTRANGE(""https://docs.google.com/spreadsheets/d/""&amp;$A106&amp;""/edit#gid=156619080"",AU$3)"),"-12.23
-15.52
-41.35
-56.59
")</f>
        <v>-12.23
-15.52
-41.35
-56.59
</v>
      </c>
      <c r="AV106" s="18">
        <f>IFERROR(__xludf.DUMMYFUNCTION("IMPORTRANGE(""https://docs.google.com/spreadsheets/d/""&amp;$A106&amp;""/edit#gid=156619080"",AV$3)"),-77.3051948051948)</f>
        <v>-77.30519481</v>
      </c>
      <c r="AW106" s="19" t="str">
        <f>IFERROR(__xludf.DUMMYFUNCTION("IMPORTRANGE(""https://docs.google.com/spreadsheets/d/""&amp;$A106&amp;""/edit#gid=156619080"",AW$3)"),"-69.51
-73.8
-74.84
-77.31
")</f>
        <v>-69.51
-73.8
-74.84
-77.31
</v>
      </c>
      <c r="AX106" s="2">
        <f>IFERROR(__xludf.DUMMYFUNCTION("IMPORTRANGE(""https://docs.google.com/spreadsheets/d/""&amp;$A106&amp;""/edit#gid=156619080"",AX$3)"),26.669999999999998)</f>
        <v>26.67</v>
      </c>
      <c r="AY106" s="2">
        <f>IFERROR(__xludf.DUMMYFUNCTION("IMPORTRANGE(""https://docs.google.com/spreadsheets/d/""&amp;$A106&amp;""/edit#gid=156619080"",AY$3)"),35.949999999999996)</f>
        <v>35.95</v>
      </c>
      <c r="AZ106" s="2">
        <f>IFERROR(__xludf.DUMMYFUNCTION("IMPORTRANGE(""https://docs.google.com/spreadsheets/d/""&amp;$A106&amp;""/edit#gid=156619080"",AZ$3)"),11432.83)</f>
        <v>11432.83</v>
      </c>
      <c r="BA106" s="2">
        <f>IFERROR(__xludf.DUMMYFUNCTION("IMPORTRANGE(""https://docs.google.com/spreadsheets/d/""&amp;$A106&amp;""/edit#gid=156619080"",BA$3)"),-381.14999999999964)</f>
        <v>-381.15</v>
      </c>
      <c r="BB106" s="2">
        <f>IFERROR(__xludf.DUMMYFUNCTION("IMPORTRANGE(""https://docs.google.com/spreadsheets/d/""&amp;$A106&amp;""/edit#gid=156619080"",BB$3)"),-233.11)</f>
        <v>-233.11</v>
      </c>
      <c r="BC106" s="2" t="str">
        <f>IFERROR(__xludf.DUMMYFUNCTION("IMPORTRANGE(""https://docs.google.com/spreadsheets/d/""&amp;$A106&amp;""/edit#gid=156619080"",BC$3)"),"DC→DC")</f>
        <v>DC→DC</v>
      </c>
    </row>
    <row r="107" ht="51.0" customHeight="1">
      <c r="A107" s="7" t="str">
        <f t="shared" si="5"/>
        <v>1g1FgI4GQOpIgd9jmv_ZldEl0VKA57gGd0fz1Jlz0jAA</v>
      </c>
      <c r="B107" s="1" t="s">
        <v>134</v>
      </c>
      <c r="C107" s="2">
        <f>IFERROR(__xludf.DUMMYFUNCTION("IMPORTRANGE(""https://docs.google.com/spreadsheets/d/""&amp;$A107&amp;""/edit#gid=156619080"",C$3)"),132.0)</f>
        <v>132</v>
      </c>
      <c r="D107" s="2">
        <f>IFERROR(__xludf.DUMMYFUNCTION("IMPORTRANGE(""https://docs.google.com/spreadsheets/d/""&amp;$A107&amp;""/edit#gid=156619080"",D$3)"),6770.0)</f>
        <v>6770</v>
      </c>
      <c r="E107" s="15">
        <f>IFERROR(__xludf.DUMMYFUNCTION("IMPORTRANGE(""https://docs.google.com/spreadsheets/d/""&amp;$A107&amp;""/edit#gid=156619080"",E$3)"),43882.0)</f>
        <v>43882</v>
      </c>
      <c r="F107" s="2">
        <f>IFERROR(__xludf.DUMMYFUNCTION("IMPORTRANGE(""https://docs.google.com/spreadsheets/d/""&amp;$A107&amp;""/edit#gid=156619080"",F$3)"),6.0)</f>
        <v>6</v>
      </c>
      <c r="G107" s="16">
        <f>IFERROR(__xludf.DUMMYFUNCTION("IMPORTRANGE(""https://docs.google.com/spreadsheets/d/""&amp;$A107&amp;""/edit#gid=156619080"",G$3)"),0.33)</f>
        <v>0.33</v>
      </c>
      <c r="H107" s="16">
        <f>IFERROR(__xludf.DUMMYFUNCTION("IMPORTRANGE(""https://docs.google.com/spreadsheets/d/""&amp;$A107&amp;""/edit#gid=156619080"",H$3)"),1834.0)</f>
        <v>1834</v>
      </c>
      <c r="I107" s="16">
        <f>IFERROR(__xludf.DUMMYFUNCTION("IMPORTRANGE(""https://docs.google.com/spreadsheets/d/""&amp;$A107&amp;""/edit#gid=156619080"",I$3)"),2.0)</f>
        <v>2</v>
      </c>
      <c r="J107" s="16">
        <f>IFERROR(__xludf.DUMMYFUNCTION("IMPORTRANGE(""https://docs.google.com/spreadsheets/d/""&amp;$A107&amp;""/edit#gid=156619080"",J$3)"),1858.0)</f>
        <v>1858</v>
      </c>
      <c r="K107" s="16">
        <f>IFERROR(__xludf.DUMMYFUNCTION("IMPORTRANGE(""https://docs.google.com/spreadsheets/d/""&amp;$A107&amp;""/edit#gid=156619080"",K$3)"),0.3888888888888889)</f>
        <v>0.3888888889</v>
      </c>
      <c r="L107" s="16">
        <f>IFERROR(__xludf.DUMMYFUNCTION("IMPORTRANGE(""https://docs.google.com/spreadsheets/d/""&amp;$A107&amp;""/edit#gid=156619080"",L$3)"),1833.0)</f>
        <v>1833</v>
      </c>
      <c r="M107" s="16">
        <f>IFERROR(__xludf.DUMMYFUNCTION("IMPORTRANGE(""https://docs.google.com/spreadsheets/d/""&amp;$A107&amp;""/edit#gid=156619080"",M$3)"),0.37569444444444444)</f>
        <v>0.3756944444</v>
      </c>
      <c r="N107" s="16">
        <f>IFERROR(__xludf.DUMMYFUNCTION("IMPORTRANGE(""https://docs.google.com/spreadsheets/d/""&amp;$A107&amp;""/edit#gid=156619080"",N$3)"),1842.0)</f>
        <v>1842</v>
      </c>
      <c r="O107" s="16" t="str">
        <f>IFERROR(__xludf.DUMMYFUNCTION("IMPORTRANGE(""https://docs.google.com/spreadsheets/d/""&amp;$A107&amp;""/edit#gid=156619080"",O$3)"),"1270800株")</f>
        <v>1270800株</v>
      </c>
      <c r="P107" s="16" t="str">
        <f>IFERROR(__xludf.DUMMYFUNCTION("IMPORTRANGE(""https://docs.google.com/spreadsheets/d/""&amp;$A107&amp;""/edit#gid=156619080"",P$3)"),"2342百万円")</f>
        <v>2342百万円</v>
      </c>
      <c r="Q107" s="16" t="str">
        <f>IFERROR(__xludf.DUMMYFUNCTION("IMPORTRANGE(""https://docs.google.com/spreadsheets/d/""&amp;$A107&amp;""/edit#gid=156619080"",Q$3)"),"2056回")</f>
        <v>2056回</v>
      </c>
      <c r="R107" s="16" t="str">
        <f>IFERROR(__xludf.DUMMYFUNCTION("IMPORTRANGE(""https://docs.google.com/spreadsheets/d/""&amp;$A107&amp;""/edit#gid=156619080"",R$3)"),"4039億円")</f>
        <v>4039億円</v>
      </c>
      <c r="S107" s="16" t="str">
        <f>IFERROR(__xludf.DUMMYFUNCTION("IMPORTRANGE(""https://docs.google.com/spreadsheets/d/""&amp;$A107&amp;""/edit#gid=156619080"",S$3)"),"陽線")</f>
        <v>陽線</v>
      </c>
      <c r="T107" s="16" t="str">
        <f>IFERROR(__xludf.DUMMYFUNCTION("IMPORTRANGE(""https://docs.google.com/spreadsheets/d/""&amp;$A107&amp;""/edit#gid=156619080"",T$3)"),"")</f>
        <v/>
      </c>
      <c r="U107" s="16">
        <f>IFERROR(__xludf.DUMMYFUNCTION("IMPORTRANGE(""https://docs.google.com/spreadsheets/d/""&amp;$A107&amp;""/edit#gid=156619080"",U$3)"),1854.0)</f>
        <v>1854</v>
      </c>
      <c r="V107" s="16">
        <f>IFERROR(__xludf.DUMMYFUNCTION("IMPORTRANGE(""https://docs.google.com/spreadsheets/d/""&amp;$A107&amp;""/edit#gid=156619080"",V$3)"),1910.6)</f>
        <v>1910.6</v>
      </c>
      <c r="W107" s="16">
        <f>IFERROR(__xludf.DUMMYFUNCTION("IMPORTRANGE(""https://docs.google.com/spreadsheets/d/""&amp;$A107&amp;""/edit#gid=156619080"",W$3)"),2041.0)</f>
        <v>2041</v>
      </c>
      <c r="X107" s="2">
        <f>IFERROR(__xludf.DUMMYFUNCTION("IMPORTRANGE(""https://docs.google.com/spreadsheets/d/""&amp;$A107&amp;""/edit#gid=156619080"",X$3)"),2260.0)</f>
        <v>2260</v>
      </c>
      <c r="Y107" s="17">
        <f>IFERROR(__xludf.DUMMYFUNCTION("IMPORTRANGE(""https://docs.google.com/spreadsheets/d/""&amp;$A107&amp;""/edit#gid=156619080"",Y$3)"),-0.006472491909385114)</f>
        <v>-0.006472491909</v>
      </c>
      <c r="Z107" s="2">
        <f>IFERROR(__xludf.DUMMYFUNCTION("IMPORTRANGE(""https://docs.google.com/spreadsheets/d/""&amp;$A107&amp;""/edit#gid=156619080"",Z$3)"),2448.26)</f>
        <v>2448.26</v>
      </c>
      <c r="AA107" s="2">
        <f>IFERROR(__xludf.DUMMYFUNCTION("IMPORTRANGE(""https://docs.google.com/spreadsheets/d/""&amp;$A107&amp;""/edit#gid=156619080"",AA$3)"),2397.36)</f>
        <v>2397.36</v>
      </c>
      <c r="AB107" s="2">
        <f>IFERROR(__xludf.DUMMYFUNCTION("IMPORTRANGE(""https://docs.google.com/spreadsheets/d/""&amp;$A107&amp;""/edit#gid=156619080"",AB$3)"),2346.45)</f>
        <v>2346.45</v>
      </c>
      <c r="AC107" s="18">
        <f>IFERROR(__xludf.DUMMYFUNCTION("IMPORTRANGE(""https://docs.google.com/spreadsheets/d/""&amp;$A107&amp;""/edit#gid=156619080"",AC$3)"),2295.54)</f>
        <v>2295.54</v>
      </c>
      <c r="AD107" s="18">
        <f>IFERROR(__xludf.DUMMYFUNCTION("IMPORTRANGE(""https://docs.google.com/spreadsheets/d/""&amp;$A107&amp;""/edit#gid=156619080"",AD$3)"),2244.63)</f>
        <v>2244.63</v>
      </c>
      <c r="AE107" s="18">
        <f>IFERROR(__xludf.DUMMYFUNCTION("IMPORTRANGE(""https://docs.google.com/spreadsheets/d/""&amp;$A107&amp;""/edit#gid=156619080"",AE$3)"),2041.0)</f>
        <v>2041</v>
      </c>
      <c r="AF107" s="2">
        <f>IFERROR(__xludf.DUMMYFUNCTION("IMPORTRANGE(""https://docs.google.com/spreadsheets/d/""&amp;$A107&amp;""/edit#gid=156619080"",AF$3)"),1837.37)</f>
        <v>1837.37</v>
      </c>
      <c r="AG107" s="2">
        <f>IFERROR(__xludf.DUMMYFUNCTION("IMPORTRANGE(""https://docs.google.com/spreadsheets/d/""&amp;$A107&amp;""/edit#gid=156619080"",AG$3)"),1786.46)</f>
        <v>1786.46</v>
      </c>
      <c r="AH107" s="2">
        <f>IFERROR(__xludf.DUMMYFUNCTION("IMPORTRANGE(""https://docs.google.com/spreadsheets/d/""&amp;$A107&amp;""/edit#gid=156619080"",AH$3)"),1735.55)</f>
        <v>1735.55</v>
      </c>
      <c r="AI107" s="2">
        <f>IFERROR(__xludf.DUMMYFUNCTION("IMPORTRANGE(""https://docs.google.com/spreadsheets/d/""&amp;$A107&amp;""/edit#gid=156619080"",AI$3)"),1684.64)</f>
        <v>1684.64</v>
      </c>
      <c r="AJ107" s="2">
        <f>IFERROR(__xludf.DUMMYFUNCTION("IMPORTRANGE(""https://docs.google.com/spreadsheets/d/""&amp;$A107&amp;""/edit#gid=156619080"",AJ$3)"),1633.74)</f>
        <v>1633.74</v>
      </c>
      <c r="AK107" s="2" t="str">
        <f>IFERROR(__xludf.DUMMYFUNCTION("IMPORTRANGE(""https://docs.google.com/spreadsheets/d/""&amp;$A107&amp;""/edit#gid=156619080"",AK$3)"),"")</f>
        <v/>
      </c>
      <c r="AL107" s="2">
        <f>IFERROR(__xludf.DUMMYFUNCTION("IMPORTRANGE(""https://docs.google.com/spreadsheets/d/""&amp;$A107&amp;""/edit#gid=156619080"",AL$3)"),-1.0)</f>
        <v>-1</v>
      </c>
      <c r="AM107" s="2" t="str">
        <f>IFERROR(__xludf.DUMMYFUNCTION("IMPORTRANGE(""https://docs.google.com/spreadsheets/d/""&amp;$A107&amp;""/edit#gid=156619080"",AM$3)"),"")</f>
        <v/>
      </c>
      <c r="AN107" s="2">
        <f>IFERROR(__xludf.DUMMYFUNCTION("IMPORTRANGE(""https://docs.google.com/spreadsheets/d/""&amp;$A107&amp;""/edit#gid=156619080"",AN$3)"),-1.0)</f>
        <v>-1</v>
      </c>
      <c r="AO107" s="2" t="str">
        <f>IFERROR(__xludf.DUMMYFUNCTION("IMPORTRANGE(""https://docs.google.com/spreadsheets/d/""&amp;$A107&amp;""/edit#gid=156619080"",AO$3)"),"")</f>
        <v/>
      </c>
      <c r="AP107" s="2">
        <f>IFERROR(__xludf.DUMMYFUNCTION("IMPORTRANGE(""https://docs.google.com/spreadsheets/d/""&amp;$A107&amp;""/edit#gid=156619080"",AP$3)"),-1.0)</f>
        <v>-1</v>
      </c>
      <c r="AQ107" s="2" t="str">
        <f>IFERROR(__xludf.DUMMYFUNCTION("IMPORTRANGE(""https://docs.google.com/spreadsheets/d/""&amp;$A107&amp;""/edit#gid=156619080"",AQ$3)"),"")</f>
        <v/>
      </c>
      <c r="AR107" s="18">
        <f>IFERROR(__xludf.DUMMYFUNCTION("IMPORTRANGE(""https://docs.google.com/spreadsheets/d/""&amp;$A107&amp;""/edit#gid=156619080"",AR$3)"),-60.00000000000001)</f>
        <v>-60</v>
      </c>
      <c r="AS107" s="19" t="str">
        <f>IFERROR(__xludf.DUMMYFUNCTION("IMPORTRANGE(""https://docs.google.com/spreadsheets/d/""&amp;$A107&amp;""/edit#gid=156619080"",AS$3)"),"-70
-70
-100
-90
")</f>
        <v>-70
-70
-100
-90
</v>
      </c>
      <c r="AT107" s="18">
        <f>IFERROR(__xludf.DUMMYFUNCTION("IMPORTRANGE(""https://docs.google.com/spreadsheets/d/""&amp;$A107&amp;""/edit#gid=156619080"",AT$3)"),-64.28571428571428)</f>
        <v>-64.28571429</v>
      </c>
      <c r="AU107" s="3" t="str">
        <f>IFERROR(__xludf.DUMMYFUNCTION("IMPORTRANGE(""https://docs.google.com/spreadsheets/d/""&amp;$A107&amp;""/edit#gid=156619080"",AU$3)"),"-43.41
-43.41
-43.41
-47.8
")</f>
        <v>-43.41
-43.41
-43.41
-47.8
</v>
      </c>
      <c r="AV107" s="18">
        <f>IFERROR(__xludf.DUMMYFUNCTION("IMPORTRANGE(""https://docs.google.com/spreadsheets/d/""&amp;$A107&amp;""/edit#gid=156619080"",AV$3)"),-85.84415584415584)</f>
        <v>-85.84415584</v>
      </c>
      <c r="AW107" s="19" t="str">
        <f>IFERROR(__xludf.DUMMYFUNCTION("IMPORTRANGE(""https://docs.google.com/spreadsheets/d/""&amp;$A107&amp;""/edit#gid=156619080"",AW$3)"),"-86.23
-86.36
-86.36
-86.23
")</f>
        <v>-86.23
-86.36
-86.36
-86.23
</v>
      </c>
      <c r="AX107" s="2">
        <f>IFERROR(__xludf.DUMMYFUNCTION("IMPORTRANGE(""https://docs.google.com/spreadsheets/d/""&amp;$A107&amp;""/edit#gid=156619080"",AX$3)"),7.290000000000001)</f>
        <v>7.29</v>
      </c>
      <c r="AY107" s="2">
        <f>IFERROR(__xludf.DUMMYFUNCTION("IMPORTRANGE(""https://docs.google.com/spreadsheets/d/""&amp;$A107&amp;""/edit#gid=156619080"",AY$3)"),17.04)</f>
        <v>17.04</v>
      </c>
      <c r="AZ107" s="2">
        <f>IFERROR(__xludf.DUMMYFUNCTION("IMPORTRANGE(""https://docs.google.com/spreadsheets/d/""&amp;$A107&amp;""/edit#gid=156619080"",AZ$3)"),1858.58)</f>
        <v>1858.58</v>
      </c>
      <c r="BA107" s="2">
        <f>IFERROR(__xludf.DUMMYFUNCTION("IMPORTRANGE(""https://docs.google.com/spreadsheets/d/""&amp;$A107&amp;""/edit#gid=156619080"",BA$3)"),-169.57000000000016)</f>
        <v>-169.57</v>
      </c>
      <c r="BB107" s="2">
        <f>IFERROR(__xludf.DUMMYFUNCTION("IMPORTRANGE(""https://docs.google.com/spreadsheets/d/""&amp;$A107&amp;""/edit#gid=156619080"",BB$3)"),-179.34)</f>
        <v>-179.34</v>
      </c>
      <c r="BC107" s="2" t="str">
        <f>IFERROR(__xludf.DUMMYFUNCTION("IMPORTRANGE(""https://docs.google.com/spreadsheets/d/""&amp;$A107&amp;""/edit#gid=156619080"",BC$3)"),"GC→GC")</f>
        <v>GC→GC</v>
      </c>
    </row>
    <row r="108" ht="51.0" customHeight="1">
      <c r="A108" s="7" t="str">
        <f t="shared" si="5"/>
        <v>1n55jz17PUfo4t6pG3awv-ADz_Fe-wgWjlsOY6tySeZs</v>
      </c>
      <c r="B108" s="1" t="s">
        <v>135</v>
      </c>
      <c r="C108" s="2">
        <f>IFERROR(__xludf.DUMMYFUNCTION("IMPORTRANGE(""https://docs.google.com/spreadsheets/d/""&amp;$A108&amp;""/edit#gid=156619080"",C$3)"),132.0)</f>
        <v>132</v>
      </c>
      <c r="D108" s="2">
        <f>IFERROR(__xludf.DUMMYFUNCTION("IMPORTRANGE(""https://docs.google.com/spreadsheets/d/""&amp;$A108&amp;""/edit#gid=156619080"",D$3)"),6841.0)</f>
        <v>6841</v>
      </c>
      <c r="E108" s="15">
        <f>IFERROR(__xludf.DUMMYFUNCTION("IMPORTRANGE(""https://docs.google.com/spreadsheets/d/""&amp;$A108&amp;""/edit#gid=156619080"",E$3)"),43882.0)</f>
        <v>43882</v>
      </c>
      <c r="F108" s="2">
        <f>IFERROR(__xludf.DUMMYFUNCTION("IMPORTRANGE(""https://docs.google.com/spreadsheets/d/""&amp;$A108&amp;""/edit#gid=156619080"",F$3)"),12.0)</f>
        <v>12</v>
      </c>
      <c r="G108" s="16">
        <f>IFERROR(__xludf.DUMMYFUNCTION("IMPORTRANGE(""https://docs.google.com/spreadsheets/d/""&amp;$A108&amp;""/edit#gid=156619080"",G$3)"),0.62)</f>
        <v>0.62</v>
      </c>
      <c r="H108" s="16">
        <f>IFERROR(__xludf.DUMMYFUNCTION("IMPORTRANGE(""https://docs.google.com/spreadsheets/d/""&amp;$A108&amp;""/edit#gid=156619080"",H$3)"),1937.0)</f>
        <v>1937</v>
      </c>
      <c r="I108" s="16">
        <f>IFERROR(__xludf.DUMMYFUNCTION("IMPORTRANGE(""https://docs.google.com/spreadsheets/d/""&amp;$A108&amp;""/edit#gid=156619080"",I$3)"),2.0)</f>
        <v>2</v>
      </c>
      <c r="J108" s="16">
        <f>IFERROR(__xludf.DUMMYFUNCTION("IMPORTRANGE(""https://docs.google.com/spreadsheets/d/""&amp;$A108&amp;""/edit#gid=156619080"",J$3)"),1956.0)</f>
        <v>1956</v>
      </c>
      <c r="K108" s="16">
        <f>IFERROR(__xludf.DUMMYFUNCTION("IMPORTRANGE(""https://docs.google.com/spreadsheets/d/""&amp;$A108&amp;""/edit#gid=156619080"",K$3)"),0.3993055555555556)</f>
        <v>0.3993055556</v>
      </c>
      <c r="L108" s="16">
        <f>IFERROR(__xludf.DUMMYFUNCTION("IMPORTRANGE(""https://docs.google.com/spreadsheets/d/""&amp;$A108&amp;""/edit#gid=156619080"",L$3)"),1929.0)</f>
        <v>1929</v>
      </c>
      <c r="M108" s="16">
        <f>IFERROR(__xludf.DUMMYFUNCTION("IMPORTRANGE(""https://docs.google.com/spreadsheets/d/""&amp;$A108&amp;""/edit#gid=156619080"",M$3)"),0.375)</f>
        <v>0.375</v>
      </c>
      <c r="N108" s="16">
        <f>IFERROR(__xludf.DUMMYFUNCTION("IMPORTRANGE(""https://docs.google.com/spreadsheets/d/""&amp;$A108&amp;""/edit#gid=156619080"",N$3)"),1951.0)</f>
        <v>1951</v>
      </c>
      <c r="O108" s="16" t="str">
        <f>IFERROR(__xludf.DUMMYFUNCTION("IMPORTRANGE(""https://docs.google.com/spreadsheets/d/""&amp;$A108&amp;""/edit#gid=156619080"",O$3)"),"801100株")</f>
        <v>801100株</v>
      </c>
      <c r="P108" s="16" t="str">
        <f>IFERROR(__xludf.DUMMYFUNCTION("IMPORTRANGE(""https://docs.google.com/spreadsheets/d/""&amp;$A108&amp;""/edit#gid=156619080"",P$3)"),"1561百万円")</f>
        <v>1561百万円</v>
      </c>
      <c r="Q108" s="16" t="str">
        <f>IFERROR(__xludf.DUMMYFUNCTION("IMPORTRANGE(""https://docs.google.com/spreadsheets/d/""&amp;$A108&amp;""/edit#gid=156619080"",Q$3)"),"1809回")</f>
        <v>1809回</v>
      </c>
      <c r="R108" s="16" t="str">
        <f>IFERROR(__xludf.DUMMYFUNCTION("IMPORTRANGE(""https://docs.google.com/spreadsheets/d/""&amp;$A108&amp;""/edit#gid=156619080"",R$3)"),"5241億円")</f>
        <v>5241億円</v>
      </c>
      <c r="S108" s="16" t="str">
        <f>IFERROR(__xludf.DUMMYFUNCTION("IMPORTRANGE(""https://docs.google.com/spreadsheets/d/""&amp;$A108&amp;""/edit#gid=156619080"",S$3)"),"陽線")</f>
        <v>陽線</v>
      </c>
      <c r="T108" s="16" t="str">
        <f>IFERROR(__xludf.DUMMYFUNCTION("IMPORTRANGE(""https://docs.google.com/spreadsheets/d/""&amp;$A108&amp;""/edit#gid=156619080"",T$3)"),"")</f>
        <v/>
      </c>
      <c r="U108" s="16">
        <f>IFERROR(__xludf.DUMMYFUNCTION("IMPORTRANGE(""https://docs.google.com/spreadsheets/d/""&amp;$A108&amp;""/edit#gid=156619080"",U$3)"),1934.0)</f>
        <v>1934</v>
      </c>
      <c r="V108" s="16">
        <f>IFERROR(__xludf.DUMMYFUNCTION("IMPORTRANGE(""https://docs.google.com/spreadsheets/d/""&amp;$A108&amp;""/edit#gid=156619080"",V$3)"),1949.3)</f>
        <v>1949.3</v>
      </c>
      <c r="W108" s="16">
        <f>IFERROR(__xludf.DUMMYFUNCTION("IMPORTRANGE(""https://docs.google.com/spreadsheets/d/""&amp;$A108&amp;""/edit#gid=156619080"",W$3)"),1959.9)</f>
        <v>1959.9</v>
      </c>
      <c r="X108" s="2">
        <f>IFERROR(__xludf.DUMMYFUNCTION("IMPORTRANGE(""https://docs.google.com/spreadsheets/d/""&amp;$A108&amp;""/edit#gid=156619080"",X$3)"),1937.3)</f>
        <v>1937.3</v>
      </c>
      <c r="Y108" s="17">
        <f>IFERROR(__xludf.DUMMYFUNCTION("IMPORTRANGE(""https://docs.google.com/spreadsheets/d/""&amp;$A108&amp;""/edit#gid=156619080"",Y$3)"),0.008790072388831437)</f>
        <v>0.008790072389</v>
      </c>
      <c r="Z108" s="2">
        <f>IFERROR(__xludf.DUMMYFUNCTION("IMPORTRANGE(""https://docs.google.com/spreadsheets/d/""&amp;$A108&amp;""/edit#gid=156619080"",Z$3)"),2033.25)</f>
        <v>2033.25</v>
      </c>
      <c r="AA108" s="2">
        <f>IFERROR(__xludf.DUMMYFUNCTION("IMPORTRANGE(""https://docs.google.com/spreadsheets/d/""&amp;$A108&amp;""/edit#gid=156619080"",AA$3)"),2024.08)</f>
        <v>2024.08</v>
      </c>
      <c r="AB108" s="2">
        <f>IFERROR(__xludf.DUMMYFUNCTION("IMPORTRANGE(""https://docs.google.com/spreadsheets/d/""&amp;$A108&amp;""/edit#gid=156619080"",AB$3)"),2014.91)</f>
        <v>2014.91</v>
      </c>
      <c r="AC108" s="18">
        <f>IFERROR(__xludf.DUMMYFUNCTION("IMPORTRANGE(""https://docs.google.com/spreadsheets/d/""&amp;$A108&amp;""/edit#gid=156619080"",AC$3)"),2005.74)</f>
        <v>2005.74</v>
      </c>
      <c r="AD108" s="18">
        <f>IFERROR(__xludf.DUMMYFUNCTION("IMPORTRANGE(""https://docs.google.com/spreadsheets/d/""&amp;$A108&amp;""/edit#gid=156619080"",AD$3)"),1996.57)</f>
        <v>1996.57</v>
      </c>
      <c r="AE108" s="18">
        <f>IFERROR(__xludf.DUMMYFUNCTION("IMPORTRANGE(""https://docs.google.com/spreadsheets/d/""&amp;$A108&amp;""/edit#gid=156619080"",AE$3)"),1959.9)</f>
        <v>1959.9</v>
      </c>
      <c r="AF108" s="2">
        <f>IFERROR(__xludf.DUMMYFUNCTION("IMPORTRANGE(""https://docs.google.com/spreadsheets/d/""&amp;$A108&amp;""/edit#gid=156619080"",AF$3)"),1923.23)</f>
        <v>1923.23</v>
      </c>
      <c r="AG108" s="2">
        <f>IFERROR(__xludf.DUMMYFUNCTION("IMPORTRANGE(""https://docs.google.com/spreadsheets/d/""&amp;$A108&amp;""/edit#gid=156619080"",AG$3)"),1914.06)</f>
        <v>1914.06</v>
      </c>
      <c r="AH108" s="2">
        <f>IFERROR(__xludf.DUMMYFUNCTION("IMPORTRANGE(""https://docs.google.com/spreadsheets/d/""&amp;$A108&amp;""/edit#gid=156619080"",AH$3)"),1904.89)</f>
        <v>1904.89</v>
      </c>
      <c r="AI108" s="2">
        <f>IFERROR(__xludf.DUMMYFUNCTION("IMPORTRANGE(""https://docs.google.com/spreadsheets/d/""&amp;$A108&amp;""/edit#gid=156619080"",AI$3)"),1895.72)</f>
        <v>1895.72</v>
      </c>
      <c r="AJ108" s="2">
        <f>IFERROR(__xludf.DUMMYFUNCTION("IMPORTRANGE(""https://docs.google.com/spreadsheets/d/""&amp;$A108&amp;""/edit#gid=156619080"",AJ$3)"),1886.55)</f>
        <v>1886.55</v>
      </c>
      <c r="AK108" s="2" t="str">
        <f>IFERROR(__xludf.DUMMYFUNCTION("IMPORTRANGE(""https://docs.google.com/spreadsheets/d/""&amp;$A108&amp;""/edit#gid=156619080"",AK$3)"),"")</f>
        <v/>
      </c>
      <c r="AL108" s="2">
        <f>IFERROR(__xludf.DUMMYFUNCTION("IMPORTRANGE(""https://docs.google.com/spreadsheets/d/""&amp;$A108&amp;""/edit#gid=156619080"",AL$3)"),-1.0)</f>
        <v>-1</v>
      </c>
      <c r="AM108" s="2" t="str">
        <f>IFERROR(__xludf.DUMMYFUNCTION("IMPORTRANGE(""https://docs.google.com/spreadsheets/d/""&amp;$A108&amp;""/edit#gid=156619080"",AM$3)"),"")</f>
        <v/>
      </c>
      <c r="AN108" s="2">
        <f>IFERROR(__xludf.DUMMYFUNCTION("IMPORTRANGE(""https://docs.google.com/spreadsheets/d/""&amp;$A108&amp;""/edit#gid=156619080"",AN$3)"),-1.0)</f>
        <v>-1</v>
      </c>
      <c r="AO108" s="2" t="str">
        <f>IFERROR(__xludf.DUMMYFUNCTION("IMPORTRANGE(""https://docs.google.com/spreadsheets/d/""&amp;$A108&amp;""/edit#gid=156619080"",AO$3)"),"")</f>
        <v/>
      </c>
      <c r="AP108" s="2">
        <f>IFERROR(__xludf.DUMMYFUNCTION("IMPORTRANGE(""https://docs.google.com/spreadsheets/d/""&amp;$A108&amp;""/edit#gid=156619080"",AP$3)"),-1.0)</f>
        <v>-1</v>
      </c>
      <c r="AQ108" s="2" t="str">
        <f>IFERROR(__xludf.DUMMYFUNCTION("IMPORTRANGE(""https://docs.google.com/spreadsheets/d/""&amp;$A108&amp;""/edit#gid=156619080"",AQ$3)"),"")</f>
        <v/>
      </c>
      <c r="AR108" s="18">
        <f>IFERROR(__xludf.DUMMYFUNCTION("IMPORTRANGE(""https://docs.google.com/spreadsheets/d/""&amp;$A108&amp;""/edit#gid=156619080"",AR$3)"),57.49999999999999)</f>
        <v>57.5</v>
      </c>
      <c r="AS108" s="19" t="str">
        <f>IFERROR(__xludf.DUMMYFUNCTION("IMPORTRANGE(""https://docs.google.com/spreadsheets/d/""&amp;$A108&amp;""/edit#gid=156619080"",AS$3)"),"-32.5
-32.5
-82.5
-10
")</f>
        <v>-32.5
-32.5
-82.5
-10
</v>
      </c>
      <c r="AT108" s="18">
        <f>IFERROR(__xludf.DUMMYFUNCTION("IMPORTRANGE(""https://docs.google.com/spreadsheets/d/""&amp;$A108&amp;""/edit#gid=156619080"",AT$3)"),-28.57142857142858)</f>
        <v>-28.57142857</v>
      </c>
      <c r="AU108" s="3" t="str">
        <f>IFERROR(__xludf.DUMMYFUNCTION("IMPORTRANGE(""https://docs.google.com/spreadsheets/d/""&amp;$A108&amp;""/edit#gid=156619080"",AU$3)"),"16.35
16.9
0.41
-8.24
")</f>
        <v>16.35
16.9
0.41
-8.24
</v>
      </c>
      <c r="AV108" s="18">
        <f>IFERROR(__xludf.DUMMYFUNCTION("IMPORTRANGE(""https://docs.google.com/spreadsheets/d/""&amp;$A108&amp;""/edit#gid=156619080"",AV$3)"),-45.194805194805184)</f>
        <v>-45.19480519</v>
      </c>
      <c r="AW108" s="19" t="str">
        <f>IFERROR(__xludf.DUMMYFUNCTION("IMPORTRANGE(""https://docs.google.com/spreadsheets/d/""&amp;$A108&amp;""/edit#gid=156619080"",AW$3)"),"-69.25
-66.92
-64.06
-55.84
")</f>
        <v>-69.25
-66.92
-64.06
-55.84
</v>
      </c>
      <c r="AX108" s="2">
        <f>IFERROR(__xludf.DUMMYFUNCTION("IMPORTRANGE(""https://docs.google.com/spreadsheets/d/""&amp;$A108&amp;""/edit#gid=156619080"",AX$3)"),62.0)</f>
        <v>62</v>
      </c>
      <c r="AY108" s="2">
        <f>IFERROR(__xludf.DUMMYFUNCTION("IMPORTRANGE(""https://docs.google.com/spreadsheets/d/""&amp;$A108&amp;""/edit#gid=156619080"",AY$3)"),36.230000000000004)</f>
        <v>36.23</v>
      </c>
      <c r="AZ108" s="2">
        <f>IFERROR(__xludf.DUMMYFUNCTION("IMPORTRANGE(""https://docs.google.com/spreadsheets/d/""&amp;$A108&amp;""/edit#gid=156619080"",AZ$3)"),1939.91)</f>
        <v>1939.91</v>
      </c>
      <c r="BA108" s="2">
        <f>IFERROR(__xludf.DUMMYFUNCTION("IMPORTRANGE(""https://docs.google.com/spreadsheets/d/""&amp;$A108&amp;""/edit#gid=156619080"",BA$3)"),-18.309999999999945)</f>
        <v>-18.31</v>
      </c>
      <c r="BB108" s="2">
        <f>IFERROR(__xludf.DUMMYFUNCTION("IMPORTRANGE(""https://docs.google.com/spreadsheets/d/""&amp;$A108&amp;""/edit#gid=156619080"",BB$3)"),-19.26)</f>
        <v>-19.26</v>
      </c>
      <c r="BC108" s="2" t="str">
        <f>IFERROR(__xludf.DUMMYFUNCTION("IMPORTRANGE(""https://docs.google.com/spreadsheets/d/""&amp;$A108&amp;""/edit#gid=156619080"",BC$3)"),"DC→GC")</f>
        <v>DC→GC</v>
      </c>
    </row>
    <row r="109" ht="51.0" customHeight="1">
      <c r="A109" s="7" t="str">
        <f t="shared" si="5"/>
        <v>17092H7qNlzDM4kLpmLkNj0LRaDQdRe2n_SlffJnhmUM</v>
      </c>
      <c r="B109" s="1" t="s">
        <v>136</v>
      </c>
      <c r="C109" s="2">
        <f>IFERROR(__xludf.DUMMYFUNCTION("IMPORTRANGE(""https://docs.google.com/spreadsheets/d/""&amp;$A109&amp;""/edit#gid=156619080"",C$3)"),132.0)</f>
        <v>132</v>
      </c>
      <c r="D109" s="2">
        <f>IFERROR(__xludf.DUMMYFUNCTION("IMPORTRANGE(""https://docs.google.com/spreadsheets/d/""&amp;$A109&amp;""/edit#gid=156619080"",D$3)"),6857.0)</f>
        <v>6857</v>
      </c>
      <c r="E109" s="15">
        <f>IFERROR(__xludf.DUMMYFUNCTION("IMPORTRANGE(""https://docs.google.com/spreadsheets/d/""&amp;$A109&amp;""/edit#gid=156619080"",E$3)"),43882.0)</f>
        <v>43882</v>
      </c>
      <c r="F109" s="2">
        <f>IFERROR(__xludf.DUMMYFUNCTION("IMPORTRANGE(""https://docs.google.com/spreadsheets/d/""&amp;$A109&amp;""/edit#gid=156619080"",F$3)"),-50.0)</f>
        <v>-50</v>
      </c>
      <c r="G109" s="16">
        <f>IFERROR(__xludf.DUMMYFUNCTION("IMPORTRANGE(""https://docs.google.com/spreadsheets/d/""&amp;$A109&amp;""/edit#gid=156619080"",G$3)"),-0.89)</f>
        <v>-0.89</v>
      </c>
      <c r="H109" s="16">
        <f>IFERROR(__xludf.DUMMYFUNCTION("IMPORTRANGE(""https://docs.google.com/spreadsheets/d/""&amp;$A109&amp;""/edit#gid=156619080"",H$3)"),5600.0)</f>
        <v>5600</v>
      </c>
      <c r="I109" s="16">
        <f>IFERROR(__xludf.DUMMYFUNCTION("IMPORTRANGE(""https://docs.google.com/spreadsheets/d/""&amp;$A109&amp;""/edit#gid=156619080"",I$3)"),10.0)</f>
        <v>10</v>
      </c>
      <c r="J109" s="16">
        <f>IFERROR(__xludf.DUMMYFUNCTION("IMPORTRANGE(""https://docs.google.com/spreadsheets/d/""&amp;$A109&amp;""/edit#gid=156619080"",J$3)"),5720.0)</f>
        <v>5720</v>
      </c>
      <c r="K109" s="16">
        <f>IFERROR(__xludf.DUMMYFUNCTION("IMPORTRANGE(""https://docs.google.com/spreadsheets/d/""&amp;$A109&amp;""/edit#gid=156619080"",K$3)"),0.3902777777777778)</f>
        <v>0.3902777778</v>
      </c>
      <c r="L109" s="16">
        <f>IFERROR(__xludf.DUMMYFUNCTION("IMPORTRANGE(""https://docs.google.com/spreadsheets/d/""&amp;$A109&amp;""/edit#gid=156619080"",L$3)"),5550.0)</f>
        <v>5550</v>
      </c>
      <c r="M109" s="16">
        <f>IFERROR(__xludf.DUMMYFUNCTION("IMPORTRANGE(""https://docs.google.com/spreadsheets/d/""&amp;$A109&amp;""/edit#gid=156619080"",M$3)"),0.6194444444444445)</f>
        <v>0.6194444444</v>
      </c>
      <c r="N109" s="16">
        <f>IFERROR(__xludf.DUMMYFUNCTION("IMPORTRANGE(""https://docs.google.com/spreadsheets/d/""&amp;$A109&amp;""/edit#gid=156619080"",N$3)"),5560.0)</f>
        <v>5560</v>
      </c>
      <c r="O109" s="16" t="str">
        <f>IFERROR(__xludf.DUMMYFUNCTION("IMPORTRANGE(""https://docs.google.com/spreadsheets/d/""&amp;$A109&amp;""/edit#gid=156619080"",O$3)"),"2162500株")</f>
        <v>2162500株</v>
      </c>
      <c r="P109" s="16" t="str">
        <f>IFERROR(__xludf.DUMMYFUNCTION("IMPORTRANGE(""https://docs.google.com/spreadsheets/d/""&amp;$A109&amp;""/edit#gid=156619080"",P$3)"),"12143百万円")</f>
        <v>12143百万円</v>
      </c>
      <c r="Q109" s="16" t="str">
        <f>IFERROR(__xludf.DUMMYFUNCTION("IMPORTRANGE(""https://docs.google.com/spreadsheets/d/""&amp;$A109&amp;""/edit#gid=156619080"",Q$3)"),"2981回")</f>
        <v>2981回</v>
      </c>
      <c r="R109" s="16" t="str">
        <f>IFERROR(__xludf.DUMMYFUNCTION("IMPORTRANGE(""https://docs.google.com/spreadsheets/d/""&amp;$A109&amp;""/edit#gid=156619080"",R$3)"),"11096億円")</f>
        <v>11096億円</v>
      </c>
      <c r="S109" s="16" t="str">
        <f>IFERROR(__xludf.DUMMYFUNCTION("IMPORTRANGE(""https://docs.google.com/spreadsheets/d/""&amp;$A109&amp;""/edit#gid=156619080"",S$3)"),"陰線")</f>
        <v>陰線</v>
      </c>
      <c r="T109" s="16" t="str">
        <f>IFERROR(__xludf.DUMMYFUNCTION("IMPORTRANGE(""https://docs.google.com/spreadsheets/d/""&amp;$A109&amp;""/edit#gid=156619080"",T$3)"),"")</f>
        <v/>
      </c>
      <c r="U109" s="16">
        <f>IFERROR(__xludf.DUMMYFUNCTION("IMPORTRANGE(""https://docs.google.com/spreadsheets/d/""&amp;$A109&amp;""/edit#gid=156619080"",U$3)"),5590.0)</f>
        <v>5590</v>
      </c>
      <c r="V109" s="16">
        <f>IFERROR(__xludf.DUMMYFUNCTION("IMPORTRANGE(""https://docs.google.com/spreadsheets/d/""&amp;$A109&amp;""/edit#gid=156619080"",V$3)"),5686.9)</f>
        <v>5686.9</v>
      </c>
      <c r="W109" s="16">
        <f>IFERROR(__xludf.DUMMYFUNCTION("IMPORTRANGE(""https://docs.google.com/spreadsheets/d/""&amp;$A109&amp;""/edit#gid=156619080"",W$3)"),5821.0)</f>
        <v>5821</v>
      </c>
      <c r="X109" s="2">
        <f>IFERROR(__xludf.DUMMYFUNCTION("IMPORTRANGE(""https://docs.google.com/spreadsheets/d/""&amp;$A109&amp;""/edit#gid=156619080"",X$3)"),5499.1)</f>
        <v>5499.1</v>
      </c>
      <c r="Y109" s="17">
        <f>IFERROR(__xludf.DUMMYFUNCTION("IMPORTRANGE(""https://docs.google.com/spreadsheets/d/""&amp;$A109&amp;""/edit#gid=156619080"",Y$3)"),-0.005366726296958855)</f>
        <v>-0.005366726297</v>
      </c>
      <c r="Z109" s="2">
        <f>IFERROR(__xludf.DUMMYFUNCTION("IMPORTRANGE(""https://docs.google.com/spreadsheets/d/""&amp;$A109&amp;""/edit#gid=156619080"",Z$3)"),6330.67)</f>
        <v>6330.67</v>
      </c>
      <c r="AA109" s="2">
        <f>IFERROR(__xludf.DUMMYFUNCTION("IMPORTRANGE(""https://docs.google.com/spreadsheets/d/""&amp;$A109&amp;""/edit#gid=156619080"",AA$3)"),6266.96)</f>
        <v>6266.96</v>
      </c>
      <c r="AB109" s="2">
        <f>IFERROR(__xludf.DUMMYFUNCTION("IMPORTRANGE(""https://docs.google.com/spreadsheets/d/""&amp;$A109&amp;""/edit#gid=156619080"",AB$3)"),6203.26)</f>
        <v>6203.26</v>
      </c>
      <c r="AC109" s="18">
        <f>IFERROR(__xludf.DUMMYFUNCTION("IMPORTRANGE(""https://docs.google.com/spreadsheets/d/""&amp;$A109&amp;""/edit#gid=156619080"",AC$3)"),6139.55)</f>
        <v>6139.55</v>
      </c>
      <c r="AD109" s="18">
        <f>IFERROR(__xludf.DUMMYFUNCTION("IMPORTRANGE(""https://docs.google.com/spreadsheets/d/""&amp;$A109&amp;""/edit#gid=156619080"",AD$3)"),6075.84)</f>
        <v>6075.84</v>
      </c>
      <c r="AE109" s="18">
        <f>IFERROR(__xludf.DUMMYFUNCTION("IMPORTRANGE(""https://docs.google.com/spreadsheets/d/""&amp;$A109&amp;""/edit#gid=156619080"",AE$3)"),5821.0)</f>
        <v>5821</v>
      </c>
      <c r="AF109" s="2">
        <f>IFERROR(__xludf.DUMMYFUNCTION("IMPORTRANGE(""https://docs.google.com/spreadsheets/d/""&amp;$A109&amp;""/edit#gid=156619080"",AF$3)"),5566.16)</f>
        <v>5566.16</v>
      </c>
      <c r="AG109" s="2">
        <f>IFERROR(__xludf.DUMMYFUNCTION("IMPORTRANGE(""https://docs.google.com/spreadsheets/d/""&amp;$A109&amp;""/edit#gid=156619080"",AG$3)"),5502.45)</f>
        <v>5502.45</v>
      </c>
      <c r="AH109" s="2">
        <f>IFERROR(__xludf.DUMMYFUNCTION("IMPORTRANGE(""https://docs.google.com/spreadsheets/d/""&amp;$A109&amp;""/edit#gid=156619080"",AH$3)"),5438.74)</f>
        <v>5438.74</v>
      </c>
      <c r="AI109" s="2">
        <f>IFERROR(__xludf.DUMMYFUNCTION("IMPORTRANGE(""https://docs.google.com/spreadsheets/d/""&amp;$A109&amp;""/edit#gid=156619080"",AI$3)"),5375.04)</f>
        <v>5375.04</v>
      </c>
      <c r="AJ109" s="2">
        <f>IFERROR(__xludf.DUMMYFUNCTION("IMPORTRANGE(""https://docs.google.com/spreadsheets/d/""&amp;$A109&amp;""/edit#gid=156619080"",AJ$3)"),5311.33)</f>
        <v>5311.33</v>
      </c>
      <c r="AK109" s="2" t="str">
        <f>IFERROR(__xludf.DUMMYFUNCTION("IMPORTRANGE(""https://docs.google.com/spreadsheets/d/""&amp;$A109&amp;""/edit#gid=156619080"",AK$3)"),"-1〜-1.25σ")</f>
        <v>-1〜-1.25σ</v>
      </c>
      <c r="AL109" s="2">
        <f>IFERROR(__xludf.DUMMYFUNCTION("IMPORTRANGE(""https://docs.google.com/spreadsheets/d/""&amp;$A109&amp;""/edit#gid=156619080"",AL$3)"),-1.0)</f>
        <v>-1</v>
      </c>
      <c r="AM109" s="2" t="str">
        <f>IFERROR(__xludf.DUMMYFUNCTION("IMPORTRANGE(""https://docs.google.com/spreadsheets/d/""&amp;$A109&amp;""/edit#gid=156619080"",AM$3)"),"")</f>
        <v/>
      </c>
      <c r="AN109" s="2">
        <f>IFERROR(__xludf.DUMMYFUNCTION("IMPORTRANGE(""https://docs.google.com/spreadsheets/d/""&amp;$A109&amp;""/edit#gid=156619080"",AN$3)"),-1.0)</f>
        <v>-1</v>
      </c>
      <c r="AO109" s="2" t="str">
        <f>IFERROR(__xludf.DUMMYFUNCTION("IMPORTRANGE(""https://docs.google.com/spreadsheets/d/""&amp;$A109&amp;""/edit#gid=156619080"",AO$3)"),"")</f>
        <v/>
      </c>
      <c r="AP109" s="2">
        <f>IFERROR(__xludf.DUMMYFUNCTION("IMPORTRANGE(""https://docs.google.com/spreadsheets/d/""&amp;$A109&amp;""/edit#gid=156619080"",AP$3)"),-1.0)</f>
        <v>-1</v>
      </c>
      <c r="AQ109" s="2" t="str">
        <f>IFERROR(__xludf.DUMMYFUNCTION("IMPORTRANGE(""https://docs.google.com/spreadsheets/d/""&amp;$A109&amp;""/edit#gid=156619080"",AQ$3)"),"")</f>
        <v/>
      </c>
      <c r="AR109" s="18">
        <f>IFERROR(__xludf.DUMMYFUNCTION("IMPORTRANGE(""https://docs.google.com/spreadsheets/d/""&amp;$A109&amp;""/edit#gid=156619080"",AR$3)"),-39.99999999999999)</f>
        <v>-40</v>
      </c>
      <c r="AS109" s="19" t="str">
        <f>IFERROR(__xludf.DUMMYFUNCTION("IMPORTRANGE(""https://docs.google.com/spreadsheets/d/""&amp;$A109&amp;""/edit#gid=156619080"",AS$3)"),"30
-70
-80
-70
")</f>
        <v>30
-70
-80
-70
</v>
      </c>
      <c r="AT109" s="18">
        <f>IFERROR(__xludf.DUMMYFUNCTION("IMPORTRANGE(""https://docs.google.com/spreadsheets/d/""&amp;$A109&amp;""/edit#gid=156619080"",AT$3)"),-42.582417582417584)</f>
        <v>-42.58241758</v>
      </c>
      <c r="AU109" s="3" t="str">
        <f>IFERROR(__xludf.DUMMYFUNCTION("IMPORTRANGE(""https://docs.google.com/spreadsheets/d/""&amp;$A109&amp;""/edit#gid=156619080"",AU$3)"),"-1.51
-1.51
-26.79
-26.79
")</f>
        <v>-1.51
-1.51
-26.79
-26.79
</v>
      </c>
      <c r="AV109" s="18">
        <f>IFERROR(__xludf.DUMMYFUNCTION("IMPORTRANGE(""https://docs.google.com/spreadsheets/d/""&amp;$A109&amp;""/edit#gid=156619080"",AV$3)"),-73.4090909090909)</f>
        <v>-73.40909091</v>
      </c>
      <c r="AW109" s="19" t="str">
        <f>IFERROR(__xludf.DUMMYFUNCTION("IMPORTRANGE(""https://docs.google.com/spreadsheets/d/""&amp;$A109&amp;""/edit#gid=156619080"",AW$3)"),"-70.1
-72.69
-72.95
-73.96
")</f>
        <v>-70.1
-72.69
-72.95
-73.96
</v>
      </c>
      <c r="AX109" s="2">
        <f>IFERROR(__xludf.DUMMYFUNCTION("IMPORTRANGE(""https://docs.google.com/spreadsheets/d/""&amp;$A109&amp;""/edit#gid=156619080"",AX$3)"),28.57)</f>
        <v>28.57</v>
      </c>
      <c r="AY109" s="2">
        <f>IFERROR(__xludf.DUMMYFUNCTION("IMPORTRANGE(""https://docs.google.com/spreadsheets/d/""&amp;$A109&amp;""/edit#gid=156619080"",AY$3)"),37.75)</f>
        <v>37.75</v>
      </c>
      <c r="AZ109" s="2">
        <f>IFERROR(__xludf.DUMMYFUNCTION("IMPORTRANGE(""https://docs.google.com/spreadsheets/d/""&amp;$A109&amp;""/edit#gid=156619080"",AZ$3)"),5609.29)</f>
        <v>5609.29</v>
      </c>
      <c r="BA109" s="2">
        <f>IFERROR(__xludf.DUMMYFUNCTION("IMPORTRANGE(""https://docs.google.com/spreadsheets/d/""&amp;$A109&amp;""/edit#gid=156619080"",BA$3)"),-161.6899999999996)</f>
        <v>-161.69</v>
      </c>
      <c r="BB109" s="2">
        <f>IFERROR(__xludf.DUMMYFUNCTION("IMPORTRANGE(""https://docs.google.com/spreadsheets/d/""&amp;$A109&amp;""/edit#gid=156619080"",BB$3)"),-128.93)</f>
        <v>-128.93</v>
      </c>
      <c r="BC109" s="2" t="str">
        <f>IFERROR(__xludf.DUMMYFUNCTION("IMPORTRANGE(""https://docs.google.com/spreadsheets/d/""&amp;$A109&amp;""/edit#gid=156619080"",BC$3)"),"DC→DC")</f>
        <v>DC→DC</v>
      </c>
    </row>
    <row r="110" ht="51.0" customHeight="1">
      <c r="A110" s="7" t="str">
        <f t="shared" si="5"/>
        <v>187284x_NWoG2rs4DXWaO4_DwT355SnLbx621Ys7hDy0</v>
      </c>
      <c r="B110" s="1" t="s">
        <v>137</v>
      </c>
      <c r="C110" s="2">
        <f>IFERROR(__xludf.DUMMYFUNCTION("IMPORTRANGE(""https://docs.google.com/spreadsheets/d/""&amp;$A110&amp;""/edit#gid=156619080"",C$3)"),132.0)</f>
        <v>132</v>
      </c>
      <c r="D110" s="2">
        <f>IFERROR(__xludf.DUMMYFUNCTION("IMPORTRANGE(""https://docs.google.com/spreadsheets/d/""&amp;$A110&amp;""/edit#gid=156619080"",D$3)"),6902.0)</f>
        <v>6902</v>
      </c>
      <c r="E110" s="15">
        <f>IFERROR(__xludf.DUMMYFUNCTION("IMPORTRANGE(""https://docs.google.com/spreadsheets/d/""&amp;$A110&amp;""/edit#gid=156619080"",E$3)"),43882.0)</f>
        <v>43882</v>
      </c>
      <c r="F110" s="2">
        <f>IFERROR(__xludf.DUMMYFUNCTION("IMPORTRANGE(""https://docs.google.com/spreadsheets/d/""&amp;$A110&amp;""/edit#gid=156619080"",F$3)"),-15.0)</f>
        <v>-15</v>
      </c>
      <c r="G110" s="16">
        <f>IFERROR(__xludf.DUMMYFUNCTION("IMPORTRANGE(""https://docs.google.com/spreadsheets/d/""&amp;$A110&amp;""/edit#gid=156619080"",G$3)"),-0.34)</f>
        <v>-0.34</v>
      </c>
      <c r="H110" s="16">
        <f>IFERROR(__xludf.DUMMYFUNCTION("IMPORTRANGE(""https://docs.google.com/spreadsheets/d/""&amp;$A110&amp;""/edit#gid=156619080"",H$3)"),4470.0)</f>
        <v>4470</v>
      </c>
      <c r="I110" s="16">
        <f>IFERROR(__xludf.DUMMYFUNCTION("IMPORTRANGE(""https://docs.google.com/spreadsheets/d/""&amp;$A110&amp;""/edit#gid=156619080"",I$3)"),-3.0)</f>
        <v>-3</v>
      </c>
      <c r="J110" s="16">
        <f>IFERROR(__xludf.DUMMYFUNCTION("IMPORTRANGE(""https://docs.google.com/spreadsheets/d/""&amp;$A110&amp;""/edit#gid=156619080"",J$3)"),4491.0)</f>
        <v>4491</v>
      </c>
      <c r="K110" s="16">
        <f>IFERROR(__xludf.DUMMYFUNCTION("IMPORTRANGE(""https://docs.google.com/spreadsheets/d/""&amp;$A110&amp;""/edit#gid=156619080"",K$3)"),0.3798611111111111)</f>
        <v>0.3798611111</v>
      </c>
      <c r="L110" s="16">
        <f>IFERROR(__xludf.DUMMYFUNCTION("IMPORTRANGE(""https://docs.google.com/spreadsheets/d/""&amp;$A110&amp;""/edit#gid=156619080"",L$3)"),4446.0)</f>
        <v>4446</v>
      </c>
      <c r="M110" s="16">
        <f>IFERROR(__xludf.DUMMYFUNCTION("IMPORTRANGE(""https://docs.google.com/spreadsheets/d/""&amp;$A110&amp;""/edit#gid=156619080"",M$3)"),0.61875)</f>
        <v>0.61875</v>
      </c>
      <c r="N110" s="16">
        <f>IFERROR(__xludf.DUMMYFUNCTION("IMPORTRANGE(""https://docs.google.com/spreadsheets/d/""&amp;$A110&amp;""/edit#gid=156619080"",N$3)"),4452.0)</f>
        <v>4452</v>
      </c>
      <c r="O110" s="16" t="str">
        <f>IFERROR(__xludf.DUMMYFUNCTION("IMPORTRANGE(""https://docs.google.com/spreadsheets/d/""&amp;$A110&amp;""/edit#gid=156619080"",O$3)"),"1211900株")</f>
        <v>1211900株</v>
      </c>
      <c r="P110" s="16" t="str">
        <f>IFERROR(__xludf.DUMMYFUNCTION("IMPORTRANGE(""https://docs.google.com/spreadsheets/d/""&amp;$A110&amp;""/edit#gid=156619080"",P$3)"),"5413百万円")</f>
        <v>5413百万円</v>
      </c>
      <c r="Q110" s="16" t="str">
        <f>IFERROR(__xludf.DUMMYFUNCTION("IMPORTRANGE(""https://docs.google.com/spreadsheets/d/""&amp;$A110&amp;""/edit#gid=156619080"",Q$3)"),"3545回")</f>
        <v>3545回</v>
      </c>
      <c r="R110" s="16" t="str">
        <f>IFERROR(__xludf.DUMMYFUNCTION("IMPORTRANGE(""https://docs.google.com/spreadsheets/d/""&amp;$A110&amp;""/edit#gid=156619080"",R$3)"),"35079億円")</f>
        <v>35079億円</v>
      </c>
      <c r="S110" s="16" t="str">
        <f>IFERROR(__xludf.DUMMYFUNCTION("IMPORTRANGE(""https://docs.google.com/spreadsheets/d/""&amp;$A110&amp;""/edit#gid=156619080"",S$3)"),"陰線")</f>
        <v>陰線</v>
      </c>
      <c r="T110" s="16" t="str">
        <f>IFERROR(__xludf.DUMMYFUNCTION("IMPORTRANGE(""https://docs.google.com/spreadsheets/d/""&amp;$A110&amp;""/edit#gid=156619080"",T$3)"),"")</f>
        <v/>
      </c>
      <c r="U110" s="16">
        <f>IFERROR(__xludf.DUMMYFUNCTION("IMPORTRANGE(""https://docs.google.com/spreadsheets/d/""&amp;$A110&amp;""/edit#gid=156619080"",U$3)"),4451.2)</f>
        <v>4451.2</v>
      </c>
      <c r="V110" s="16">
        <f>IFERROR(__xludf.DUMMYFUNCTION("IMPORTRANGE(""https://docs.google.com/spreadsheets/d/""&amp;$A110&amp;""/edit#gid=156619080"",V$3)"),4481.2)</f>
        <v>4481.2</v>
      </c>
      <c r="W110" s="16">
        <f>IFERROR(__xludf.DUMMYFUNCTION("IMPORTRANGE(""https://docs.google.com/spreadsheets/d/""&amp;$A110&amp;""/edit#gid=156619080"",W$3)"),4532.9)</f>
        <v>4532.9</v>
      </c>
      <c r="X110" s="2">
        <f>IFERROR(__xludf.DUMMYFUNCTION("IMPORTRANGE(""https://docs.google.com/spreadsheets/d/""&amp;$A110&amp;""/edit#gid=156619080"",X$3)"),4795.2)</f>
        <v>4795.2</v>
      </c>
      <c r="Y110" s="17">
        <f>IFERROR(__xludf.DUMMYFUNCTION("IMPORTRANGE(""https://docs.google.com/spreadsheets/d/""&amp;$A110&amp;""/edit#gid=156619080"",Y$3)"),1.7972681524087481E-4)</f>
        <v>0.0001797268152</v>
      </c>
      <c r="Z110" s="2">
        <f>IFERROR(__xludf.DUMMYFUNCTION("IMPORTRANGE(""https://docs.google.com/spreadsheets/d/""&amp;$A110&amp;""/edit#gid=156619080"",Z$3)"),4734.06)</f>
        <v>4734.06</v>
      </c>
      <c r="AA110" s="2">
        <f>IFERROR(__xludf.DUMMYFUNCTION("IMPORTRANGE(""https://docs.google.com/spreadsheets/d/""&amp;$A110&amp;""/edit#gid=156619080"",AA$3)"),4708.92)</f>
        <v>4708.92</v>
      </c>
      <c r="AB110" s="2">
        <f>IFERROR(__xludf.DUMMYFUNCTION("IMPORTRANGE(""https://docs.google.com/spreadsheets/d/""&amp;$A110&amp;""/edit#gid=156619080"",AB$3)"),4683.77)</f>
        <v>4683.77</v>
      </c>
      <c r="AC110" s="18">
        <f>IFERROR(__xludf.DUMMYFUNCTION("IMPORTRANGE(""https://docs.google.com/spreadsheets/d/""&amp;$A110&amp;""/edit#gid=156619080"",AC$3)"),4658.63)</f>
        <v>4658.63</v>
      </c>
      <c r="AD110" s="18">
        <f>IFERROR(__xludf.DUMMYFUNCTION("IMPORTRANGE(""https://docs.google.com/spreadsheets/d/""&amp;$A110&amp;""/edit#gid=156619080"",AD$3)"),4633.48)</f>
        <v>4633.48</v>
      </c>
      <c r="AE110" s="18">
        <f>IFERROR(__xludf.DUMMYFUNCTION("IMPORTRANGE(""https://docs.google.com/spreadsheets/d/""&amp;$A110&amp;""/edit#gid=156619080"",AE$3)"),4532.9)</f>
        <v>4532.9</v>
      </c>
      <c r="AF110" s="2">
        <f>IFERROR(__xludf.DUMMYFUNCTION("IMPORTRANGE(""https://docs.google.com/spreadsheets/d/""&amp;$A110&amp;""/edit#gid=156619080"",AF$3)"),4432.32)</f>
        <v>4432.32</v>
      </c>
      <c r="AG110" s="2">
        <f>IFERROR(__xludf.DUMMYFUNCTION("IMPORTRANGE(""https://docs.google.com/spreadsheets/d/""&amp;$A110&amp;""/edit#gid=156619080"",AG$3)"),4407.17)</f>
        <v>4407.17</v>
      </c>
      <c r="AH110" s="2">
        <f>IFERROR(__xludf.DUMMYFUNCTION("IMPORTRANGE(""https://docs.google.com/spreadsheets/d/""&amp;$A110&amp;""/edit#gid=156619080"",AH$3)"),4382.03)</f>
        <v>4382.03</v>
      </c>
      <c r="AI110" s="2">
        <f>IFERROR(__xludf.DUMMYFUNCTION("IMPORTRANGE(""https://docs.google.com/spreadsheets/d/""&amp;$A110&amp;""/edit#gid=156619080"",AI$3)"),4356.88)</f>
        <v>4356.88</v>
      </c>
      <c r="AJ110" s="2">
        <f>IFERROR(__xludf.DUMMYFUNCTION("IMPORTRANGE(""https://docs.google.com/spreadsheets/d/""&amp;$A110&amp;""/edit#gid=156619080"",AJ$3)"),4331.74)</f>
        <v>4331.74</v>
      </c>
      <c r="AK110" s="2" t="str">
        <f>IFERROR(__xludf.DUMMYFUNCTION("IMPORTRANGE(""https://docs.google.com/spreadsheets/d/""&amp;$A110&amp;""/edit#gid=156619080"",AK$3)"),"")</f>
        <v/>
      </c>
      <c r="AL110" s="2">
        <f>IFERROR(__xludf.DUMMYFUNCTION("IMPORTRANGE(""https://docs.google.com/spreadsheets/d/""&amp;$A110&amp;""/edit#gid=156619080"",AL$3)"),-1.0)</f>
        <v>-1</v>
      </c>
      <c r="AM110" s="2" t="str">
        <f>IFERROR(__xludf.DUMMYFUNCTION("IMPORTRANGE(""https://docs.google.com/spreadsheets/d/""&amp;$A110&amp;""/edit#gid=156619080"",AM$3)"),"")</f>
        <v/>
      </c>
      <c r="AN110" s="2">
        <f>IFERROR(__xludf.DUMMYFUNCTION("IMPORTRANGE(""https://docs.google.com/spreadsheets/d/""&amp;$A110&amp;""/edit#gid=156619080"",AN$3)"),-1.0)</f>
        <v>-1</v>
      </c>
      <c r="AO110" s="2" t="str">
        <f>IFERROR(__xludf.DUMMYFUNCTION("IMPORTRANGE(""https://docs.google.com/spreadsheets/d/""&amp;$A110&amp;""/edit#gid=156619080"",AO$3)"),"")</f>
        <v/>
      </c>
      <c r="AP110" s="2">
        <f>IFERROR(__xludf.DUMMYFUNCTION("IMPORTRANGE(""https://docs.google.com/spreadsheets/d/""&amp;$A110&amp;""/edit#gid=156619080"",AP$3)"),-1.0)</f>
        <v>-1</v>
      </c>
      <c r="AQ110" s="2" t="str">
        <f>IFERROR(__xludf.DUMMYFUNCTION("IMPORTRANGE(""https://docs.google.com/spreadsheets/d/""&amp;$A110&amp;""/edit#gid=156619080"",AQ$3)"),"")</f>
        <v/>
      </c>
      <c r="AR110" s="18">
        <f>IFERROR(__xludf.DUMMYFUNCTION("IMPORTRANGE(""https://docs.google.com/spreadsheets/d/""&amp;$A110&amp;""/edit#gid=156619080"",AR$3)"),9.999999999999998)</f>
        <v>10</v>
      </c>
      <c r="AS110" s="19" t="str">
        <f>IFERROR(__xludf.DUMMYFUNCTION("IMPORTRANGE(""https://docs.google.com/spreadsheets/d/""&amp;$A110&amp;""/edit#gid=156619080"",AS$3)"),"-17.5
-60
-90
-40
")</f>
        <v>-17.5
-60
-90
-40
</v>
      </c>
      <c r="AT110" s="18">
        <f>IFERROR(__xludf.DUMMYFUNCTION("IMPORTRANGE(""https://docs.google.com/spreadsheets/d/""&amp;$A110&amp;""/edit#gid=156619080"",AT$3)"),-65.79670329670331)</f>
        <v>-65.7967033</v>
      </c>
      <c r="AU110" s="3" t="str">
        <f>IFERROR(__xludf.DUMMYFUNCTION("IMPORTRANGE(""https://docs.google.com/spreadsheets/d/""&amp;$A110&amp;""/edit#gid=156619080"",AU$3)"),"-47.66
-51.51
-54.26
-37.23
")</f>
        <v>-47.66
-51.51
-54.26
-37.23
</v>
      </c>
      <c r="AV110" s="18">
        <f>IFERROR(__xludf.DUMMYFUNCTION("IMPORTRANGE(""https://docs.google.com/spreadsheets/d/""&amp;$A110&amp;""/edit#gid=156619080"",AV$3)"),-79.48051948051949)</f>
        <v>-79.48051948</v>
      </c>
      <c r="AW110" s="19" t="str">
        <f>IFERROR(__xludf.DUMMYFUNCTION("IMPORTRANGE(""https://docs.google.com/spreadsheets/d/""&amp;$A110&amp;""/edit#gid=156619080"",AW$3)"),"-85.97
-86.36
-86.36
-81.82
")</f>
        <v>-85.97
-86.36
-86.36
-81.82
</v>
      </c>
      <c r="AX110" s="2">
        <f>IFERROR(__xludf.DUMMYFUNCTION("IMPORTRANGE(""https://docs.google.com/spreadsheets/d/""&amp;$A110&amp;""/edit#gid=156619080"",AX$3)"),37.169999999999995)</f>
        <v>37.17</v>
      </c>
      <c r="AY110" s="2">
        <f>IFERROR(__xludf.DUMMYFUNCTION("IMPORTRANGE(""https://docs.google.com/spreadsheets/d/""&amp;$A110&amp;""/edit#gid=156619080"",AY$3)"),24.65)</f>
        <v>24.65</v>
      </c>
      <c r="AZ110" s="2">
        <f>IFERROR(__xludf.DUMMYFUNCTION("IMPORTRANGE(""https://docs.google.com/spreadsheets/d/""&amp;$A110&amp;""/edit#gid=156619080"",AZ$3)"),4456.67)</f>
        <v>4456.67</v>
      </c>
      <c r="BA110" s="2">
        <f>IFERROR(__xludf.DUMMYFUNCTION("IMPORTRANGE(""https://docs.google.com/spreadsheets/d/""&amp;$A110&amp;""/edit#gid=156619080"",BA$3)"),-99.88000000000011)</f>
        <v>-99.88</v>
      </c>
      <c r="BB110" s="2">
        <f>IFERROR(__xludf.DUMMYFUNCTION("IMPORTRANGE(""https://docs.google.com/spreadsheets/d/""&amp;$A110&amp;""/edit#gid=156619080"",BB$3)"),-127.15)</f>
        <v>-127.15</v>
      </c>
      <c r="BC110" s="2" t="str">
        <f>IFERROR(__xludf.DUMMYFUNCTION("IMPORTRANGE(""https://docs.google.com/spreadsheets/d/""&amp;$A110&amp;""/edit#gid=156619080"",BC$3)"),"GC→GC")</f>
        <v>GC→GC</v>
      </c>
    </row>
    <row r="111" ht="51.0" customHeight="1">
      <c r="A111" s="7" t="str">
        <f t="shared" si="5"/>
        <v>1heoWxP4ciyDhs2Ajd5AOviaXku04TM7kdHHYwvObAmU</v>
      </c>
      <c r="B111" s="1" t="s">
        <v>138</v>
      </c>
      <c r="C111" s="2">
        <f>IFERROR(__xludf.DUMMYFUNCTION("IMPORTRANGE(""https://docs.google.com/spreadsheets/d/""&amp;$A111&amp;""/edit#gid=156619080"",C$3)"),132.0)</f>
        <v>132</v>
      </c>
      <c r="D111" s="2">
        <f>IFERROR(__xludf.DUMMYFUNCTION("IMPORTRANGE(""https://docs.google.com/spreadsheets/d/""&amp;$A111&amp;""/edit#gid=156619080"",D$3)"),6952.0)</f>
        <v>6952</v>
      </c>
      <c r="E111" s="15">
        <f>IFERROR(__xludf.DUMMYFUNCTION("IMPORTRANGE(""https://docs.google.com/spreadsheets/d/""&amp;$A111&amp;""/edit#gid=156619080"",E$3)"),43882.0)</f>
        <v>43882</v>
      </c>
      <c r="F111" s="2">
        <f>IFERROR(__xludf.DUMMYFUNCTION("IMPORTRANGE(""https://docs.google.com/spreadsheets/d/""&amp;$A111&amp;""/edit#gid=156619080"",F$3)"),-21.0)</f>
        <v>-21</v>
      </c>
      <c r="G111" s="16">
        <f>IFERROR(__xludf.DUMMYFUNCTION("IMPORTRANGE(""https://docs.google.com/spreadsheets/d/""&amp;$A111&amp;""/edit#gid=156619080"",G$3)"),-1.0)</f>
        <v>-1</v>
      </c>
      <c r="H111" s="16">
        <f>IFERROR(__xludf.DUMMYFUNCTION("IMPORTRANGE(""https://docs.google.com/spreadsheets/d/""&amp;$A111&amp;""/edit#gid=156619080"",H$3)"),2090.0)</f>
        <v>2090</v>
      </c>
      <c r="I111" s="16">
        <f>IFERROR(__xludf.DUMMYFUNCTION("IMPORTRANGE(""https://docs.google.com/spreadsheets/d/""&amp;$A111&amp;""/edit#gid=156619080"",I$3)"),10.0)</f>
        <v>10</v>
      </c>
      <c r="J111" s="16">
        <f>IFERROR(__xludf.DUMMYFUNCTION("IMPORTRANGE(""https://docs.google.com/spreadsheets/d/""&amp;$A111&amp;""/edit#gid=156619080"",J$3)"),2112.0)</f>
        <v>2112</v>
      </c>
      <c r="K111" s="16">
        <f>IFERROR(__xludf.DUMMYFUNCTION("IMPORTRANGE(""https://docs.google.com/spreadsheets/d/""&amp;$A111&amp;""/edit#gid=156619080"",K$3)"),0.40347222222222223)</f>
        <v>0.4034722222</v>
      </c>
      <c r="L111" s="16">
        <f>IFERROR(__xludf.DUMMYFUNCTION("IMPORTRANGE(""https://docs.google.com/spreadsheets/d/""&amp;$A111&amp;""/edit#gid=156619080"",L$3)"),2074.0)</f>
        <v>2074</v>
      </c>
      <c r="M111" s="16">
        <f>IFERROR(__xludf.DUMMYFUNCTION("IMPORTRANGE(""https://docs.google.com/spreadsheets/d/""&amp;$A111&amp;""/edit#gid=156619080"",M$3)"),0.4777777777777778)</f>
        <v>0.4777777778</v>
      </c>
      <c r="N111" s="16">
        <f>IFERROR(__xludf.DUMMYFUNCTION("IMPORTRANGE(""https://docs.google.com/spreadsheets/d/""&amp;$A111&amp;""/edit#gid=156619080"",N$3)"),2079.0)</f>
        <v>2079</v>
      </c>
      <c r="O111" s="16" t="str">
        <f>IFERROR(__xludf.DUMMYFUNCTION("IMPORTRANGE(""https://docs.google.com/spreadsheets/d/""&amp;$A111&amp;""/edit#gid=156619080"",O$3)"),"1080200株")</f>
        <v>1080200株</v>
      </c>
      <c r="P111" s="16" t="str">
        <f>IFERROR(__xludf.DUMMYFUNCTION("IMPORTRANGE(""https://docs.google.com/spreadsheets/d/""&amp;$A111&amp;""/edit#gid=156619080"",P$3)"),"2256百万円")</f>
        <v>2256百万円</v>
      </c>
      <c r="Q111" s="16" t="str">
        <f>IFERROR(__xludf.DUMMYFUNCTION("IMPORTRANGE(""https://docs.google.com/spreadsheets/d/""&amp;$A111&amp;""/edit#gid=156619080"",Q$3)"),"2104回")</f>
        <v>2104回</v>
      </c>
      <c r="R111" s="16" t="str">
        <f>IFERROR(__xludf.DUMMYFUNCTION("IMPORTRANGE(""https://docs.google.com/spreadsheets/d/""&amp;$A111&amp;""/edit#gid=156619080"",R$3)"),"5385億円")</f>
        <v>5385億円</v>
      </c>
      <c r="S111" s="16" t="str">
        <f>IFERROR(__xludf.DUMMYFUNCTION("IMPORTRANGE(""https://docs.google.com/spreadsheets/d/""&amp;$A111&amp;""/edit#gid=156619080"",S$3)"),"陰線")</f>
        <v>陰線</v>
      </c>
      <c r="T111" s="16" t="str">
        <f>IFERROR(__xludf.DUMMYFUNCTION("IMPORTRANGE(""https://docs.google.com/spreadsheets/d/""&amp;$A111&amp;""/edit#gid=156619080"",T$3)"),"")</f>
        <v/>
      </c>
      <c r="U111" s="16">
        <f>IFERROR(__xludf.DUMMYFUNCTION("IMPORTRANGE(""https://docs.google.com/spreadsheets/d/""&amp;$A111&amp;""/edit#gid=156619080"",U$3)"),2065.4)</f>
        <v>2065.4</v>
      </c>
      <c r="V111" s="16">
        <f>IFERROR(__xludf.DUMMYFUNCTION("IMPORTRANGE(""https://docs.google.com/spreadsheets/d/""&amp;$A111&amp;""/edit#gid=156619080"",V$3)"),2053.2)</f>
        <v>2053.2</v>
      </c>
      <c r="W111" s="16">
        <f>IFERROR(__xludf.DUMMYFUNCTION("IMPORTRANGE(""https://docs.google.com/spreadsheets/d/""&amp;$A111&amp;""/edit#gid=156619080"",W$3)"),2095.0)</f>
        <v>2095</v>
      </c>
      <c r="X111" s="2">
        <f>IFERROR(__xludf.DUMMYFUNCTION("IMPORTRANGE(""https://docs.google.com/spreadsheets/d/""&amp;$A111&amp;""/edit#gid=156619080"",X$3)"),1963.3)</f>
        <v>1963.3</v>
      </c>
      <c r="Y111" s="17">
        <f>IFERROR(__xludf.DUMMYFUNCTION("IMPORTRANGE(""https://docs.google.com/spreadsheets/d/""&amp;$A111&amp;""/edit#gid=156619080"",Y$3)"),0.006584680933475312)</f>
        <v>0.006584680933</v>
      </c>
      <c r="Z111" s="2">
        <f>IFERROR(__xludf.DUMMYFUNCTION("IMPORTRANGE(""https://docs.google.com/spreadsheets/d/""&amp;$A111&amp;""/edit#gid=156619080"",Z$3)"),2273.73)</f>
        <v>2273.73</v>
      </c>
      <c r="AA111" s="2">
        <f>IFERROR(__xludf.DUMMYFUNCTION("IMPORTRANGE(""https://docs.google.com/spreadsheets/d/""&amp;$A111&amp;""/edit#gid=156619080"",AA$3)"),2251.39)</f>
        <v>2251.39</v>
      </c>
      <c r="AB111" s="2">
        <f>IFERROR(__xludf.DUMMYFUNCTION("IMPORTRANGE(""https://docs.google.com/spreadsheets/d/""&amp;$A111&amp;""/edit#gid=156619080"",AB$3)"),2229.05)</f>
        <v>2229.05</v>
      </c>
      <c r="AC111" s="18">
        <f>IFERROR(__xludf.DUMMYFUNCTION("IMPORTRANGE(""https://docs.google.com/spreadsheets/d/""&amp;$A111&amp;""/edit#gid=156619080"",AC$3)"),2206.71)</f>
        <v>2206.71</v>
      </c>
      <c r="AD111" s="18">
        <f>IFERROR(__xludf.DUMMYFUNCTION("IMPORTRANGE(""https://docs.google.com/spreadsheets/d/""&amp;$A111&amp;""/edit#gid=156619080"",AD$3)"),2184.37)</f>
        <v>2184.37</v>
      </c>
      <c r="AE111" s="18">
        <f>IFERROR(__xludf.DUMMYFUNCTION("IMPORTRANGE(""https://docs.google.com/spreadsheets/d/""&amp;$A111&amp;""/edit#gid=156619080"",AE$3)"),2095.0)</f>
        <v>2095</v>
      </c>
      <c r="AF111" s="2">
        <f>IFERROR(__xludf.DUMMYFUNCTION("IMPORTRANGE(""https://docs.google.com/spreadsheets/d/""&amp;$A111&amp;""/edit#gid=156619080"",AF$3)"),2005.63)</f>
        <v>2005.63</v>
      </c>
      <c r="AG111" s="2">
        <f>IFERROR(__xludf.DUMMYFUNCTION("IMPORTRANGE(""https://docs.google.com/spreadsheets/d/""&amp;$A111&amp;""/edit#gid=156619080"",AG$3)"),1983.29)</f>
        <v>1983.29</v>
      </c>
      <c r="AH111" s="2">
        <f>IFERROR(__xludf.DUMMYFUNCTION("IMPORTRANGE(""https://docs.google.com/spreadsheets/d/""&amp;$A111&amp;""/edit#gid=156619080"",AH$3)"),1960.95)</f>
        <v>1960.95</v>
      </c>
      <c r="AI111" s="2">
        <f>IFERROR(__xludf.DUMMYFUNCTION("IMPORTRANGE(""https://docs.google.com/spreadsheets/d/""&amp;$A111&amp;""/edit#gid=156619080"",AI$3)"),1938.61)</f>
        <v>1938.61</v>
      </c>
      <c r="AJ111" s="2">
        <f>IFERROR(__xludf.DUMMYFUNCTION("IMPORTRANGE(""https://docs.google.com/spreadsheets/d/""&amp;$A111&amp;""/edit#gid=156619080"",AJ$3)"),1916.27)</f>
        <v>1916.27</v>
      </c>
      <c r="AK111" s="2" t="str">
        <f>IFERROR(__xludf.DUMMYFUNCTION("IMPORTRANGE(""https://docs.google.com/spreadsheets/d/""&amp;$A111&amp;""/edit#gid=156619080"",AK$3)"),"")</f>
        <v/>
      </c>
      <c r="AL111" s="2">
        <f>IFERROR(__xludf.DUMMYFUNCTION("IMPORTRANGE(""https://docs.google.com/spreadsheets/d/""&amp;$A111&amp;""/edit#gid=156619080"",AL$3)"),1.0)</f>
        <v>1</v>
      </c>
      <c r="AM111" s="2" t="str">
        <f>IFERROR(__xludf.DUMMYFUNCTION("IMPORTRANGE(""https://docs.google.com/spreadsheets/d/""&amp;$A111&amp;""/edit#gid=156619080"",AM$3)"),"")</f>
        <v/>
      </c>
      <c r="AN111" s="2">
        <f>IFERROR(__xludf.DUMMYFUNCTION("IMPORTRANGE(""https://docs.google.com/spreadsheets/d/""&amp;$A111&amp;""/edit#gid=156619080"",AN$3)"),-1.0)</f>
        <v>-1</v>
      </c>
      <c r="AO111" s="2" t="str">
        <f>IFERROR(__xludf.DUMMYFUNCTION("IMPORTRANGE(""https://docs.google.com/spreadsheets/d/""&amp;$A111&amp;""/edit#gid=156619080"",AO$3)"),"")</f>
        <v/>
      </c>
      <c r="AP111" s="2">
        <f>IFERROR(__xludf.DUMMYFUNCTION("IMPORTRANGE(""https://docs.google.com/spreadsheets/d/""&amp;$A111&amp;""/edit#gid=156619080"",AP$3)"),-1.0)</f>
        <v>-1</v>
      </c>
      <c r="AQ111" s="2" t="str">
        <f>IFERROR(__xludf.DUMMYFUNCTION("IMPORTRANGE(""https://docs.google.com/spreadsheets/d/""&amp;$A111&amp;""/edit#gid=156619080"",AQ$3)"),"")</f>
        <v/>
      </c>
      <c r="AR111" s="18">
        <f>IFERROR(__xludf.DUMMYFUNCTION("IMPORTRANGE(""https://docs.google.com/spreadsheets/d/""&amp;$A111&amp;""/edit#gid=156619080"",AR$3)"),60.0)</f>
        <v>60</v>
      </c>
      <c r="AS111" s="19" t="str">
        <f>IFERROR(__xludf.DUMMYFUNCTION("IMPORTRANGE(""https://docs.google.com/spreadsheets/d/""&amp;$A111&amp;""/edit#gid=156619080"",AS$3)"),"0
-100
0
60
")</f>
        <v>0
-100
0
60
</v>
      </c>
      <c r="AT111" s="18">
        <f>IFERROR(__xludf.DUMMYFUNCTION("IMPORTRANGE(""https://docs.google.com/spreadsheets/d/""&amp;$A111&amp;""/edit#gid=156619080"",AT$3)"),53.2967032967033)</f>
        <v>53.2967033</v>
      </c>
      <c r="AU111" s="3" t="str">
        <f>IFERROR(__xludf.DUMMYFUNCTION("IMPORTRANGE(""https://docs.google.com/spreadsheets/d/""&amp;$A111&amp;""/edit#gid=156619080"",AU$3)"),"2.34
7.83
35.71
58.79
")</f>
        <v>2.34
7.83
35.71
58.79
</v>
      </c>
      <c r="AV111" s="18">
        <f>IFERROR(__xludf.DUMMYFUNCTION("IMPORTRANGE(""https://docs.google.com/spreadsheets/d/""&amp;$A111&amp;""/edit#gid=156619080"",AV$3)"),-35.29220779220778)</f>
        <v>-35.29220779</v>
      </c>
      <c r="AW111" s="19" t="str">
        <f>IFERROR(__xludf.DUMMYFUNCTION("IMPORTRANGE(""https://docs.google.com/spreadsheets/d/""&amp;$A111&amp;""/edit#gid=156619080"",AW$3)"),"-70.36
-71.53
-61.53
-49.19
")</f>
        <v>-70.36
-71.53
-61.53
-49.19
</v>
      </c>
      <c r="AX111" s="2">
        <f>IFERROR(__xludf.DUMMYFUNCTION("IMPORTRANGE(""https://docs.google.com/spreadsheets/d/""&amp;$A111&amp;""/edit#gid=156619080"",AX$3)"),58.45)</f>
        <v>58.45</v>
      </c>
      <c r="AY111" s="2">
        <f>IFERROR(__xludf.DUMMYFUNCTION("IMPORTRANGE(""https://docs.google.com/spreadsheets/d/""&amp;$A111&amp;""/edit#gid=156619080"",AY$3)"),34.050000000000004)</f>
        <v>34.05</v>
      </c>
      <c r="AZ111" s="2">
        <f>IFERROR(__xludf.DUMMYFUNCTION("IMPORTRANGE(""https://docs.google.com/spreadsheets/d/""&amp;$A111&amp;""/edit#gid=156619080"",AZ$3)"),2074.34)</f>
        <v>2074.34</v>
      </c>
      <c r="BA111" s="2">
        <f>IFERROR(__xludf.DUMMYFUNCTION("IMPORTRANGE(""https://docs.google.com/spreadsheets/d/""&amp;$A111&amp;""/edit#gid=156619080"",BA$3)"),-18.75)</f>
        <v>-18.75</v>
      </c>
      <c r="BB111" s="2">
        <f>IFERROR(__xludf.DUMMYFUNCTION("IMPORTRANGE(""https://docs.google.com/spreadsheets/d/""&amp;$A111&amp;""/edit#gid=156619080"",BB$3)"),-41.94)</f>
        <v>-41.94</v>
      </c>
      <c r="BC111" s="2" t="str">
        <f>IFERROR(__xludf.DUMMYFUNCTION("IMPORTRANGE(""https://docs.google.com/spreadsheets/d/""&amp;$A111&amp;""/edit#gid=156619080"",BC$3)"),"GC→GC")</f>
        <v>GC→GC</v>
      </c>
    </row>
    <row r="112" ht="51.0" customHeight="1">
      <c r="A112" s="7" t="str">
        <f t="shared" si="5"/>
        <v>1AaSfhlsD3sLhnJ-qXI-cBNbe7KBbbLcabU1FTIpm25g</v>
      </c>
      <c r="B112" s="1" t="s">
        <v>139</v>
      </c>
      <c r="C112" s="2">
        <f>IFERROR(__xludf.DUMMYFUNCTION("IMPORTRANGE(""https://docs.google.com/spreadsheets/d/""&amp;$A112&amp;""/edit#gid=156619080"",C$3)"),132.0)</f>
        <v>132</v>
      </c>
      <c r="D112" s="2">
        <f>IFERROR(__xludf.DUMMYFUNCTION("IMPORTRANGE(""https://docs.google.com/spreadsheets/d/""&amp;$A112&amp;""/edit#gid=156619080"",D$3)"),6954.0)</f>
        <v>6954</v>
      </c>
      <c r="E112" s="15">
        <f>IFERROR(__xludf.DUMMYFUNCTION("IMPORTRANGE(""https://docs.google.com/spreadsheets/d/""&amp;$A112&amp;""/edit#gid=156619080"",E$3)"),43882.0)</f>
        <v>43882</v>
      </c>
      <c r="F112" s="2">
        <f>IFERROR(__xludf.DUMMYFUNCTION("IMPORTRANGE(""https://docs.google.com/spreadsheets/d/""&amp;$A112&amp;""/edit#gid=156619080"",F$3)"),-290.0)</f>
        <v>-290</v>
      </c>
      <c r="G112" s="16">
        <f>IFERROR(__xludf.DUMMYFUNCTION("IMPORTRANGE(""https://docs.google.com/spreadsheets/d/""&amp;$A112&amp;""/edit#gid=156619080"",G$3)"),-1.42)</f>
        <v>-1.42</v>
      </c>
      <c r="H112" s="16">
        <f>IFERROR(__xludf.DUMMYFUNCTION("IMPORTRANGE(""https://docs.google.com/spreadsheets/d/""&amp;$A112&amp;""/edit#gid=156619080"",H$3)"),20200.0)</f>
        <v>20200</v>
      </c>
      <c r="I112" s="16">
        <f>IFERROR(__xludf.DUMMYFUNCTION("IMPORTRANGE(""https://docs.google.com/spreadsheets/d/""&amp;$A112&amp;""/edit#gid=156619080"",I$3)"),270.0)</f>
        <v>270</v>
      </c>
      <c r="J112" s="16">
        <f>IFERROR(__xludf.DUMMYFUNCTION("IMPORTRANGE(""https://docs.google.com/spreadsheets/d/""&amp;$A112&amp;""/edit#gid=156619080"",J$3)"),20465.0)</f>
        <v>20465</v>
      </c>
      <c r="K112" s="16">
        <f>IFERROR(__xludf.DUMMYFUNCTION("IMPORTRANGE(""https://docs.google.com/spreadsheets/d/""&amp;$A112&amp;""/edit#gid=156619080"",K$3)"),0.3902777777777778)</f>
        <v>0.3902777778</v>
      </c>
      <c r="L112" s="16">
        <f>IFERROR(__xludf.DUMMYFUNCTION("IMPORTRANGE(""https://docs.google.com/spreadsheets/d/""&amp;$A112&amp;""/edit#gid=156619080"",L$3)"),20180.0)</f>
        <v>20180</v>
      </c>
      <c r="M112" s="16">
        <f>IFERROR(__xludf.DUMMYFUNCTION("IMPORTRANGE(""https://docs.google.com/spreadsheets/d/""&amp;$A112&amp;""/edit#gid=156619080"",M$3)"),0.625)</f>
        <v>0.625</v>
      </c>
      <c r="N112" s="16">
        <f>IFERROR(__xludf.DUMMYFUNCTION("IMPORTRANGE(""https://docs.google.com/spreadsheets/d/""&amp;$A112&amp;""/edit#gid=156619080"",N$3)"),20180.0)</f>
        <v>20180</v>
      </c>
      <c r="O112" s="16" t="str">
        <f>IFERROR(__xludf.DUMMYFUNCTION("IMPORTRANGE(""https://docs.google.com/spreadsheets/d/""&amp;$A112&amp;""/edit#gid=156619080"",O$3)"),"504000株")</f>
        <v>504000株</v>
      </c>
      <c r="P112" s="16" t="str">
        <f>IFERROR(__xludf.DUMMYFUNCTION("IMPORTRANGE(""https://docs.google.com/spreadsheets/d/""&amp;$A112&amp;""/edit#gid=156619080"",P$3)"),"10215百万円")</f>
        <v>10215百万円</v>
      </c>
      <c r="Q112" s="16" t="str">
        <f>IFERROR(__xludf.DUMMYFUNCTION("IMPORTRANGE(""https://docs.google.com/spreadsheets/d/""&amp;$A112&amp;""/edit#gid=156619080"",Q$3)"),"2010回")</f>
        <v>2010回</v>
      </c>
      <c r="R112" s="16" t="str">
        <f>IFERROR(__xludf.DUMMYFUNCTION("IMPORTRANGE(""https://docs.google.com/spreadsheets/d/""&amp;$A112&amp;""/edit#gid=156619080"",R$3)"),"41174億円")</f>
        <v>41174億円</v>
      </c>
      <c r="S112" s="16" t="str">
        <f>IFERROR(__xludf.DUMMYFUNCTION("IMPORTRANGE(""https://docs.google.com/spreadsheets/d/""&amp;$A112&amp;""/edit#gid=156619080"",S$3)"),"陰線")</f>
        <v>陰線</v>
      </c>
      <c r="T112" s="16" t="str">
        <f>IFERROR(__xludf.DUMMYFUNCTION("IMPORTRANGE(""https://docs.google.com/spreadsheets/d/""&amp;$A112&amp;""/edit#gid=156619080"",T$3)"),"")</f>
        <v/>
      </c>
      <c r="U112" s="16">
        <f>IFERROR(__xludf.DUMMYFUNCTION("IMPORTRANGE(""https://docs.google.com/spreadsheets/d/""&amp;$A112&amp;""/edit#gid=156619080"",U$3)"),20433.0)</f>
        <v>20433</v>
      </c>
      <c r="V112" s="16">
        <f>IFERROR(__xludf.DUMMYFUNCTION("IMPORTRANGE(""https://docs.google.com/spreadsheets/d/""&amp;$A112&amp;""/edit#gid=156619080"",V$3)"),20583.1)</f>
        <v>20583.1</v>
      </c>
      <c r="W112" s="16">
        <f>IFERROR(__xludf.DUMMYFUNCTION("IMPORTRANGE(""https://docs.google.com/spreadsheets/d/""&amp;$A112&amp;""/edit#gid=156619080"",W$3)"),20429.0)</f>
        <v>20429</v>
      </c>
      <c r="X112" s="2">
        <f>IFERROR(__xludf.DUMMYFUNCTION("IMPORTRANGE(""https://docs.google.com/spreadsheets/d/""&amp;$A112&amp;""/edit#gid=156619080"",X$3)"),20449.8)</f>
        <v>20449.8</v>
      </c>
      <c r="Y112" s="17">
        <f>IFERROR(__xludf.DUMMYFUNCTION("IMPORTRANGE(""https://docs.google.com/spreadsheets/d/""&amp;$A112&amp;""/edit#gid=156619080"",Y$3)"),-0.012381931189742084)</f>
        <v>-0.01238193119</v>
      </c>
      <c r="Z112" s="2">
        <f>IFERROR(__xludf.DUMMYFUNCTION("IMPORTRANGE(""https://docs.google.com/spreadsheets/d/""&amp;$A112&amp;""/edit#gid=156619080"",Z$3)"),21101.18)</f>
        <v>21101.18</v>
      </c>
      <c r="AA112" s="2">
        <f>IFERROR(__xludf.DUMMYFUNCTION("IMPORTRANGE(""https://docs.google.com/spreadsheets/d/""&amp;$A112&amp;""/edit#gid=156619080"",AA$3)"),21017.16)</f>
        <v>21017.16</v>
      </c>
      <c r="AB112" s="2">
        <f>IFERROR(__xludf.DUMMYFUNCTION("IMPORTRANGE(""https://docs.google.com/spreadsheets/d/""&amp;$A112&amp;""/edit#gid=156619080"",AB$3)"),20933.13)</f>
        <v>20933.13</v>
      </c>
      <c r="AC112" s="18">
        <f>IFERROR(__xludf.DUMMYFUNCTION("IMPORTRANGE(""https://docs.google.com/spreadsheets/d/""&amp;$A112&amp;""/edit#gid=156619080"",AC$3)"),20849.11)</f>
        <v>20849.11</v>
      </c>
      <c r="AD112" s="18">
        <f>IFERROR(__xludf.DUMMYFUNCTION("IMPORTRANGE(""https://docs.google.com/spreadsheets/d/""&amp;$A112&amp;""/edit#gid=156619080"",AD$3)"),20765.09)</f>
        <v>20765.09</v>
      </c>
      <c r="AE112" s="18">
        <f>IFERROR(__xludf.DUMMYFUNCTION("IMPORTRANGE(""https://docs.google.com/spreadsheets/d/""&amp;$A112&amp;""/edit#gid=156619080"",AE$3)"),20429.0)</f>
        <v>20429</v>
      </c>
      <c r="AF112" s="2">
        <f>IFERROR(__xludf.DUMMYFUNCTION("IMPORTRANGE(""https://docs.google.com/spreadsheets/d/""&amp;$A112&amp;""/edit#gid=156619080"",AF$3)"),20092.91)</f>
        <v>20092.91</v>
      </c>
      <c r="AG112" s="2">
        <f>IFERROR(__xludf.DUMMYFUNCTION("IMPORTRANGE(""https://docs.google.com/spreadsheets/d/""&amp;$A112&amp;""/edit#gid=156619080"",AG$3)"),20008.89)</f>
        <v>20008.89</v>
      </c>
      <c r="AH112" s="2">
        <f>IFERROR(__xludf.DUMMYFUNCTION("IMPORTRANGE(""https://docs.google.com/spreadsheets/d/""&amp;$A112&amp;""/edit#gid=156619080"",AH$3)"),19924.87)</f>
        <v>19924.87</v>
      </c>
      <c r="AI112" s="2">
        <f>IFERROR(__xludf.DUMMYFUNCTION("IMPORTRANGE(""https://docs.google.com/spreadsheets/d/""&amp;$A112&amp;""/edit#gid=156619080"",AI$3)"),19840.84)</f>
        <v>19840.84</v>
      </c>
      <c r="AJ112" s="2">
        <f>IFERROR(__xludf.DUMMYFUNCTION("IMPORTRANGE(""https://docs.google.com/spreadsheets/d/""&amp;$A112&amp;""/edit#gid=156619080"",AJ$3)"),19756.82)</f>
        <v>19756.82</v>
      </c>
      <c r="AK112" s="2" t="str">
        <f>IFERROR(__xludf.DUMMYFUNCTION("IMPORTRANGE(""https://docs.google.com/spreadsheets/d/""&amp;$A112&amp;""/edit#gid=156619080"",AK$3)"),"")</f>
        <v/>
      </c>
      <c r="AL112" s="2">
        <f>IFERROR(__xludf.DUMMYFUNCTION("IMPORTRANGE(""https://docs.google.com/spreadsheets/d/""&amp;$A112&amp;""/edit#gid=156619080"",AL$3)"),-1.0)</f>
        <v>-1</v>
      </c>
      <c r="AM112" s="2" t="str">
        <f>IFERROR(__xludf.DUMMYFUNCTION("IMPORTRANGE(""https://docs.google.com/spreadsheets/d/""&amp;$A112&amp;""/edit#gid=156619080"",AM$3)"),"")</f>
        <v/>
      </c>
      <c r="AN112" s="2">
        <f>IFERROR(__xludf.DUMMYFUNCTION("IMPORTRANGE(""https://docs.google.com/spreadsheets/d/""&amp;$A112&amp;""/edit#gid=156619080"",AN$3)"),1.0)</f>
        <v>1</v>
      </c>
      <c r="AO112" s="2" t="str">
        <f>IFERROR(__xludf.DUMMYFUNCTION("IMPORTRANGE(""https://docs.google.com/spreadsheets/d/""&amp;$A112&amp;""/edit#gid=156619080"",AO$3)"),"")</f>
        <v/>
      </c>
      <c r="AP112" s="2">
        <f>IFERROR(__xludf.DUMMYFUNCTION("IMPORTRANGE(""https://docs.google.com/spreadsheets/d/""&amp;$A112&amp;""/edit#gid=156619080"",AP$3)"),1.0)</f>
        <v>1</v>
      </c>
      <c r="AQ112" s="2" t="str">
        <f>IFERROR(__xludf.DUMMYFUNCTION("IMPORTRANGE(""https://docs.google.com/spreadsheets/d/""&amp;$A112&amp;""/edit#gid=156619080"",AQ$3)"),"")</f>
        <v/>
      </c>
      <c r="AR112" s="18">
        <f>IFERROR(__xludf.DUMMYFUNCTION("IMPORTRANGE(""https://docs.google.com/spreadsheets/d/""&amp;$A112&amp;""/edit#gid=156619080"",AR$3)"),-60.00000000000001)</f>
        <v>-60</v>
      </c>
      <c r="AS112" s="19" t="str">
        <f>IFERROR(__xludf.DUMMYFUNCTION("IMPORTRANGE(""https://docs.google.com/spreadsheets/d/""&amp;$A112&amp;""/edit#gid=156619080"",AS$3)"),"-10
-80
-80
-50
")</f>
        <v>-10
-80
-80
-50
</v>
      </c>
      <c r="AT112" s="18">
        <f>IFERROR(__xludf.DUMMYFUNCTION("IMPORTRANGE(""https://docs.google.com/spreadsheets/d/""&amp;$A112&amp;""/edit#gid=156619080"",AT$3)"),-23.76373626373627)</f>
        <v>-23.76373626</v>
      </c>
      <c r="AU112" s="3" t="str">
        <f>IFERROR(__xludf.DUMMYFUNCTION("IMPORTRANGE(""https://docs.google.com/spreadsheets/d/""&amp;$A112&amp;""/edit#gid=156619080"",AU$3)"),"72.53
47.25
21.29
-0.69
")</f>
        <v>72.53
47.25
21.29
-0.69
</v>
      </c>
      <c r="AV112" s="18">
        <f>IFERROR(__xludf.DUMMYFUNCTION("IMPORTRANGE(""https://docs.google.com/spreadsheets/d/""&amp;$A112&amp;""/edit#gid=156619080"",AV$3)"),36.201298701298704)</f>
        <v>36.2012987</v>
      </c>
      <c r="AW112" s="19" t="str">
        <f>IFERROR(__xludf.DUMMYFUNCTION("IMPORTRANGE(""https://docs.google.com/spreadsheets/d/""&amp;$A112&amp;""/edit#gid=156619080"",AW$3)"),"26.1
24.68
35.81
38.8
")</f>
        <v>26.1
24.68
35.81
38.8
</v>
      </c>
      <c r="AX112" s="2">
        <f>IFERROR(__xludf.DUMMYFUNCTION("IMPORTRANGE(""https://docs.google.com/spreadsheets/d/""&amp;$A112&amp;""/edit#gid=156619080"",AX$3)"),28.89)</f>
        <v>28.89</v>
      </c>
      <c r="AY112" s="2">
        <f>IFERROR(__xludf.DUMMYFUNCTION("IMPORTRANGE(""https://docs.google.com/spreadsheets/d/""&amp;$A112&amp;""/edit#gid=156619080"",AY$3)"),44.73)</f>
        <v>44.73</v>
      </c>
      <c r="AZ112" s="2">
        <f>IFERROR(__xludf.DUMMYFUNCTION("IMPORTRANGE(""https://docs.google.com/spreadsheets/d/""&amp;$A112&amp;""/edit#gid=156619080"",AZ$3)"),20401.61)</f>
        <v>20401.61</v>
      </c>
      <c r="BA112" s="2">
        <f>IFERROR(__xludf.DUMMYFUNCTION("IMPORTRANGE(""https://docs.google.com/spreadsheets/d/""&amp;$A112&amp;""/edit#gid=156619080"",BA$3)"),-109.34999999999854)</f>
        <v>-109.35</v>
      </c>
      <c r="BB112" s="2">
        <f>IFERROR(__xludf.DUMMYFUNCTION("IMPORTRANGE(""https://docs.google.com/spreadsheets/d/""&amp;$A112&amp;""/edit#gid=156619080"",BB$3)"),7.92)</f>
        <v>7.92</v>
      </c>
      <c r="BC112" s="2" t="str">
        <f>IFERROR(__xludf.DUMMYFUNCTION("IMPORTRANGE(""https://docs.google.com/spreadsheets/d/""&amp;$A112&amp;""/edit#gid=156619080"",BC$3)"),"DC→DC")</f>
        <v>DC→DC</v>
      </c>
    </row>
    <row r="113" ht="51.0" customHeight="1">
      <c r="A113" s="7" t="str">
        <f t="shared" si="5"/>
        <v>15kXtT1xjtbkGxxI9XNB3rp3n106nZhU0ZY8mP6MoCFM</v>
      </c>
      <c r="B113" s="1" t="s">
        <v>140</v>
      </c>
      <c r="C113" s="2">
        <f>IFERROR(__xludf.DUMMYFUNCTION("IMPORTRANGE(""https://docs.google.com/spreadsheets/d/""&amp;$A113&amp;""/edit#gid=156619080"",C$3)"),132.0)</f>
        <v>132</v>
      </c>
      <c r="D113" s="2">
        <f>IFERROR(__xludf.DUMMYFUNCTION("IMPORTRANGE(""https://docs.google.com/spreadsheets/d/""&amp;$A113&amp;""/edit#gid=156619080"",D$3)"),6971.0)</f>
        <v>6971</v>
      </c>
      <c r="E113" s="15">
        <f>IFERROR(__xludf.DUMMYFUNCTION("IMPORTRANGE(""https://docs.google.com/spreadsheets/d/""&amp;$A113&amp;""/edit#gid=156619080"",E$3)"),43882.0)</f>
        <v>43882</v>
      </c>
      <c r="F113" s="2">
        <f>IFERROR(__xludf.DUMMYFUNCTION("IMPORTRANGE(""https://docs.google.com/spreadsheets/d/""&amp;$A113&amp;""/edit#gid=156619080"",F$3)"),-20.0)</f>
        <v>-20</v>
      </c>
      <c r="G113" s="16">
        <f>IFERROR(__xludf.DUMMYFUNCTION("IMPORTRANGE(""https://docs.google.com/spreadsheets/d/""&amp;$A113&amp;""/edit#gid=156619080"",G$3)"),-0.27)</f>
        <v>-0.27</v>
      </c>
      <c r="H113" s="16">
        <f>IFERROR(__xludf.DUMMYFUNCTION("IMPORTRANGE(""https://docs.google.com/spreadsheets/d/""&amp;$A113&amp;""/edit#gid=156619080"",H$3)"),7423.0)</f>
        <v>7423</v>
      </c>
      <c r="I113" s="16">
        <f>IFERROR(__xludf.DUMMYFUNCTION("IMPORTRANGE(""https://docs.google.com/spreadsheets/d/""&amp;$A113&amp;""/edit#gid=156619080"",I$3)"),49.0)</f>
        <v>49</v>
      </c>
      <c r="J113" s="16">
        <f>IFERROR(__xludf.DUMMYFUNCTION("IMPORTRANGE(""https://docs.google.com/spreadsheets/d/""&amp;$A113&amp;""/edit#gid=156619080"",J$3)"),7492.0)</f>
        <v>7492</v>
      </c>
      <c r="K113" s="16">
        <f>IFERROR(__xludf.DUMMYFUNCTION("IMPORTRANGE(""https://docs.google.com/spreadsheets/d/""&amp;$A113&amp;""/edit#gid=156619080"",K$3)"),0.5541666666666667)</f>
        <v>0.5541666667</v>
      </c>
      <c r="L113" s="16">
        <f>IFERROR(__xludf.DUMMYFUNCTION("IMPORTRANGE(""https://docs.google.com/spreadsheets/d/""&amp;$A113&amp;""/edit#gid=156619080"",L$3)"),7420.0)</f>
        <v>7420</v>
      </c>
      <c r="M113" s="16">
        <f>IFERROR(__xludf.DUMMYFUNCTION("IMPORTRANGE(""https://docs.google.com/spreadsheets/d/""&amp;$A113&amp;""/edit#gid=156619080"",M$3)"),0.375)</f>
        <v>0.375</v>
      </c>
      <c r="N113" s="16">
        <f>IFERROR(__xludf.DUMMYFUNCTION("IMPORTRANGE(""https://docs.google.com/spreadsheets/d/""&amp;$A113&amp;""/edit#gid=156619080"",N$3)"),7452.0)</f>
        <v>7452</v>
      </c>
      <c r="O113" s="16" t="str">
        <f>IFERROR(__xludf.DUMMYFUNCTION("IMPORTRANGE(""https://docs.google.com/spreadsheets/d/""&amp;$A113&amp;""/edit#gid=156619080"",O$3)"),"732000株")</f>
        <v>732000株</v>
      </c>
      <c r="P113" s="16" t="str">
        <f>IFERROR(__xludf.DUMMYFUNCTION("IMPORTRANGE(""https://docs.google.com/spreadsheets/d/""&amp;$A113&amp;""/edit#gid=156619080"",P$3)"),"5460百万円")</f>
        <v>5460百万円</v>
      </c>
      <c r="Q113" s="16" t="str">
        <f>IFERROR(__xludf.DUMMYFUNCTION("IMPORTRANGE(""https://docs.google.com/spreadsheets/d/""&amp;$A113&amp;""/edit#gid=156619080"",Q$3)"),"2638回")</f>
        <v>2638回</v>
      </c>
      <c r="R113" s="16" t="str">
        <f>IFERROR(__xludf.DUMMYFUNCTION("IMPORTRANGE(""https://docs.google.com/spreadsheets/d/""&amp;$A113&amp;""/edit#gid=156619080"",R$3)"),"28140億円")</f>
        <v>28140億円</v>
      </c>
      <c r="S113" s="16" t="str">
        <f>IFERROR(__xludf.DUMMYFUNCTION("IMPORTRANGE(""https://docs.google.com/spreadsheets/d/""&amp;$A113&amp;""/edit#gid=156619080"",S$3)"),"陽線")</f>
        <v>陽線</v>
      </c>
      <c r="T113" s="16" t="str">
        <f>IFERROR(__xludf.DUMMYFUNCTION("IMPORTRANGE(""https://docs.google.com/spreadsheets/d/""&amp;$A113&amp;""/edit#gid=156619080"",T$3)"),"")</f>
        <v/>
      </c>
      <c r="U113" s="16">
        <f>IFERROR(__xludf.DUMMYFUNCTION("IMPORTRANGE(""https://docs.google.com/spreadsheets/d/""&amp;$A113&amp;""/edit#gid=156619080"",U$3)"),7431.0)</f>
        <v>7431</v>
      </c>
      <c r="V113" s="16">
        <f>IFERROR(__xludf.DUMMYFUNCTION("IMPORTRANGE(""https://docs.google.com/spreadsheets/d/""&amp;$A113&amp;""/edit#gid=156619080"",V$3)"),7363.2)</f>
        <v>7363.2</v>
      </c>
      <c r="W113" s="16">
        <f>IFERROR(__xludf.DUMMYFUNCTION("IMPORTRANGE(""https://docs.google.com/spreadsheets/d/""&amp;$A113&amp;""/edit#gid=156619080"",W$3)"),7420.0)</f>
        <v>7420</v>
      </c>
      <c r="X113" s="2">
        <f>IFERROR(__xludf.DUMMYFUNCTION("IMPORTRANGE(""https://docs.google.com/spreadsheets/d/""&amp;$A113&amp;""/edit#gid=156619080"",X$3)"),7160.9)</f>
        <v>7160.9</v>
      </c>
      <c r="Y113" s="17">
        <f>IFERROR(__xludf.DUMMYFUNCTION("IMPORTRANGE(""https://docs.google.com/spreadsheets/d/""&amp;$A113&amp;""/edit#gid=156619080"",Y$3)"),0.002825999192571659)</f>
        <v>0.002825999193</v>
      </c>
      <c r="Z113" s="2">
        <f>IFERROR(__xludf.DUMMYFUNCTION("IMPORTRANGE(""https://docs.google.com/spreadsheets/d/""&amp;$A113&amp;""/edit#gid=156619080"",Z$3)"),7746.24)</f>
        <v>7746.24</v>
      </c>
      <c r="AA113" s="2">
        <f>IFERROR(__xludf.DUMMYFUNCTION("IMPORTRANGE(""https://docs.google.com/spreadsheets/d/""&amp;$A113&amp;""/edit#gid=156619080"",AA$3)"),7705.46)</f>
        <v>7705.46</v>
      </c>
      <c r="AB113" s="2">
        <f>IFERROR(__xludf.DUMMYFUNCTION("IMPORTRANGE(""https://docs.google.com/spreadsheets/d/""&amp;$A113&amp;""/edit#gid=156619080"",AB$3)"),7664.68)</f>
        <v>7664.68</v>
      </c>
      <c r="AC113" s="18">
        <f>IFERROR(__xludf.DUMMYFUNCTION("IMPORTRANGE(""https://docs.google.com/spreadsheets/d/""&amp;$A113&amp;""/edit#gid=156619080"",AC$3)"),7623.9)</f>
        <v>7623.9</v>
      </c>
      <c r="AD113" s="18">
        <f>IFERROR(__xludf.DUMMYFUNCTION("IMPORTRANGE(""https://docs.google.com/spreadsheets/d/""&amp;$A113&amp;""/edit#gid=156619080"",AD$3)"),7583.12)</f>
        <v>7583.12</v>
      </c>
      <c r="AE113" s="18">
        <f>IFERROR(__xludf.DUMMYFUNCTION("IMPORTRANGE(""https://docs.google.com/spreadsheets/d/""&amp;$A113&amp;""/edit#gid=156619080"",AE$3)"),7420.0)</f>
        <v>7420</v>
      </c>
      <c r="AF113" s="2">
        <f>IFERROR(__xludf.DUMMYFUNCTION("IMPORTRANGE(""https://docs.google.com/spreadsheets/d/""&amp;$A113&amp;""/edit#gid=156619080"",AF$3)"),7256.88)</f>
        <v>7256.88</v>
      </c>
      <c r="AG113" s="2">
        <f>IFERROR(__xludf.DUMMYFUNCTION("IMPORTRANGE(""https://docs.google.com/spreadsheets/d/""&amp;$A113&amp;""/edit#gid=156619080"",AG$3)"),7216.1)</f>
        <v>7216.1</v>
      </c>
      <c r="AH113" s="2">
        <f>IFERROR(__xludf.DUMMYFUNCTION("IMPORTRANGE(""https://docs.google.com/spreadsheets/d/""&amp;$A113&amp;""/edit#gid=156619080"",AH$3)"),7175.32)</f>
        <v>7175.32</v>
      </c>
      <c r="AI113" s="2">
        <f>IFERROR(__xludf.DUMMYFUNCTION("IMPORTRANGE(""https://docs.google.com/spreadsheets/d/""&amp;$A113&amp;""/edit#gid=156619080"",AI$3)"),7134.54)</f>
        <v>7134.54</v>
      </c>
      <c r="AJ113" s="2">
        <f>IFERROR(__xludf.DUMMYFUNCTION("IMPORTRANGE(""https://docs.google.com/spreadsheets/d/""&amp;$A113&amp;""/edit#gid=156619080"",AJ$3)"),7093.76)</f>
        <v>7093.76</v>
      </c>
      <c r="AK113" s="2" t="str">
        <f>IFERROR(__xludf.DUMMYFUNCTION("IMPORTRANGE(""https://docs.google.com/spreadsheets/d/""&amp;$A113&amp;""/edit#gid=156619080"",AK$3)"),"")</f>
        <v/>
      </c>
      <c r="AL113" s="2">
        <f>IFERROR(__xludf.DUMMYFUNCTION("IMPORTRANGE(""https://docs.google.com/spreadsheets/d/""&amp;$A113&amp;""/edit#gid=156619080"",AL$3)"),1.0)</f>
        <v>1</v>
      </c>
      <c r="AM113" s="2" t="str">
        <f>IFERROR(__xludf.DUMMYFUNCTION("IMPORTRANGE(""https://docs.google.com/spreadsheets/d/""&amp;$A113&amp;""/edit#gid=156619080"",AM$3)"),"")</f>
        <v/>
      </c>
      <c r="AN113" s="2">
        <f>IFERROR(__xludf.DUMMYFUNCTION("IMPORTRANGE(""https://docs.google.com/spreadsheets/d/""&amp;$A113&amp;""/edit#gid=156619080"",AN$3)"),1.0)</f>
        <v>1</v>
      </c>
      <c r="AO113" s="2" t="str">
        <f>IFERROR(__xludf.DUMMYFUNCTION("IMPORTRANGE(""https://docs.google.com/spreadsheets/d/""&amp;$A113&amp;""/edit#gid=156619080"",AO$3)"),"ws2")</f>
        <v>ws2</v>
      </c>
      <c r="AP113" s="2">
        <f>IFERROR(__xludf.DUMMYFUNCTION("IMPORTRANGE(""https://docs.google.com/spreadsheets/d/""&amp;$A113&amp;""/edit#gid=156619080"",AP$3)"),-1.0)</f>
        <v>-1</v>
      </c>
      <c r="AQ113" s="2" t="str">
        <f>IFERROR(__xludf.DUMMYFUNCTION("IMPORTRANGE(""https://docs.google.com/spreadsheets/d/""&amp;$A113&amp;""/edit#gid=156619080"",AQ$3)"),"")</f>
        <v/>
      </c>
      <c r="AR113" s="18">
        <f>IFERROR(__xludf.DUMMYFUNCTION("IMPORTRANGE(""https://docs.google.com/spreadsheets/d/""&amp;$A113&amp;""/edit#gid=156619080"",AR$3)"),42.50000000000001)</f>
        <v>42.5</v>
      </c>
      <c r="AS113" s="19" t="str">
        <f>IFERROR(__xludf.DUMMYFUNCTION("IMPORTRANGE(""https://docs.google.com/spreadsheets/d/""&amp;$A113&amp;""/edit#gid=156619080"",AS$3)"),"90
-10
-60
20
")</f>
        <v>90
-10
-60
20
</v>
      </c>
      <c r="AT113" s="18">
        <f>IFERROR(__xludf.DUMMYFUNCTION("IMPORTRANGE(""https://docs.google.com/spreadsheets/d/""&amp;$A113&amp;""/edit#gid=156619080"",AT$3)"),85.3021978021978)</f>
        <v>85.3021978</v>
      </c>
      <c r="AU113" s="3" t="str">
        <f>IFERROR(__xludf.DUMMYFUNCTION("IMPORTRANGE(""https://docs.google.com/spreadsheets/d/""&amp;$A113&amp;""/edit#gid=156619080"",AU$3)"),"14.84
45.6
83.52
86.81
")</f>
        <v>14.84
45.6
83.52
86.81
</v>
      </c>
      <c r="AV113" s="18">
        <f>IFERROR(__xludf.DUMMYFUNCTION("IMPORTRANGE(""https://docs.google.com/spreadsheets/d/""&amp;$A113&amp;""/edit#gid=156619080"",AV$3)"),-30.35714285714286)</f>
        <v>-30.35714286</v>
      </c>
      <c r="AW113" s="19" t="str">
        <f>IFERROR(__xludf.DUMMYFUNCTION("IMPORTRANGE(""https://docs.google.com/spreadsheets/d/""&amp;$A113&amp;""/edit#gid=156619080"",AW$3)"),"-70.65
-63.9
-54.94
-43.64
")</f>
        <v>-70.65
-63.9
-54.94
-43.64
</v>
      </c>
      <c r="AX113" s="2">
        <f>IFERROR(__xludf.DUMMYFUNCTION("IMPORTRANGE(""https://docs.google.com/spreadsheets/d/""&amp;$A113&amp;""/edit#gid=156619080"",AX$3)"),54.379999999999995)</f>
        <v>54.38</v>
      </c>
      <c r="AY113" s="2">
        <f>IFERROR(__xludf.DUMMYFUNCTION("IMPORTRANGE(""https://docs.google.com/spreadsheets/d/""&amp;$A113&amp;""/edit#gid=156619080"",AY$3)"),41.39)</f>
        <v>41.39</v>
      </c>
      <c r="AZ113" s="2">
        <f>IFERROR(__xludf.DUMMYFUNCTION("IMPORTRANGE(""https://docs.google.com/spreadsheets/d/""&amp;$A113&amp;""/edit#gid=156619080"",AZ$3)"),7433.74)</f>
        <v>7433.74</v>
      </c>
      <c r="BA113" s="2">
        <f>IFERROR(__xludf.DUMMYFUNCTION("IMPORTRANGE(""https://docs.google.com/spreadsheets/d/""&amp;$A113&amp;""/edit#gid=156619080"",BA$3)"),4.989999999999782)</f>
        <v>4.99</v>
      </c>
      <c r="BB113" s="2">
        <f>IFERROR(__xludf.DUMMYFUNCTION("IMPORTRANGE(""https://docs.google.com/spreadsheets/d/""&amp;$A113&amp;""/edit#gid=156619080"",BB$3)"),-38.15)</f>
        <v>-38.15</v>
      </c>
      <c r="BC113" s="2" t="str">
        <f>IFERROR(__xludf.DUMMYFUNCTION("IMPORTRANGE(""https://docs.google.com/spreadsheets/d/""&amp;$A113&amp;""/edit#gid=156619080"",BC$3)"),"GC→GC")</f>
        <v>GC→GC</v>
      </c>
    </row>
    <row r="114" ht="51.0" customHeight="1">
      <c r="A114" s="7" t="str">
        <f t="shared" si="5"/>
        <v>1rx2WBddhBGhsjU4knhofyOBpmAF8hq9yjf9QY9axlUs</v>
      </c>
      <c r="B114" s="1" t="s">
        <v>141</v>
      </c>
      <c r="C114" s="2">
        <f>IFERROR(__xludf.DUMMYFUNCTION("IMPORTRANGE(""https://docs.google.com/spreadsheets/d/""&amp;$A114&amp;""/edit#gid=156619080"",C$3)"),132.0)</f>
        <v>132</v>
      </c>
      <c r="D114" s="2">
        <f>IFERROR(__xludf.DUMMYFUNCTION("IMPORTRANGE(""https://docs.google.com/spreadsheets/d/""&amp;$A114&amp;""/edit#gid=156619080"",D$3)"),6976.0)</f>
        <v>6976</v>
      </c>
      <c r="E114" s="15">
        <f>IFERROR(__xludf.DUMMYFUNCTION("IMPORTRANGE(""https://docs.google.com/spreadsheets/d/""&amp;$A114&amp;""/edit#gid=156619080"",E$3)"),43882.0)</f>
        <v>43882</v>
      </c>
      <c r="F114" s="2">
        <f>IFERROR(__xludf.DUMMYFUNCTION("IMPORTRANGE(""https://docs.google.com/spreadsheets/d/""&amp;$A114&amp;""/edit#gid=156619080"",F$3)"),50.0)</f>
        <v>50</v>
      </c>
      <c r="G114" s="16">
        <f>IFERROR(__xludf.DUMMYFUNCTION("IMPORTRANGE(""https://docs.google.com/spreadsheets/d/""&amp;$A114&amp;""/edit#gid=156619080"",G$3)"),1.43)</f>
        <v>1.43</v>
      </c>
      <c r="H114" s="16">
        <f>IFERROR(__xludf.DUMMYFUNCTION("IMPORTRANGE(""https://docs.google.com/spreadsheets/d/""&amp;$A114&amp;""/edit#gid=156619080"",H$3)"),3460.0)</f>
        <v>3460</v>
      </c>
      <c r="I114" s="16">
        <f>IFERROR(__xludf.DUMMYFUNCTION("IMPORTRANGE(""https://docs.google.com/spreadsheets/d/""&amp;$A114&amp;""/edit#gid=156619080"",I$3)"),25.0)</f>
        <v>25</v>
      </c>
      <c r="J114" s="16">
        <f>IFERROR(__xludf.DUMMYFUNCTION("IMPORTRANGE(""https://docs.google.com/spreadsheets/d/""&amp;$A114&amp;""/edit#gid=156619080"",J$3)"),3575.0)</f>
        <v>3575</v>
      </c>
      <c r="K114" s="16">
        <f>IFERROR(__xludf.DUMMYFUNCTION("IMPORTRANGE(""https://docs.google.com/spreadsheets/d/""&amp;$A114&amp;""/edit#gid=156619080"",K$3)"),0.5215277777777778)</f>
        <v>0.5215277778</v>
      </c>
      <c r="L114" s="16">
        <f>IFERROR(__xludf.DUMMYFUNCTION("IMPORTRANGE(""https://docs.google.com/spreadsheets/d/""&amp;$A114&amp;""/edit#gid=156619080"",L$3)"),3440.0)</f>
        <v>3440</v>
      </c>
      <c r="M114" s="16">
        <f>IFERROR(__xludf.DUMMYFUNCTION("IMPORTRANGE(""https://docs.google.com/spreadsheets/d/""&amp;$A114&amp;""/edit#gid=156619080"",M$3)"),0.3798611111111111)</f>
        <v>0.3798611111</v>
      </c>
      <c r="N114" s="16">
        <f>IFERROR(__xludf.DUMMYFUNCTION("IMPORTRANGE(""https://docs.google.com/spreadsheets/d/""&amp;$A114&amp;""/edit#gid=156619080"",N$3)"),3535.0)</f>
        <v>3535</v>
      </c>
      <c r="O114" s="16" t="str">
        <f>IFERROR(__xludf.DUMMYFUNCTION("IMPORTRANGE(""https://docs.google.com/spreadsheets/d/""&amp;$A114&amp;""/edit#gid=156619080"",O$3)"),"3531400株")</f>
        <v>3531400株</v>
      </c>
      <c r="P114" s="16" t="str">
        <f>IFERROR(__xludf.DUMMYFUNCTION("IMPORTRANGE(""https://docs.google.com/spreadsheets/d/""&amp;$A114&amp;""/edit#gid=156619080"",P$3)"),"12470百万円")</f>
        <v>12470百万円</v>
      </c>
      <c r="Q114" s="16" t="str">
        <f>IFERROR(__xludf.DUMMYFUNCTION("IMPORTRANGE(""https://docs.google.com/spreadsheets/d/""&amp;$A114&amp;""/edit#gid=156619080"",Q$3)"),"3793回")</f>
        <v>3793回</v>
      </c>
      <c r="R114" s="16" t="str">
        <f>IFERROR(__xludf.DUMMYFUNCTION("IMPORTRANGE(""https://docs.google.com/spreadsheets/d/""&amp;$A114&amp;""/edit#gid=156619080"",R$3)"),"4603億円")</f>
        <v>4603億円</v>
      </c>
      <c r="S114" s="16" t="str">
        <f>IFERROR(__xludf.DUMMYFUNCTION("IMPORTRANGE(""https://docs.google.com/spreadsheets/d/""&amp;$A114&amp;""/edit#gid=156619080"",S$3)"),"陽線")</f>
        <v>陽線</v>
      </c>
      <c r="T114" s="16" t="str">
        <f>IFERROR(__xludf.DUMMYFUNCTION("IMPORTRANGE(""https://docs.google.com/spreadsheets/d/""&amp;$A114&amp;""/edit#gid=156619080"",T$3)"),"")</f>
        <v/>
      </c>
      <c r="U114" s="16">
        <f>IFERROR(__xludf.DUMMYFUNCTION("IMPORTRANGE(""https://docs.google.com/spreadsheets/d/""&amp;$A114&amp;""/edit#gid=156619080"",U$3)"),3467.0)</f>
        <v>3467</v>
      </c>
      <c r="V114" s="16">
        <f>IFERROR(__xludf.DUMMYFUNCTION("IMPORTRANGE(""https://docs.google.com/spreadsheets/d/""&amp;$A114&amp;""/edit#gid=156619080"",V$3)"),3460.8)</f>
        <v>3460.8</v>
      </c>
      <c r="W114" s="16">
        <f>IFERROR(__xludf.DUMMYFUNCTION("IMPORTRANGE(""https://docs.google.com/spreadsheets/d/""&amp;$A114&amp;""/edit#gid=156619080"",W$3)"),3430.0)</f>
        <v>3430</v>
      </c>
      <c r="X114" s="2">
        <f>IFERROR(__xludf.DUMMYFUNCTION("IMPORTRANGE(""https://docs.google.com/spreadsheets/d/""&amp;$A114&amp;""/edit#gid=156619080"",X$3)"),3044.5)</f>
        <v>3044.5</v>
      </c>
      <c r="Y114" s="17">
        <f>IFERROR(__xludf.DUMMYFUNCTION("IMPORTRANGE(""https://docs.google.com/spreadsheets/d/""&amp;$A114&amp;""/edit#gid=156619080"",Y$3)"),0.01961349870204788)</f>
        <v>0.0196134987</v>
      </c>
      <c r="Z114" s="2">
        <f>IFERROR(__xludf.DUMMYFUNCTION("IMPORTRANGE(""https://docs.google.com/spreadsheets/d/""&amp;$A114&amp;""/edit#gid=156619080"",Z$3)"),3621.34)</f>
        <v>3621.34</v>
      </c>
      <c r="AA114" s="2">
        <f>IFERROR(__xludf.DUMMYFUNCTION("IMPORTRANGE(""https://docs.google.com/spreadsheets/d/""&amp;$A114&amp;""/edit#gid=156619080"",AA$3)"),3597.42)</f>
        <v>3597.42</v>
      </c>
      <c r="AB114" s="2">
        <f>IFERROR(__xludf.DUMMYFUNCTION("IMPORTRANGE(""https://docs.google.com/spreadsheets/d/""&amp;$A114&amp;""/edit#gid=156619080"",AB$3)"),3573.5)</f>
        <v>3573.5</v>
      </c>
      <c r="AC114" s="18">
        <f>IFERROR(__xludf.DUMMYFUNCTION("IMPORTRANGE(""https://docs.google.com/spreadsheets/d/""&amp;$A114&amp;""/edit#gid=156619080"",AC$3)"),3549.59)</f>
        <v>3549.59</v>
      </c>
      <c r="AD114" s="18">
        <f>IFERROR(__xludf.DUMMYFUNCTION("IMPORTRANGE(""https://docs.google.com/spreadsheets/d/""&amp;$A114&amp;""/edit#gid=156619080"",AD$3)"),3525.67)</f>
        <v>3525.67</v>
      </c>
      <c r="AE114" s="18">
        <f>IFERROR(__xludf.DUMMYFUNCTION("IMPORTRANGE(""https://docs.google.com/spreadsheets/d/""&amp;$A114&amp;""/edit#gid=156619080"",AE$3)"),3430.0)</f>
        <v>3430</v>
      </c>
      <c r="AF114" s="2">
        <f>IFERROR(__xludf.DUMMYFUNCTION("IMPORTRANGE(""https://docs.google.com/spreadsheets/d/""&amp;$A114&amp;""/edit#gid=156619080"",AF$3)"),3334.33)</f>
        <v>3334.33</v>
      </c>
      <c r="AG114" s="2">
        <f>IFERROR(__xludf.DUMMYFUNCTION("IMPORTRANGE(""https://docs.google.com/spreadsheets/d/""&amp;$A114&amp;""/edit#gid=156619080"",AG$3)"),3310.41)</f>
        <v>3310.41</v>
      </c>
      <c r="AH114" s="2">
        <f>IFERROR(__xludf.DUMMYFUNCTION("IMPORTRANGE(""https://docs.google.com/spreadsheets/d/""&amp;$A114&amp;""/edit#gid=156619080"",AH$3)"),3286.5)</f>
        <v>3286.5</v>
      </c>
      <c r="AI114" s="2">
        <f>IFERROR(__xludf.DUMMYFUNCTION("IMPORTRANGE(""https://docs.google.com/spreadsheets/d/""&amp;$A114&amp;""/edit#gid=156619080"",AI$3)"),3262.58)</f>
        <v>3262.58</v>
      </c>
      <c r="AJ114" s="2">
        <f>IFERROR(__xludf.DUMMYFUNCTION("IMPORTRANGE(""https://docs.google.com/spreadsheets/d/""&amp;$A114&amp;""/edit#gid=156619080"",AJ$3)"),3238.66)</f>
        <v>3238.66</v>
      </c>
      <c r="AK114" s="2" t="str">
        <f>IFERROR(__xludf.DUMMYFUNCTION("IMPORTRANGE(""https://docs.google.com/spreadsheets/d/""&amp;$A114&amp;""/edit#gid=156619080"",AK$3)"),"1〜1.25σ")</f>
        <v>1〜1.25σ</v>
      </c>
      <c r="AL114" s="2">
        <f>IFERROR(__xludf.DUMMYFUNCTION("IMPORTRANGE(""https://docs.google.com/spreadsheets/d/""&amp;$A114&amp;""/edit#gid=156619080"",AL$3)"),1.0)</f>
        <v>1</v>
      </c>
      <c r="AM114" s="2" t="str">
        <f>IFERROR(__xludf.DUMMYFUNCTION("IMPORTRANGE(""https://docs.google.com/spreadsheets/d/""&amp;$A114&amp;""/edit#gid=156619080"",AM$3)"),"")</f>
        <v/>
      </c>
      <c r="AN114" s="2">
        <f>IFERROR(__xludf.DUMMYFUNCTION("IMPORTRANGE(""https://docs.google.com/spreadsheets/d/""&amp;$A114&amp;""/edit#gid=156619080"",AN$3)"),1.0)</f>
        <v>1</v>
      </c>
      <c r="AO114" s="2" t="str">
        <f>IFERROR(__xludf.DUMMYFUNCTION("IMPORTRANGE(""https://docs.google.com/spreadsheets/d/""&amp;$A114&amp;""/edit#gid=156619080"",AO$3)"),"")</f>
        <v/>
      </c>
      <c r="AP114" s="2">
        <f>IFERROR(__xludf.DUMMYFUNCTION("IMPORTRANGE(""https://docs.google.com/spreadsheets/d/""&amp;$A114&amp;""/edit#gid=156619080"",AP$3)"),1.0)</f>
        <v>1</v>
      </c>
      <c r="AQ114" s="2" t="str">
        <f>IFERROR(__xludf.DUMMYFUNCTION("IMPORTRANGE(""https://docs.google.com/spreadsheets/d/""&amp;$A114&amp;""/edit#gid=156619080"",AQ$3)"),"")</f>
        <v/>
      </c>
      <c r="AR114" s="18">
        <f>IFERROR(__xludf.DUMMYFUNCTION("IMPORTRANGE(""https://docs.google.com/spreadsheets/d/""&amp;$A114&amp;""/edit#gid=156619080"",AR$3)"),22.499999999999996)</f>
        <v>22.5</v>
      </c>
      <c r="AS114" s="19" t="str">
        <f>IFERROR(__xludf.DUMMYFUNCTION("IMPORTRANGE(""https://docs.google.com/spreadsheets/d/""&amp;$A114&amp;""/edit#gid=156619080"",AS$3)"),"90
-10
-60
-60
")</f>
        <v>90
-10
-60
-60
</v>
      </c>
      <c r="AT114" s="18">
        <f>IFERROR(__xludf.DUMMYFUNCTION("IMPORTRANGE(""https://docs.google.com/spreadsheets/d/""&amp;$A114&amp;""/edit#gid=156619080"",AT$3)"),36.401098901098905)</f>
        <v>36.4010989</v>
      </c>
      <c r="AU114" s="3" t="str">
        <f>IFERROR(__xludf.DUMMYFUNCTION("IMPORTRANGE(""https://docs.google.com/spreadsheets/d/""&amp;$A114&amp;""/edit#gid=156619080"",AU$3)"),"82.55
70.47
56.18
40.11
")</f>
        <v>82.55
70.47
56.18
40.11
</v>
      </c>
      <c r="AV114" s="18">
        <f>IFERROR(__xludf.DUMMYFUNCTION("IMPORTRANGE(""https://docs.google.com/spreadsheets/d/""&amp;$A114&amp;""/edit#gid=156619080"",AV$3)"),33.14935064935065)</f>
        <v>33.14935065</v>
      </c>
      <c r="AW114" s="19" t="str">
        <f>IFERROR(__xludf.DUMMYFUNCTION("IMPORTRANGE(""https://docs.google.com/spreadsheets/d/""&amp;$A114&amp;""/edit#gid=156619080"",AW$3)"),"13.54
0.65
7.66
12.31
")</f>
        <v>13.54
0.65
7.66
12.31
</v>
      </c>
      <c r="AX114" s="2">
        <f>IFERROR(__xludf.DUMMYFUNCTION("IMPORTRANGE(""https://docs.google.com/spreadsheets/d/""&amp;$A114&amp;""/edit#gid=156619080"",AX$3)"),48.19)</f>
        <v>48.19</v>
      </c>
      <c r="AY114" s="2">
        <f>IFERROR(__xludf.DUMMYFUNCTION("IMPORTRANGE(""https://docs.google.com/spreadsheets/d/""&amp;$A114&amp;""/edit#gid=156619080"",AY$3)"),51.1)</f>
        <v>51.1</v>
      </c>
      <c r="AZ114" s="2">
        <f>IFERROR(__xludf.DUMMYFUNCTION("IMPORTRANGE(""https://docs.google.com/spreadsheets/d/""&amp;$A114&amp;""/edit#gid=156619080"",AZ$3)"),3485.07)</f>
        <v>3485.07</v>
      </c>
      <c r="BA114" s="2">
        <f>IFERROR(__xludf.DUMMYFUNCTION("IMPORTRANGE(""https://docs.google.com/spreadsheets/d/""&amp;$A114&amp;""/edit#gid=156619080"",BA$3)"),44.45000000000027)</f>
        <v>44.45</v>
      </c>
      <c r="BB114" s="2">
        <f>IFERROR(__xludf.DUMMYFUNCTION("IMPORTRANGE(""https://docs.google.com/spreadsheets/d/""&amp;$A114&amp;""/edit#gid=156619080"",BB$3)"),36.93)</f>
        <v>36.93</v>
      </c>
      <c r="BC114" s="2" t="str">
        <f>IFERROR(__xludf.DUMMYFUNCTION("IMPORTRANGE(""https://docs.google.com/spreadsheets/d/""&amp;$A114&amp;""/edit#gid=156619080"",BC$3)"),"DC→GC")</f>
        <v>DC→GC</v>
      </c>
    </row>
    <row r="115" ht="51.0" customHeight="1">
      <c r="A115" s="7" t="str">
        <f t="shared" si="5"/>
        <v>1pkZ7Fw1wgr5mld73mqqflRY4Xnb71RrqbdgdthPV7Sg</v>
      </c>
      <c r="B115" s="1" t="s">
        <v>142</v>
      </c>
      <c r="C115" s="2">
        <f>IFERROR(__xludf.DUMMYFUNCTION("IMPORTRANGE(""https://docs.google.com/spreadsheets/d/""&amp;$A115&amp;""/edit#gid=156619080"",C$3)"),132.0)</f>
        <v>132</v>
      </c>
      <c r="D115" s="2">
        <f>IFERROR(__xludf.DUMMYFUNCTION("IMPORTRANGE(""https://docs.google.com/spreadsheets/d/""&amp;$A115&amp;""/edit#gid=156619080"",D$3)"),6988.0)</f>
        <v>6988</v>
      </c>
      <c r="E115" s="15">
        <f>IFERROR(__xludf.DUMMYFUNCTION("IMPORTRANGE(""https://docs.google.com/spreadsheets/d/""&amp;$A115&amp;""/edit#gid=156619080"",E$3)"),43882.0)</f>
        <v>43882</v>
      </c>
      <c r="F115" s="2">
        <f>IFERROR(__xludf.DUMMYFUNCTION("IMPORTRANGE(""https://docs.google.com/spreadsheets/d/""&amp;$A115&amp;""/edit#gid=156619080"",F$3)"),-80.0)</f>
        <v>-80</v>
      </c>
      <c r="G115" s="16">
        <f>IFERROR(__xludf.DUMMYFUNCTION("IMPORTRANGE(""https://docs.google.com/spreadsheets/d/""&amp;$A115&amp;""/edit#gid=156619080"",G$3)"),-1.33)</f>
        <v>-1.33</v>
      </c>
      <c r="H115" s="16">
        <f>IFERROR(__xludf.DUMMYFUNCTION("IMPORTRANGE(""https://docs.google.com/spreadsheets/d/""&amp;$A115&amp;""/edit#gid=156619080"",H$3)"),5960.0)</f>
        <v>5960</v>
      </c>
      <c r="I115" s="16">
        <f>IFERROR(__xludf.DUMMYFUNCTION("IMPORTRANGE(""https://docs.google.com/spreadsheets/d/""&amp;$A115&amp;""/edit#gid=156619080"",I$3)"),40.0)</f>
        <v>40</v>
      </c>
      <c r="J115" s="16">
        <f>IFERROR(__xludf.DUMMYFUNCTION("IMPORTRANGE(""https://docs.google.com/spreadsheets/d/""&amp;$A115&amp;""/edit#gid=156619080"",J$3)"),6040.0)</f>
        <v>6040</v>
      </c>
      <c r="K115" s="16">
        <f>IFERROR(__xludf.DUMMYFUNCTION("IMPORTRANGE(""https://docs.google.com/spreadsheets/d/""&amp;$A115&amp;""/edit#gid=156619080"",K$3)"),0.3770833333333333)</f>
        <v>0.3770833333</v>
      </c>
      <c r="L115" s="16">
        <f>IFERROR(__xludf.DUMMYFUNCTION("IMPORTRANGE(""https://docs.google.com/spreadsheets/d/""&amp;$A115&amp;""/edit#gid=156619080"",L$3)"),5900.0)</f>
        <v>5900</v>
      </c>
      <c r="M115" s="16">
        <f>IFERROR(__xludf.DUMMYFUNCTION("IMPORTRANGE(""https://docs.google.com/spreadsheets/d/""&amp;$A115&amp;""/edit#gid=156619080"",M$3)"),0.6180555555555556)</f>
        <v>0.6180555556</v>
      </c>
      <c r="N115" s="16">
        <f>IFERROR(__xludf.DUMMYFUNCTION("IMPORTRANGE(""https://docs.google.com/spreadsheets/d/""&amp;$A115&amp;""/edit#gid=156619080"",N$3)"),5920.0)</f>
        <v>5920</v>
      </c>
      <c r="O115" s="16" t="str">
        <f>IFERROR(__xludf.DUMMYFUNCTION("IMPORTRANGE(""https://docs.google.com/spreadsheets/d/""&amp;$A115&amp;""/edit#gid=156619080"",O$3)"),"853400株")</f>
        <v>853400株</v>
      </c>
      <c r="P115" s="16" t="str">
        <f>IFERROR(__xludf.DUMMYFUNCTION("IMPORTRANGE(""https://docs.google.com/spreadsheets/d/""&amp;$A115&amp;""/edit#gid=156619080"",P$3)"),"5076百万円")</f>
        <v>5076百万円</v>
      </c>
      <c r="Q115" s="16" t="str">
        <f>IFERROR(__xludf.DUMMYFUNCTION("IMPORTRANGE(""https://docs.google.com/spreadsheets/d/""&amp;$A115&amp;""/edit#gid=156619080"",Q$3)"),"1588回")</f>
        <v>1588回</v>
      </c>
      <c r="R115" s="16" t="str">
        <f>IFERROR(__xludf.DUMMYFUNCTION("IMPORTRANGE(""https://docs.google.com/spreadsheets/d/""&amp;$A115&amp;""/edit#gid=156619080"",R$3)"),"9399億円")</f>
        <v>9399億円</v>
      </c>
      <c r="S115" s="16" t="str">
        <f>IFERROR(__xludf.DUMMYFUNCTION("IMPORTRANGE(""https://docs.google.com/spreadsheets/d/""&amp;$A115&amp;""/edit#gid=156619080"",S$3)"),"陰線")</f>
        <v>陰線</v>
      </c>
      <c r="T115" s="16" t="str">
        <f>IFERROR(__xludf.DUMMYFUNCTION("IMPORTRANGE(""https://docs.google.com/spreadsheets/d/""&amp;$A115&amp;""/edit#gid=156619080"",T$3)"),"")</f>
        <v/>
      </c>
      <c r="U115" s="16">
        <f>IFERROR(__xludf.DUMMYFUNCTION("IMPORTRANGE(""https://docs.google.com/spreadsheets/d/""&amp;$A115&amp;""/edit#gid=156619080"",U$3)"),6002.0)</f>
        <v>6002</v>
      </c>
      <c r="V115" s="16">
        <f>IFERROR(__xludf.DUMMYFUNCTION("IMPORTRANGE(""https://docs.google.com/spreadsheets/d/""&amp;$A115&amp;""/edit#gid=156619080"",V$3)"),6124.6)</f>
        <v>6124.6</v>
      </c>
      <c r="W115" s="16">
        <f>IFERROR(__xludf.DUMMYFUNCTION("IMPORTRANGE(""https://docs.google.com/spreadsheets/d/""&amp;$A115&amp;""/edit#gid=156619080"",W$3)"),6136.2)</f>
        <v>6136.2</v>
      </c>
      <c r="X115" s="2">
        <f>IFERROR(__xludf.DUMMYFUNCTION("IMPORTRANGE(""https://docs.google.com/spreadsheets/d/""&amp;$A115&amp;""/edit#gid=156619080"",X$3)"),5914.2)</f>
        <v>5914.2</v>
      </c>
      <c r="Y115" s="17">
        <f>IFERROR(__xludf.DUMMYFUNCTION("IMPORTRANGE(""https://docs.google.com/spreadsheets/d/""&amp;$A115&amp;""/edit#gid=156619080"",Y$3)"),-0.013662112629123625)</f>
        <v>-0.01366211263</v>
      </c>
      <c r="Z115" s="2">
        <f>IFERROR(__xludf.DUMMYFUNCTION("IMPORTRANGE(""https://docs.google.com/spreadsheets/d/""&amp;$A115&amp;""/edit#gid=156619080"",Z$3)"),6342.8)</f>
        <v>6342.8</v>
      </c>
      <c r="AA115" s="2">
        <f>IFERROR(__xludf.DUMMYFUNCTION("IMPORTRANGE(""https://docs.google.com/spreadsheets/d/""&amp;$A115&amp;""/edit#gid=156619080"",AA$3)"),6316.98)</f>
        <v>6316.98</v>
      </c>
      <c r="AB115" s="2">
        <f>IFERROR(__xludf.DUMMYFUNCTION("IMPORTRANGE(""https://docs.google.com/spreadsheets/d/""&amp;$A115&amp;""/edit#gid=156619080"",AB$3)"),6291.15)</f>
        <v>6291.15</v>
      </c>
      <c r="AC115" s="18">
        <f>IFERROR(__xludf.DUMMYFUNCTION("IMPORTRANGE(""https://docs.google.com/spreadsheets/d/""&amp;$A115&amp;""/edit#gid=156619080"",AC$3)"),6265.33)</f>
        <v>6265.33</v>
      </c>
      <c r="AD115" s="18">
        <f>IFERROR(__xludf.DUMMYFUNCTION("IMPORTRANGE(""https://docs.google.com/spreadsheets/d/""&amp;$A115&amp;""/edit#gid=156619080"",AD$3)"),6239.5)</f>
        <v>6239.5</v>
      </c>
      <c r="AE115" s="18">
        <f>IFERROR(__xludf.DUMMYFUNCTION("IMPORTRANGE(""https://docs.google.com/spreadsheets/d/""&amp;$A115&amp;""/edit#gid=156619080"",AE$3)"),6136.2)</f>
        <v>6136.2</v>
      </c>
      <c r="AF115" s="2">
        <f>IFERROR(__xludf.DUMMYFUNCTION("IMPORTRANGE(""https://docs.google.com/spreadsheets/d/""&amp;$A115&amp;""/edit#gid=156619080"",AF$3)"),6032.9)</f>
        <v>6032.9</v>
      </c>
      <c r="AG115" s="2">
        <f>IFERROR(__xludf.DUMMYFUNCTION("IMPORTRANGE(""https://docs.google.com/spreadsheets/d/""&amp;$A115&amp;""/edit#gid=156619080"",AG$3)"),6007.07)</f>
        <v>6007.07</v>
      </c>
      <c r="AH115" s="2">
        <f>IFERROR(__xludf.DUMMYFUNCTION("IMPORTRANGE(""https://docs.google.com/spreadsheets/d/""&amp;$A115&amp;""/edit#gid=156619080"",AH$3)"),5981.25)</f>
        <v>5981.25</v>
      </c>
      <c r="AI115" s="2">
        <f>IFERROR(__xludf.DUMMYFUNCTION("IMPORTRANGE(""https://docs.google.com/spreadsheets/d/""&amp;$A115&amp;""/edit#gid=156619080"",AI$3)"),5955.42)</f>
        <v>5955.42</v>
      </c>
      <c r="AJ115" s="2">
        <f>IFERROR(__xludf.DUMMYFUNCTION("IMPORTRANGE(""https://docs.google.com/spreadsheets/d/""&amp;$A115&amp;""/edit#gid=156619080"",AJ$3)"),5929.6)</f>
        <v>5929.6</v>
      </c>
      <c r="AK115" s="2" t="str">
        <f>IFERROR(__xludf.DUMMYFUNCTION("IMPORTRANGE(""https://docs.google.com/spreadsheets/d/""&amp;$A115&amp;""/edit#gid=156619080"",AK$3)"),"-2σ以下")</f>
        <v>-2σ以下</v>
      </c>
      <c r="AL115" s="2">
        <f>IFERROR(__xludf.DUMMYFUNCTION("IMPORTRANGE(""https://docs.google.com/spreadsheets/d/""&amp;$A115&amp;""/edit#gid=156619080"",AL$3)"),-1.0)</f>
        <v>-1</v>
      </c>
      <c r="AM115" s="2" t="str">
        <f>IFERROR(__xludf.DUMMYFUNCTION("IMPORTRANGE(""https://docs.google.com/spreadsheets/d/""&amp;$A115&amp;""/edit#gid=156619080"",AM$3)"),"")</f>
        <v/>
      </c>
      <c r="AN115" s="2">
        <f>IFERROR(__xludf.DUMMYFUNCTION("IMPORTRANGE(""https://docs.google.com/spreadsheets/d/""&amp;$A115&amp;""/edit#gid=156619080"",AN$3)"),-1.0)</f>
        <v>-1</v>
      </c>
      <c r="AO115" s="2" t="str">
        <f>IFERROR(__xludf.DUMMYFUNCTION("IMPORTRANGE(""https://docs.google.com/spreadsheets/d/""&amp;$A115&amp;""/edit#gid=156619080"",AO$3)"),"")</f>
        <v/>
      </c>
      <c r="AP115" s="2">
        <f>IFERROR(__xludf.DUMMYFUNCTION("IMPORTRANGE(""https://docs.google.com/spreadsheets/d/""&amp;$A115&amp;""/edit#gid=156619080"",AP$3)"),-1.0)</f>
        <v>-1</v>
      </c>
      <c r="AQ115" s="2" t="str">
        <f>IFERROR(__xludf.DUMMYFUNCTION("IMPORTRANGE(""https://docs.google.com/spreadsheets/d/""&amp;$A115&amp;""/edit#gid=156619080"",AQ$3)"),"")</f>
        <v/>
      </c>
      <c r="AR115" s="18">
        <f>IFERROR(__xludf.DUMMYFUNCTION("IMPORTRANGE(""https://docs.google.com/spreadsheets/d/""&amp;$A115&amp;""/edit#gid=156619080"",AR$3)"),-82.5)</f>
        <v>-82.5</v>
      </c>
      <c r="AS115" s="19" t="str">
        <f>IFERROR(__xludf.DUMMYFUNCTION("IMPORTRANGE(""https://docs.google.com/spreadsheets/d/""&amp;$A115&amp;""/edit#gid=156619080"",AS$3)"),"-90
-92.5
-92.5
-82.5
")</f>
        <v>-90
-92.5
-92.5
-82.5
</v>
      </c>
      <c r="AT115" s="18">
        <f>IFERROR(__xludf.DUMMYFUNCTION("IMPORTRANGE(""https://docs.google.com/spreadsheets/d/""&amp;$A115&amp;""/edit#gid=156619080"",AT$3)"),-86.81318681318682)</f>
        <v>-86.81318681</v>
      </c>
      <c r="AU115" s="3" t="str">
        <f>IFERROR(__xludf.DUMMYFUNCTION("IMPORTRANGE(""https://docs.google.com/spreadsheets/d/""&amp;$A115&amp;""/edit#gid=156619080"",AU$3)"),"-41.9
-48.63
-59.2
-69.09
")</f>
        <v>-41.9
-48.63
-59.2
-69.09
</v>
      </c>
      <c r="AV115" s="18">
        <f>IFERROR(__xludf.DUMMYFUNCTION("IMPORTRANGE(""https://docs.google.com/spreadsheets/d/""&amp;$A115&amp;""/edit#gid=156619080"",AV$3)"),-48.798701298701296)</f>
        <v>-48.7987013</v>
      </c>
      <c r="AW115" s="19" t="str">
        <f>IFERROR(__xludf.DUMMYFUNCTION("IMPORTRANGE(""https://docs.google.com/spreadsheets/d/""&amp;$A115&amp;""/edit#gid=156619080"",AW$3)"),"-40.75
-45.29
-47.24
-48.8
")</f>
        <v>-40.75
-45.29
-47.24
-48.8
</v>
      </c>
      <c r="AX115" s="2">
        <f>IFERROR(__xludf.DUMMYFUNCTION("IMPORTRANGE(""https://docs.google.com/spreadsheets/d/""&amp;$A115&amp;""/edit#gid=156619080"",AX$3)"),5.0)</f>
        <v>5</v>
      </c>
      <c r="AY115" s="2">
        <f>IFERROR(__xludf.DUMMYFUNCTION("IMPORTRANGE(""https://docs.google.com/spreadsheets/d/""&amp;$A115&amp;""/edit#gid=156619080"",AY$3)"),34.93)</f>
        <v>34.93</v>
      </c>
      <c r="AZ115" s="2">
        <f>IFERROR(__xludf.DUMMYFUNCTION("IMPORTRANGE(""https://docs.google.com/spreadsheets/d/""&amp;$A115&amp;""/edit#gid=156619080"",AZ$3)"),6001.31)</f>
        <v>6001.31</v>
      </c>
      <c r="BA115" s="2">
        <f>IFERROR(__xludf.DUMMYFUNCTION("IMPORTRANGE(""https://docs.google.com/spreadsheets/d/""&amp;$A115&amp;""/edit#gid=156619080"",BA$3)"),-112.91999999999916)</f>
        <v>-112.92</v>
      </c>
      <c r="BB115" s="2">
        <f>IFERROR(__xludf.DUMMYFUNCTION("IMPORTRANGE(""https://docs.google.com/spreadsheets/d/""&amp;$A115&amp;""/edit#gid=156619080"",BB$3)"),-43.89)</f>
        <v>-43.89</v>
      </c>
      <c r="BC115" s="2" t="str">
        <f>IFERROR(__xludf.DUMMYFUNCTION("IMPORTRANGE(""https://docs.google.com/spreadsheets/d/""&amp;$A115&amp;""/edit#gid=156619080"",BC$3)"),"DC→DC")</f>
        <v>DC→DC</v>
      </c>
    </row>
    <row r="116" ht="51.0" customHeight="1">
      <c r="A116" s="7" t="str">
        <f t="shared" si="5"/>
        <v>188ln2g1E3nzwZHRVySSP_kNNAaWVq37OrR-6JS5NQxE</v>
      </c>
      <c r="B116" s="1" t="s">
        <v>143</v>
      </c>
      <c r="C116" s="2">
        <f>IFERROR(__xludf.DUMMYFUNCTION("IMPORTRANGE(""https://docs.google.com/spreadsheets/d/""&amp;$A116&amp;""/edit#gid=156619080"",C$3)"),132.0)</f>
        <v>132</v>
      </c>
      <c r="D116" s="2">
        <f>IFERROR(__xludf.DUMMYFUNCTION("IMPORTRANGE(""https://docs.google.com/spreadsheets/d/""&amp;$A116&amp;""/edit#gid=156619080"",D$3)"),7735.0)</f>
        <v>7735</v>
      </c>
      <c r="E116" s="15">
        <f>IFERROR(__xludf.DUMMYFUNCTION("IMPORTRANGE(""https://docs.google.com/spreadsheets/d/""&amp;$A116&amp;""/edit#gid=156619080"",E$3)"),43882.0)</f>
        <v>43882</v>
      </c>
      <c r="F116" s="2">
        <f>IFERROR(__xludf.DUMMYFUNCTION("IMPORTRANGE(""https://docs.google.com/spreadsheets/d/""&amp;$A116&amp;""/edit#gid=156619080"",F$3)"),-170.0)</f>
        <v>-170</v>
      </c>
      <c r="G116" s="16">
        <f>IFERROR(__xludf.DUMMYFUNCTION("IMPORTRANGE(""https://docs.google.com/spreadsheets/d/""&amp;$A116&amp;""/edit#gid=156619080"",G$3)"),-2.74)</f>
        <v>-2.74</v>
      </c>
      <c r="H116" s="16">
        <f>IFERROR(__xludf.DUMMYFUNCTION("IMPORTRANGE(""https://docs.google.com/spreadsheets/d/""&amp;$A116&amp;""/edit#gid=156619080"",H$3)"),6160.0)</f>
        <v>6160</v>
      </c>
      <c r="I116" s="16">
        <f>IFERROR(__xludf.DUMMYFUNCTION("IMPORTRANGE(""https://docs.google.com/spreadsheets/d/""&amp;$A116&amp;""/edit#gid=156619080"",I$3)"),50.0)</f>
        <v>50</v>
      </c>
      <c r="J116" s="16">
        <f>IFERROR(__xludf.DUMMYFUNCTION("IMPORTRANGE(""https://docs.google.com/spreadsheets/d/""&amp;$A116&amp;""/edit#gid=156619080"",J$3)"),6250.0)</f>
        <v>6250</v>
      </c>
      <c r="K116" s="16">
        <f>IFERROR(__xludf.DUMMYFUNCTION("IMPORTRANGE(""https://docs.google.com/spreadsheets/d/""&amp;$A116&amp;""/edit#gid=156619080"",K$3)"),0.3770833333333333)</f>
        <v>0.3770833333</v>
      </c>
      <c r="L116" s="16">
        <f>IFERROR(__xludf.DUMMYFUNCTION("IMPORTRANGE(""https://docs.google.com/spreadsheets/d/""&amp;$A116&amp;""/edit#gid=156619080"",L$3)"),5980.0)</f>
        <v>5980</v>
      </c>
      <c r="M116" s="16">
        <f>IFERROR(__xludf.DUMMYFUNCTION("IMPORTRANGE(""https://docs.google.com/spreadsheets/d/""&amp;$A116&amp;""/edit#gid=156619080"",M$3)"),0.5256944444444445)</f>
        <v>0.5256944444</v>
      </c>
      <c r="N116" s="16">
        <f>IFERROR(__xludf.DUMMYFUNCTION("IMPORTRANGE(""https://docs.google.com/spreadsheets/d/""&amp;$A116&amp;""/edit#gid=156619080"",N$3)"),6040.0)</f>
        <v>6040</v>
      </c>
      <c r="O116" s="16" t="str">
        <f>IFERROR(__xludf.DUMMYFUNCTION("IMPORTRANGE(""https://docs.google.com/spreadsheets/d/""&amp;$A116&amp;""/edit#gid=156619080"",O$3)"),"1028100株")</f>
        <v>1028100株</v>
      </c>
      <c r="P116" s="16" t="str">
        <f>IFERROR(__xludf.DUMMYFUNCTION("IMPORTRANGE(""https://docs.google.com/spreadsheets/d/""&amp;$A116&amp;""/edit#gid=156619080"",P$3)"),"6260百万円")</f>
        <v>6260百万円</v>
      </c>
      <c r="Q116" s="16" t="str">
        <f>IFERROR(__xludf.DUMMYFUNCTION("IMPORTRANGE(""https://docs.google.com/spreadsheets/d/""&amp;$A116&amp;""/edit#gid=156619080"",Q$3)"),"2525回")</f>
        <v>2525回</v>
      </c>
      <c r="R116" s="16" t="str">
        <f>IFERROR(__xludf.DUMMYFUNCTION("IMPORTRANGE(""https://docs.google.com/spreadsheets/d/""&amp;$A116&amp;""/edit#gid=156619080"",R$3)"),"3068億円")</f>
        <v>3068億円</v>
      </c>
      <c r="S116" s="16" t="str">
        <f>IFERROR(__xludf.DUMMYFUNCTION("IMPORTRANGE(""https://docs.google.com/spreadsheets/d/""&amp;$A116&amp;""/edit#gid=156619080"",S$3)"),"陰線")</f>
        <v>陰線</v>
      </c>
      <c r="T116" s="16" t="str">
        <f>IFERROR(__xludf.DUMMYFUNCTION("IMPORTRANGE(""https://docs.google.com/spreadsheets/d/""&amp;$A116&amp;""/edit#gid=156619080"",T$3)"),"")</f>
        <v/>
      </c>
      <c r="U116" s="16">
        <f>IFERROR(__xludf.DUMMYFUNCTION("IMPORTRANGE(""https://docs.google.com/spreadsheets/d/""&amp;$A116&amp;""/edit#gid=156619080"",U$3)"),6216.0)</f>
        <v>6216</v>
      </c>
      <c r="V116" s="16">
        <f>IFERROR(__xludf.DUMMYFUNCTION("IMPORTRANGE(""https://docs.google.com/spreadsheets/d/""&amp;$A116&amp;""/edit#gid=156619080"",V$3)"),6419.2)</f>
        <v>6419.2</v>
      </c>
      <c r="W116" s="16">
        <f>IFERROR(__xludf.DUMMYFUNCTION("IMPORTRANGE(""https://docs.google.com/spreadsheets/d/""&amp;$A116&amp;""/edit#gid=156619080"",W$3)"),6691.9)</f>
        <v>6691.9</v>
      </c>
      <c r="X116" s="2">
        <f>IFERROR(__xludf.DUMMYFUNCTION("IMPORTRANGE(""https://docs.google.com/spreadsheets/d/""&amp;$A116&amp;""/edit#gid=156619080"",X$3)"),7153.7)</f>
        <v>7153.7</v>
      </c>
      <c r="Y116" s="17">
        <f>IFERROR(__xludf.DUMMYFUNCTION("IMPORTRANGE(""https://docs.google.com/spreadsheets/d/""&amp;$A116&amp;""/edit#gid=156619080"",Y$3)"),-0.028314028314028315)</f>
        <v>-0.02831402831</v>
      </c>
      <c r="Z116" s="2">
        <f>IFERROR(__xludf.DUMMYFUNCTION("IMPORTRANGE(""https://docs.google.com/spreadsheets/d/""&amp;$A116&amp;""/edit#gid=156619080"",Z$3)"),8011.33)</f>
        <v>8011.33</v>
      </c>
      <c r="AA116" s="2">
        <f>IFERROR(__xludf.DUMMYFUNCTION("IMPORTRANGE(""https://docs.google.com/spreadsheets/d/""&amp;$A116&amp;""/edit#gid=156619080"",AA$3)"),7846.4)</f>
        <v>7846.4</v>
      </c>
      <c r="AB116" s="2">
        <f>IFERROR(__xludf.DUMMYFUNCTION("IMPORTRANGE(""https://docs.google.com/spreadsheets/d/""&amp;$A116&amp;""/edit#gid=156619080"",AB$3)"),7681.47)</f>
        <v>7681.47</v>
      </c>
      <c r="AC116" s="18">
        <f>IFERROR(__xludf.DUMMYFUNCTION("IMPORTRANGE(""https://docs.google.com/spreadsheets/d/""&amp;$A116&amp;""/edit#gid=156619080"",AC$3)"),7516.54)</f>
        <v>7516.54</v>
      </c>
      <c r="AD116" s="18">
        <f>IFERROR(__xludf.DUMMYFUNCTION("IMPORTRANGE(""https://docs.google.com/spreadsheets/d/""&amp;$A116&amp;""/edit#gid=156619080"",AD$3)"),7351.62)</f>
        <v>7351.62</v>
      </c>
      <c r="AE116" s="18">
        <f>IFERROR(__xludf.DUMMYFUNCTION("IMPORTRANGE(""https://docs.google.com/spreadsheets/d/""&amp;$A116&amp;""/edit#gid=156619080"",AE$3)"),6691.9)</f>
        <v>6691.9</v>
      </c>
      <c r="AF116" s="2">
        <f>IFERROR(__xludf.DUMMYFUNCTION("IMPORTRANGE(""https://docs.google.com/spreadsheets/d/""&amp;$A116&amp;""/edit#gid=156619080"",AF$3)"),6032.18)</f>
        <v>6032.18</v>
      </c>
      <c r="AG116" s="2">
        <f>IFERROR(__xludf.DUMMYFUNCTION("IMPORTRANGE(""https://docs.google.com/spreadsheets/d/""&amp;$A116&amp;""/edit#gid=156619080"",AG$3)"),5867.26)</f>
        <v>5867.26</v>
      </c>
      <c r="AH116" s="2">
        <f>IFERROR(__xludf.DUMMYFUNCTION("IMPORTRANGE(""https://docs.google.com/spreadsheets/d/""&amp;$A116&amp;""/edit#gid=156619080"",AH$3)"),5702.33)</f>
        <v>5702.33</v>
      </c>
      <c r="AI116" s="2">
        <f>IFERROR(__xludf.DUMMYFUNCTION("IMPORTRANGE(""https://docs.google.com/spreadsheets/d/""&amp;$A116&amp;""/edit#gid=156619080"",AI$3)"),5537.4)</f>
        <v>5537.4</v>
      </c>
      <c r="AJ116" s="2">
        <f>IFERROR(__xludf.DUMMYFUNCTION("IMPORTRANGE(""https://docs.google.com/spreadsheets/d/""&amp;$A116&amp;""/edit#gid=156619080"",AJ$3)"),5372.47)</f>
        <v>5372.47</v>
      </c>
      <c r="AK116" s="2" t="str">
        <f>IFERROR(__xludf.DUMMYFUNCTION("IMPORTRANGE(""https://docs.google.com/spreadsheets/d/""&amp;$A116&amp;""/edit#gid=156619080"",AK$3)"),"")</f>
        <v/>
      </c>
      <c r="AL116" s="2">
        <f>IFERROR(__xludf.DUMMYFUNCTION("IMPORTRANGE(""https://docs.google.com/spreadsheets/d/""&amp;$A116&amp;""/edit#gid=156619080"",AL$3)"),-1.0)</f>
        <v>-1</v>
      </c>
      <c r="AM116" s="2" t="str">
        <f>IFERROR(__xludf.DUMMYFUNCTION("IMPORTRANGE(""https://docs.google.com/spreadsheets/d/""&amp;$A116&amp;""/edit#gid=156619080"",AM$3)"),"")</f>
        <v/>
      </c>
      <c r="AN116" s="2">
        <f>IFERROR(__xludf.DUMMYFUNCTION("IMPORTRANGE(""https://docs.google.com/spreadsheets/d/""&amp;$A116&amp;""/edit#gid=156619080"",AN$3)"),-1.0)</f>
        <v>-1</v>
      </c>
      <c r="AO116" s="2" t="str">
        <f>IFERROR(__xludf.DUMMYFUNCTION("IMPORTRANGE(""https://docs.google.com/spreadsheets/d/""&amp;$A116&amp;""/edit#gid=156619080"",AO$3)"),"")</f>
        <v/>
      </c>
      <c r="AP116" s="2">
        <f>IFERROR(__xludf.DUMMYFUNCTION("IMPORTRANGE(""https://docs.google.com/spreadsheets/d/""&amp;$A116&amp;""/edit#gid=156619080"",AP$3)"),-1.0)</f>
        <v>-1</v>
      </c>
      <c r="AQ116" s="2" t="str">
        <f>IFERROR(__xludf.DUMMYFUNCTION("IMPORTRANGE(""https://docs.google.com/spreadsheets/d/""&amp;$A116&amp;""/edit#gid=156619080"",AQ$3)"),"")</f>
        <v/>
      </c>
      <c r="AR116" s="18">
        <f>IFERROR(__xludf.DUMMYFUNCTION("IMPORTRANGE(""https://docs.google.com/spreadsheets/d/""&amp;$A116&amp;""/edit#gid=156619080"",AR$3)"),-62.5)</f>
        <v>-62.5</v>
      </c>
      <c r="AS116" s="19" t="str">
        <f>IFERROR(__xludf.DUMMYFUNCTION("IMPORTRANGE(""https://docs.google.com/spreadsheets/d/""&amp;$A116&amp;""/edit#gid=156619080"",AS$3)"),"30
-70
-90
-62.5
")</f>
        <v>30
-70
-90
-62.5
</v>
      </c>
      <c r="AT116" s="18">
        <f>IFERROR(__xludf.DUMMYFUNCTION("IMPORTRANGE(""https://docs.google.com/spreadsheets/d/""&amp;$A116&amp;""/edit#gid=156619080"",AT$3)"),-45.192307692307686)</f>
        <v>-45.19230769</v>
      </c>
      <c r="AU116" s="3" t="str">
        <f>IFERROR(__xludf.DUMMYFUNCTION("IMPORTRANGE(""https://docs.google.com/spreadsheets/d/""&amp;$A116&amp;""/edit#gid=156619080"",AU$3)"),"40.66
52.2
32.42
-2.34
")</f>
        <v>40.66
52.2
32.42
-2.34
</v>
      </c>
      <c r="AV116" s="18">
        <f>IFERROR(__xludf.DUMMYFUNCTION("IMPORTRANGE(""https://docs.google.com/spreadsheets/d/""&amp;$A116&amp;""/edit#gid=156619080"",AV$3)"),-53.27922077922078)</f>
        <v>-53.27922078</v>
      </c>
      <c r="AW116" s="19" t="str">
        <f>IFERROR(__xludf.DUMMYFUNCTION("IMPORTRANGE(""https://docs.google.com/spreadsheets/d/""&amp;$A116&amp;""/edit#gid=156619080"",AW$3)"),"-63.51
-61.56
-58.44
-56.4
")</f>
        <v>-63.51
-61.56
-58.44
-56.4
</v>
      </c>
      <c r="AX116" s="2">
        <f>IFERROR(__xludf.DUMMYFUNCTION("IMPORTRANGE(""https://docs.google.com/spreadsheets/d/""&amp;$A116&amp;""/edit#gid=156619080"",AX$3)"),9.2)</f>
        <v>9.2</v>
      </c>
      <c r="AY116" s="2">
        <f>IFERROR(__xludf.DUMMYFUNCTION("IMPORTRANGE(""https://docs.google.com/spreadsheets/d/""&amp;$A116&amp;""/edit#gid=156619080"",AY$3)"),29.799999999999997)</f>
        <v>29.8</v>
      </c>
      <c r="AZ116" s="2">
        <f>IFERROR(__xludf.DUMMYFUNCTION("IMPORTRANGE(""https://docs.google.com/spreadsheets/d/""&amp;$A116&amp;""/edit#gid=156619080"",AZ$3)"),6224.46)</f>
        <v>6224.46</v>
      </c>
      <c r="BA116" s="2">
        <f>IFERROR(__xludf.DUMMYFUNCTION("IMPORTRANGE(""https://docs.google.com/spreadsheets/d/""&amp;$A116&amp;""/edit#gid=156619080"",BA$3)"),-423.3699999999999)</f>
        <v>-423.37</v>
      </c>
      <c r="BB116" s="2">
        <f>IFERROR(__xludf.DUMMYFUNCTION("IMPORTRANGE(""https://docs.google.com/spreadsheets/d/""&amp;$A116&amp;""/edit#gid=156619080"",BB$3)"),-374.63)</f>
        <v>-374.63</v>
      </c>
      <c r="BC116" s="2" t="str">
        <f>IFERROR(__xludf.DUMMYFUNCTION("IMPORTRANGE(""https://docs.google.com/spreadsheets/d/""&amp;$A116&amp;""/edit#gid=156619080"",BC$3)"),"DC→DC")</f>
        <v>DC→DC</v>
      </c>
    </row>
    <row r="117" ht="51.0" customHeight="1">
      <c r="A117" s="7" t="str">
        <f t="shared" si="5"/>
        <v>1MfvnEkwisCBsuuQvSF12Wc1AW8yHXwqZw7q1E20Vjn4</v>
      </c>
      <c r="B117" s="1" t="s">
        <v>144</v>
      </c>
      <c r="C117" s="2">
        <f>IFERROR(__xludf.DUMMYFUNCTION("IMPORTRANGE(""https://docs.google.com/spreadsheets/d/""&amp;$A117&amp;""/edit#gid=156619080"",C$3)"),132.0)</f>
        <v>132</v>
      </c>
      <c r="D117" s="2">
        <f>IFERROR(__xludf.DUMMYFUNCTION("IMPORTRANGE(""https://docs.google.com/spreadsheets/d/""&amp;$A117&amp;""/edit#gid=156619080"",D$3)"),7751.0)</f>
        <v>7751</v>
      </c>
      <c r="E117" s="15">
        <f>IFERROR(__xludf.DUMMYFUNCTION("IMPORTRANGE(""https://docs.google.com/spreadsheets/d/""&amp;$A117&amp;""/edit#gid=156619080"",E$3)"),43882.0)</f>
        <v>43882</v>
      </c>
      <c r="F117" s="2">
        <f>IFERROR(__xludf.DUMMYFUNCTION("IMPORTRANGE(""https://docs.google.com/spreadsheets/d/""&amp;$A117&amp;""/edit#gid=156619080"",F$3)"),-11.5)</f>
        <v>-11.5</v>
      </c>
      <c r="G117" s="16">
        <f>IFERROR(__xludf.DUMMYFUNCTION("IMPORTRANGE(""https://docs.google.com/spreadsheets/d/""&amp;$A117&amp;""/edit#gid=156619080"",G$3)"),-0.41)</f>
        <v>-0.41</v>
      </c>
      <c r="H117" s="16">
        <f>IFERROR(__xludf.DUMMYFUNCTION("IMPORTRANGE(""https://docs.google.com/spreadsheets/d/""&amp;$A117&amp;""/edit#gid=156619080"",H$3)"),2780.0)</f>
        <v>2780</v>
      </c>
      <c r="I117" s="16">
        <f>IFERROR(__xludf.DUMMYFUNCTION("IMPORTRANGE(""https://docs.google.com/spreadsheets/d/""&amp;$A117&amp;""/edit#gid=156619080"",I$3)"),7.5)</f>
        <v>7.5</v>
      </c>
      <c r="J117" s="16">
        <f>IFERROR(__xludf.DUMMYFUNCTION("IMPORTRANGE(""https://docs.google.com/spreadsheets/d/""&amp;$A117&amp;""/edit#gid=156619080"",J$3)"),2797.0)</f>
        <v>2797</v>
      </c>
      <c r="K117" s="16">
        <f>IFERROR(__xludf.DUMMYFUNCTION("IMPORTRANGE(""https://docs.google.com/spreadsheets/d/""&amp;$A117&amp;""/edit#gid=156619080"",K$3)"),0.37777777777777777)</f>
        <v>0.3777777778</v>
      </c>
      <c r="L117" s="16">
        <f>IFERROR(__xludf.DUMMYFUNCTION("IMPORTRANGE(""https://docs.google.com/spreadsheets/d/""&amp;$A117&amp;""/edit#gid=156619080"",L$3)"),2775.0)</f>
        <v>2775</v>
      </c>
      <c r="M117" s="16">
        <f>IFERROR(__xludf.DUMMYFUNCTION("IMPORTRANGE(""https://docs.google.com/spreadsheets/d/""&amp;$A117&amp;""/edit#gid=156619080"",M$3)"),0.6180555555555556)</f>
        <v>0.6180555556</v>
      </c>
      <c r="N117" s="16">
        <f>IFERROR(__xludf.DUMMYFUNCTION("IMPORTRANGE(""https://docs.google.com/spreadsheets/d/""&amp;$A117&amp;""/edit#gid=156619080"",N$3)"),2776.0)</f>
        <v>2776</v>
      </c>
      <c r="O117" s="16" t="str">
        <f>IFERROR(__xludf.DUMMYFUNCTION("IMPORTRANGE(""https://docs.google.com/spreadsheets/d/""&amp;$A117&amp;""/edit#gid=156619080"",O$3)"),"2987600株")</f>
        <v>2987600株</v>
      </c>
      <c r="P117" s="16" t="str">
        <f>IFERROR(__xludf.DUMMYFUNCTION("IMPORTRANGE(""https://docs.google.com/spreadsheets/d/""&amp;$A117&amp;""/edit#gid=156619080"",P$3)"),"8314百万円")</f>
        <v>8314百万円</v>
      </c>
      <c r="Q117" s="16" t="str">
        <f>IFERROR(__xludf.DUMMYFUNCTION("IMPORTRANGE(""https://docs.google.com/spreadsheets/d/""&amp;$A117&amp;""/edit#gid=156619080"",Q$3)"),"4506回")</f>
        <v>4506回</v>
      </c>
      <c r="R117" s="16" t="str">
        <f>IFERROR(__xludf.DUMMYFUNCTION("IMPORTRANGE(""https://docs.google.com/spreadsheets/d/""&amp;$A117&amp;""/edit#gid=156619080"",R$3)"),"37025億円")</f>
        <v>37025億円</v>
      </c>
      <c r="S117" s="16" t="str">
        <f>IFERROR(__xludf.DUMMYFUNCTION("IMPORTRANGE(""https://docs.google.com/spreadsheets/d/""&amp;$A117&amp;""/edit#gid=156619080"",S$3)"),"陰線")</f>
        <v>陰線</v>
      </c>
      <c r="T117" s="16" t="str">
        <f>IFERROR(__xludf.DUMMYFUNCTION("IMPORTRANGE(""https://docs.google.com/spreadsheets/d/""&amp;$A117&amp;""/edit#gid=156619080"",T$3)"),"")</f>
        <v/>
      </c>
      <c r="U117" s="16">
        <f>IFERROR(__xludf.DUMMYFUNCTION("IMPORTRANGE(""https://docs.google.com/spreadsheets/d/""&amp;$A117&amp;""/edit#gid=156619080"",U$3)"),2790.8)</f>
        <v>2790.8</v>
      </c>
      <c r="V117" s="16">
        <f>IFERROR(__xludf.DUMMYFUNCTION("IMPORTRANGE(""https://docs.google.com/spreadsheets/d/""&amp;$A117&amp;""/edit#gid=156619080"",V$3)"),2848.9)</f>
        <v>2848.9</v>
      </c>
      <c r="W117" s="16">
        <f>IFERROR(__xludf.DUMMYFUNCTION("IMPORTRANGE(""https://docs.google.com/spreadsheets/d/""&amp;$A117&amp;""/edit#gid=156619080"",W$3)"),2898.3)</f>
        <v>2898.3</v>
      </c>
      <c r="X117" s="2">
        <f>IFERROR(__xludf.DUMMYFUNCTION("IMPORTRANGE(""https://docs.google.com/spreadsheets/d/""&amp;$A117&amp;""/edit#gid=156619080"",X$3)"),2943.1)</f>
        <v>2943.1</v>
      </c>
      <c r="Y117" s="17">
        <f>IFERROR(__xludf.DUMMYFUNCTION("IMPORTRANGE(""https://docs.google.com/spreadsheets/d/""&amp;$A117&amp;""/edit#gid=156619080"",Y$3)"),-0.005303138884907618)</f>
        <v>-0.005303138885</v>
      </c>
      <c r="Z117" s="2">
        <f>IFERROR(__xludf.DUMMYFUNCTION("IMPORTRANGE(""https://docs.google.com/spreadsheets/d/""&amp;$A117&amp;""/edit#gid=156619080"",Z$3)"),3082.56)</f>
        <v>3082.56</v>
      </c>
      <c r="AA117" s="2">
        <f>IFERROR(__xludf.DUMMYFUNCTION("IMPORTRANGE(""https://docs.google.com/spreadsheets/d/""&amp;$A117&amp;""/edit#gid=156619080"",AA$3)"),3059.53)</f>
        <v>3059.53</v>
      </c>
      <c r="AB117" s="2">
        <f>IFERROR(__xludf.DUMMYFUNCTION("IMPORTRANGE(""https://docs.google.com/spreadsheets/d/""&amp;$A117&amp;""/edit#gid=156619080"",AB$3)"),3036.5)</f>
        <v>3036.5</v>
      </c>
      <c r="AC117" s="18">
        <f>IFERROR(__xludf.DUMMYFUNCTION("IMPORTRANGE(""https://docs.google.com/spreadsheets/d/""&amp;$A117&amp;""/edit#gid=156619080"",AC$3)"),3013.46)</f>
        <v>3013.46</v>
      </c>
      <c r="AD117" s="18">
        <f>IFERROR(__xludf.DUMMYFUNCTION("IMPORTRANGE(""https://docs.google.com/spreadsheets/d/""&amp;$A117&amp;""/edit#gid=156619080"",AD$3)"),2990.43)</f>
        <v>2990.43</v>
      </c>
      <c r="AE117" s="18">
        <f>IFERROR(__xludf.DUMMYFUNCTION("IMPORTRANGE(""https://docs.google.com/spreadsheets/d/""&amp;$A117&amp;""/edit#gid=156619080"",AE$3)"),2898.3)</f>
        <v>2898.3</v>
      </c>
      <c r="AF117" s="2">
        <f>IFERROR(__xludf.DUMMYFUNCTION("IMPORTRANGE(""https://docs.google.com/spreadsheets/d/""&amp;$A117&amp;""/edit#gid=156619080"",AF$3)"),2806.17)</f>
        <v>2806.17</v>
      </c>
      <c r="AG117" s="2">
        <f>IFERROR(__xludf.DUMMYFUNCTION("IMPORTRANGE(""https://docs.google.com/spreadsheets/d/""&amp;$A117&amp;""/edit#gid=156619080"",AG$3)"),2783.14)</f>
        <v>2783.14</v>
      </c>
      <c r="AH117" s="2">
        <f>IFERROR(__xludf.DUMMYFUNCTION("IMPORTRANGE(""https://docs.google.com/spreadsheets/d/""&amp;$A117&amp;""/edit#gid=156619080"",AH$3)"),2760.1)</f>
        <v>2760.1</v>
      </c>
      <c r="AI117" s="2">
        <f>IFERROR(__xludf.DUMMYFUNCTION("IMPORTRANGE(""https://docs.google.com/spreadsheets/d/""&amp;$A117&amp;""/edit#gid=156619080"",AI$3)"),2737.07)</f>
        <v>2737.07</v>
      </c>
      <c r="AJ117" s="2">
        <f>IFERROR(__xludf.DUMMYFUNCTION("IMPORTRANGE(""https://docs.google.com/spreadsheets/d/""&amp;$A117&amp;""/edit#gid=156619080"",AJ$3)"),2714.04)</f>
        <v>2714.04</v>
      </c>
      <c r="AK117" s="2" t="str">
        <f>IFERROR(__xludf.DUMMYFUNCTION("IMPORTRANGE(""https://docs.google.com/spreadsheets/d/""&amp;$A117&amp;""/edit#gid=156619080"",AK$3)"),"-1.25σ〜-1.5σ")</f>
        <v>-1.25σ〜-1.5σ</v>
      </c>
      <c r="AL117" s="2">
        <f>IFERROR(__xludf.DUMMYFUNCTION("IMPORTRANGE(""https://docs.google.com/spreadsheets/d/""&amp;$A117&amp;""/edit#gid=156619080"",AL$3)"),-1.0)</f>
        <v>-1</v>
      </c>
      <c r="AM117" s="2" t="str">
        <f>IFERROR(__xludf.DUMMYFUNCTION("IMPORTRANGE(""https://docs.google.com/spreadsheets/d/""&amp;$A117&amp;""/edit#gid=156619080"",AM$3)"),"")</f>
        <v/>
      </c>
      <c r="AN117" s="2">
        <f>IFERROR(__xludf.DUMMYFUNCTION("IMPORTRANGE(""https://docs.google.com/spreadsheets/d/""&amp;$A117&amp;""/edit#gid=156619080"",AN$3)"),-1.0)</f>
        <v>-1</v>
      </c>
      <c r="AO117" s="2" t="str">
        <f>IFERROR(__xludf.DUMMYFUNCTION("IMPORTRANGE(""https://docs.google.com/spreadsheets/d/""&amp;$A117&amp;""/edit#gid=156619080"",AO$3)"),"")</f>
        <v/>
      </c>
      <c r="AP117" s="2">
        <f>IFERROR(__xludf.DUMMYFUNCTION("IMPORTRANGE(""https://docs.google.com/spreadsheets/d/""&amp;$A117&amp;""/edit#gid=156619080"",AP$3)"),-1.0)</f>
        <v>-1</v>
      </c>
      <c r="AQ117" s="2" t="str">
        <f>IFERROR(__xludf.DUMMYFUNCTION("IMPORTRANGE(""https://docs.google.com/spreadsheets/d/""&amp;$A117&amp;""/edit#gid=156619080"",AQ$3)"),"")</f>
        <v/>
      </c>
      <c r="AR117" s="18">
        <f>IFERROR(__xludf.DUMMYFUNCTION("IMPORTRANGE(""https://docs.google.com/spreadsheets/d/""&amp;$A117&amp;""/edit#gid=156619080"",AR$3)"),-100.0)</f>
        <v>-100</v>
      </c>
      <c r="AS117" s="19" t="str">
        <f>IFERROR(__xludf.DUMMYFUNCTION("IMPORTRANGE(""https://docs.google.com/spreadsheets/d/""&amp;$A117&amp;""/edit#gid=156619080"",AS$3)"),"-90
-90
-100
-100
")</f>
        <v>-90
-90
-100
-100
</v>
      </c>
      <c r="AT117" s="18">
        <f>IFERROR(__xludf.DUMMYFUNCTION("IMPORTRANGE(""https://docs.google.com/spreadsheets/d/""&amp;$A117&amp;""/edit#gid=156619080"",AT$3)"),-90.1098901098901)</f>
        <v>-90.10989011</v>
      </c>
      <c r="AU117" s="3" t="str">
        <f>IFERROR(__xludf.DUMMYFUNCTION("IMPORTRANGE(""https://docs.google.com/spreadsheets/d/""&amp;$A117&amp;""/edit#gid=156619080"",AU$3)"),"-61.54
-61.54
-74.18
-82.42
")</f>
        <v>-61.54
-61.54
-74.18
-82.42
</v>
      </c>
      <c r="AV117" s="18">
        <f>IFERROR(__xludf.DUMMYFUNCTION("IMPORTRANGE(""https://docs.google.com/spreadsheets/d/""&amp;$A117&amp;""/edit#gid=156619080"",AV$3)"),-90.51948051948051)</f>
        <v>-90.51948052</v>
      </c>
      <c r="AW117" s="19" t="str">
        <f>IFERROR(__xludf.DUMMYFUNCTION("IMPORTRANGE(""https://docs.google.com/spreadsheets/d/""&amp;$A117&amp;""/edit#gid=156619080"",AW$3)"),"-90.13
-90.52
-90.52
-90.52
")</f>
        <v>-90.13
-90.52
-90.52
-90.52
</v>
      </c>
      <c r="AX117" s="2">
        <f>IFERROR(__xludf.DUMMYFUNCTION("IMPORTRANGE(""https://docs.google.com/spreadsheets/d/""&amp;$A117&amp;""/edit#gid=156619080"",AX$3)"),0.0)</f>
        <v>0</v>
      </c>
      <c r="AY117" s="2">
        <f>IFERROR(__xludf.DUMMYFUNCTION("IMPORTRANGE(""https://docs.google.com/spreadsheets/d/""&amp;$A117&amp;""/edit#gid=156619080"",AY$3)"),24.26)</f>
        <v>24.26</v>
      </c>
      <c r="AZ117" s="2">
        <f>IFERROR(__xludf.DUMMYFUNCTION("IMPORTRANGE(""https://docs.google.com/spreadsheets/d/""&amp;$A117&amp;""/edit#gid=156619080"",AZ$3)"),2796.07)</f>
        <v>2796.07</v>
      </c>
      <c r="BA117" s="2">
        <f>IFERROR(__xludf.DUMMYFUNCTION("IMPORTRANGE(""https://docs.google.com/spreadsheets/d/""&amp;$A117&amp;""/edit#gid=156619080"",BA$3)"),-87.19000000000005)</f>
        <v>-87.19</v>
      </c>
      <c r="BB117" s="2">
        <f>IFERROR(__xludf.DUMMYFUNCTION("IMPORTRANGE(""https://docs.google.com/spreadsheets/d/""&amp;$A117&amp;""/edit#gid=156619080"",BB$3)"),-72.85)</f>
        <v>-72.85</v>
      </c>
      <c r="BC117" s="2" t="str">
        <f>IFERROR(__xludf.DUMMYFUNCTION("IMPORTRANGE(""https://docs.google.com/spreadsheets/d/""&amp;$A117&amp;""/edit#gid=156619080"",BC$3)"),"DC→DC")</f>
        <v>DC→DC</v>
      </c>
    </row>
    <row r="118" ht="51.0" customHeight="1">
      <c r="A118" s="7" t="str">
        <f t="shared" si="5"/>
        <v>16znbYfjRumLR9GNpd5N-Nj1g42iROfoc6EPN0BvyyZs</v>
      </c>
      <c r="B118" s="1" t="s">
        <v>145</v>
      </c>
      <c r="C118" s="2">
        <f>IFERROR(__xludf.DUMMYFUNCTION("IMPORTRANGE(""https://docs.google.com/spreadsheets/d/""&amp;$A118&amp;""/edit#gid=156619080"",C$3)"),132.0)</f>
        <v>132</v>
      </c>
      <c r="D118" s="2">
        <f>IFERROR(__xludf.DUMMYFUNCTION("IMPORTRANGE(""https://docs.google.com/spreadsheets/d/""&amp;$A118&amp;""/edit#gid=156619080"",D$3)"),7752.0)</f>
        <v>7752</v>
      </c>
      <c r="E118" s="15">
        <f>IFERROR(__xludf.DUMMYFUNCTION("IMPORTRANGE(""https://docs.google.com/spreadsheets/d/""&amp;$A118&amp;""/edit#gid=156619080"",E$3)"),43882.0)</f>
        <v>43882</v>
      </c>
      <c r="F118" s="2">
        <f>IFERROR(__xludf.DUMMYFUNCTION("IMPORTRANGE(""https://docs.google.com/spreadsheets/d/""&amp;$A118&amp;""/edit#gid=156619080"",F$3)"),3.0)</f>
        <v>3</v>
      </c>
      <c r="G118" s="16">
        <f>IFERROR(__xludf.DUMMYFUNCTION("IMPORTRANGE(""https://docs.google.com/spreadsheets/d/""&amp;$A118&amp;""/edit#gid=156619080"",G$3)"),0.27)</f>
        <v>0.27</v>
      </c>
      <c r="H118" s="16">
        <f>IFERROR(__xludf.DUMMYFUNCTION("IMPORTRANGE(""https://docs.google.com/spreadsheets/d/""&amp;$A118&amp;""/edit#gid=156619080"",H$3)"),1107.0)</f>
        <v>1107</v>
      </c>
      <c r="I118" s="16">
        <f>IFERROR(__xludf.DUMMYFUNCTION("IMPORTRANGE(""https://docs.google.com/spreadsheets/d/""&amp;$A118&amp;""/edit#gid=156619080"",I$3)"),4.0)</f>
        <v>4</v>
      </c>
      <c r="J118" s="16">
        <f>IFERROR(__xludf.DUMMYFUNCTION("IMPORTRANGE(""https://docs.google.com/spreadsheets/d/""&amp;$A118&amp;""/edit#gid=156619080"",J$3)"),1130.0)</f>
        <v>1130</v>
      </c>
      <c r="K118" s="16">
        <f>IFERROR(__xludf.DUMMYFUNCTION("IMPORTRANGE(""https://docs.google.com/spreadsheets/d/""&amp;$A118&amp;""/edit#gid=156619080"",K$3)"),0.5222222222222223)</f>
        <v>0.5222222222</v>
      </c>
      <c r="L118" s="16">
        <f>IFERROR(__xludf.DUMMYFUNCTION("IMPORTRANGE(""https://docs.google.com/spreadsheets/d/""&amp;$A118&amp;""/edit#gid=156619080"",L$3)"),1106.0)</f>
        <v>1106</v>
      </c>
      <c r="M118" s="16">
        <f>IFERROR(__xludf.DUMMYFUNCTION("IMPORTRANGE(""https://docs.google.com/spreadsheets/d/""&amp;$A118&amp;""/edit#gid=156619080"",M$3)"),0.375)</f>
        <v>0.375</v>
      </c>
      <c r="N118" s="16">
        <f>IFERROR(__xludf.DUMMYFUNCTION("IMPORTRANGE(""https://docs.google.com/spreadsheets/d/""&amp;$A118&amp;""/edit#gid=156619080"",N$3)"),1114.0)</f>
        <v>1114</v>
      </c>
      <c r="O118" s="16" t="str">
        <f>IFERROR(__xludf.DUMMYFUNCTION("IMPORTRANGE(""https://docs.google.com/spreadsheets/d/""&amp;$A118&amp;""/edit#gid=156619080"",O$3)"),"1913700株")</f>
        <v>1913700株</v>
      </c>
      <c r="P118" s="16" t="str">
        <f>IFERROR(__xludf.DUMMYFUNCTION("IMPORTRANGE(""https://docs.google.com/spreadsheets/d/""&amp;$A118&amp;""/edit#gid=156619080"",P$3)"),"2139百万円")</f>
        <v>2139百万円</v>
      </c>
      <c r="Q118" s="16" t="str">
        <f>IFERROR(__xludf.DUMMYFUNCTION("IMPORTRANGE(""https://docs.google.com/spreadsheets/d/""&amp;$A118&amp;""/edit#gid=156619080"",Q$3)"),"1738回")</f>
        <v>1738回</v>
      </c>
      <c r="R118" s="16" t="str">
        <f>IFERROR(__xludf.DUMMYFUNCTION("IMPORTRANGE(""https://docs.google.com/spreadsheets/d/""&amp;$A118&amp;""/edit#gid=156619080"",R$3)"),"8298億円")</f>
        <v>8298億円</v>
      </c>
      <c r="S118" s="16" t="str">
        <f>IFERROR(__xludf.DUMMYFUNCTION("IMPORTRANGE(""https://docs.google.com/spreadsheets/d/""&amp;$A118&amp;""/edit#gid=156619080"",S$3)"),"陽線")</f>
        <v>陽線</v>
      </c>
      <c r="T118" s="16" t="str">
        <f>IFERROR(__xludf.DUMMYFUNCTION("IMPORTRANGE(""https://docs.google.com/spreadsheets/d/""&amp;$A118&amp;""/edit#gid=156619080"",T$3)"),"")</f>
        <v/>
      </c>
      <c r="U118" s="16">
        <f>IFERROR(__xludf.DUMMYFUNCTION("IMPORTRANGE(""https://docs.google.com/spreadsheets/d/""&amp;$A118&amp;""/edit#gid=156619080"",U$3)"),1119.8)</f>
        <v>1119.8</v>
      </c>
      <c r="V118" s="16">
        <f>IFERROR(__xludf.DUMMYFUNCTION("IMPORTRANGE(""https://docs.google.com/spreadsheets/d/""&amp;$A118&amp;""/edit#gid=156619080"",V$3)"),1176.9)</f>
        <v>1176.9</v>
      </c>
      <c r="W118" s="16">
        <f>IFERROR(__xludf.DUMMYFUNCTION("IMPORTRANGE(""https://docs.google.com/spreadsheets/d/""&amp;$A118&amp;""/edit#gid=156619080"",W$3)"),1209.5)</f>
        <v>1209.5</v>
      </c>
      <c r="X118" s="2">
        <f>IFERROR(__xludf.DUMMYFUNCTION("IMPORTRANGE(""https://docs.google.com/spreadsheets/d/""&amp;$A118&amp;""/edit#gid=156619080"",X$3)"),1102.5)</f>
        <v>1102.5</v>
      </c>
      <c r="Y118" s="17">
        <f>IFERROR(__xludf.DUMMYFUNCTION("IMPORTRANGE(""https://docs.google.com/spreadsheets/d/""&amp;$A118&amp;""/edit#gid=156619080"",Y$3)"),-0.005179496338631858)</f>
        <v>-0.005179496339</v>
      </c>
      <c r="Z118" s="2">
        <f>IFERROR(__xludf.DUMMYFUNCTION("IMPORTRANGE(""https://docs.google.com/spreadsheets/d/""&amp;$A118&amp;""/edit#gid=156619080"",Z$3)"),1329.1)</f>
        <v>1329.1</v>
      </c>
      <c r="AA118" s="2">
        <f>IFERROR(__xludf.DUMMYFUNCTION("IMPORTRANGE(""https://docs.google.com/spreadsheets/d/""&amp;$A118&amp;""/edit#gid=156619080"",AA$3)"),1314.15)</f>
        <v>1314.15</v>
      </c>
      <c r="AB118" s="2">
        <f>IFERROR(__xludf.DUMMYFUNCTION("IMPORTRANGE(""https://docs.google.com/spreadsheets/d/""&amp;$A118&amp;""/edit#gid=156619080"",AB$3)"),1299.2)</f>
        <v>1299.2</v>
      </c>
      <c r="AC118" s="18">
        <f>IFERROR(__xludf.DUMMYFUNCTION("IMPORTRANGE(""https://docs.google.com/spreadsheets/d/""&amp;$A118&amp;""/edit#gid=156619080"",AC$3)"),1284.25)</f>
        <v>1284.25</v>
      </c>
      <c r="AD118" s="18">
        <f>IFERROR(__xludf.DUMMYFUNCTION("IMPORTRANGE(""https://docs.google.com/spreadsheets/d/""&amp;$A118&amp;""/edit#gid=156619080"",AD$3)"),1269.3)</f>
        <v>1269.3</v>
      </c>
      <c r="AE118" s="18">
        <f>IFERROR(__xludf.DUMMYFUNCTION("IMPORTRANGE(""https://docs.google.com/spreadsheets/d/""&amp;$A118&amp;""/edit#gid=156619080"",AE$3)"),1209.5)</f>
        <v>1209.5</v>
      </c>
      <c r="AF118" s="2">
        <f>IFERROR(__xludf.DUMMYFUNCTION("IMPORTRANGE(""https://docs.google.com/spreadsheets/d/""&amp;$A118&amp;""/edit#gid=156619080"",AF$3)"),1149.7)</f>
        <v>1149.7</v>
      </c>
      <c r="AG118" s="2">
        <f>IFERROR(__xludf.DUMMYFUNCTION("IMPORTRANGE(""https://docs.google.com/spreadsheets/d/""&amp;$A118&amp;""/edit#gid=156619080"",AG$3)"),1134.75)</f>
        <v>1134.75</v>
      </c>
      <c r="AH118" s="2">
        <f>IFERROR(__xludf.DUMMYFUNCTION("IMPORTRANGE(""https://docs.google.com/spreadsheets/d/""&amp;$A118&amp;""/edit#gid=156619080"",AH$3)"),1119.8)</f>
        <v>1119.8</v>
      </c>
      <c r="AI118" s="2">
        <f>IFERROR(__xludf.DUMMYFUNCTION("IMPORTRANGE(""https://docs.google.com/spreadsheets/d/""&amp;$A118&amp;""/edit#gid=156619080"",AI$3)"),1104.85)</f>
        <v>1104.85</v>
      </c>
      <c r="AJ118" s="2">
        <f>IFERROR(__xludf.DUMMYFUNCTION("IMPORTRANGE(""https://docs.google.com/spreadsheets/d/""&amp;$A118&amp;""/edit#gid=156619080"",AJ$3)"),1089.9)</f>
        <v>1089.9</v>
      </c>
      <c r="AK118" s="2" t="str">
        <f>IFERROR(__xludf.DUMMYFUNCTION("IMPORTRANGE(""https://docs.google.com/spreadsheets/d/""&amp;$A118&amp;""/edit#gid=156619080"",AK$3)"),"-1.5σ〜-1.75σ")</f>
        <v>-1.5σ〜-1.75σ</v>
      </c>
      <c r="AL118" s="2">
        <f>IFERROR(__xludf.DUMMYFUNCTION("IMPORTRANGE(""https://docs.google.com/spreadsheets/d/""&amp;$A118&amp;""/edit#gid=156619080"",AL$3)"),-1.0)</f>
        <v>-1</v>
      </c>
      <c r="AM118" s="2" t="str">
        <f>IFERROR(__xludf.DUMMYFUNCTION("IMPORTRANGE(""https://docs.google.com/spreadsheets/d/""&amp;$A118&amp;""/edit#gid=156619080"",AM$3)"),"")</f>
        <v/>
      </c>
      <c r="AN118" s="2">
        <f>IFERROR(__xludf.DUMMYFUNCTION("IMPORTRANGE(""https://docs.google.com/spreadsheets/d/""&amp;$A118&amp;""/edit#gid=156619080"",AN$3)"),-1.0)</f>
        <v>-1</v>
      </c>
      <c r="AO118" s="2" t="str">
        <f>IFERROR(__xludf.DUMMYFUNCTION("IMPORTRANGE(""https://docs.google.com/spreadsheets/d/""&amp;$A118&amp;""/edit#gid=156619080"",AO$3)"),"")</f>
        <v/>
      </c>
      <c r="AP118" s="2">
        <f>IFERROR(__xludf.DUMMYFUNCTION("IMPORTRANGE(""https://docs.google.com/spreadsheets/d/""&amp;$A118&amp;""/edit#gid=156619080"",AP$3)"),-1.0)</f>
        <v>-1</v>
      </c>
      <c r="AQ118" s="2" t="str">
        <f>IFERROR(__xludf.DUMMYFUNCTION("IMPORTRANGE(""https://docs.google.com/spreadsheets/d/""&amp;$A118&amp;""/edit#gid=156619080"",AQ$3)"),"")</f>
        <v/>
      </c>
      <c r="AR118" s="18">
        <f>IFERROR(__xludf.DUMMYFUNCTION("IMPORTRANGE(""https://docs.google.com/spreadsheets/d/""&amp;$A118&amp;""/edit#gid=156619080"",AR$3)"),-52.49999999999999)</f>
        <v>-52.5</v>
      </c>
      <c r="AS118" s="19" t="str">
        <f>IFERROR(__xludf.DUMMYFUNCTION("IMPORTRANGE(""https://docs.google.com/spreadsheets/d/""&amp;$A118&amp;""/edit#gid=156619080"",AS$3)"),"-92.5
-90
-62.5
-62.5
")</f>
        <v>-92.5
-90
-62.5
-62.5
</v>
      </c>
      <c r="AT118" s="18">
        <f>IFERROR(__xludf.DUMMYFUNCTION("IMPORTRANGE(""https://docs.google.com/spreadsheets/d/""&amp;$A118&amp;""/edit#gid=156619080"",AT$3)"),-92.58241758241759)</f>
        <v>-92.58241758</v>
      </c>
      <c r="AU118" s="3" t="str">
        <f>IFERROR(__xludf.DUMMYFUNCTION("IMPORTRANGE(""https://docs.google.com/spreadsheets/d/""&amp;$A118&amp;""/edit#gid=156619080"",AU$3)"),"-83.65
-83.1
-89.29
-91.48
")</f>
        <v>-83.65
-83.1
-89.29
-91.48
</v>
      </c>
      <c r="AV118" s="18">
        <f>IFERROR(__xludf.DUMMYFUNCTION("IMPORTRANGE(""https://docs.google.com/spreadsheets/d/""&amp;$A118&amp;""/edit#gid=156619080"",AV$3)"),-89.96753246753246)</f>
        <v>-89.96753247</v>
      </c>
      <c r="AW118" s="19" t="str">
        <f>IFERROR(__xludf.DUMMYFUNCTION("IMPORTRANGE(""https://docs.google.com/spreadsheets/d/""&amp;$A118&amp;""/edit#gid=156619080"",AW$3)"),"-66.56
-73.99
-79.35
-84.9
")</f>
        <v>-66.56
-73.99
-79.35
-84.9
</v>
      </c>
      <c r="AX118" s="2">
        <f>IFERROR(__xludf.DUMMYFUNCTION("IMPORTRANGE(""https://docs.google.com/spreadsheets/d/""&amp;$A118&amp;""/edit#gid=156619080"",AX$3)"),10.530000000000001)</f>
        <v>10.53</v>
      </c>
      <c r="AY118" s="2">
        <f>IFERROR(__xludf.DUMMYFUNCTION("IMPORTRANGE(""https://docs.google.com/spreadsheets/d/""&amp;$A118&amp;""/edit#gid=156619080"",AY$3)"),26.85)</f>
        <v>26.85</v>
      </c>
      <c r="AZ118" s="2">
        <f>IFERROR(__xludf.DUMMYFUNCTION("IMPORTRANGE(""https://docs.google.com/spreadsheets/d/""&amp;$A118&amp;""/edit#gid=156619080"",AZ$3)"),1126.26)</f>
        <v>1126.26</v>
      </c>
      <c r="BA118" s="2">
        <f>IFERROR(__xludf.DUMMYFUNCTION("IMPORTRANGE(""https://docs.google.com/spreadsheets/d/""&amp;$A118&amp;""/edit#gid=156619080"",BA$3)"),-56.58999999999992)</f>
        <v>-56.59</v>
      </c>
      <c r="BB118" s="2">
        <f>IFERROR(__xludf.DUMMYFUNCTION("IMPORTRANGE(""https://docs.google.com/spreadsheets/d/""&amp;$A118&amp;""/edit#gid=156619080"",BB$3)"),-28.58)</f>
        <v>-28.58</v>
      </c>
      <c r="BC118" s="2" t="str">
        <f>IFERROR(__xludf.DUMMYFUNCTION("IMPORTRANGE(""https://docs.google.com/spreadsheets/d/""&amp;$A118&amp;""/edit#gid=156619080"",BC$3)"),"DC→DC")</f>
        <v>DC→DC</v>
      </c>
    </row>
    <row r="119" ht="51.0" customHeight="1">
      <c r="A119" s="7" t="str">
        <f t="shared" si="5"/>
        <v>1sTuWDhpTnZojSdMoZK-8InV2JMXH_yeYMXIFhUnoSLs</v>
      </c>
      <c r="B119" s="1" t="s">
        <v>146</v>
      </c>
      <c r="C119" s="2">
        <f>IFERROR(__xludf.DUMMYFUNCTION("IMPORTRANGE(""https://docs.google.com/spreadsheets/d/""&amp;$A119&amp;""/edit#gid=156619080"",C$3)"),132.0)</f>
        <v>132</v>
      </c>
      <c r="D119" s="2">
        <f>IFERROR(__xludf.DUMMYFUNCTION("IMPORTRANGE(""https://docs.google.com/spreadsheets/d/""&amp;$A119&amp;""/edit#gid=156619080"",D$3)"),8035.0)</f>
        <v>8035</v>
      </c>
      <c r="E119" s="15">
        <f>IFERROR(__xludf.DUMMYFUNCTION("IMPORTRANGE(""https://docs.google.com/spreadsheets/d/""&amp;$A119&amp;""/edit#gid=156619080"",E$3)"),43882.0)</f>
        <v>43882</v>
      </c>
      <c r="F119" s="2">
        <f>IFERROR(__xludf.DUMMYFUNCTION("IMPORTRANGE(""https://docs.google.com/spreadsheets/d/""&amp;$A119&amp;""/edit#gid=156619080"",F$3)"),-320.0)</f>
        <v>-320</v>
      </c>
      <c r="G119" s="16">
        <f>IFERROR(__xludf.DUMMYFUNCTION("IMPORTRANGE(""https://docs.google.com/spreadsheets/d/""&amp;$A119&amp;""/edit#gid=156619080"",G$3)"),-1.27)</f>
        <v>-1.27</v>
      </c>
      <c r="H119" s="16">
        <f>IFERROR(__xludf.DUMMYFUNCTION("IMPORTRANGE(""https://docs.google.com/spreadsheets/d/""&amp;$A119&amp;""/edit#gid=156619080"",H$3)"),25060.0)</f>
        <v>25060</v>
      </c>
      <c r="I119" s="16">
        <f>IFERROR(__xludf.DUMMYFUNCTION("IMPORTRANGE(""https://docs.google.com/spreadsheets/d/""&amp;$A119&amp;""/edit#gid=156619080"",I$3)"),105.0)</f>
        <v>105</v>
      </c>
      <c r="J119" s="16">
        <f>IFERROR(__xludf.DUMMYFUNCTION("IMPORTRANGE(""https://docs.google.com/spreadsheets/d/""&amp;$A119&amp;""/edit#gid=156619080"",J$3)"),25320.0)</f>
        <v>25320</v>
      </c>
      <c r="K119" s="16">
        <f>IFERROR(__xludf.DUMMYFUNCTION("IMPORTRANGE(""https://docs.google.com/spreadsheets/d/""&amp;$A119&amp;""/edit#gid=156619080"",K$3)"),0.39166666666666666)</f>
        <v>0.3916666667</v>
      </c>
      <c r="L119" s="16">
        <f>IFERROR(__xludf.DUMMYFUNCTION("IMPORTRANGE(""https://docs.google.com/spreadsheets/d/""&amp;$A119&amp;""/edit#gid=156619080"",L$3)"),24825.0)</f>
        <v>24825</v>
      </c>
      <c r="M119" s="16">
        <f>IFERROR(__xludf.DUMMYFUNCTION("IMPORTRANGE(""https://docs.google.com/spreadsheets/d/""&amp;$A119&amp;""/edit#gid=156619080"",M$3)"),0.6208333333333333)</f>
        <v>0.6208333333</v>
      </c>
      <c r="N119" s="16">
        <f>IFERROR(__xludf.DUMMYFUNCTION("IMPORTRANGE(""https://docs.google.com/spreadsheets/d/""&amp;$A119&amp;""/edit#gid=156619080"",N$3)"),24845.0)</f>
        <v>24845</v>
      </c>
      <c r="O119" s="16" t="str">
        <f>IFERROR(__xludf.DUMMYFUNCTION("IMPORTRANGE(""https://docs.google.com/spreadsheets/d/""&amp;$A119&amp;""/edit#gid=156619080"",O$3)"),"831900株")</f>
        <v>831900株</v>
      </c>
      <c r="P119" s="16" t="str">
        <f>IFERROR(__xludf.DUMMYFUNCTION("IMPORTRANGE(""https://docs.google.com/spreadsheets/d/""&amp;$A119&amp;""/edit#gid=156619080"",P$3)"),"20810百万円")</f>
        <v>20810百万円</v>
      </c>
      <c r="Q119" s="16" t="str">
        <f>IFERROR(__xludf.DUMMYFUNCTION("IMPORTRANGE(""https://docs.google.com/spreadsheets/d/""&amp;$A119&amp;""/edit#gid=156619080"",Q$3)"),"3651回")</f>
        <v>3651回</v>
      </c>
      <c r="R119" s="16" t="str">
        <f>IFERROR(__xludf.DUMMYFUNCTION("IMPORTRANGE(""https://docs.google.com/spreadsheets/d/""&amp;$A119&amp;""/edit#gid=156619080"",R$3)"),"41047億円")</f>
        <v>41047億円</v>
      </c>
      <c r="S119" s="16" t="str">
        <f>IFERROR(__xludf.DUMMYFUNCTION("IMPORTRANGE(""https://docs.google.com/spreadsheets/d/""&amp;$A119&amp;""/edit#gid=156619080"",S$3)"),"陰線")</f>
        <v>陰線</v>
      </c>
      <c r="T119" s="16" t="str">
        <f>IFERROR(__xludf.DUMMYFUNCTION("IMPORTRANGE(""https://docs.google.com/spreadsheets/d/""&amp;$A119&amp;""/edit#gid=156619080"",T$3)"),"")</f>
        <v/>
      </c>
      <c r="U119" s="16">
        <f>IFERROR(__xludf.DUMMYFUNCTION("IMPORTRANGE(""https://docs.google.com/spreadsheets/d/""&amp;$A119&amp;""/edit#gid=156619080"",U$3)"),24954.0)</f>
        <v>24954</v>
      </c>
      <c r="V119" s="16">
        <f>IFERROR(__xludf.DUMMYFUNCTION("IMPORTRANGE(""https://docs.google.com/spreadsheets/d/""&amp;$A119&amp;""/edit#gid=156619080"",V$3)"),24895.0)</f>
        <v>24895</v>
      </c>
      <c r="W119" s="16">
        <f>IFERROR(__xludf.DUMMYFUNCTION("IMPORTRANGE(""https://docs.google.com/spreadsheets/d/""&amp;$A119&amp;""/edit#gid=156619080"",W$3)"),24757.6)</f>
        <v>24757.6</v>
      </c>
      <c r="X119" s="2">
        <f>IFERROR(__xludf.DUMMYFUNCTION("IMPORTRANGE(""https://docs.google.com/spreadsheets/d/""&amp;$A119&amp;""/edit#gid=156619080"",X$3)"),22802.2)</f>
        <v>22802.2</v>
      </c>
      <c r="Y119" s="17">
        <f>IFERROR(__xludf.DUMMYFUNCTION("IMPORTRANGE(""https://docs.google.com/spreadsheets/d/""&amp;$A119&amp;""/edit#gid=156619080"",Y$3)"),-0.004368037188426705)</f>
        <v>-0.004368037188</v>
      </c>
      <c r="Z119" s="2">
        <f>IFERROR(__xludf.DUMMYFUNCTION("IMPORTRANGE(""https://docs.google.com/spreadsheets/d/""&amp;$A119&amp;""/edit#gid=156619080"",Z$3)"),25758.09)</f>
        <v>25758.09</v>
      </c>
      <c r="AA119" s="2">
        <f>IFERROR(__xludf.DUMMYFUNCTION("IMPORTRANGE(""https://docs.google.com/spreadsheets/d/""&amp;$A119&amp;""/edit#gid=156619080"",AA$3)"),25633.03)</f>
        <v>25633.03</v>
      </c>
      <c r="AB119" s="2">
        <f>IFERROR(__xludf.DUMMYFUNCTION("IMPORTRANGE(""https://docs.google.com/spreadsheets/d/""&amp;$A119&amp;""/edit#gid=156619080"",AB$3)"),25507.97)</f>
        <v>25507.97</v>
      </c>
      <c r="AC119" s="18">
        <f>IFERROR(__xludf.DUMMYFUNCTION("IMPORTRANGE(""https://docs.google.com/spreadsheets/d/""&amp;$A119&amp;""/edit#gid=156619080"",AC$3)"),25382.91)</f>
        <v>25382.91</v>
      </c>
      <c r="AD119" s="18">
        <f>IFERROR(__xludf.DUMMYFUNCTION("IMPORTRANGE(""https://docs.google.com/spreadsheets/d/""&amp;$A119&amp;""/edit#gid=156619080"",AD$3)"),25257.84)</f>
        <v>25257.84</v>
      </c>
      <c r="AE119" s="18">
        <f>IFERROR(__xludf.DUMMYFUNCTION("IMPORTRANGE(""https://docs.google.com/spreadsheets/d/""&amp;$A119&amp;""/edit#gid=156619080"",AE$3)"),24757.6)</f>
        <v>24757.6</v>
      </c>
      <c r="AF119" s="2">
        <f>IFERROR(__xludf.DUMMYFUNCTION("IMPORTRANGE(""https://docs.google.com/spreadsheets/d/""&amp;$A119&amp;""/edit#gid=156619080"",AF$3)"),24257.36)</f>
        <v>24257.36</v>
      </c>
      <c r="AG119" s="2">
        <f>IFERROR(__xludf.DUMMYFUNCTION("IMPORTRANGE(""https://docs.google.com/spreadsheets/d/""&amp;$A119&amp;""/edit#gid=156619080"",AG$3)"),24132.29)</f>
        <v>24132.29</v>
      </c>
      <c r="AH119" s="2">
        <f>IFERROR(__xludf.DUMMYFUNCTION("IMPORTRANGE(""https://docs.google.com/spreadsheets/d/""&amp;$A119&amp;""/edit#gid=156619080"",AH$3)"),24007.23)</f>
        <v>24007.23</v>
      </c>
      <c r="AI119" s="2">
        <f>IFERROR(__xludf.DUMMYFUNCTION("IMPORTRANGE(""https://docs.google.com/spreadsheets/d/""&amp;$A119&amp;""/edit#gid=156619080"",AI$3)"),23882.17)</f>
        <v>23882.17</v>
      </c>
      <c r="AJ119" s="2">
        <f>IFERROR(__xludf.DUMMYFUNCTION("IMPORTRANGE(""https://docs.google.com/spreadsheets/d/""&amp;$A119&amp;""/edit#gid=156619080"",AJ$3)"),23757.11)</f>
        <v>23757.11</v>
      </c>
      <c r="AK119" s="2" t="str">
        <f>IFERROR(__xludf.DUMMYFUNCTION("IMPORTRANGE(""https://docs.google.com/spreadsheets/d/""&amp;$A119&amp;""/edit#gid=156619080"",AK$3)"),"")</f>
        <v/>
      </c>
      <c r="AL119" s="2">
        <f>IFERROR(__xludf.DUMMYFUNCTION("IMPORTRANGE(""https://docs.google.com/spreadsheets/d/""&amp;$A119&amp;""/edit#gid=156619080"",AL$3)"),1.0)</f>
        <v>1</v>
      </c>
      <c r="AM119" s="2" t="str">
        <f>IFERROR(__xludf.DUMMYFUNCTION("IMPORTRANGE(""https://docs.google.com/spreadsheets/d/""&amp;$A119&amp;""/edit#gid=156619080"",AM$3)"),"")</f>
        <v/>
      </c>
      <c r="AN119" s="2">
        <f>IFERROR(__xludf.DUMMYFUNCTION("IMPORTRANGE(""https://docs.google.com/spreadsheets/d/""&amp;$A119&amp;""/edit#gid=156619080"",AN$3)"),1.0)</f>
        <v>1</v>
      </c>
      <c r="AO119" s="2" t="str">
        <f>IFERROR(__xludf.DUMMYFUNCTION("IMPORTRANGE(""https://docs.google.com/spreadsheets/d/""&amp;$A119&amp;""/edit#gid=156619080"",AO$3)"),"")</f>
        <v/>
      </c>
      <c r="AP119" s="2">
        <f>IFERROR(__xludf.DUMMYFUNCTION("IMPORTRANGE(""https://docs.google.com/spreadsheets/d/""&amp;$A119&amp;""/edit#gid=156619080"",AP$3)"),1.0)</f>
        <v>1</v>
      </c>
      <c r="AQ119" s="2" t="str">
        <f>IFERROR(__xludf.DUMMYFUNCTION("IMPORTRANGE(""https://docs.google.com/spreadsheets/d/""&amp;$A119&amp;""/edit#gid=156619080"",AQ$3)"),"")</f>
        <v/>
      </c>
      <c r="AR119" s="18">
        <f>IFERROR(__xludf.DUMMYFUNCTION("IMPORTRANGE(""https://docs.google.com/spreadsheets/d/""&amp;$A119&amp;""/edit#gid=156619080"",AR$3)"),-30.000000000000004)</f>
        <v>-30</v>
      </c>
      <c r="AS119" s="19" t="str">
        <f>IFERROR(__xludf.DUMMYFUNCTION("IMPORTRANGE(""https://docs.google.com/spreadsheets/d/""&amp;$A119&amp;""/edit#gid=156619080"",AS$3)"),"60
-40
-90
-60
")</f>
        <v>60
-40
-90
-60
</v>
      </c>
      <c r="AT119" s="18">
        <f>IFERROR(__xludf.DUMMYFUNCTION("IMPORTRANGE(""https://docs.google.com/spreadsheets/d/""&amp;$A119&amp;""/edit#gid=156619080"",AT$3)"),32.417582417582416)</f>
        <v>32.41758242</v>
      </c>
      <c r="AU119" s="3" t="str">
        <f>IFERROR(__xludf.DUMMYFUNCTION("IMPORTRANGE(""https://docs.google.com/spreadsheets/d/""&amp;$A119&amp;""/edit#gid=156619080"",AU$3)"),"60.99
50
42.31
46.15
")</f>
        <v>60.99
50
42.31
46.15
</v>
      </c>
      <c r="AV119" s="18">
        <f>IFERROR(__xludf.DUMMYFUNCTION("IMPORTRANGE(""https://docs.google.com/spreadsheets/d/""&amp;$A119&amp;""/edit#gid=156619080"",AV$3)"),31.428571428571427)</f>
        <v>31.42857143</v>
      </c>
      <c r="AW119" s="19" t="str">
        <f>IFERROR(__xludf.DUMMYFUNCTION("IMPORTRANGE(""https://docs.google.com/spreadsheets/d/""&amp;$A119&amp;""/edit#gid=156619080"",AW$3)"),"8.18
0.26
15.97
25.84
")</f>
        <v>8.18
0.26
15.97
25.84
</v>
      </c>
      <c r="AX119" s="2">
        <f>IFERROR(__xludf.DUMMYFUNCTION("IMPORTRANGE(""https://docs.google.com/spreadsheets/d/""&amp;$A119&amp;""/edit#gid=156619080"",AX$3)"),34.78)</f>
        <v>34.78</v>
      </c>
      <c r="AY119" s="2">
        <f>IFERROR(__xludf.DUMMYFUNCTION("IMPORTRANGE(""https://docs.google.com/spreadsheets/d/""&amp;$A119&amp;""/edit#gid=156619080"",AY$3)"),48.39)</f>
        <v>48.39</v>
      </c>
      <c r="AZ119" s="2">
        <f>IFERROR(__xludf.DUMMYFUNCTION("IMPORTRANGE(""https://docs.google.com/spreadsheets/d/""&amp;$A119&amp;""/edit#gid=156619080"",AZ$3)"),24985.33)</f>
        <v>24985.33</v>
      </c>
      <c r="BA119" s="2">
        <f>IFERROR(__xludf.DUMMYFUNCTION("IMPORTRANGE(""https://docs.google.com/spreadsheets/d/""&amp;$A119&amp;""/edit#gid=156619080"",BA$3)"),189.70000000000073)</f>
        <v>189.7</v>
      </c>
      <c r="BB119" s="2">
        <f>IFERROR(__xludf.DUMMYFUNCTION("IMPORTRANGE(""https://docs.google.com/spreadsheets/d/""&amp;$A119&amp;""/edit#gid=156619080"",BB$3)"),251.53)</f>
        <v>251.53</v>
      </c>
      <c r="BC119" s="2" t="str">
        <f>IFERROR(__xludf.DUMMYFUNCTION("IMPORTRANGE(""https://docs.google.com/spreadsheets/d/""&amp;$A119&amp;""/edit#gid=156619080"",BC$3)"),"GC→DC")</f>
        <v>GC→DC</v>
      </c>
    </row>
    <row r="120" ht="51.0" customHeight="1">
      <c r="A120" s="7" t="str">
        <f t="shared" si="5"/>
        <v>16g4eXXCrTBeBibAsR225STXBprOcFp85NZJAb4BqGK8</v>
      </c>
      <c r="B120" s="1" t="s">
        <v>147</v>
      </c>
      <c r="C120" s="2">
        <f>IFERROR(__xludf.DUMMYFUNCTION("IMPORTRANGE(""https://docs.google.com/spreadsheets/d/""&amp;$A120&amp;""/edit#gid=156619080"",C$3)"),132.0)</f>
        <v>132</v>
      </c>
      <c r="D120" s="2">
        <f>IFERROR(__xludf.DUMMYFUNCTION("IMPORTRANGE(""https://docs.google.com/spreadsheets/d/""&amp;$A120&amp;""/edit#gid=156619080"",D$3)"),7003.0)</f>
        <v>7003</v>
      </c>
      <c r="E120" s="15">
        <f>IFERROR(__xludf.DUMMYFUNCTION("IMPORTRANGE(""https://docs.google.com/spreadsheets/d/""&amp;$A120&amp;""/edit#gid=156619080"",E$3)"),43882.0)</f>
        <v>43882</v>
      </c>
      <c r="F120" s="2">
        <f>IFERROR(__xludf.DUMMYFUNCTION("IMPORTRANGE(""https://docs.google.com/spreadsheets/d/""&amp;$A120&amp;""/edit#gid=156619080"",F$3)"),-13.0)</f>
        <v>-13</v>
      </c>
      <c r="G120" s="16">
        <f>IFERROR(__xludf.DUMMYFUNCTION("IMPORTRANGE(""https://docs.google.com/spreadsheets/d/""&amp;$A120&amp;""/edit#gid=156619080"",G$3)"),-1.48)</f>
        <v>-1.48</v>
      </c>
      <c r="H120" s="16">
        <f>IFERROR(__xludf.DUMMYFUNCTION("IMPORTRANGE(""https://docs.google.com/spreadsheets/d/""&amp;$A120&amp;""/edit#gid=156619080"",H$3)"),869.0)</f>
        <v>869</v>
      </c>
      <c r="I120" s="16">
        <f>IFERROR(__xludf.DUMMYFUNCTION("IMPORTRANGE(""https://docs.google.com/spreadsheets/d/""&amp;$A120&amp;""/edit#gid=156619080"",I$3)"),9.0)</f>
        <v>9</v>
      </c>
      <c r="J120" s="16">
        <f>IFERROR(__xludf.DUMMYFUNCTION("IMPORTRANGE(""https://docs.google.com/spreadsheets/d/""&amp;$A120&amp;""/edit#gid=156619080"",J$3)"),872.0)</f>
        <v>872</v>
      </c>
      <c r="K120" s="16">
        <f>IFERROR(__xludf.DUMMYFUNCTION("IMPORTRANGE(""https://docs.google.com/spreadsheets/d/""&amp;$A120&amp;""/edit#gid=156619080"",K$3)"),0.37569444444444444)</f>
        <v>0.3756944444</v>
      </c>
      <c r="L120" s="16">
        <f>IFERROR(__xludf.DUMMYFUNCTION("IMPORTRANGE(""https://docs.google.com/spreadsheets/d/""&amp;$A120&amp;""/edit#gid=156619080"",L$3)"),862.0)</f>
        <v>862</v>
      </c>
      <c r="M120" s="16">
        <f>IFERROR(__xludf.DUMMYFUNCTION("IMPORTRANGE(""https://docs.google.com/spreadsheets/d/""&amp;$A120&amp;""/edit#gid=156619080"",M$3)"),0.40625)</f>
        <v>0.40625</v>
      </c>
      <c r="N120" s="16">
        <f>IFERROR(__xludf.DUMMYFUNCTION("IMPORTRANGE(""https://docs.google.com/spreadsheets/d/""&amp;$A120&amp;""/edit#gid=156619080"",N$3)"),865.0)</f>
        <v>865</v>
      </c>
      <c r="O120" s="16" t="str">
        <f>IFERROR(__xludf.DUMMYFUNCTION("IMPORTRANGE(""https://docs.google.com/spreadsheets/d/""&amp;$A120&amp;""/edit#gid=156619080"",O$3)"),"747400株")</f>
        <v>747400株</v>
      </c>
      <c r="P120" s="16" t="str">
        <f>IFERROR(__xludf.DUMMYFUNCTION("IMPORTRANGE(""https://docs.google.com/spreadsheets/d/""&amp;$A120&amp;""/edit#gid=156619080"",P$3)"),"647百万円")</f>
        <v>647百万円</v>
      </c>
      <c r="Q120" s="16" t="str">
        <f>IFERROR(__xludf.DUMMYFUNCTION("IMPORTRANGE(""https://docs.google.com/spreadsheets/d/""&amp;$A120&amp;""/edit#gid=156619080"",Q$3)"),"1317回")</f>
        <v>1317回</v>
      </c>
      <c r="R120" s="16" t="str">
        <f>IFERROR(__xludf.DUMMYFUNCTION("IMPORTRANGE(""https://docs.google.com/spreadsheets/d/""&amp;$A120&amp;""/edit#gid=156619080"",R$3)"),"719億円")</f>
        <v>719億円</v>
      </c>
      <c r="S120" s="16" t="str">
        <f>IFERROR(__xludf.DUMMYFUNCTION("IMPORTRANGE(""https://docs.google.com/spreadsheets/d/""&amp;$A120&amp;""/edit#gid=156619080"",S$3)"),"陰線")</f>
        <v>陰線</v>
      </c>
      <c r="T120" s="16" t="str">
        <f>IFERROR(__xludf.DUMMYFUNCTION("IMPORTRANGE(""https://docs.google.com/spreadsheets/d/""&amp;$A120&amp;""/edit#gid=156619080"",T$3)"),"")</f>
        <v/>
      </c>
      <c r="U120" s="16">
        <f>IFERROR(__xludf.DUMMYFUNCTION("IMPORTRANGE(""https://docs.google.com/spreadsheets/d/""&amp;$A120&amp;""/edit#gid=156619080"",U$3)"),881.6)</f>
        <v>881.6</v>
      </c>
      <c r="V120" s="16">
        <f>IFERROR(__xludf.DUMMYFUNCTION("IMPORTRANGE(""https://docs.google.com/spreadsheets/d/""&amp;$A120&amp;""/edit#gid=156619080"",V$3)"),918.2)</f>
        <v>918.2</v>
      </c>
      <c r="W120" s="16">
        <f>IFERROR(__xludf.DUMMYFUNCTION("IMPORTRANGE(""https://docs.google.com/spreadsheets/d/""&amp;$A120&amp;""/edit#gid=156619080"",W$3)"),937.7)</f>
        <v>937.7</v>
      </c>
      <c r="X120" s="2">
        <f>IFERROR(__xludf.DUMMYFUNCTION("IMPORTRANGE(""https://docs.google.com/spreadsheets/d/""&amp;$A120&amp;""/edit#gid=156619080"",X$3)"),939.6)</f>
        <v>939.6</v>
      </c>
      <c r="Y120" s="17">
        <f>IFERROR(__xludf.DUMMYFUNCTION("IMPORTRANGE(""https://docs.google.com/spreadsheets/d/""&amp;$A120&amp;""/edit#gid=156619080"",Y$3)"),-0.018829401088929245)</f>
        <v>-0.01882940109</v>
      </c>
      <c r="Z120" s="2">
        <f>IFERROR(__xludf.DUMMYFUNCTION("IMPORTRANGE(""https://docs.google.com/spreadsheets/d/""&amp;$A120&amp;""/edit#gid=156619080"",Z$3)"),1018.55)</f>
        <v>1018.55</v>
      </c>
      <c r="AA120" s="2">
        <f>IFERROR(__xludf.DUMMYFUNCTION("IMPORTRANGE(""https://docs.google.com/spreadsheets/d/""&amp;$A120&amp;""/edit#gid=156619080"",AA$3)"),1008.44)</f>
        <v>1008.44</v>
      </c>
      <c r="AB120" s="2">
        <f>IFERROR(__xludf.DUMMYFUNCTION("IMPORTRANGE(""https://docs.google.com/spreadsheets/d/""&amp;$A120&amp;""/edit#gid=156619080"",AB$3)"),998.34)</f>
        <v>998.34</v>
      </c>
      <c r="AC120" s="18">
        <f>IFERROR(__xludf.DUMMYFUNCTION("IMPORTRANGE(""https://docs.google.com/spreadsheets/d/""&amp;$A120&amp;""/edit#gid=156619080"",AC$3)"),988.23)</f>
        <v>988.23</v>
      </c>
      <c r="AD120" s="18">
        <f>IFERROR(__xludf.DUMMYFUNCTION("IMPORTRANGE(""https://docs.google.com/spreadsheets/d/""&amp;$A120&amp;""/edit#gid=156619080"",AD$3)"),978.13)</f>
        <v>978.13</v>
      </c>
      <c r="AE120" s="18">
        <f>IFERROR(__xludf.DUMMYFUNCTION("IMPORTRANGE(""https://docs.google.com/spreadsheets/d/""&amp;$A120&amp;""/edit#gid=156619080"",AE$3)"),937.7)</f>
        <v>937.7</v>
      </c>
      <c r="AF120" s="2">
        <f>IFERROR(__xludf.DUMMYFUNCTION("IMPORTRANGE(""https://docs.google.com/spreadsheets/d/""&amp;$A120&amp;""/edit#gid=156619080"",AF$3)"),897.27)</f>
        <v>897.27</v>
      </c>
      <c r="AG120" s="2">
        <f>IFERROR(__xludf.DUMMYFUNCTION("IMPORTRANGE(""https://docs.google.com/spreadsheets/d/""&amp;$A120&amp;""/edit#gid=156619080"",AG$3)"),887.17)</f>
        <v>887.17</v>
      </c>
      <c r="AH120" s="2">
        <f>IFERROR(__xludf.DUMMYFUNCTION("IMPORTRANGE(""https://docs.google.com/spreadsheets/d/""&amp;$A120&amp;""/edit#gid=156619080"",AH$3)"),877.06)</f>
        <v>877.06</v>
      </c>
      <c r="AI120" s="2">
        <f>IFERROR(__xludf.DUMMYFUNCTION("IMPORTRANGE(""https://docs.google.com/spreadsheets/d/""&amp;$A120&amp;""/edit#gid=156619080"",AI$3)"),866.96)</f>
        <v>866.96</v>
      </c>
      <c r="AJ120" s="2">
        <f>IFERROR(__xludf.DUMMYFUNCTION("IMPORTRANGE(""https://docs.google.com/spreadsheets/d/""&amp;$A120&amp;""/edit#gid=156619080"",AJ$3)"),856.85)</f>
        <v>856.85</v>
      </c>
      <c r="AK120" s="2" t="str">
        <f>IFERROR(__xludf.DUMMYFUNCTION("IMPORTRANGE(""https://docs.google.com/spreadsheets/d/""&amp;$A120&amp;""/edit#gid=156619080"",AK$3)"),"-1.75σ〜-2σ")</f>
        <v>-1.75σ〜-2σ</v>
      </c>
      <c r="AL120" s="2">
        <f>IFERROR(__xludf.DUMMYFUNCTION("IMPORTRANGE(""https://docs.google.com/spreadsheets/d/""&amp;$A120&amp;""/edit#gid=156619080"",AL$3)"),-1.0)</f>
        <v>-1</v>
      </c>
      <c r="AM120" s="2" t="str">
        <f>IFERROR(__xludf.DUMMYFUNCTION("IMPORTRANGE(""https://docs.google.com/spreadsheets/d/""&amp;$A120&amp;""/edit#gid=156619080"",AM$3)"),"")</f>
        <v/>
      </c>
      <c r="AN120" s="2">
        <f>IFERROR(__xludf.DUMMYFUNCTION("IMPORTRANGE(""https://docs.google.com/spreadsheets/d/""&amp;$A120&amp;""/edit#gid=156619080"",AN$3)"),-1.0)</f>
        <v>-1</v>
      </c>
      <c r="AO120" s="2" t="str">
        <f>IFERROR(__xludf.DUMMYFUNCTION("IMPORTRANGE(""https://docs.google.com/spreadsheets/d/""&amp;$A120&amp;""/edit#gid=156619080"",AO$3)"),"")</f>
        <v/>
      </c>
      <c r="AP120" s="2">
        <f>IFERROR(__xludf.DUMMYFUNCTION("IMPORTRANGE(""https://docs.google.com/spreadsheets/d/""&amp;$A120&amp;""/edit#gid=156619080"",AP$3)"),-1.0)</f>
        <v>-1</v>
      </c>
      <c r="AQ120" s="2" t="str">
        <f>IFERROR(__xludf.DUMMYFUNCTION("IMPORTRANGE(""https://docs.google.com/spreadsheets/d/""&amp;$A120&amp;""/edit#gid=156619080"",AQ$3)"),"")</f>
        <v/>
      </c>
      <c r="AR120" s="18">
        <f>IFERROR(__xludf.DUMMYFUNCTION("IMPORTRANGE(""https://docs.google.com/spreadsheets/d/""&amp;$A120&amp;""/edit#gid=156619080"",AR$3)"),-77.49999999999999)</f>
        <v>-77.5</v>
      </c>
      <c r="AS120" s="19" t="str">
        <f>IFERROR(__xludf.DUMMYFUNCTION("IMPORTRANGE(""https://docs.google.com/spreadsheets/d/""&amp;$A120&amp;""/edit#gid=156619080"",AS$3)"),"-80
-90
-90
-67.5
")</f>
        <v>-80
-90
-90
-67.5
</v>
      </c>
      <c r="AT120" s="18">
        <f>IFERROR(__xludf.DUMMYFUNCTION("IMPORTRANGE(""https://docs.google.com/spreadsheets/d/""&amp;$A120&amp;""/edit#gid=156619080"",AT$3)"),-76.37362637362637)</f>
        <v>-76.37362637</v>
      </c>
      <c r="AU120" s="3" t="str">
        <f>IFERROR(__xludf.DUMMYFUNCTION("IMPORTRANGE(""https://docs.google.com/spreadsheets/d/""&amp;$A120&amp;""/edit#gid=156619080"",AU$3)"),"-29.26
-34.2
-44.64
-61.54
")</f>
        <v>-29.26
-34.2
-44.64
-61.54
</v>
      </c>
      <c r="AV120" s="18">
        <f>IFERROR(__xludf.DUMMYFUNCTION("IMPORTRANGE(""https://docs.google.com/spreadsheets/d/""&amp;$A120&amp;""/edit#gid=156619080"",AV$3)"),-82.69480519480518)</f>
        <v>-82.69480519</v>
      </c>
      <c r="AW120" s="19" t="str">
        <f>IFERROR(__xludf.DUMMYFUNCTION("IMPORTRANGE(""https://docs.google.com/spreadsheets/d/""&amp;$A120&amp;""/edit#gid=156619080"",AW$3)"),"-77.92
-80.52
-82.47
-82.69
")</f>
        <v>-77.92
-80.52
-82.47
-82.69
</v>
      </c>
      <c r="AX120" s="2">
        <f>IFERROR(__xludf.DUMMYFUNCTION("IMPORTRANGE(""https://docs.google.com/spreadsheets/d/""&amp;$A120&amp;""/edit#gid=156619080"",AX$3)"),12.280000000000001)</f>
        <v>12.28</v>
      </c>
      <c r="AY120" s="2">
        <f>IFERROR(__xludf.DUMMYFUNCTION("IMPORTRANGE(""https://docs.google.com/spreadsheets/d/""&amp;$A120&amp;""/edit#gid=156619080"",AY$3)"),25.779999999999998)</f>
        <v>25.78</v>
      </c>
      <c r="AZ120" s="2">
        <f>IFERROR(__xludf.DUMMYFUNCTION("IMPORTRANGE(""https://docs.google.com/spreadsheets/d/""&amp;$A120&amp;""/edit#gid=156619080"",AZ$3)"),882.89)</f>
        <v>882.89</v>
      </c>
      <c r="BA120" s="2">
        <f>IFERROR(__xludf.DUMMYFUNCTION("IMPORTRANGE(""https://docs.google.com/spreadsheets/d/""&amp;$A120&amp;""/edit#gid=156619080"",BA$3)"),-39.59000000000003)</f>
        <v>-39.59</v>
      </c>
      <c r="BB120" s="2">
        <f>IFERROR(__xludf.DUMMYFUNCTION("IMPORTRANGE(""https://docs.google.com/spreadsheets/d/""&amp;$A120&amp;""/edit#gid=156619080"",BB$3)"),-18.48)</f>
        <v>-18.48</v>
      </c>
      <c r="BC120" s="2" t="str">
        <f>IFERROR(__xludf.DUMMYFUNCTION("IMPORTRANGE(""https://docs.google.com/spreadsheets/d/""&amp;$A120&amp;""/edit#gid=156619080"",BC$3)"),"DC→DC")</f>
        <v>DC→DC</v>
      </c>
    </row>
    <row r="121" ht="51.0" customHeight="1">
      <c r="A121" s="7" t="str">
        <f t="shared" si="5"/>
        <v>19QnmvGAa6tvC8M00Ws76vZWNLGrHm8TNwZoO2kVlvZQ</v>
      </c>
      <c r="B121" s="1" t="s">
        <v>148</v>
      </c>
      <c r="C121" s="2">
        <f>IFERROR(__xludf.DUMMYFUNCTION("IMPORTRANGE(""https://docs.google.com/spreadsheets/d/""&amp;$A121&amp;""/edit#gid=156619080"",C$3)"),132.0)</f>
        <v>132</v>
      </c>
      <c r="D121" s="2">
        <f>IFERROR(__xludf.DUMMYFUNCTION("IMPORTRANGE(""https://docs.google.com/spreadsheets/d/""&amp;$A121&amp;""/edit#gid=156619080"",D$3)"),7012.0)</f>
        <v>7012</v>
      </c>
      <c r="E121" s="15">
        <f>IFERROR(__xludf.DUMMYFUNCTION("IMPORTRANGE(""https://docs.google.com/spreadsheets/d/""&amp;$A121&amp;""/edit#gid=156619080"",E$3)"),43882.0)</f>
        <v>43882</v>
      </c>
      <c r="F121" s="2">
        <f>IFERROR(__xludf.DUMMYFUNCTION("IMPORTRANGE(""https://docs.google.com/spreadsheets/d/""&amp;$A121&amp;""/edit#gid=156619080"",F$3)"),-14.0)</f>
        <v>-14</v>
      </c>
      <c r="G121" s="16">
        <f>IFERROR(__xludf.DUMMYFUNCTION("IMPORTRANGE(""https://docs.google.com/spreadsheets/d/""&amp;$A121&amp;""/edit#gid=156619080"",G$3)"),-0.63)</f>
        <v>-0.63</v>
      </c>
      <c r="H121" s="16">
        <f>IFERROR(__xludf.DUMMYFUNCTION("IMPORTRANGE(""https://docs.google.com/spreadsheets/d/""&amp;$A121&amp;""/edit#gid=156619080"",H$3)"),2220.0)</f>
        <v>2220</v>
      </c>
      <c r="I121" s="16">
        <f>IFERROR(__xludf.DUMMYFUNCTION("IMPORTRANGE(""https://docs.google.com/spreadsheets/d/""&amp;$A121&amp;""/edit#gid=156619080"",I$3)"),-1.0)</f>
        <v>-1</v>
      </c>
      <c r="J121" s="16">
        <f>IFERROR(__xludf.DUMMYFUNCTION("IMPORTRANGE(""https://docs.google.com/spreadsheets/d/""&amp;$A121&amp;""/edit#gid=156619080"",J$3)"),2243.0)</f>
        <v>2243</v>
      </c>
      <c r="K121" s="16">
        <f>IFERROR(__xludf.DUMMYFUNCTION("IMPORTRANGE(""https://docs.google.com/spreadsheets/d/""&amp;$A121&amp;""/edit#gid=156619080"",K$3)"),0.44583333333333336)</f>
        <v>0.4458333333</v>
      </c>
      <c r="L121" s="16">
        <f>IFERROR(__xludf.DUMMYFUNCTION("IMPORTRANGE(""https://docs.google.com/spreadsheets/d/""&amp;$A121&amp;""/edit#gid=156619080"",L$3)"),2203.0)</f>
        <v>2203</v>
      </c>
      <c r="M121" s="16">
        <f>IFERROR(__xludf.DUMMYFUNCTION("IMPORTRANGE(""https://docs.google.com/spreadsheets/d/""&amp;$A121&amp;""/edit#gid=156619080"",M$3)"),0.6243055555555556)</f>
        <v>0.6243055556</v>
      </c>
      <c r="N121" s="16">
        <f>IFERROR(__xludf.DUMMYFUNCTION("IMPORTRANGE(""https://docs.google.com/spreadsheets/d/""&amp;$A121&amp;""/edit#gid=156619080"",N$3)"),2205.0)</f>
        <v>2205</v>
      </c>
      <c r="O121" s="16" t="str">
        <f>IFERROR(__xludf.DUMMYFUNCTION("IMPORTRANGE(""https://docs.google.com/spreadsheets/d/""&amp;$A121&amp;""/edit#gid=156619080"",O$3)"),"830200株")</f>
        <v>830200株</v>
      </c>
      <c r="P121" s="16" t="str">
        <f>IFERROR(__xludf.DUMMYFUNCTION("IMPORTRANGE(""https://docs.google.com/spreadsheets/d/""&amp;$A121&amp;""/edit#gid=156619080"",P$3)"),"1841百万円")</f>
        <v>1841百万円</v>
      </c>
      <c r="Q121" s="16" t="str">
        <f>IFERROR(__xludf.DUMMYFUNCTION("IMPORTRANGE(""https://docs.google.com/spreadsheets/d/""&amp;$A121&amp;""/edit#gid=156619080"",Q$3)"),"2315回")</f>
        <v>2315回</v>
      </c>
      <c r="R121" s="16" t="str">
        <f>IFERROR(__xludf.DUMMYFUNCTION("IMPORTRANGE(""https://docs.google.com/spreadsheets/d/""&amp;$A121&amp;""/edit#gid=156619080"",R$3)"),"3684億円")</f>
        <v>3684億円</v>
      </c>
      <c r="S121" s="16" t="str">
        <f>IFERROR(__xludf.DUMMYFUNCTION("IMPORTRANGE(""https://docs.google.com/spreadsheets/d/""&amp;$A121&amp;""/edit#gid=156619080"",S$3)"),"陰線")</f>
        <v>陰線</v>
      </c>
      <c r="T121" s="16" t="str">
        <f>IFERROR(__xludf.DUMMYFUNCTION("IMPORTRANGE(""https://docs.google.com/spreadsheets/d/""&amp;$A121&amp;""/edit#gid=156619080"",T$3)"),"")</f>
        <v/>
      </c>
      <c r="U121" s="16">
        <f>IFERROR(__xludf.DUMMYFUNCTION("IMPORTRANGE(""https://docs.google.com/spreadsheets/d/""&amp;$A121&amp;""/edit#gid=156619080"",U$3)"),2214.0)</f>
        <v>2214</v>
      </c>
      <c r="V121" s="16">
        <f>IFERROR(__xludf.DUMMYFUNCTION("IMPORTRANGE(""https://docs.google.com/spreadsheets/d/""&amp;$A121&amp;""/edit#gid=156619080"",V$3)"),2234.3)</f>
        <v>2234.3</v>
      </c>
      <c r="W121" s="16">
        <f>IFERROR(__xludf.DUMMYFUNCTION("IMPORTRANGE(""https://docs.google.com/spreadsheets/d/""&amp;$A121&amp;""/edit#gid=156619080"",W$3)"),2234.0)</f>
        <v>2234</v>
      </c>
      <c r="X121" s="2">
        <f>IFERROR(__xludf.DUMMYFUNCTION("IMPORTRANGE(""https://docs.google.com/spreadsheets/d/""&amp;$A121&amp;""/edit#gid=156619080"",X$3)"),2396.1)</f>
        <v>2396.1</v>
      </c>
      <c r="Y121" s="17">
        <f>IFERROR(__xludf.DUMMYFUNCTION("IMPORTRANGE(""https://docs.google.com/spreadsheets/d/""&amp;$A121&amp;""/edit#gid=156619080"",Y$3)"),-0.0040650406504065045)</f>
        <v>-0.00406504065</v>
      </c>
      <c r="Z121" s="2">
        <f>IFERROR(__xludf.DUMMYFUNCTION("IMPORTRANGE(""https://docs.google.com/spreadsheets/d/""&amp;$A121&amp;""/edit#gid=156619080"",Z$3)"),2349.15)</f>
        <v>2349.15</v>
      </c>
      <c r="AA121" s="2">
        <f>IFERROR(__xludf.DUMMYFUNCTION("IMPORTRANGE(""https://docs.google.com/spreadsheets/d/""&amp;$A121&amp;""/edit#gid=156619080"",AA$3)"),2334.75)</f>
        <v>2334.75</v>
      </c>
      <c r="AB121" s="2">
        <f>IFERROR(__xludf.DUMMYFUNCTION("IMPORTRANGE(""https://docs.google.com/spreadsheets/d/""&amp;$A121&amp;""/edit#gid=156619080"",AB$3)"),2320.36)</f>
        <v>2320.36</v>
      </c>
      <c r="AC121" s="18">
        <f>IFERROR(__xludf.DUMMYFUNCTION("IMPORTRANGE(""https://docs.google.com/spreadsheets/d/""&amp;$A121&amp;""/edit#gid=156619080"",AC$3)"),2305.97)</f>
        <v>2305.97</v>
      </c>
      <c r="AD121" s="18">
        <f>IFERROR(__xludf.DUMMYFUNCTION("IMPORTRANGE(""https://docs.google.com/spreadsheets/d/""&amp;$A121&amp;""/edit#gid=156619080"",AD$3)"),2291.57)</f>
        <v>2291.57</v>
      </c>
      <c r="AE121" s="18">
        <f>IFERROR(__xludf.DUMMYFUNCTION("IMPORTRANGE(""https://docs.google.com/spreadsheets/d/""&amp;$A121&amp;""/edit#gid=156619080"",AE$3)"),2234.0)</f>
        <v>2234</v>
      </c>
      <c r="AF121" s="2">
        <f>IFERROR(__xludf.DUMMYFUNCTION("IMPORTRANGE(""https://docs.google.com/spreadsheets/d/""&amp;$A121&amp;""/edit#gid=156619080"",AF$3)"),2176.43)</f>
        <v>2176.43</v>
      </c>
      <c r="AG121" s="2">
        <f>IFERROR(__xludf.DUMMYFUNCTION("IMPORTRANGE(""https://docs.google.com/spreadsheets/d/""&amp;$A121&amp;""/edit#gid=156619080"",AG$3)"),2162.03)</f>
        <v>2162.03</v>
      </c>
      <c r="AH121" s="2">
        <f>IFERROR(__xludf.DUMMYFUNCTION("IMPORTRANGE(""https://docs.google.com/spreadsheets/d/""&amp;$A121&amp;""/edit#gid=156619080"",AH$3)"),2147.64)</f>
        <v>2147.64</v>
      </c>
      <c r="AI121" s="2">
        <f>IFERROR(__xludf.DUMMYFUNCTION("IMPORTRANGE(""https://docs.google.com/spreadsheets/d/""&amp;$A121&amp;""/edit#gid=156619080"",AI$3)"),2133.25)</f>
        <v>2133.25</v>
      </c>
      <c r="AJ121" s="2">
        <f>IFERROR(__xludf.DUMMYFUNCTION("IMPORTRANGE(""https://docs.google.com/spreadsheets/d/""&amp;$A121&amp;""/edit#gid=156619080"",AJ$3)"),2118.85)</f>
        <v>2118.85</v>
      </c>
      <c r="AK121" s="2" t="str">
        <f>IFERROR(__xludf.DUMMYFUNCTION("IMPORTRANGE(""https://docs.google.com/spreadsheets/d/""&amp;$A121&amp;""/edit#gid=156619080"",AK$3)"),"")</f>
        <v/>
      </c>
      <c r="AL121" s="2">
        <f>IFERROR(__xludf.DUMMYFUNCTION("IMPORTRANGE(""https://docs.google.com/spreadsheets/d/""&amp;$A121&amp;""/edit#gid=156619080"",AL$3)"),-1.0)</f>
        <v>-1</v>
      </c>
      <c r="AM121" s="2" t="str">
        <f>IFERROR(__xludf.DUMMYFUNCTION("IMPORTRANGE(""https://docs.google.com/spreadsheets/d/""&amp;$A121&amp;""/edit#gid=156619080"",AM$3)"),"")</f>
        <v/>
      </c>
      <c r="AN121" s="2">
        <f>IFERROR(__xludf.DUMMYFUNCTION("IMPORTRANGE(""https://docs.google.com/spreadsheets/d/""&amp;$A121&amp;""/edit#gid=156619080"",AN$3)"),-1.0)</f>
        <v>-1</v>
      </c>
      <c r="AO121" s="2" t="str">
        <f>IFERROR(__xludf.DUMMYFUNCTION("IMPORTRANGE(""https://docs.google.com/spreadsheets/d/""&amp;$A121&amp;""/edit#gid=156619080"",AO$3)"),"")</f>
        <v/>
      </c>
      <c r="AP121" s="2">
        <f>IFERROR(__xludf.DUMMYFUNCTION("IMPORTRANGE(""https://docs.google.com/spreadsheets/d/""&amp;$A121&amp;""/edit#gid=156619080"",AP$3)"),1.0)</f>
        <v>1</v>
      </c>
      <c r="AQ121" s="2" t="str">
        <f>IFERROR(__xludf.DUMMYFUNCTION("IMPORTRANGE(""https://docs.google.com/spreadsheets/d/""&amp;$A121&amp;""/edit#gid=156619080"",AQ$3)"),"ws3")</f>
        <v>ws3</v>
      </c>
      <c r="AR121" s="18">
        <f>IFERROR(__xludf.DUMMYFUNCTION("IMPORTRANGE(""https://docs.google.com/spreadsheets/d/""&amp;$A121&amp;""/edit#gid=156619080"",AR$3)"),-70.0)</f>
        <v>-70</v>
      </c>
      <c r="AS121" s="19" t="str">
        <f>IFERROR(__xludf.DUMMYFUNCTION("IMPORTRANGE(""https://docs.google.com/spreadsheets/d/""&amp;$A121&amp;""/edit#gid=156619080"",AS$3)"),"-90
-90
-90
-80
")</f>
        <v>-90
-90
-90
-80
</v>
      </c>
      <c r="AT121" s="18">
        <f>IFERROR(__xludf.DUMMYFUNCTION("IMPORTRANGE(""https://docs.google.com/spreadsheets/d/""&amp;$A121&amp;""/edit#gid=156619080"",AT$3)"),-18.131868131868135)</f>
        <v>-18.13186813</v>
      </c>
      <c r="AU121" s="3" t="str">
        <f>IFERROR(__xludf.DUMMYFUNCTION("IMPORTRANGE(""https://docs.google.com/spreadsheets/d/""&amp;$A121&amp;""/edit#gid=156619080"",AU$3)"),"44.64
46.7
25.27
10.99
")</f>
        <v>44.64
46.7
25.27
10.99
</v>
      </c>
      <c r="AV121" s="18">
        <f>IFERROR(__xludf.DUMMYFUNCTION("IMPORTRANGE(""https://docs.google.com/spreadsheets/d/""&amp;$A121&amp;""/edit#gid=156619080"",AV$3)"),-22.045454545454547)</f>
        <v>-22.04545455</v>
      </c>
      <c r="AW121" s="19" t="str">
        <f>IFERROR(__xludf.DUMMYFUNCTION("IMPORTRANGE(""https://docs.google.com/spreadsheets/d/""&amp;$A121&amp;""/edit#gid=156619080"",AW$3)"),"-48.8
-42.44
-38.54
-30.75
")</f>
        <v>-48.8
-42.44
-38.54
-30.75
</v>
      </c>
      <c r="AX121" s="2">
        <f>IFERROR(__xludf.DUMMYFUNCTION("IMPORTRANGE(""https://docs.google.com/spreadsheets/d/""&amp;$A121&amp;""/edit#gid=156619080"",AX$3)"),34.949999999999996)</f>
        <v>34.95</v>
      </c>
      <c r="AY121" s="2">
        <f>IFERROR(__xludf.DUMMYFUNCTION("IMPORTRANGE(""https://docs.google.com/spreadsheets/d/""&amp;$A121&amp;""/edit#gid=156619080"",AY$3)"),38.99)</f>
        <v>38.99</v>
      </c>
      <c r="AZ121" s="2">
        <f>IFERROR(__xludf.DUMMYFUNCTION("IMPORTRANGE(""https://docs.google.com/spreadsheets/d/""&amp;$A121&amp;""/edit#gid=156619080"",AZ$3)"),2215.07)</f>
        <v>2215.07</v>
      </c>
      <c r="BA121" s="2">
        <f>IFERROR(__xludf.DUMMYFUNCTION("IMPORTRANGE(""https://docs.google.com/spreadsheets/d/""&amp;$A121&amp;""/edit#gid=156619080"",BA$3)"),-37.629999999999654)</f>
        <v>-37.63</v>
      </c>
      <c r="BB121" s="2">
        <f>IFERROR(__xludf.DUMMYFUNCTION("IMPORTRANGE(""https://docs.google.com/spreadsheets/d/""&amp;$A121&amp;""/edit#gid=156619080"",BB$3)"),-42.09)</f>
        <v>-42.09</v>
      </c>
      <c r="BC121" s="2" t="str">
        <f>IFERROR(__xludf.DUMMYFUNCTION("IMPORTRANGE(""https://docs.google.com/spreadsheets/d/""&amp;$A121&amp;""/edit#gid=156619080"",BC$3)"),"GC→GC")</f>
        <v>GC→GC</v>
      </c>
    </row>
    <row r="122" ht="51.0" customHeight="1">
      <c r="A122" s="7" t="str">
        <f t="shared" si="5"/>
        <v>1bKurmX6eiXkhrsafloWx1cgyL_6Ps4Xl5yjgHWUAbsU</v>
      </c>
      <c r="B122" s="1" t="s">
        <v>149</v>
      </c>
      <c r="C122" s="2">
        <f>IFERROR(__xludf.DUMMYFUNCTION("IMPORTRANGE(""https://docs.google.com/spreadsheets/d/""&amp;$A122&amp;""/edit#gid=156619080"",C$3)"),132.0)</f>
        <v>132</v>
      </c>
      <c r="D122" s="2">
        <f>IFERROR(__xludf.DUMMYFUNCTION("IMPORTRANGE(""https://docs.google.com/spreadsheets/d/""&amp;$A122&amp;""/edit#gid=156619080"",D$3)"),7201.0)</f>
        <v>7201</v>
      </c>
      <c r="E122" s="15">
        <f>IFERROR(__xludf.DUMMYFUNCTION("IMPORTRANGE(""https://docs.google.com/spreadsheets/d/""&amp;$A122&amp;""/edit#gid=156619080"",E$3)"),43882.0)</f>
        <v>43882</v>
      </c>
      <c r="F122" s="2">
        <f>IFERROR(__xludf.DUMMYFUNCTION("IMPORTRANGE(""https://docs.google.com/spreadsheets/d/""&amp;$A122&amp;""/edit#gid=156619080"",F$3)"),-0.3)</f>
        <v>-0.3</v>
      </c>
      <c r="G122" s="16">
        <f>IFERROR(__xludf.DUMMYFUNCTION("IMPORTRANGE(""https://docs.google.com/spreadsheets/d/""&amp;$A122&amp;""/edit#gid=156619080"",G$3)"),-0.06)</f>
        <v>-0.06</v>
      </c>
      <c r="H122" s="16">
        <f>IFERROR(__xludf.DUMMYFUNCTION("IMPORTRANGE(""https://docs.google.com/spreadsheets/d/""&amp;$A122&amp;""/edit#gid=156619080"",H$3)"),502.7)</f>
        <v>502.7</v>
      </c>
      <c r="I122" s="16">
        <f>IFERROR(__xludf.DUMMYFUNCTION("IMPORTRANGE(""https://docs.google.com/spreadsheets/d/""&amp;$A122&amp;""/edit#gid=156619080"",I$3)"),1.6999999999999886)</f>
        <v>1.7</v>
      </c>
      <c r="J122" s="16">
        <f>IFERROR(__xludf.DUMMYFUNCTION("IMPORTRANGE(""https://docs.google.com/spreadsheets/d/""&amp;$A122&amp;""/edit#gid=156619080"",J$3)"),508.1)</f>
        <v>508.1</v>
      </c>
      <c r="K122" s="16">
        <f>IFERROR(__xludf.DUMMYFUNCTION("IMPORTRANGE(""https://docs.google.com/spreadsheets/d/""&amp;$A122&amp;""/edit#gid=156619080"",K$3)"),0.38125)</f>
        <v>0.38125</v>
      </c>
      <c r="L122" s="16">
        <f>IFERROR(__xludf.DUMMYFUNCTION("IMPORTRANGE(""https://docs.google.com/spreadsheets/d/""&amp;$A122&amp;""/edit#gid=156619080"",L$3)"),501.5)</f>
        <v>501.5</v>
      </c>
      <c r="M122" s="16">
        <f>IFERROR(__xludf.DUMMYFUNCTION("IMPORTRANGE(""https://docs.google.com/spreadsheets/d/""&amp;$A122&amp;""/edit#gid=156619080"",M$3)"),0.41805555555555557)</f>
        <v>0.4180555556</v>
      </c>
      <c r="N122" s="16">
        <f>IFERROR(__xludf.DUMMYFUNCTION("IMPORTRANGE(""https://docs.google.com/spreadsheets/d/""&amp;$A122&amp;""/edit#gid=156619080"",N$3)"),504.1)</f>
        <v>504.1</v>
      </c>
      <c r="O122" s="16" t="str">
        <f>IFERROR(__xludf.DUMMYFUNCTION("IMPORTRANGE(""https://docs.google.com/spreadsheets/d/""&amp;$A122&amp;""/edit#gid=156619080"",O$3)"),"15834700株")</f>
        <v>15834700株</v>
      </c>
      <c r="P122" s="16" t="str">
        <f>IFERROR(__xludf.DUMMYFUNCTION("IMPORTRANGE(""https://docs.google.com/spreadsheets/d/""&amp;$A122&amp;""/edit#gid=156619080"",P$3)"),"7993百万円")</f>
        <v>7993百万円</v>
      </c>
      <c r="Q122" s="16" t="str">
        <f>IFERROR(__xludf.DUMMYFUNCTION("IMPORTRANGE(""https://docs.google.com/spreadsheets/d/""&amp;$A122&amp;""/edit#gid=156619080"",Q$3)"),"10653回")</f>
        <v>10653回</v>
      </c>
      <c r="R122" s="16" t="str">
        <f>IFERROR(__xludf.DUMMYFUNCTION("IMPORTRANGE(""https://docs.google.com/spreadsheets/d/""&amp;$A122&amp;""/edit#gid=156619080"",R$3)"),"21277億円")</f>
        <v>21277億円</v>
      </c>
      <c r="S122" s="16" t="str">
        <f>IFERROR(__xludf.DUMMYFUNCTION("IMPORTRANGE(""https://docs.google.com/spreadsheets/d/""&amp;$A122&amp;""/edit#gid=156619080"",S$3)"),"陽線")</f>
        <v>陽線</v>
      </c>
      <c r="T122" s="16" t="str">
        <f>IFERROR(__xludf.DUMMYFUNCTION("IMPORTRANGE(""https://docs.google.com/spreadsheets/d/""&amp;$A122&amp;""/edit#gid=156619080"",T$3)"),"")</f>
        <v/>
      </c>
      <c r="U122" s="16">
        <f>IFERROR(__xludf.DUMMYFUNCTION("IMPORTRANGE(""https://docs.google.com/spreadsheets/d/""&amp;$A122&amp;""/edit#gid=156619080"",U$3)"),502.12)</f>
        <v>502.12</v>
      </c>
      <c r="V122" s="16">
        <f>IFERROR(__xludf.DUMMYFUNCTION("IMPORTRANGE(""https://docs.google.com/spreadsheets/d/""&amp;$A122&amp;""/edit#gid=156619080"",V$3)"),549.1)</f>
        <v>549.1</v>
      </c>
      <c r="W122" s="16">
        <f>IFERROR(__xludf.DUMMYFUNCTION("IMPORTRANGE(""https://docs.google.com/spreadsheets/d/""&amp;$A122&amp;""/edit#gid=156619080"",W$3)"),569.5)</f>
        <v>569.5</v>
      </c>
      <c r="X122" s="2">
        <f>IFERROR(__xludf.DUMMYFUNCTION("IMPORTRANGE(""https://docs.google.com/spreadsheets/d/""&amp;$A122&amp;""/edit#gid=156619080"",X$3)"),646.0)</f>
        <v>646</v>
      </c>
      <c r="Y122" s="17">
        <f>IFERROR(__xludf.DUMMYFUNCTION("IMPORTRANGE(""https://docs.google.com/spreadsheets/d/""&amp;$A122&amp;""/edit#gid=156619080"",Y$3)"),0.0039432804907193865)</f>
        <v>0.003943280491</v>
      </c>
      <c r="Z122" s="2">
        <f>IFERROR(__xludf.DUMMYFUNCTION("IMPORTRANGE(""https://docs.google.com/spreadsheets/d/""&amp;$A122&amp;""/edit#gid=156619080"",Z$3)"),655.3)</f>
        <v>655.3</v>
      </c>
      <c r="AA122" s="2">
        <f>IFERROR(__xludf.DUMMYFUNCTION("IMPORTRANGE(""https://docs.google.com/spreadsheets/d/""&amp;$A122&amp;""/edit#gid=156619080"",AA$3)"),644.58)</f>
        <v>644.58</v>
      </c>
      <c r="AB122" s="2">
        <f>IFERROR(__xludf.DUMMYFUNCTION("IMPORTRANGE(""https://docs.google.com/spreadsheets/d/""&amp;$A122&amp;""/edit#gid=156619080"",AB$3)"),633.85)</f>
        <v>633.85</v>
      </c>
      <c r="AC122" s="18">
        <f>IFERROR(__xludf.DUMMYFUNCTION("IMPORTRANGE(""https://docs.google.com/spreadsheets/d/""&amp;$A122&amp;""/edit#gid=156619080"",AC$3)"),623.13)</f>
        <v>623.13</v>
      </c>
      <c r="AD122" s="18">
        <f>IFERROR(__xludf.DUMMYFUNCTION("IMPORTRANGE(""https://docs.google.com/spreadsheets/d/""&amp;$A122&amp;""/edit#gid=156619080"",AD$3)"),612.4)</f>
        <v>612.4</v>
      </c>
      <c r="AE122" s="18">
        <f>IFERROR(__xludf.DUMMYFUNCTION("IMPORTRANGE(""https://docs.google.com/spreadsheets/d/""&amp;$A122&amp;""/edit#gid=156619080"",AE$3)"),569.5)</f>
        <v>569.5</v>
      </c>
      <c r="AF122" s="2">
        <f>IFERROR(__xludf.DUMMYFUNCTION("IMPORTRANGE(""https://docs.google.com/spreadsheets/d/""&amp;$A122&amp;""/edit#gid=156619080"",AF$3)"),526.6)</f>
        <v>526.6</v>
      </c>
      <c r="AG122" s="2">
        <f>IFERROR(__xludf.DUMMYFUNCTION("IMPORTRANGE(""https://docs.google.com/spreadsheets/d/""&amp;$A122&amp;""/edit#gid=156619080"",AG$3)"),515.87)</f>
        <v>515.87</v>
      </c>
      <c r="AH122" s="2">
        <f>IFERROR(__xludf.DUMMYFUNCTION("IMPORTRANGE(""https://docs.google.com/spreadsheets/d/""&amp;$A122&amp;""/edit#gid=156619080"",AH$3)"),505.15)</f>
        <v>505.15</v>
      </c>
      <c r="AI122" s="2">
        <f>IFERROR(__xludf.DUMMYFUNCTION("IMPORTRANGE(""https://docs.google.com/spreadsheets/d/""&amp;$A122&amp;""/edit#gid=156619080"",AI$3)"),494.42)</f>
        <v>494.42</v>
      </c>
      <c r="AJ122" s="2">
        <f>IFERROR(__xludf.DUMMYFUNCTION("IMPORTRANGE(""https://docs.google.com/spreadsheets/d/""&amp;$A122&amp;""/edit#gid=156619080"",AJ$3)"),483.7)</f>
        <v>483.7</v>
      </c>
      <c r="AK122" s="2" t="str">
        <f>IFERROR(__xludf.DUMMYFUNCTION("IMPORTRANGE(""https://docs.google.com/spreadsheets/d/""&amp;$A122&amp;""/edit#gid=156619080"",AK$3)"),"-1.5σ〜-1.75σ")</f>
        <v>-1.5σ〜-1.75σ</v>
      </c>
      <c r="AL122" s="2">
        <f>IFERROR(__xludf.DUMMYFUNCTION("IMPORTRANGE(""https://docs.google.com/spreadsheets/d/""&amp;$A122&amp;""/edit#gid=156619080"",AL$3)"),-1.0)</f>
        <v>-1</v>
      </c>
      <c r="AM122" s="2" t="str">
        <f>IFERROR(__xludf.DUMMYFUNCTION("IMPORTRANGE(""https://docs.google.com/spreadsheets/d/""&amp;$A122&amp;""/edit#gid=156619080"",AM$3)"),"")</f>
        <v/>
      </c>
      <c r="AN122" s="2">
        <f>IFERROR(__xludf.DUMMYFUNCTION("IMPORTRANGE(""https://docs.google.com/spreadsheets/d/""&amp;$A122&amp;""/edit#gid=156619080"",AN$3)"),-1.0)</f>
        <v>-1</v>
      </c>
      <c r="AO122" s="2" t="str">
        <f>IFERROR(__xludf.DUMMYFUNCTION("IMPORTRANGE(""https://docs.google.com/spreadsheets/d/""&amp;$A122&amp;""/edit#gid=156619080"",AO$3)"),"")</f>
        <v/>
      </c>
      <c r="AP122" s="2">
        <f>IFERROR(__xludf.DUMMYFUNCTION("IMPORTRANGE(""https://docs.google.com/spreadsheets/d/""&amp;$A122&amp;""/edit#gid=156619080"",AP$3)"),-1.0)</f>
        <v>-1</v>
      </c>
      <c r="AQ122" s="2" t="str">
        <f>IFERROR(__xludf.DUMMYFUNCTION("IMPORTRANGE(""https://docs.google.com/spreadsheets/d/""&amp;$A122&amp;""/edit#gid=156619080"",AQ$3)"),"")</f>
        <v/>
      </c>
      <c r="AR122" s="18">
        <f>IFERROR(__xludf.DUMMYFUNCTION("IMPORTRANGE(""https://docs.google.com/spreadsheets/d/""&amp;$A122&amp;""/edit#gid=156619080"",AR$3)"),50.0)</f>
        <v>50</v>
      </c>
      <c r="AS122" s="19" t="str">
        <f>IFERROR(__xludf.DUMMYFUNCTION("IMPORTRANGE(""https://docs.google.com/spreadsheets/d/""&amp;$A122&amp;""/edit#gid=156619080"",AS$3)"),"-100
-100
-70
-20
")</f>
        <v>-100
-100
-70
-20
</v>
      </c>
      <c r="AT122" s="18">
        <f>IFERROR(__xludf.DUMMYFUNCTION("IMPORTRANGE(""https://docs.google.com/spreadsheets/d/""&amp;$A122&amp;""/edit#gid=156619080"",AT$3)"),-86.81318681318682)</f>
        <v>-86.81318681</v>
      </c>
      <c r="AU122" s="3" t="str">
        <f>IFERROR(__xludf.DUMMYFUNCTION("IMPORTRANGE(""https://docs.google.com/spreadsheets/d/""&amp;$A122&amp;""/edit#gid=156619080"",AU$3)"),"-81.32
-84.62
-86.26
-85.71
")</f>
        <v>-81.32
-84.62
-86.26
-85.71
</v>
      </c>
      <c r="AV122" s="18">
        <f>IFERROR(__xludf.DUMMYFUNCTION("IMPORTRANGE(""https://docs.google.com/spreadsheets/d/""&amp;$A122&amp;""/edit#gid=156619080"",AV$3)"),-89.87012987012987)</f>
        <v>-89.87012987</v>
      </c>
      <c r="AW122" s="19" t="str">
        <f>IFERROR(__xludf.DUMMYFUNCTION("IMPORTRANGE(""https://docs.google.com/spreadsheets/d/""&amp;$A122&amp;""/edit#gid=156619080"",AW$3)"),"-91.69
-91.82
-91.43
-90.78
")</f>
        <v>-91.69
-91.82
-91.43
-90.78
</v>
      </c>
      <c r="AX122" s="2">
        <f>IFERROR(__xludf.DUMMYFUNCTION("IMPORTRANGE(""https://docs.google.com/spreadsheets/d/""&amp;$A122&amp;""/edit#gid=156619080"",AX$3)"),33.67)</f>
        <v>33.67</v>
      </c>
      <c r="AY122" s="2">
        <f>IFERROR(__xludf.DUMMYFUNCTION("IMPORTRANGE(""https://docs.google.com/spreadsheets/d/""&amp;$A122&amp;""/edit#gid=156619080"",AY$3)"),15.939999999999998)</f>
        <v>15.94</v>
      </c>
      <c r="AZ122" s="2">
        <f>IFERROR(__xludf.DUMMYFUNCTION("IMPORTRANGE(""https://docs.google.com/spreadsheets/d/""&amp;$A122&amp;""/edit#gid=156619080"",AZ$3)"),510.46)</f>
        <v>510.46</v>
      </c>
      <c r="BA122" s="2">
        <f>IFERROR(__xludf.DUMMYFUNCTION("IMPORTRANGE(""https://docs.google.com/spreadsheets/d/""&amp;$A122&amp;""/edit#gid=156619080"",BA$3)"),-49.62000000000006)</f>
        <v>-49.62</v>
      </c>
      <c r="BB122" s="2">
        <f>IFERROR(__xludf.DUMMYFUNCTION("IMPORTRANGE(""https://docs.google.com/spreadsheets/d/""&amp;$A122&amp;""/edit#gid=156619080"",BB$3)"),-37.18)</f>
        <v>-37.18</v>
      </c>
      <c r="BC122" s="2" t="str">
        <f>IFERROR(__xludf.DUMMYFUNCTION("IMPORTRANGE(""https://docs.google.com/spreadsheets/d/""&amp;$A122&amp;""/edit#gid=156619080"",BC$3)"),"DC→DC")</f>
        <v>DC→DC</v>
      </c>
    </row>
    <row r="123" ht="51.0" customHeight="1">
      <c r="A123" s="7" t="str">
        <f t="shared" si="5"/>
        <v>1ctyogCKVZ23nsxV54s-fdR2oosAsh3LvQNbdv1S6Y-w</v>
      </c>
      <c r="B123" s="1" t="s">
        <v>150</v>
      </c>
      <c r="C123" s="2">
        <f>IFERROR(__xludf.DUMMYFUNCTION("IMPORTRANGE(""https://docs.google.com/spreadsheets/d/""&amp;$A123&amp;""/edit#gid=156619080"",C$3)"),132.0)</f>
        <v>132</v>
      </c>
      <c r="D123" s="2">
        <f>IFERROR(__xludf.DUMMYFUNCTION("IMPORTRANGE(""https://docs.google.com/spreadsheets/d/""&amp;$A123&amp;""/edit#gid=156619080"",D$3)"),7202.0)</f>
        <v>7202</v>
      </c>
      <c r="E123" s="15">
        <f>IFERROR(__xludf.DUMMYFUNCTION("IMPORTRANGE(""https://docs.google.com/spreadsheets/d/""&amp;$A123&amp;""/edit#gid=156619080"",E$3)"),43882.0)</f>
        <v>43882</v>
      </c>
      <c r="F123" s="2">
        <f>IFERROR(__xludf.DUMMYFUNCTION("IMPORTRANGE(""https://docs.google.com/spreadsheets/d/""&amp;$A123&amp;""/edit#gid=156619080"",F$3)"),2.5)</f>
        <v>2.5</v>
      </c>
      <c r="G123" s="16">
        <f>IFERROR(__xludf.DUMMYFUNCTION("IMPORTRANGE(""https://docs.google.com/spreadsheets/d/""&amp;$A123&amp;""/edit#gid=156619080"",G$3)"),0.22)</f>
        <v>0.22</v>
      </c>
      <c r="H123" s="16">
        <f>IFERROR(__xludf.DUMMYFUNCTION("IMPORTRANGE(""https://docs.google.com/spreadsheets/d/""&amp;$A123&amp;""/edit#gid=156619080"",H$3)"),1141.5)</f>
        <v>1141.5</v>
      </c>
      <c r="I123" s="16">
        <f>IFERROR(__xludf.DUMMYFUNCTION("IMPORTRANGE(""https://docs.google.com/spreadsheets/d/""&amp;$A123&amp;""/edit#gid=156619080"",I$3)"),-4.5)</f>
        <v>-4.5</v>
      </c>
      <c r="J123" s="16">
        <f>IFERROR(__xludf.DUMMYFUNCTION("IMPORTRANGE(""https://docs.google.com/spreadsheets/d/""&amp;$A123&amp;""/edit#gid=156619080"",J$3)"),1143.0)</f>
        <v>1143</v>
      </c>
      <c r="K123" s="16">
        <f>IFERROR(__xludf.DUMMYFUNCTION("IMPORTRANGE(""https://docs.google.com/spreadsheets/d/""&amp;$A123&amp;""/edit#gid=156619080"",K$3)"),0.375)</f>
        <v>0.375</v>
      </c>
      <c r="L123" s="16">
        <f>IFERROR(__xludf.DUMMYFUNCTION("IMPORTRANGE(""https://docs.google.com/spreadsheets/d/""&amp;$A123&amp;""/edit#gid=156619080"",L$3)"),1135.5)</f>
        <v>1135.5</v>
      </c>
      <c r="M123" s="16">
        <f>IFERROR(__xludf.DUMMYFUNCTION("IMPORTRANGE(""https://docs.google.com/spreadsheets/d/""&amp;$A123&amp;""/edit#gid=156619080"",M$3)"),0.6180555555555556)</f>
        <v>0.6180555556</v>
      </c>
      <c r="N123" s="16">
        <f>IFERROR(__xludf.DUMMYFUNCTION("IMPORTRANGE(""https://docs.google.com/spreadsheets/d/""&amp;$A123&amp;""/edit#gid=156619080"",N$3)"),1139.5)</f>
        <v>1139.5</v>
      </c>
      <c r="O123" s="16" t="str">
        <f>IFERROR(__xludf.DUMMYFUNCTION("IMPORTRANGE(""https://docs.google.com/spreadsheets/d/""&amp;$A123&amp;""/edit#gid=156619080"",O$3)"),"3197700株")</f>
        <v>3197700株</v>
      </c>
      <c r="P123" s="16" t="str">
        <f>IFERROR(__xludf.DUMMYFUNCTION("IMPORTRANGE(""https://docs.google.com/spreadsheets/d/""&amp;$A123&amp;""/edit#gid=156619080"",P$3)"),"3643百万円")</f>
        <v>3643百万円</v>
      </c>
      <c r="Q123" s="16" t="str">
        <f>IFERROR(__xludf.DUMMYFUNCTION("IMPORTRANGE(""https://docs.google.com/spreadsheets/d/""&amp;$A123&amp;""/edit#gid=156619080"",Q$3)"),"4041回")</f>
        <v>4041回</v>
      </c>
      <c r="R123" s="16" t="str">
        <f>IFERROR(__xludf.DUMMYFUNCTION("IMPORTRANGE(""https://docs.google.com/spreadsheets/d/""&amp;$A123&amp;""/edit#gid=156619080"",R$3)"),"9668億円")</f>
        <v>9668億円</v>
      </c>
      <c r="S123" s="16" t="str">
        <f>IFERROR(__xludf.DUMMYFUNCTION("IMPORTRANGE(""https://docs.google.com/spreadsheets/d/""&amp;$A123&amp;""/edit#gid=156619080"",S$3)"),"陰線")</f>
        <v>陰線</v>
      </c>
      <c r="T123" s="16" t="str">
        <f>IFERROR(__xludf.DUMMYFUNCTION("IMPORTRANGE(""https://docs.google.com/spreadsheets/d/""&amp;$A123&amp;""/edit#gid=156619080"",T$3)"),"")</f>
        <v/>
      </c>
      <c r="U123" s="16">
        <f>IFERROR(__xludf.DUMMYFUNCTION("IMPORTRANGE(""https://docs.google.com/spreadsheets/d/""&amp;$A123&amp;""/edit#gid=156619080"",U$3)"),1137.9)</f>
        <v>1137.9</v>
      </c>
      <c r="V123" s="16">
        <f>IFERROR(__xludf.DUMMYFUNCTION("IMPORTRANGE(""https://docs.google.com/spreadsheets/d/""&amp;$A123&amp;""/edit#gid=156619080"",V$3)"),1127.6)</f>
        <v>1127.6</v>
      </c>
      <c r="W123" s="16">
        <f>IFERROR(__xludf.DUMMYFUNCTION("IMPORTRANGE(""https://docs.google.com/spreadsheets/d/""&amp;$A123&amp;""/edit#gid=156619080"",W$3)"),1125.5)</f>
        <v>1125.5</v>
      </c>
      <c r="X123" s="2">
        <f>IFERROR(__xludf.DUMMYFUNCTION("IMPORTRANGE(""https://docs.google.com/spreadsheets/d/""&amp;$A123&amp;""/edit#gid=156619080"",X$3)"),1225.6)</f>
        <v>1225.6</v>
      </c>
      <c r="Y123" s="17">
        <f>IFERROR(__xludf.DUMMYFUNCTION("IMPORTRANGE(""https://docs.google.com/spreadsheets/d/""&amp;$A123&amp;""/edit#gid=156619080"",Y$3)"),0.0014060989542138227)</f>
        <v>0.001406098954</v>
      </c>
      <c r="Z123" s="2">
        <f>IFERROR(__xludf.DUMMYFUNCTION("IMPORTRANGE(""https://docs.google.com/spreadsheets/d/""&amp;$A123&amp;""/edit#gid=156619080"",Z$3)"),1181.57)</f>
        <v>1181.57</v>
      </c>
      <c r="AA123" s="2">
        <f>IFERROR(__xludf.DUMMYFUNCTION("IMPORTRANGE(""https://docs.google.com/spreadsheets/d/""&amp;$A123&amp;""/edit#gid=156619080"",AA$3)"),1174.56)</f>
        <v>1174.56</v>
      </c>
      <c r="AB123" s="2">
        <f>IFERROR(__xludf.DUMMYFUNCTION("IMPORTRANGE(""https://docs.google.com/spreadsheets/d/""&amp;$A123&amp;""/edit#gid=156619080"",AB$3)"),1167.55)</f>
        <v>1167.55</v>
      </c>
      <c r="AC123" s="18">
        <f>IFERROR(__xludf.DUMMYFUNCTION("IMPORTRANGE(""https://docs.google.com/spreadsheets/d/""&amp;$A123&amp;""/edit#gid=156619080"",AC$3)"),1160.54)</f>
        <v>1160.54</v>
      </c>
      <c r="AD123" s="18">
        <f>IFERROR(__xludf.DUMMYFUNCTION("IMPORTRANGE(""https://docs.google.com/spreadsheets/d/""&amp;$A123&amp;""/edit#gid=156619080"",AD$3)"),1153.53)</f>
        <v>1153.53</v>
      </c>
      <c r="AE123" s="18">
        <f>IFERROR(__xludf.DUMMYFUNCTION("IMPORTRANGE(""https://docs.google.com/spreadsheets/d/""&amp;$A123&amp;""/edit#gid=156619080"",AE$3)"),1125.5)</f>
        <v>1125.5</v>
      </c>
      <c r="AF123" s="2">
        <f>IFERROR(__xludf.DUMMYFUNCTION("IMPORTRANGE(""https://docs.google.com/spreadsheets/d/""&amp;$A123&amp;""/edit#gid=156619080"",AF$3)"),1097.47)</f>
        <v>1097.47</v>
      </c>
      <c r="AG123" s="2">
        <f>IFERROR(__xludf.DUMMYFUNCTION("IMPORTRANGE(""https://docs.google.com/spreadsheets/d/""&amp;$A123&amp;""/edit#gid=156619080"",AG$3)"),1090.46)</f>
        <v>1090.46</v>
      </c>
      <c r="AH123" s="2">
        <f>IFERROR(__xludf.DUMMYFUNCTION("IMPORTRANGE(""https://docs.google.com/spreadsheets/d/""&amp;$A123&amp;""/edit#gid=156619080"",AH$3)"),1083.45)</f>
        <v>1083.45</v>
      </c>
      <c r="AI123" s="2">
        <f>IFERROR(__xludf.DUMMYFUNCTION("IMPORTRANGE(""https://docs.google.com/spreadsheets/d/""&amp;$A123&amp;""/edit#gid=156619080"",AI$3)"),1076.44)</f>
        <v>1076.44</v>
      </c>
      <c r="AJ123" s="2">
        <f>IFERROR(__xludf.DUMMYFUNCTION("IMPORTRANGE(""https://docs.google.com/spreadsheets/d/""&amp;$A123&amp;""/edit#gid=156619080"",AJ$3)"),1069.43)</f>
        <v>1069.43</v>
      </c>
      <c r="AK123" s="2" t="str">
        <f>IFERROR(__xludf.DUMMYFUNCTION("IMPORTRANGE(""https://docs.google.com/spreadsheets/d/""&amp;$A123&amp;""/edit#gid=156619080"",AK$3)"),"")</f>
        <v/>
      </c>
      <c r="AL123" s="2">
        <f>IFERROR(__xludf.DUMMYFUNCTION("IMPORTRANGE(""https://docs.google.com/spreadsheets/d/""&amp;$A123&amp;""/edit#gid=156619080"",AL$3)"),1.0)</f>
        <v>1</v>
      </c>
      <c r="AM123" s="2" t="str">
        <f>IFERROR(__xludf.DUMMYFUNCTION("IMPORTRANGE(""https://docs.google.com/spreadsheets/d/""&amp;$A123&amp;""/edit#gid=156619080"",AM$3)"),"")</f>
        <v/>
      </c>
      <c r="AN123" s="2">
        <f>IFERROR(__xludf.DUMMYFUNCTION("IMPORTRANGE(""https://docs.google.com/spreadsheets/d/""&amp;$A123&amp;""/edit#gid=156619080"",AN$3)"),1.0)</f>
        <v>1</v>
      </c>
      <c r="AO123" s="2" t="str">
        <f>IFERROR(__xludf.DUMMYFUNCTION("IMPORTRANGE(""https://docs.google.com/spreadsheets/d/""&amp;$A123&amp;""/edit#gid=156619080"",AO$3)"),"")</f>
        <v/>
      </c>
      <c r="AP123" s="2">
        <f>IFERROR(__xludf.DUMMYFUNCTION("IMPORTRANGE(""https://docs.google.com/spreadsheets/d/""&amp;$A123&amp;""/edit#gid=156619080"",AP$3)"),1.0)</f>
        <v>1</v>
      </c>
      <c r="AQ123" s="2" t="str">
        <f>IFERROR(__xludf.DUMMYFUNCTION("IMPORTRANGE(""https://docs.google.com/spreadsheets/d/""&amp;$A123&amp;""/edit#gid=156619080"",AQ$3)"),"ws3")</f>
        <v>ws3</v>
      </c>
      <c r="AR123" s="18">
        <f>IFERROR(__xludf.DUMMYFUNCTION("IMPORTRANGE(""https://docs.google.com/spreadsheets/d/""&amp;$A123&amp;""/edit#gid=156619080"",AR$3)"),-30.000000000000004)</f>
        <v>-30</v>
      </c>
      <c r="AS123" s="19" t="str">
        <f>IFERROR(__xludf.DUMMYFUNCTION("IMPORTRANGE(""https://docs.google.com/spreadsheets/d/""&amp;$A123&amp;""/edit#gid=156619080"",AS$3)"),"100
90
-10
-60
")</f>
        <v>100
90
-10
-60
</v>
      </c>
      <c r="AT123" s="18">
        <f>IFERROR(__xludf.DUMMYFUNCTION("IMPORTRANGE(""https://docs.google.com/spreadsheets/d/""&amp;$A123&amp;""/edit#gid=156619080"",AT$3)"),48.07692307692307)</f>
        <v>48.07692308</v>
      </c>
      <c r="AU123" s="3" t="str">
        <f>IFERROR(__xludf.DUMMYFUNCTION("IMPORTRANGE(""https://docs.google.com/spreadsheets/d/""&amp;$A123&amp;""/edit#gid=156619080"",AU$3)"),"71.98
78.43
67.45
55.22
")</f>
        <v>71.98
78.43
67.45
55.22
</v>
      </c>
      <c r="AV123" s="18">
        <f>IFERROR(__xludf.DUMMYFUNCTION("IMPORTRANGE(""https://docs.google.com/spreadsheets/d/""&amp;$A123&amp;""/edit#gid=156619080"",AV$3)"),21.65584415584415)</f>
        <v>21.65584416</v>
      </c>
      <c r="AW123" s="19" t="str">
        <f>IFERROR(__xludf.DUMMYFUNCTION("IMPORTRANGE(""https://docs.google.com/spreadsheets/d/""&amp;$A123&amp;""/edit#gid=156619080"",AW$3)"),"-42.86
-28.96
-14.94
1.14
")</f>
        <v>-42.86
-28.96
-14.94
1.14
</v>
      </c>
      <c r="AX123" s="2">
        <f>IFERROR(__xludf.DUMMYFUNCTION("IMPORTRANGE(""https://docs.google.com/spreadsheets/d/""&amp;$A123&amp;""/edit#gid=156619080"",AX$3)"),53.849999999999994)</f>
        <v>53.85</v>
      </c>
      <c r="AY123" s="2">
        <f>IFERROR(__xludf.DUMMYFUNCTION("IMPORTRANGE(""https://docs.google.com/spreadsheets/d/""&amp;$A123&amp;""/edit#gid=156619080"",AY$3)"),34.910000000000004)</f>
        <v>34.91</v>
      </c>
      <c r="AZ123" s="2">
        <f>IFERROR(__xludf.DUMMYFUNCTION("IMPORTRANGE(""https://docs.google.com/spreadsheets/d/""&amp;$A123&amp;""/edit#gid=156619080"",AZ$3)"),1136.88)</f>
        <v>1136.88</v>
      </c>
      <c r="BA123" s="2">
        <f>IFERROR(__xludf.DUMMYFUNCTION("IMPORTRANGE(""https://docs.google.com/spreadsheets/d/""&amp;$A123&amp;""/edit#gid=156619080"",BA$3)"),-9.339999999999918)</f>
        <v>-9.34</v>
      </c>
      <c r="BB123" s="2">
        <f>IFERROR(__xludf.DUMMYFUNCTION("IMPORTRANGE(""https://docs.google.com/spreadsheets/d/""&amp;$A123&amp;""/edit#gid=156619080"",BB$3)"),-27.17)</f>
        <v>-27.17</v>
      </c>
      <c r="BC123" s="2" t="str">
        <f>IFERROR(__xludf.DUMMYFUNCTION("IMPORTRANGE(""https://docs.google.com/spreadsheets/d/""&amp;$A123&amp;""/edit#gid=156619080"",BC$3)"),"GC→GC")</f>
        <v>GC→GC</v>
      </c>
    </row>
    <row r="124" ht="51.0" customHeight="1">
      <c r="A124" s="7" t="str">
        <f t="shared" si="5"/>
        <v>1Y9_9iwe9GY8HilBexlxhsY2T8mUEBH-QUs7l0nV5pn4</v>
      </c>
      <c r="B124" s="1" t="s">
        <v>151</v>
      </c>
      <c r="C124" s="2">
        <f>IFERROR(__xludf.DUMMYFUNCTION("IMPORTRANGE(""https://docs.google.com/spreadsheets/d/""&amp;$A124&amp;""/edit#gid=156619080"",C$3)"),132.0)</f>
        <v>132</v>
      </c>
      <c r="D124" s="2">
        <f>IFERROR(__xludf.DUMMYFUNCTION("IMPORTRANGE(""https://docs.google.com/spreadsheets/d/""&amp;$A124&amp;""/edit#gid=156619080"",D$3)"),7203.0)</f>
        <v>7203</v>
      </c>
      <c r="E124" s="15">
        <f>IFERROR(__xludf.DUMMYFUNCTION("IMPORTRANGE(""https://docs.google.com/spreadsheets/d/""&amp;$A124&amp;""/edit#gid=156619080"",E$3)"),43882.0)</f>
        <v>43882</v>
      </c>
      <c r="F124" s="2">
        <f>IFERROR(__xludf.DUMMYFUNCTION("IMPORTRANGE(""https://docs.google.com/spreadsheets/d/""&amp;$A124&amp;""/edit#gid=156619080"",F$3)"),85.0)</f>
        <v>85</v>
      </c>
      <c r="G124" s="16">
        <f>IFERROR(__xludf.DUMMYFUNCTION("IMPORTRANGE(""https://docs.google.com/spreadsheets/d/""&amp;$A124&amp;""/edit#gid=156619080"",G$3)"),1.1)</f>
        <v>1.1</v>
      </c>
      <c r="H124" s="16">
        <f>IFERROR(__xludf.DUMMYFUNCTION("IMPORTRANGE(""https://docs.google.com/spreadsheets/d/""&amp;$A124&amp;""/edit#gid=156619080"",H$3)"),7785.0)</f>
        <v>7785</v>
      </c>
      <c r="I124" s="16">
        <f>IFERROR(__xludf.DUMMYFUNCTION("IMPORTRANGE(""https://docs.google.com/spreadsheets/d/""&amp;$A124&amp;""/edit#gid=156619080"",I$3)"),-33.0)</f>
        <v>-33</v>
      </c>
      <c r="J124" s="16">
        <f>IFERROR(__xludf.DUMMYFUNCTION("IMPORTRANGE(""https://docs.google.com/spreadsheets/d/""&amp;$A124&amp;""/edit#gid=156619080"",J$3)"),7877.0)</f>
        <v>7877</v>
      </c>
      <c r="K124" s="16">
        <f>IFERROR(__xludf.DUMMYFUNCTION("IMPORTRANGE(""https://docs.google.com/spreadsheets/d/""&amp;$A124&amp;""/edit#gid=156619080"",K$3)"),0.39652777777777776)</f>
        <v>0.3965277778</v>
      </c>
      <c r="L124" s="16">
        <f>IFERROR(__xludf.DUMMYFUNCTION("IMPORTRANGE(""https://docs.google.com/spreadsheets/d/""&amp;$A124&amp;""/edit#gid=156619080"",L$3)"),7775.0)</f>
        <v>7775</v>
      </c>
      <c r="M124" s="16">
        <f>IFERROR(__xludf.DUMMYFUNCTION("IMPORTRANGE(""https://docs.google.com/spreadsheets/d/""&amp;$A124&amp;""/edit#gid=156619080"",M$3)"),0.375)</f>
        <v>0.375</v>
      </c>
      <c r="N124" s="16">
        <f>IFERROR(__xludf.DUMMYFUNCTION("IMPORTRANGE(""https://docs.google.com/spreadsheets/d/""&amp;$A124&amp;""/edit#gid=156619080"",N$3)"),7837.0)</f>
        <v>7837</v>
      </c>
      <c r="O124" s="16" t="str">
        <f>IFERROR(__xludf.DUMMYFUNCTION("IMPORTRANGE(""https://docs.google.com/spreadsheets/d/""&amp;$A124&amp;""/edit#gid=156619080"",O$3)"),"5154900株")</f>
        <v>5154900株</v>
      </c>
      <c r="P124" s="16" t="str">
        <f>IFERROR(__xludf.DUMMYFUNCTION("IMPORTRANGE(""https://docs.google.com/spreadsheets/d/""&amp;$A124&amp;""/edit#gid=156619080"",P$3)"),"40374百万円")</f>
        <v>40374百万円</v>
      </c>
      <c r="Q124" s="16" t="str">
        <f>IFERROR(__xludf.DUMMYFUNCTION("IMPORTRANGE(""https://docs.google.com/spreadsheets/d/""&amp;$A124&amp;""/edit#gid=156619080"",Q$3)"),"8408回")</f>
        <v>8408回</v>
      </c>
      <c r="R124" s="16" t="str">
        <f>IFERROR(__xludf.DUMMYFUNCTION("IMPORTRANGE(""https://docs.google.com/spreadsheets/d/""&amp;$A124&amp;""/edit#gid=156619080"",R$3)"),"255721億円")</f>
        <v>255721億円</v>
      </c>
      <c r="S124" s="16" t="str">
        <f>IFERROR(__xludf.DUMMYFUNCTION("IMPORTRANGE(""https://docs.google.com/spreadsheets/d/""&amp;$A124&amp;""/edit#gid=156619080"",S$3)"),"陽線")</f>
        <v>陽線</v>
      </c>
      <c r="T124" s="16" t="str">
        <f>IFERROR(__xludf.DUMMYFUNCTION("IMPORTRANGE(""https://docs.google.com/spreadsheets/d/""&amp;$A124&amp;""/edit#gid=156619080"",T$3)"),"")</f>
        <v/>
      </c>
      <c r="U124" s="16">
        <f>IFERROR(__xludf.DUMMYFUNCTION("IMPORTRANGE(""https://docs.google.com/spreadsheets/d/""&amp;$A124&amp;""/edit#gid=156619080"",U$3)"),7690.2)</f>
        <v>7690.2</v>
      </c>
      <c r="V124" s="16">
        <f>IFERROR(__xludf.DUMMYFUNCTION("IMPORTRANGE(""https://docs.google.com/spreadsheets/d/""&amp;$A124&amp;""/edit#gid=156619080"",V$3)"),7739.2)</f>
        <v>7739.2</v>
      </c>
      <c r="W124" s="16">
        <f>IFERROR(__xludf.DUMMYFUNCTION("IMPORTRANGE(""https://docs.google.com/spreadsheets/d/""&amp;$A124&amp;""/edit#gid=156619080"",W$3)"),7735.7)</f>
        <v>7735.7</v>
      </c>
      <c r="X124" s="2">
        <f>IFERROR(__xludf.DUMMYFUNCTION("IMPORTRANGE(""https://docs.google.com/spreadsheets/d/""&amp;$A124&amp;""/edit#gid=156619080"",X$3)"),7540.8)</f>
        <v>7540.8</v>
      </c>
      <c r="Y124" s="17">
        <f>IFERROR(__xludf.DUMMYFUNCTION("IMPORTRANGE(""https://docs.google.com/spreadsheets/d/""&amp;$A124&amp;""/edit#gid=156619080"",Y$3)"),0.01908923044914309)</f>
        <v>0.01908923045</v>
      </c>
      <c r="Z124" s="2">
        <f>IFERROR(__xludf.DUMMYFUNCTION("IMPORTRANGE(""https://docs.google.com/spreadsheets/d/""&amp;$A124&amp;""/edit#gid=156619080"",Z$3)"),7931.37)</f>
        <v>7931.37</v>
      </c>
      <c r="AA124" s="2">
        <f>IFERROR(__xludf.DUMMYFUNCTION("IMPORTRANGE(""https://docs.google.com/spreadsheets/d/""&amp;$A124&amp;""/edit#gid=156619080"",AA$3)"),7906.91)</f>
        <v>7906.91</v>
      </c>
      <c r="AB124" s="2">
        <f>IFERROR(__xludf.DUMMYFUNCTION("IMPORTRANGE(""https://docs.google.com/spreadsheets/d/""&amp;$A124&amp;""/edit#gid=156619080"",AB$3)"),7882.45)</f>
        <v>7882.45</v>
      </c>
      <c r="AC124" s="18">
        <f>IFERROR(__xludf.DUMMYFUNCTION("IMPORTRANGE(""https://docs.google.com/spreadsheets/d/""&amp;$A124&amp;""/edit#gid=156619080"",AC$3)"),7857.99)</f>
        <v>7857.99</v>
      </c>
      <c r="AD124" s="18">
        <f>IFERROR(__xludf.DUMMYFUNCTION("IMPORTRANGE(""https://docs.google.com/spreadsheets/d/""&amp;$A124&amp;""/edit#gid=156619080"",AD$3)"),7833.54)</f>
        <v>7833.54</v>
      </c>
      <c r="AE124" s="18">
        <f>IFERROR(__xludf.DUMMYFUNCTION("IMPORTRANGE(""https://docs.google.com/spreadsheets/d/""&amp;$A124&amp;""/edit#gid=156619080"",AE$3)"),7735.7)</f>
        <v>7735.7</v>
      </c>
      <c r="AF124" s="2">
        <f>IFERROR(__xludf.DUMMYFUNCTION("IMPORTRANGE(""https://docs.google.com/spreadsheets/d/""&amp;$A124&amp;""/edit#gid=156619080"",AF$3)"),7637.86)</f>
        <v>7637.86</v>
      </c>
      <c r="AG124" s="2">
        <f>IFERROR(__xludf.DUMMYFUNCTION("IMPORTRANGE(""https://docs.google.com/spreadsheets/d/""&amp;$A124&amp;""/edit#gid=156619080"",AG$3)"),7613.41)</f>
        <v>7613.41</v>
      </c>
      <c r="AH124" s="2">
        <f>IFERROR(__xludf.DUMMYFUNCTION("IMPORTRANGE(""https://docs.google.com/spreadsheets/d/""&amp;$A124&amp;""/edit#gid=156619080"",AH$3)"),7588.95)</f>
        <v>7588.95</v>
      </c>
      <c r="AI124" s="2">
        <f>IFERROR(__xludf.DUMMYFUNCTION("IMPORTRANGE(""https://docs.google.com/spreadsheets/d/""&amp;$A124&amp;""/edit#gid=156619080"",AI$3)"),7564.49)</f>
        <v>7564.49</v>
      </c>
      <c r="AJ124" s="2">
        <f>IFERROR(__xludf.DUMMYFUNCTION("IMPORTRANGE(""https://docs.google.com/spreadsheets/d/""&amp;$A124&amp;""/edit#gid=156619080"",AJ$3)"),7540.03)</f>
        <v>7540.03</v>
      </c>
      <c r="AK124" s="2" t="str">
        <f>IFERROR(__xludf.DUMMYFUNCTION("IMPORTRANGE(""https://docs.google.com/spreadsheets/d/""&amp;$A124&amp;""/edit#gid=156619080"",AK$3)"),"1〜1.25σ")</f>
        <v>1〜1.25σ</v>
      </c>
      <c r="AL124" s="2">
        <f>IFERROR(__xludf.DUMMYFUNCTION("IMPORTRANGE(""https://docs.google.com/spreadsheets/d/""&amp;$A124&amp;""/edit#gid=156619080"",AL$3)"),-1.0)</f>
        <v>-1</v>
      </c>
      <c r="AM124" s="2" t="str">
        <f>IFERROR(__xludf.DUMMYFUNCTION("IMPORTRANGE(""https://docs.google.com/spreadsheets/d/""&amp;$A124&amp;""/edit#gid=156619080"",AM$3)"),"")</f>
        <v/>
      </c>
      <c r="AN124" s="2">
        <f>IFERROR(__xludf.DUMMYFUNCTION("IMPORTRANGE(""https://docs.google.com/spreadsheets/d/""&amp;$A124&amp;""/edit#gid=156619080"",AN$3)"),-1.0)</f>
        <v>-1</v>
      </c>
      <c r="AO124" s="2" t="str">
        <f>IFERROR(__xludf.DUMMYFUNCTION("IMPORTRANGE(""https://docs.google.com/spreadsheets/d/""&amp;$A124&amp;""/edit#gid=156619080"",AO$3)"),"")</f>
        <v/>
      </c>
      <c r="AP124" s="2">
        <f>IFERROR(__xludf.DUMMYFUNCTION("IMPORTRANGE(""https://docs.google.com/spreadsheets/d/""&amp;$A124&amp;""/edit#gid=156619080"",AP$3)"),1.0)</f>
        <v>1</v>
      </c>
      <c r="AQ124" s="2" t="str">
        <f>IFERROR(__xludf.DUMMYFUNCTION("IMPORTRANGE(""https://docs.google.com/spreadsheets/d/""&amp;$A124&amp;""/edit#gid=156619080"",AQ$3)"),"ws3")</f>
        <v>ws3</v>
      </c>
      <c r="AR124" s="18">
        <f>IFERROR(__xludf.DUMMYFUNCTION("IMPORTRANGE(""https://docs.google.com/spreadsheets/d/""&amp;$A124&amp;""/edit#gid=156619080"",AR$3)"),60.0)</f>
        <v>60</v>
      </c>
      <c r="AS124" s="19" t="str">
        <f>IFERROR(__xludf.DUMMYFUNCTION("IMPORTRANGE(""https://docs.google.com/spreadsheets/d/""&amp;$A124&amp;""/edit#gid=156619080"",AS$3)"),"-70
-100
-100
0
")</f>
        <v>-70
-100
-100
0
</v>
      </c>
      <c r="AT124" s="18">
        <f>IFERROR(__xludf.DUMMYFUNCTION("IMPORTRANGE(""https://docs.google.com/spreadsheets/d/""&amp;$A124&amp;""/edit#gid=156619080"",AT$3)"),-9.8901098901099)</f>
        <v>-9.89010989</v>
      </c>
      <c r="AU124" s="3" t="str">
        <f>IFERROR(__xludf.DUMMYFUNCTION("IMPORTRANGE(""https://docs.google.com/spreadsheets/d/""&amp;$A124&amp;""/edit#gid=156619080"",AU$3)"),"37.36
30.77
-4.4
-5.49
")</f>
        <v>37.36
30.77
-4.4
-5.49
</v>
      </c>
      <c r="AV124" s="18">
        <f>IFERROR(__xludf.DUMMYFUNCTION("IMPORTRANGE(""https://docs.google.com/spreadsheets/d/""&amp;$A124&amp;""/edit#gid=156619080"",AV$3)"),-15.227272727272734)</f>
        <v>-15.22727273</v>
      </c>
      <c r="AW124" s="19" t="str">
        <f>IFERROR(__xludf.DUMMYFUNCTION("IMPORTRANGE(""https://docs.google.com/spreadsheets/d/""&amp;$A124&amp;""/edit#gid=156619080"",AW$3)"),"-16.36
-36.88
-43.77
-34.19
")</f>
        <v>-16.36
-36.88
-43.77
-34.19
</v>
      </c>
      <c r="AX124" s="2">
        <f>IFERROR(__xludf.DUMMYFUNCTION("IMPORTRANGE(""https://docs.google.com/spreadsheets/d/""&amp;$A124&amp;""/edit#gid=156619080"",AX$3)"),61.25000000000001)</f>
        <v>61.25</v>
      </c>
      <c r="AY124" s="2">
        <f>IFERROR(__xludf.DUMMYFUNCTION("IMPORTRANGE(""https://docs.google.com/spreadsheets/d/""&amp;$A124&amp;""/edit#gid=156619080"",AY$3)"),50.46000000000001)</f>
        <v>50.46</v>
      </c>
      <c r="AZ124" s="2">
        <f>IFERROR(__xludf.DUMMYFUNCTION("IMPORTRANGE(""https://docs.google.com/spreadsheets/d/""&amp;$A124&amp;""/edit#gid=156619080"",AZ$3)"),7732.91)</f>
        <v>7732.91</v>
      </c>
      <c r="BA124" s="2">
        <f>IFERROR(__xludf.DUMMYFUNCTION("IMPORTRANGE(""https://docs.google.com/spreadsheets/d/""&amp;$A124&amp;""/edit#gid=156619080"",BA$3)"),4.479999999999563)</f>
        <v>4.48</v>
      </c>
      <c r="BB124" s="2">
        <f>IFERROR(__xludf.DUMMYFUNCTION("IMPORTRANGE(""https://docs.google.com/spreadsheets/d/""&amp;$A124&amp;""/edit#gid=156619080"",BB$3)"),-8.1)</f>
        <v>-8.1</v>
      </c>
      <c r="BC124" s="2" t="str">
        <f>IFERROR(__xludf.DUMMYFUNCTION("IMPORTRANGE(""https://docs.google.com/spreadsheets/d/""&amp;$A124&amp;""/edit#gid=156619080"",BC$3)"),"DC→GC")</f>
        <v>DC→GC</v>
      </c>
    </row>
    <row r="125" ht="51.0" customHeight="1">
      <c r="A125" s="7" t="str">
        <f t="shared" si="5"/>
        <v>1E7xUXTMdfi1Y0LLfGECFPXkaVexqfTXO59WdxFU3Vgc</v>
      </c>
      <c r="B125" s="1" t="s">
        <v>152</v>
      </c>
      <c r="C125" s="2">
        <f>IFERROR(__xludf.DUMMYFUNCTION("IMPORTRANGE(""https://docs.google.com/spreadsheets/d/""&amp;$A125&amp;""/edit#gid=156619080"",C$3)"),132.0)</f>
        <v>132</v>
      </c>
      <c r="D125" s="2">
        <f>IFERROR(__xludf.DUMMYFUNCTION("IMPORTRANGE(""https://docs.google.com/spreadsheets/d/""&amp;$A125&amp;""/edit#gid=156619080"",D$3)"),7205.0)</f>
        <v>7205</v>
      </c>
      <c r="E125" s="15">
        <f>IFERROR(__xludf.DUMMYFUNCTION("IMPORTRANGE(""https://docs.google.com/spreadsheets/d/""&amp;$A125&amp;""/edit#gid=156619080"",E$3)"),43882.0)</f>
        <v>43882</v>
      </c>
      <c r="F125" s="2">
        <f>IFERROR(__xludf.DUMMYFUNCTION("IMPORTRANGE(""https://docs.google.com/spreadsheets/d/""&amp;$A125&amp;""/edit#gid=156619080"",F$3)"),-2.0)</f>
        <v>-2</v>
      </c>
      <c r="G125" s="16">
        <f>IFERROR(__xludf.DUMMYFUNCTION("IMPORTRANGE(""https://docs.google.com/spreadsheets/d/""&amp;$A125&amp;""/edit#gid=156619080"",G$3)"),-0.2)</f>
        <v>-0.2</v>
      </c>
      <c r="H125" s="16">
        <f>IFERROR(__xludf.DUMMYFUNCTION("IMPORTRANGE(""https://docs.google.com/spreadsheets/d/""&amp;$A125&amp;""/edit#gid=156619080"",H$3)"),1011.0)</f>
        <v>1011</v>
      </c>
      <c r="I125" s="16">
        <f>IFERROR(__xludf.DUMMYFUNCTION("IMPORTRANGE(""https://docs.google.com/spreadsheets/d/""&amp;$A125&amp;""/edit#gid=156619080"",I$3)"),-1.0)</f>
        <v>-1</v>
      </c>
      <c r="J125" s="16">
        <f>IFERROR(__xludf.DUMMYFUNCTION("IMPORTRANGE(""https://docs.google.com/spreadsheets/d/""&amp;$A125&amp;""/edit#gid=156619080"",J$3)"),1022.0)</f>
        <v>1022</v>
      </c>
      <c r="K125" s="16">
        <f>IFERROR(__xludf.DUMMYFUNCTION("IMPORTRANGE(""https://docs.google.com/spreadsheets/d/""&amp;$A125&amp;""/edit#gid=156619080"",K$3)"),0.4263888888888889)</f>
        <v>0.4263888889</v>
      </c>
      <c r="L125" s="16">
        <f>IFERROR(__xludf.DUMMYFUNCTION("IMPORTRANGE(""https://docs.google.com/spreadsheets/d/""&amp;$A125&amp;""/edit#gid=156619080"",L$3)"),1007.0)</f>
        <v>1007</v>
      </c>
      <c r="M125" s="16">
        <f>IFERROR(__xludf.DUMMYFUNCTION("IMPORTRANGE(""https://docs.google.com/spreadsheets/d/""&amp;$A125&amp;""/edit#gid=156619080"",M$3)"),0.6236111111111111)</f>
        <v>0.6236111111</v>
      </c>
      <c r="N125" s="16">
        <f>IFERROR(__xludf.DUMMYFUNCTION("IMPORTRANGE(""https://docs.google.com/spreadsheets/d/""&amp;$A125&amp;""/edit#gid=156619080"",N$3)"),1008.0)</f>
        <v>1008</v>
      </c>
      <c r="O125" s="16" t="str">
        <f>IFERROR(__xludf.DUMMYFUNCTION("IMPORTRANGE(""https://docs.google.com/spreadsheets/d/""&amp;$A125&amp;""/edit#gid=156619080"",O$3)"),"933800株")</f>
        <v>933800株</v>
      </c>
      <c r="P125" s="16" t="str">
        <f>IFERROR(__xludf.DUMMYFUNCTION("IMPORTRANGE(""https://docs.google.com/spreadsheets/d/""&amp;$A125&amp;""/edit#gid=156619080"",P$3)"),"946百万円")</f>
        <v>946百万円</v>
      </c>
      <c r="Q125" s="16" t="str">
        <f>IFERROR(__xludf.DUMMYFUNCTION("IMPORTRANGE(""https://docs.google.com/spreadsheets/d/""&amp;$A125&amp;""/edit#gid=156619080"",Q$3)"),"1292回")</f>
        <v>1292回</v>
      </c>
      <c r="R125" s="16" t="str">
        <f>IFERROR(__xludf.DUMMYFUNCTION("IMPORTRANGE(""https://docs.google.com/spreadsheets/d/""&amp;$A125&amp;""/edit#gid=156619080"",R$3)"),"5792億円")</f>
        <v>5792億円</v>
      </c>
      <c r="S125" s="16" t="str">
        <f>IFERROR(__xludf.DUMMYFUNCTION("IMPORTRANGE(""https://docs.google.com/spreadsheets/d/""&amp;$A125&amp;""/edit#gid=156619080"",S$3)"),"陰線")</f>
        <v>陰線</v>
      </c>
      <c r="T125" s="16" t="str">
        <f>IFERROR(__xludf.DUMMYFUNCTION("IMPORTRANGE(""https://docs.google.com/spreadsheets/d/""&amp;$A125&amp;""/edit#gid=156619080"",T$3)"),"")</f>
        <v/>
      </c>
      <c r="U125" s="16">
        <f>IFERROR(__xludf.DUMMYFUNCTION("IMPORTRANGE(""https://docs.google.com/spreadsheets/d/""&amp;$A125&amp;""/edit#gid=156619080"",U$3)"),1009.2)</f>
        <v>1009.2</v>
      </c>
      <c r="V125" s="16">
        <f>IFERROR(__xludf.DUMMYFUNCTION("IMPORTRANGE(""https://docs.google.com/spreadsheets/d/""&amp;$A125&amp;""/edit#gid=156619080"",V$3)"),1025.0)</f>
        <v>1025</v>
      </c>
      <c r="W125" s="16">
        <f>IFERROR(__xludf.DUMMYFUNCTION("IMPORTRANGE(""https://docs.google.com/spreadsheets/d/""&amp;$A125&amp;""/edit#gid=156619080"",W$3)"),1039.0)</f>
        <v>1039</v>
      </c>
      <c r="X125" s="2">
        <f>IFERROR(__xludf.DUMMYFUNCTION("IMPORTRANGE(""https://docs.google.com/spreadsheets/d/""&amp;$A125&amp;""/edit#gid=156619080"",X$3)"),1034.2)</f>
        <v>1034.2</v>
      </c>
      <c r="Y125" s="17">
        <f>IFERROR(__xludf.DUMMYFUNCTION("IMPORTRANGE(""https://docs.google.com/spreadsheets/d/""&amp;$A125&amp;""/edit#gid=156619080"",Y$3)"),-0.0011890606420927917)</f>
        <v>-0.001189060642</v>
      </c>
      <c r="Z125" s="2">
        <f>IFERROR(__xludf.DUMMYFUNCTION("IMPORTRANGE(""https://docs.google.com/spreadsheets/d/""&amp;$A125&amp;""/edit#gid=156619080"",Z$3)"),1103.54)</f>
        <v>1103.54</v>
      </c>
      <c r="AA125" s="2">
        <f>IFERROR(__xludf.DUMMYFUNCTION("IMPORTRANGE(""https://docs.google.com/spreadsheets/d/""&amp;$A125&amp;""/edit#gid=156619080"",AA$3)"),1095.47)</f>
        <v>1095.47</v>
      </c>
      <c r="AB125" s="2">
        <f>IFERROR(__xludf.DUMMYFUNCTION("IMPORTRANGE(""https://docs.google.com/spreadsheets/d/""&amp;$A125&amp;""/edit#gid=156619080"",AB$3)"),1087.4)</f>
        <v>1087.4</v>
      </c>
      <c r="AC125" s="18">
        <f>IFERROR(__xludf.DUMMYFUNCTION("IMPORTRANGE(""https://docs.google.com/spreadsheets/d/""&amp;$A125&amp;""/edit#gid=156619080"",AC$3)"),1079.34)</f>
        <v>1079.34</v>
      </c>
      <c r="AD125" s="18">
        <f>IFERROR(__xludf.DUMMYFUNCTION("IMPORTRANGE(""https://docs.google.com/spreadsheets/d/""&amp;$A125&amp;""/edit#gid=156619080"",AD$3)"),1071.27)</f>
        <v>1071.27</v>
      </c>
      <c r="AE125" s="18">
        <f>IFERROR(__xludf.DUMMYFUNCTION("IMPORTRANGE(""https://docs.google.com/spreadsheets/d/""&amp;$A125&amp;""/edit#gid=156619080"",AE$3)"),1039.0)</f>
        <v>1039</v>
      </c>
      <c r="AF125" s="2">
        <f>IFERROR(__xludf.DUMMYFUNCTION("IMPORTRANGE(""https://docs.google.com/spreadsheets/d/""&amp;$A125&amp;""/edit#gid=156619080"",AF$3)"),1006.73)</f>
        <v>1006.73</v>
      </c>
      <c r="AG125" s="2">
        <f>IFERROR(__xludf.DUMMYFUNCTION("IMPORTRANGE(""https://docs.google.com/spreadsheets/d/""&amp;$A125&amp;""/edit#gid=156619080"",AG$3)"),998.66)</f>
        <v>998.66</v>
      </c>
      <c r="AH125" s="2">
        <f>IFERROR(__xludf.DUMMYFUNCTION("IMPORTRANGE(""https://docs.google.com/spreadsheets/d/""&amp;$A125&amp;""/edit#gid=156619080"",AH$3)"),990.6)</f>
        <v>990.6</v>
      </c>
      <c r="AI125" s="2">
        <f>IFERROR(__xludf.DUMMYFUNCTION("IMPORTRANGE(""https://docs.google.com/spreadsheets/d/""&amp;$A125&amp;""/edit#gid=156619080"",AI$3)"),982.53)</f>
        <v>982.53</v>
      </c>
      <c r="AJ125" s="2">
        <f>IFERROR(__xludf.DUMMYFUNCTION("IMPORTRANGE(""https://docs.google.com/spreadsheets/d/""&amp;$A125&amp;""/edit#gid=156619080"",AJ$3)"),974.46)</f>
        <v>974.46</v>
      </c>
      <c r="AK125" s="2" t="str">
        <f>IFERROR(__xludf.DUMMYFUNCTION("IMPORTRANGE(""https://docs.google.com/spreadsheets/d/""&amp;$A125&amp;""/edit#gid=156619080"",AK$3)"),"")</f>
        <v/>
      </c>
      <c r="AL125" s="2">
        <f>IFERROR(__xludf.DUMMYFUNCTION("IMPORTRANGE(""https://docs.google.com/spreadsheets/d/""&amp;$A125&amp;""/edit#gid=156619080"",AL$3)"),-1.0)</f>
        <v>-1</v>
      </c>
      <c r="AM125" s="2" t="str">
        <f>IFERROR(__xludf.DUMMYFUNCTION("IMPORTRANGE(""https://docs.google.com/spreadsheets/d/""&amp;$A125&amp;""/edit#gid=156619080"",AM$3)"),"")</f>
        <v/>
      </c>
      <c r="AN125" s="2">
        <f>IFERROR(__xludf.DUMMYFUNCTION("IMPORTRANGE(""https://docs.google.com/spreadsheets/d/""&amp;$A125&amp;""/edit#gid=156619080"",AN$3)"),-1.0)</f>
        <v>-1</v>
      </c>
      <c r="AO125" s="2" t="str">
        <f>IFERROR(__xludf.DUMMYFUNCTION("IMPORTRANGE(""https://docs.google.com/spreadsheets/d/""&amp;$A125&amp;""/edit#gid=156619080"",AO$3)"),"")</f>
        <v/>
      </c>
      <c r="AP125" s="2">
        <f>IFERROR(__xludf.DUMMYFUNCTION("IMPORTRANGE(""https://docs.google.com/spreadsheets/d/""&amp;$A125&amp;""/edit#gid=156619080"",AP$3)"),-1.0)</f>
        <v>-1</v>
      </c>
      <c r="AQ125" s="2" t="str">
        <f>IFERROR(__xludf.DUMMYFUNCTION("IMPORTRANGE(""https://docs.google.com/spreadsheets/d/""&amp;$A125&amp;""/edit#gid=156619080"",AQ$3)"),"")</f>
        <v/>
      </c>
      <c r="AR125" s="18">
        <f>IFERROR(__xludf.DUMMYFUNCTION("IMPORTRANGE(""https://docs.google.com/spreadsheets/d/""&amp;$A125&amp;""/edit#gid=156619080"",AR$3)"),-32.49999999999999)</f>
        <v>-32.5</v>
      </c>
      <c r="AS125" s="19" t="str">
        <f>IFERROR(__xludf.DUMMYFUNCTION("IMPORTRANGE(""https://docs.google.com/spreadsheets/d/""&amp;$A125&amp;""/edit#gid=156619080"",AS$3)"),"-90
-100
-100
-70
")</f>
        <v>-90
-100
-100
-70
</v>
      </c>
      <c r="AT125" s="18">
        <f>IFERROR(__xludf.DUMMYFUNCTION("IMPORTRANGE(""https://docs.google.com/spreadsheets/d/""&amp;$A125&amp;""/edit#gid=156619080"",AT$3)"),-60.02747252747254)</f>
        <v>-60.02747253</v>
      </c>
      <c r="AU125" s="3" t="str">
        <f>IFERROR(__xludf.DUMMYFUNCTION("IMPORTRANGE(""https://docs.google.com/spreadsheets/d/""&amp;$A125&amp;""/edit#gid=156619080"",AU$3)"),"2.75
9.34
-33.52
-43.96
")</f>
        <v>2.75
9.34
-33.52
-43.96
</v>
      </c>
      <c r="AV125" s="18">
        <f>IFERROR(__xludf.DUMMYFUNCTION("IMPORTRANGE(""https://docs.google.com/spreadsheets/d/""&amp;$A125&amp;""/edit#gid=156619080"",AV$3)"),-69.512987012987)</f>
        <v>-69.51298701</v>
      </c>
      <c r="AW125" s="19" t="str">
        <f>IFERROR(__xludf.DUMMYFUNCTION("IMPORTRANGE(""https://docs.google.com/spreadsheets/d/""&amp;$A125&amp;""/edit#gid=156619080"",AW$3)"),"-73.38
-72.99
-73.77
-71.95
")</f>
        <v>-73.38
-72.99
-73.77
-71.95
</v>
      </c>
      <c r="AX125" s="2">
        <f>IFERROR(__xludf.DUMMYFUNCTION("IMPORTRANGE(""https://docs.google.com/spreadsheets/d/""&amp;$A125&amp;""/edit#gid=156619080"",AX$3)"),21.05)</f>
        <v>21.05</v>
      </c>
      <c r="AY125" s="2">
        <f>IFERROR(__xludf.DUMMYFUNCTION("IMPORTRANGE(""https://docs.google.com/spreadsheets/d/""&amp;$A125&amp;""/edit#gid=156619080"",AY$3)"),27.62)</f>
        <v>27.62</v>
      </c>
      <c r="AZ125" s="2">
        <f>IFERROR(__xludf.DUMMYFUNCTION("IMPORTRANGE(""https://docs.google.com/spreadsheets/d/""&amp;$A125&amp;""/edit#gid=156619080"",AZ$3)"),1011.79)</f>
        <v>1011.79</v>
      </c>
      <c r="BA125" s="2">
        <f>IFERROR(__xludf.DUMMYFUNCTION("IMPORTRANGE(""https://docs.google.com/spreadsheets/d/""&amp;$A125&amp;""/edit#gid=156619080"",BA$3)"),-30.200000000000045)</f>
        <v>-30.2</v>
      </c>
      <c r="BB125" s="2">
        <f>IFERROR(__xludf.DUMMYFUNCTION("IMPORTRANGE(""https://docs.google.com/spreadsheets/d/""&amp;$A125&amp;""/edit#gid=156619080"",BB$3)"),-31.25)</f>
        <v>-31.25</v>
      </c>
      <c r="BC125" s="2" t="str">
        <f>IFERROR(__xludf.DUMMYFUNCTION("IMPORTRANGE(""https://docs.google.com/spreadsheets/d/""&amp;$A125&amp;""/edit#gid=156619080"",BC$3)"),"DC→GC")</f>
        <v>DC→GC</v>
      </c>
    </row>
    <row r="126" ht="51.0" customHeight="1">
      <c r="A126" s="7" t="str">
        <f t="shared" si="5"/>
        <v>12qOfVmi0Rn6ugXTEkEfODnHIbMmU-YSO1MH_VxokL48</v>
      </c>
      <c r="B126" s="1" t="s">
        <v>153</v>
      </c>
      <c r="C126" s="2">
        <f>IFERROR(__xludf.DUMMYFUNCTION("IMPORTRANGE(""https://docs.google.com/spreadsheets/d/""&amp;$A126&amp;""/edit#gid=156619080"",C$3)"),132.0)</f>
        <v>132</v>
      </c>
      <c r="D126" s="2">
        <f>IFERROR(__xludf.DUMMYFUNCTION("IMPORTRANGE(""https://docs.google.com/spreadsheets/d/""&amp;$A126&amp;""/edit#gid=156619080"",D$3)"),7211.0)</f>
        <v>7211</v>
      </c>
      <c r="E126" s="15">
        <f>IFERROR(__xludf.DUMMYFUNCTION("IMPORTRANGE(""https://docs.google.com/spreadsheets/d/""&amp;$A126&amp;""/edit#gid=156619080"",E$3)"),43882.0)</f>
        <v>43882</v>
      </c>
      <c r="F126" s="2">
        <f>IFERROR(__xludf.DUMMYFUNCTION("IMPORTRANGE(""https://docs.google.com/spreadsheets/d/""&amp;$A126&amp;""/edit#gid=156619080"",F$3)"),-1.0)</f>
        <v>-1</v>
      </c>
      <c r="G126" s="16">
        <f>IFERROR(__xludf.DUMMYFUNCTION("IMPORTRANGE(""https://docs.google.com/spreadsheets/d/""&amp;$A126&amp;""/edit#gid=156619080"",G$3)"),-0.25)</f>
        <v>-0.25</v>
      </c>
      <c r="H126" s="16">
        <f>IFERROR(__xludf.DUMMYFUNCTION("IMPORTRANGE(""https://docs.google.com/spreadsheets/d/""&amp;$A126&amp;""/edit#gid=156619080"",H$3)"),406.0)</f>
        <v>406</v>
      </c>
      <c r="I126" s="16">
        <f>IFERROR(__xludf.DUMMYFUNCTION("IMPORTRANGE(""https://docs.google.com/spreadsheets/d/""&amp;$A126&amp;""/edit#gid=156619080"",I$3)"),-1.0)</f>
        <v>-1</v>
      </c>
      <c r="J126" s="16">
        <f>IFERROR(__xludf.DUMMYFUNCTION("IMPORTRANGE(""https://docs.google.com/spreadsheets/d/""&amp;$A126&amp;""/edit#gid=156619080"",J$3)"),414.0)</f>
        <v>414</v>
      </c>
      <c r="K126" s="16">
        <f>IFERROR(__xludf.DUMMYFUNCTION("IMPORTRANGE(""https://docs.google.com/spreadsheets/d/""&amp;$A126&amp;""/edit#gid=156619080"",K$3)"),0.44583333333333336)</f>
        <v>0.4458333333</v>
      </c>
      <c r="L126" s="16">
        <f>IFERROR(__xludf.DUMMYFUNCTION("IMPORTRANGE(""https://docs.google.com/spreadsheets/d/""&amp;$A126&amp;""/edit#gid=156619080"",L$3)"),404.0)</f>
        <v>404</v>
      </c>
      <c r="M126" s="16">
        <f>IFERROR(__xludf.DUMMYFUNCTION("IMPORTRANGE(""https://docs.google.com/spreadsheets/d/""&amp;$A126&amp;""/edit#gid=156619080"",M$3)"),0.6180555555555556)</f>
        <v>0.6180555556</v>
      </c>
      <c r="N126" s="16">
        <f>IFERROR(__xludf.DUMMYFUNCTION("IMPORTRANGE(""https://docs.google.com/spreadsheets/d/""&amp;$A126&amp;""/edit#gid=156619080"",N$3)"),404.0)</f>
        <v>404</v>
      </c>
      <c r="O126" s="16" t="str">
        <f>IFERROR(__xludf.DUMMYFUNCTION("IMPORTRANGE(""https://docs.google.com/spreadsheets/d/""&amp;$A126&amp;""/edit#gid=156619080"",O$3)"),"5698500株")</f>
        <v>5698500株</v>
      </c>
      <c r="P126" s="16" t="str">
        <f>IFERROR(__xludf.DUMMYFUNCTION("IMPORTRANGE(""https://docs.google.com/spreadsheets/d/""&amp;$A126&amp;""/edit#gid=156619080"",P$3)"),"2323百万円")</f>
        <v>2323百万円</v>
      </c>
      <c r="Q126" s="16" t="str">
        <f>IFERROR(__xludf.DUMMYFUNCTION("IMPORTRANGE(""https://docs.google.com/spreadsheets/d/""&amp;$A126&amp;""/edit#gid=156619080"",Q$3)"),"1574回")</f>
        <v>1574回</v>
      </c>
      <c r="R126" s="16" t="str">
        <f>IFERROR(__xludf.DUMMYFUNCTION("IMPORTRANGE(""https://docs.google.com/spreadsheets/d/""&amp;$A126&amp;""/edit#gid=156619080"",R$3)"),"6021億円")</f>
        <v>6021億円</v>
      </c>
      <c r="S126" s="16" t="str">
        <f>IFERROR(__xludf.DUMMYFUNCTION("IMPORTRANGE(""https://docs.google.com/spreadsheets/d/""&amp;$A126&amp;""/edit#gid=156619080"",S$3)"),"陰線")</f>
        <v>陰線</v>
      </c>
      <c r="T126" s="16" t="str">
        <f>IFERROR(__xludf.DUMMYFUNCTION("IMPORTRANGE(""https://docs.google.com/spreadsheets/d/""&amp;$A126&amp;""/edit#gid=156619080"",T$3)"),"")</f>
        <v/>
      </c>
      <c r="U126" s="16">
        <f>IFERROR(__xludf.DUMMYFUNCTION("IMPORTRANGE(""https://docs.google.com/spreadsheets/d/""&amp;$A126&amp;""/edit#gid=156619080"",U$3)"),406.4)</f>
        <v>406.4</v>
      </c>
      <c r="V126" s="16">
        <f>IFERROR(__xludf.DUMMYFUNCTION("IMPORTRANGE(""https://docs.google.com/spreadsheets/d/""&amp;$A126&amp;""/edit#gid=156619080"",V$3)"),412.9)</f>
        <v>412.9</v>
      </c>
      <c r="W126" s="16">
        <f>IFERROR(__xludf.DUMMYFUNCTION("IMPORTRANGE(""https://docs.google.com/spreadsheets/d/""&amp;$A126&amp;""/edit#gid=156619080"",W$3)"),413.8)</f>
        <v>413.8</v>
      </c>
      <c r="X126" s="2">
        <f>IFERROR(__xludf.DUMMYFUNCTION("IMPORTRANGE(""https://docs.google.com/spreadsheets/d/""&amp;$A126&amp;""/edit#gid=156619080"",X$3)"),463.2)</f>
        <v>463.2</v>
      </c>
      <c r="Y126" s="17">
        <f>IFERROR(__xludf.DUMMYFUNCTION("IMPORTRANGE(""https://docs.google.com/spreadsheets/d/""&amp;$A126&amp;""/edit#gid=156619080"",Y$3)"),-0.0059055118110235665)</f>
        <v>-0.005905511811</v>
      </c>
      <c r="Z126" s="2">
        <f>IFERROR(__xludf.DUMMYFUNCTION("IMPORTRANGE(""https://docs.google.com/spreadsheets/d/""&amp;$A126&amp;""/edit#gid=156619080"",Z$3)"),429.41)</f>
        <v>429.41</v>
      </c>
      <c r="AA126" s="2">
        <f>IFERROR(__xludf.DUMMYFUNCTION("IMPORTRANGE(""https://docs.google.com/spreadsheets/d/""&amp;$A126&amp;""/edit#gid=156619080"",AA$3)"),427.46)</f>
        <v>427.46</v>
      </c>
      <c r="AB126" s="2">
        <f>IFERROR(__xludf.DUMMYFUNCTION("IMPORTRANGE(""https://docs.google.com/spreadsheets/d/""&amp;$A126&amp;""/edit#gid=156619080"",AB$3)"),425.51)</f>
        <v>425.51</v>
      </c>
      <c r="AC126" s="18">
        <f>IFERROR(__xludf.DUMMYFUNCTION("IMPORTRANGE(""https://docs.google.com/spreadsheets/d/""&amp;$A126&amp;""/edit#gid=156619080"",AC$3)"),423.56)</f>
        <v>423.56</v>
      </c>
      <c r="AD126" s="18">
        <f>IFERROR(__xludf.DUMMYFUNCTION("IMPORTRANGE(""https://docs.google.com/spreadsheets/d/""&amp;$A126&amp;""/edit#gid=156619080"",AD$3)"),421.61)</f>
        <v>421.61</v>
      </c>
      <c r="AE126" s="18">
        <f>IFERROR(__xludf.DUMMYFUNCTION("IMPORTRANGE(""https://docs.google.com/spreadsheets/d/""&amp;$A126&amp;""/edit#gid=156619080"",AE$3)"),413.8)</f>
        <v>413.8</v>
      </c>
      <c r="AF126" s="2">
        <f>IFERROR(__xludf.DUMMYFUNCTION("IMPORTRANGE(""https://docs.google.com/spreadsheets/d/""&amp;$A126&amp;""/edit#gid=156619080"",AF$3)"),405.99)</f>
        <v>405.99</v>
      </c>
      <c r="AG126" s="2">
        <f>IFERROR(__xludf.DUMMYFUNCTION("IMPORTRANGE(""https://docs.google.com/spreadsheets/d/""&amp;$A126&amp;""/edit#gid=156619080"",AG$3)"),404.04)</f>
        <v>404.04</v>
      </c>
      <c r="AH126" s="2">
        <f>IFERROR(__xludf.DUMMYFUNCTION("IMPORTRANGE(""https://docs.google.com/spreadsheets/d/""&amp;$A126&amp;""/edit#gid=156619080"",AH$3)"),402.09)</f>
        <v>402.09</v>
      </c>
      <c r="AI126" s="2">
        <f>IFERROR(__xludf.DUMMYFUNCTION("IMPORTRANGE(""https://docs.google.com/spreadsheets/d/""&amp;$A126&amp;""/edit#gid=156619080"",AI$3)"),400.14)</f>
        <v>400.14</v>
      </c>
      <c r="AJ126" s="2">
        <f>IFERROR(__xludf.DUMMYFUNCTION("IMPORTRANGE(""https://docs.google.com/spreadsheets/d/""&amp;$A126&amp;""/edit#gid=156619080"",AJ$3)"),398.19)</f>
        <v>398.19</v>
      </c>
      <c r="AK126" s="2" t="str">
        <f>IFERROR(__xludf.DUMMYFUNCTION("IMPORTRANGE(""https://docs.google.com/spreadsheets/d/""&amp;$A126&amp;""/edit#gid=156619080"",AK$3)"),"-1.25σ〜-1.5σ")</f>
        <v>-1.25σ〜-1.5σ</v>
      </c>
      <c r="AL126" s="2">
        <f>IFERROR(__xludf.DUMMYFUNCTION("IMPORTRANGE(""https://docs.google.com/spreadsheets/d/""&amp;$A126&amp;""/edit#gid=156619080"",AL$3)"),-1.0)</f>
        <v>-1</v>
      </c>
      <c r="AM126" s="2" t="str">
        <f>IFERROR(__xludf.DUMMYFUNCTION("IMPORTRANGE(""https://docs.google.com/spreadsheets/d/""&amp;$A126&amp;""/edit#gid=156619080"",AM$3)"),"")</f>
        <v/>
      </c>
      <c r="AN126" s="2">
        <f>IFERROR(__xludf.DUMMYFUNCTION("IMPORTRANGE(""https://docs.google.com/spreadsheets/d/""&amp;$A126&amp;""/edit#gid=156619080"",AN$3)"),-1.0)</f>
        <v>-1</v>
      </c>
      <c r="AO126" s="2" t="str">
        <f>IFERROR(__xludf.DUMMYFUNCTION("IMPORTRANGE(""https://docs.google.com/spreadsheets/d/""&amp;$A126&amp;""/edit#gid=156619080"",AO$3)"),"")</f>
        <v/>
      </c>
      <c r="AP126" s="2">
        <f>IFERROR(__xludf.DUMMYFUNCTION("IMPORTRANGE(""https://docs.google.com/spreadsheets/d/""&amp;$A126&amp;""/edit#gid=156619080"",AP$3)"),-1.0)</f>
        <v>-1</v>
      </c>
      <c r="AQ126" s="2" t="str">
        <f>IFERROR(__xludf.DUMMYFUNCTION("IMPORTRANGE(""https://docs.google.com/spreadsheets/d/""&amp;$A126&amp;""/edit#gid=156619080"",AQ$3)"),"")</f>
        <v/>
      </c>
      <c r="AR126" s="18">
        <f>IFERROR(__xludf.DUMMYFUNCTION("IMPORTRANGE(""https://docs.google.com/spreadsheets/d/""&amp;$A126&amp;""/edit#gid=156619080"",AR$3)"),-89.99999999999999)</f>
        <v>-90</v>
      </c>
      <c r="AS126" s="19" t="str">
        <f>IFERROR(__xludf.DUMMYFUNCTION("IMPORTRANGE(""https://docs.google.com/spreadsheets/d/""&amp;$A126&amp;""/edit#gid=156619080"",AS$3)"),"-77.5
-90
-90
-90
")</f>
        <v>-77.5
-90
-90
-90
</v>
      </c>
      <c r="AT126" s="18">
        <f>IFERROR(__xludf.DUMMYFUNCTION("IMPORTRANGE(""https://docs.google.com/spreadsheets/d/""&amp;$A126&amp;""/edit#gid=156619080"",AT$3)"),-33.1043956043956)</f>
        <v>-33.1043956</v>
      </c>
      <c r="AU126" s="3" t="str">
        <f>IFERROR(__xludf.DUMMYFUNCTION("IMPORTRANGE(""https://docs.google.com/spreadsheets/d/""&amp;$A126&amp;""/edit#gid=156619080"",AU$3)"),"38.19
38.19
9.62
3.16
")</f>
        <v>38.19
38.19
9.62
3.16
</v>
      </c>
      <c r="AV126" s="18">
        <f>IFERROR(__xludf.DUMMYFUNCTION("IMPORTRANGE(""https://docs.google.com/spreadsheets/d/""&amp;$A126&amp;""/edit#gid=156619080"",AV$3)"),-37.98701298701299)</f>
        <v>-37.98701299</v>
      </c>
      <c r="AW126" s="19" t="str">
        <f>IFERROR(__xludf.DUMMYFUNCTION("IMPORTRANGE(""https://docs.google.com/spreadsheets/d/""&amp;$A126&amp;""/edit#gid=156619080"",AW$3)"),"-52.05
-46.85
-44.22
-41.23
")</f>
        <v>-52.05
-46.85
-44.22
-41.23
</v>
      </c>
      <c r="AX126" s="2">
        <f>IFERROR(__xludf.DUMMYFUNCTION("IMPORTRANGE(""https://docs.google.com/spreadsheets/d/""&amp;$A126&amp;""/edit#gid=156619080"",AX$3)"),9.09)</f>
        <v>9.09</v>
      </c>
      <c r="AY126" s="2">
        <f>IFERROR(__xludf.DUMMYFUNCTION("IMPORTRANGE(""https://docs.google.com/spreadsheets/d/""&amp;$A126&amp;""/edit#gid=156619080"",AY$3)"),34.02)</f>
        <v>34.02</v>
      </c>
      <c r="AZ126" s="2">
        <f>IFERROR(__xludf.DUMMYFUNCTION("IMPORTRANGE(""https://docs.google.com/spreadsheets/d/""&amp;$A126&amp;""/edit#gid=156619080"",AZ$3)"),407.11)</f>
        <v>407.11</v>
      </c>
      <c r="BA126" s="2">
        <f>IFERROR(__xludf.DUMMYFUNCTION("IMPORTRANGE(""https://docs.google.com/spreadsheets/d/""&amp;$A126&amp;""/edit#gid=156619080"",BA$3)"),-11.029999999999973)</f>
        <v>-11.03</v>
      </c>
      <c r="BB126" s="2">
        <f>IFERROR(__xludf.DUMMYFUNCTION("IMPORTRANGE(""https://docs.google.com/spreadsheets/d/""&amp;$A126&amp;""/edit#gid=156619080"",BB$3)"),-11.65)</f>
        <v>-11.65</v>
      </c>
      <c r="BC126" s="2" t="str">
        <f>IFERROR(__xludf.DUMMYFUNCTION("IMPORTRANGE(""https://docs.google.com/spreadsheets/d/""&amp;$A126&amp;""/edit#gid=156619080"",BC$3)"),"GC→GC")</f>
        <v>GC→GC</v>
      </c>
    </row>
    <row r="127" ht="51.0" customHeight="1">
      <c r="A127" s="7" t="str">
        <f t="shared" si="5"/>
        <v>1FYueMEVHyqyTW10D7dBJW2U3HsdUrkZzsJK3qabtdO4</v>
      </c>
      <c r="B127" s="1" t="s">
        <v>154</v>
      </c>
      <c r="C127" s="2">
        <f>IFERROR(__xludf.DUMMYFUNCTION("IMPORTRANGE(""https://docs.google.com/spreadsheets/d/""&amp;$A127&amp;""/edit#gid=156619080"",C$3)"),132.0)</f>
        <v>132</v>
      </c>
      <c r="D127" s="2">
        <f>IFERROR(__xludf.DUMMYFUNCTION("IMPORTRANGE(""https://docs.google.com/spreadsheets/d/""&amp;$A127&amp;""/edit#gid=156619080"",D$3)"),7261.0)</f>
        <v>7261</v>
      </c>
      <c r="E127" s="15">
        <f>IFERROR(__xludf.DUMMYFUNCTION("IMPORTRANGE(""https://docs.google.com/spreadsheets/d/""&amp;$A127&amp;""/edit#gid=156619080"",E$3)"),43882.0)</f>
        <v>43882</v>
      </c>
      <c r="F127" s="2">
        <f>IFERROR(__xludf.DUMMYFUNCTION("IMPORTRANGE(""https://docs.google.com/spreadsheets/d/""&amp;$A127&amp;""/edit#gid=156619080"",F$3)"),-1.0)</f>
        <v>-1</v>
      </c>
      <c r="G127" s="16">
        <f>IFERROR(__xludf.DUMMYFUNCTION("IMPORTRANGE(""https://docs.google.com/spreadsheets/d/""&amp;$A127&amp;""/edit#gid=156619080"",G$3)"),-0.11)</f>
        <v>-0.11</v>
      </c>
      <c r="H127" s="16">
        <f>IFERROR(__xludf.DUMMYFUNCTION("IMPORTRANGE(""https://docs.google.com/spreadsheets/d/""&amp;$A127&amp;""/edit#gid=156619080"",H$3)"),903.0)</f>
        <v>903</v>
      </c>
      <c r="I127" s="16">
        <f>IFERROR(__xludf.DUMMYFUNCTION("IMPORTRANGE(""https://docs.google.com/spreadsheets/d/""&amp;$A127&amp;""/edit#gid=156619080"",I$3)"),-5.0)</f>
        <v>-5</v>
      </c>
      <c r="J127" s="16">
        <f>IFERROR(__xludf.DUMMYFUNCTION("IMPORTRANGE(""https://docs.google.com/spreadsheets/d/""&amp;$A127&amp;""/edit#gid=156619080"",J$3)"),911.0)</f>
        <v>911</v>
      </c>
      <c r="K127" s="16">
        <f>IFERROR(__xludf.DUMMYFUNCTION("IMPORTRANGE(""https://docs.google.com/spreadsheets/d/""&amp;$A127&amp;""/edit#gid=156619080"",K$3)"),0.38125)</f>
        <v>0.38125</v>
      </c>
      <c r="L127" s="16">
        <f>IFERROR(__xludf.DUMMYFUNCTION("IMPORTRANGE(""https://docs.google.com/spreadsheets/d/""&amp;$A127&amp;""/edit#gid=156619080"",L$3)"),896.0)</f>
        <v>896</v>
      </c>
      <c r="M127" s="16">
        <f>IFERROR(__xludf.DUMMYFUNCTION("IMPORTRANGE(""https://docs.google.com/spreadsheets/d/""&amp;$A127&amp;""/edit#gid=156619080"",M$3)"),0.6236111111111111)</f>
        <v>0.6236111111</v>
      </c>
      <c r="N127" s="16">
        <f>IFERROR(__xludf.DUMMYFUNCTION("IMPORTRANGE(""https://docs.google.com/spreadsheets/d/""&amp;$A127&amp;""/edit#gid=156619080"",N$3)"),897.0)</f>
        <v>897</v>
      </c>
      <c r="O127" s="16" t="str">
        <f>IFERROR(__xludf.DUMMYFUNCTION("IMPORTRANGE(""https://docs.google.com/spreadsheets/d/""&amp;$A127&amp;""/edit#gid=156619080"",O$3)"),"2562500株")</f>
        <v>2562500株</v>
      </c>
      <c r="P127" s="16" t="str">
        <f>IFERROR(__xludf.DUMMYFUNCTION("IMPORTRANGE(""https://docs.google.com/spreadsheets/d/""&amp;$A127&amp;""/edit#gid=156619080"",P$3)"),"2315百万円")</f>
        <v>2315百万円</v>
      </c>
      <c r="Q127" s="16" t="str">
        <f>IFERROR(__xludf.DUMMYFUNCTION("IMPORTRANGE(""https://docs.google.com/spreadsheets/d/""&amp;$A127&amp;""/edit#gid=156619080"",Q$3)"),"2363回")</f>
        <v>2363回</v>
      </c>
      <c r="R127" s="16" t="str">
        <f>IFERROR(__xludf.DUMMYFUNCTION("IMPORTRANGE(""https://docs.google.com/spreadsheets/d/""&amp;$A127&amp;""/edit#gid=156619080"",R$3)"),"5667億円")</f>
        <v>5667億円</v>
      </c>
      <c r="S127" s="16" t="str">
        <f>IFERROR(__xludf.DUMMYFUNCTION("IMPORTRANGE(""https://docs.google.com/spreadsheets/d/""&amp;$A127&amp;""/edit#gid=156619080"",S$3)"),"陰線")</f>
        <v>陰線</v>
      </c>
      <c r="T127" s="16" t="str">
        <f>IFERROR(__xludf.DUMMYFUNCTION("IMPORTRANGE(""https://docs.google.com/spreadsheets/d/""&amp;$A127&amp;""/edit#gid=156619080"",T$3)"),"")</f>
        <v/>
      </c>
      <c r="U127" s="16">
        <f>IFERROR(__xludf.DUMMYFUNCTION("IMPORTRANGE(""https://docs.google.com/spreadsheets/d/""&amp;$A127&amp;""/edit#gid=156619080"",U$3)"),889.0)</f>
        <v>889</v>
      </c>
      <c r="V127" s="16">
        <f>IFERROR(__xludf.DUMMYFUNCTION("IMPORTRANGE(""https://docs.google.com/spreadsheets/d/""&amp;$A127&amp;""/edit#gid=156619080"",V$3)"),903.5)</f>
        <v>903.5</v>
      </c>
      <c r="W127" s="16">
        <f>IFERROR(__xludf.DUMMYFUNCTION("IMPORTRANGE(""https://docs.google.com/spreadsheets/d/""&amp;$A127&amp;""/edit#gid=156619080"",W$3)"),915.9)</f>
        <v>915.9</v>
      </c>
      <c r="X127" s="2">
        <f>IFERROR(__xludf.DUMMYFUNCTION("IMPORTRANGE(""https://docs.google.com/spreadsheets/d/""&amp;$A127&amp;""/edit#gid=156619080"",X$3)"),950.1)</f>
        <v>950.1</v>
      </c>
      <c r="Y127" s="17">
        <f>IFERROR(__xludf.DUMMYFUNCTION("IMPORTRANGE(""https://docs.google.com/spreadsheets/d/""&amp;$A127&amp;""/edit#gid=156619080"",Y$3)"),0.008998875140607425)</f>
        <v>0.008998875141</v>
      </c>
      <c r="Z127" s="2">
        <f>IFERROR(__xludf.DUMMYFUNCTION("IMPORTRANGE(""https://docs.google.com/spreadsheets/d/""&amp;$A127&amp;""/edit#gid=156619080"",Z$3)"),965.52)</f>
        <v>965.52</v>
      </c>
      <c r="AA127" s="2">
        <f>IFERROR(__xludf.DUMMYFUNCTION("IMPORTRANGE(""https://docs.google.com/spreadsheets/d/""&amp;$A127&amp;""/edit#gid=156619080"",AA$3)"),959.32)</f>
        <v>959.32</v>
      </c>
      <c r="AB127" s="2">
        <f>IFERROR(__xludf.DUMMYFUNCTION("IMPORTRANGE(""https://docs.google.com/spreadsheets/d/""&amp;$A127&amp;""/edit#gid=156619080"",AB$3)"),953.12)</f>
        <v>953.12</v>
      </c>
      <c r="AC127" s="18">
        <f>IFERROR(__xludf.DUMMYFUNCTION("IMPORTRANGE(""https://docs.google.com/spreadsheets/d/""&amp;$A127&amp;""/edit#gid=156619080"",AC$3)"),946.92)</f>
        <v>946.92</v>
      </c>
      <c r="AD127" s="18">
        <f>IFERROR(__xludf.DUMMYFUNCTION("IMPORTRANGE(""https://docs.google.com/spreadsheets/d/""&amp;$A127&amp;""/edit#gid=156619080"",AD$3)"),940.71)</f>
        <v>940.71</v>
      </c>
      <c r="AE127" s="18">
        <f>IFERROR(__xludf.DUMMYFUNCTION("IMPORTRANGE(""https://docs.google.com/spreadsheets/d/""&amp;$A127&amp;""/edit#gid=156619080"",AE$3)"),915.9)</f>
        <v>915.9</v>
      </c>
      <c r="AF127" s="2">
        <f>IFERROR(__xludf.DUMMYFUNCTION("IMPORTRANGE(""https://docs.google.com/spreadsheets/d/""&amp;$A127&amp;""/edit#gid=156619080"",AF$3)"),891.09)</f>
        <v>891.09</v>
      </c>
      <c r="AG127" s="2">
        <f>IFERROR(__xludf.DUMMYFUNCTION("IMPORTRANGE(""https://docs.google.com/spreadsheets/d/""&amp;$A127&amp;""/edit#gid=156619080"",AG$3)"),884.88)</f>
        <v>884.88</v>
      </c>
      <c r="AH127" s="2">
        <f>IFERROR(__xludf.DUMMYFUNCTION("IMPORTRANGE(""https://docs.google.com/spreadsheets/d/""&amp;$A127&amp;""/edit#gid=156619080"",AH$3)"),878.68)</f>
        <v>878.68</v>
      </c>
      <c r="AI127" s="2">
        <f>IFERROR(__xludf.DUMMYFUNCTION("IMPORTRANGE(""https://docs.google.com/spreadsheets/d/""&amp;$A127&amp;""/edit#gid=156619080"",AI$3)"),872.48)</f>
        <v>872.48</v>
      </c>
      <c r="AJ127" s="2">
        <f>IFERROR(__xludf.DUMMYFUNCTION("IMPORTRANGE(""https://docs.google.com/spreadsheets/d/""&amp;$A127&amp;""/edit#gid=156619080"",AJ$3)"),866.28)</f>
        <v>866.28</v>
      </c>
      <c r="AK127" s="2" t="str">
        <f>IFERROR(__xludf.DUMMYFUNCTION("IMPORTRANGE(""https://docs.google.com/spreadsheets/d/""&amp;$A127&amp;""/edit#gid=156619080"",AK$3)"),"")</f>
        <v/>
      </c>
      <c r="AL127" s="2">
        <f>IFERROR(__xludf.DUMMYFUNCTION("IMPORTRANGE(""https://docs.google.com/spreadsheets/d/""&amp;$A127&amp;""/edit#gid=156619080"",AL$3)"),-1.0)</f>
        <v>-1</v>
      </c>
      <c r="AM127" s="2" t="str">
        <f>IFERROR(__xludf.DUMMYFUNCTION("IMPORTRANGE(""https://docs.google.com/spreadsheets/d/""&amp;$A127&amp;""/edit#gid=156619080"",AM$3)"),"")</f>
        <v/>
      </c>
      <c r="AN127" s="2">
        <f>IFERROR(__xludf.DUMMYFUNCTION("IMPORTRANGE(""https://docs.google.com/spreadsheets/d/""&amp;$A127&amp;""/edit#gid=156619080"",AN$3)"),-1.0)</f>
        <v>-1</v>
      </c>
      <c r="AO127" s="2" t="str">
        <f>IFERROR(__xludf.DUMMYFUNCTION("IMPORTRANGE(""https://docs.google.com/spreadsheets/d/""&amp;$A127&amp;""/edit#gid=156619080"",AO$3)"),"")</f>
        <v/>
      </c>
      <c r="AP127" s="2">
        <f>IFERROR(__xludf.DUMMYFUNCTION("IMPORTRANGE(""https://docs.google.com/spreadsheets/d/""&amp;$A127&amp;""/edit#gid=156619080"",AP$3)"),-1.0)</f>
        <v>-1</v>
      </c>
      <c r="AQ127" s="2" t="str">
        <f>IFERROR(__xludf.DUMMYFUNCTION("IMPORTRANGE(""https://docs.google.com/spreadsheets/d/""&amp;$A127&amp;""/edit#gid=156619080"",AQ$3)"),"")</f>
        <v/>
      </c>
      <c r="AR127" s="18">
        <f>IFERROR(__xludf.DUMMYFUNCTION("IMPORTRANGE(""https://docs.google.com/spreadsheets/d/""&amp;$A127&amp;""/edit#gid=156619080"",AR$3)"),72.5)</f>
        <v>72.5</v>
      </c>
      <c r="AS127" s="19" t="str">
        <f>IFERROR(__xludf.DUMMYFUNCTION("IMPORTRANGE(""https://docs.google.com/spreadsheets/d/""&amp;$A127&amp;""/edit#gid=156619080"",AS$3)"),"-30
-80
-77.5
22.5
")</f>
        <v>-30
-80
-77.5
22.5
</v>
      </c>
      <c r="AT127" s="18">
        <f>IFERROR(__xludf.DUMMYFUNCTION("IMPORTRANGE(""https://docs.google.com/spreadsheets/d/""&amp;$A127&amp;""/edit#gid=156619080"",AT$3)"),-69.5054945054945)</f>
        <v>-69.50549451</v>
      </c>
      <c r="AU127" s="3" t="str">
        <f>IFERROR(__xludf.DUMMYFUNCTION("IMPORTRANGE(""https://docs.google.com/spreadsheets/d/""&amp;$A127&amp;""/edit#gid=156619080"",AU$3)"),"-72.12
-77.61
-83.38
-76.1
")</f>
        <v>-72.12
-77.61
-83.38
-76.1
</v>
      </c>
      <c r="AV127" s="18">
        <f>IFERROR(__xludf.DUMMYFUNCTION("IMPORTRANGE(""https://docs.google.com/spreadsheets/d/""&amp;$A127&amp;""/edit#gid=156619080"",AV$3)"),-82.95454545454545)</f>
        <v>-82.95454545</v>
      </c>
      <c r="AW127" s="19" t="str">
        <f>IFERROR(__xludf.DUMMYFUNCTION("IMPORTRANGE(""https://docs.google.com/spreadsheets/d/""&amp;$A127&amp;""/edit#gid=156619080"",AW$3)"),"-88.6
-88.6
-88.44
-85.81
")</f>
        <v>-88.6
-88.6
-88.44
-85.81
</v>
      </c>
      <c r="AX127" s="2">
        <f>IFERROR(__xludf.DUMMYFUNCTION("IMPORTRANGE(""https://docs.google.com/spreadsheets/d/""&amp;$A127&amp;""/edit#gid=156619080"",AX$3)"),66.67)</f>
        <v>66.67</v>
      </c>
      <c r="AY127" s="2">
        <f>IFERROR(__xludf.DUMMYFUNCTION("IMPORTRANGE(""https://docs.google.com/spreadsheets/d/""&amp;$A127&amp;""/edit#gid=156619080"",AY$3)"),35.52)</f>
        <v>35.52</v>
      </c>
      <c r="AZ127" s="2">
        <f>IFERROR(__xludf.DUMMYFUNCTION("IMPORTRANGE(""https://docs.google.com/spreadsheets/d/""&amp;$A127&amp;""/edit#gid=156619080"",AZ$3)"),893.53)</f>
        <v>893.53</v>
      </c>
      <c r="BA127" s="2">
        <f>IFERROR(__xludf.DUMMYFUNCTION("IMPORTRANGE(""https://docs.google.com/spreadsheets/d/""&amp;$A127&amp;""/edit#gid=156619080"",BA$3)"),-19.279999999999973)</f>
        <v>-19.28</v>
      </c>
      <c r="BB127" s="2">
        <f>IFERROR(__xludf.DUMMYFUNCTION("IMPORTRANGE(""https://docs.google.com/spreadsheets/d/""&amp;$A127&amp;""/edit#gid=156619080"",BB$3)"),-20.41)</f>
        <v>-20.41</v>
      </c>
      <c r="BC127" s="2" t="str">
        <f>IFERROR(__xludf.DUMMYFUNCTION("IMPORTRANGE(""https://docs.google.com/spreadsheets/d/""&amp;$A127&amp;""/edit#gid=156619080"",BC$3)"),"DC→GC")</f>
        <v>DC→GC</v>
      </c>
    </row>
    <row r="128" ht="51.0" customHeight="1">
      <c r="A128" s="7" t="str">
        <f t="shared" si="5"/>
        <v>10J-VH3QKE3Y-LvYeZdzGWfdlqhlBOI7R2sxEP58mCbY</v>
      </c>
      <c r="B128" s="1" t="s">
        <v>155</v>
      </c>
      <c r="C128" s="2">
        <f>IFERROR(__xludf.DUMMYFUNCTION("IMPORTRANGE(""https://docs.google.com/spreadsheets/d/""&amp;$A128&amp;""/edit#gid=156619080"",C$3)"),132.0)</f>
        <v>132</v>
      </c>
      <c r="D128" s="2">
        <f>IFERROR(__xludf.DUMMYFUNCTION("IMPORTRANGE(""https://docs.google.com/spreadsheets/d/""&amp;$A128&amp;""/edit#gid=156619080"",D$3)"),7267.0)</f>
        <v>7267</v>
      </c>
      <c r="E128" s="15">
        <f>IFERROR(__xludf.DUMMYFUNCTION("IMPORTRANGE(""https://docs.google.com/spreadsheets/d/""&amp;$A128&amp;""/edit#gid=156619080"",E$3)"),43882.0)</f>
        <v>43882</v>
      </c>
      <c r="F128" s="2">
        <f>IFERROR(__xludf.DUMMYFUNCTION("IMPORTRANGE(""https://docs.google.com/spreadsheets/d/""&amp;$A128&amp;""/edit#gid=156619080"",F$3)"),-2.0)</f>
        <v>-2</v>
      </c>
      <c r="G128" s="16">
        <f>IFERROR(__xludf.DUMMYFUNCTION("IMPORTRANGE(""https://docs.google.com/spreadsheets/d/""&amp;$A128&amp;""/edit#gid=156619080"",G$3)"),-0.07)</f>
        <v>-0.07</v>
      </c>
      <c r="H128" s="16">
        <f>IFERROR(__xludf.DUMMYFUNCTION("IMPORTRANGE(""https://docs.google.com/spreadsheets/d/""&amp;$A128&amp;""/edit#gid=156619080"",H$3)"),3054.0)</f>
        <v>3054</v>
      </c>
      <c r="I128" s="16">
        <f>IFERROR(__xludf.DUMMYFUNCTION("IMPORTRANGE(""https://docs.google.com/spreadsheets/d/""&amp;$A128&amp;""/edit#gid=156619080"",I$3)"),-13.0)</f>
        <v>-13</v>
      </c>
      <c r="J128" s="16">
        <f>IFERROR(__xludf.DUMMYFUNCTION("IMPORTRANGE(""https://docs.google.com/spreadsheets/d/""&amp;$A128&amp;""/edit#gid=156619080"",J$3)"),3088.0)</f>
        <v>3088</v>
      </c>
      <c r="K128" s="16">
        <f>IFERROR(__xludf.DUMMYFUNCTION("IMPORTRANGE(""https://docs.google.com/spreadsheets/d/""&amp;$A128&amp;""/edit#gid=156619080"",K$3)"),0.38125)</f>
        <v>0.38125</v>
      </c>
      <c r="L128" s="16">
        <f>IFERROR(__xludf.DUMMYFUNCTION("IMPORTRANGE(""https://docs.google.com/spreadsheets/d/""&amp;$A128&amp;""/edit#gid=156619080"",L$3)"),3039.0)</f>
        <v>3039</v>
      </c>
      <c r="M128" s="16">
        <f>IFERROR(__xludf.DUMMYFUNCTION("IMPORTRANGE(""https://docs.google.com/spreadsheets/d/""&amp;$A128&amp;""/edit#gid=156619080"",M$3)"),0.6243055555555556)</f>
        <v>0.6243055556</v>
      </c>
      <c r="N128" s="16">
        <f>IFERROR(__xludf.DUMMYFUNCTION("IMPORTRANGE(""https://docs.google.com/spreadsheets/d/""&amp;$A128&amp;""/edit#gid=156619080"",N$3)"),3039.0)</f>
        <v>3039</v>
      </c>
      <c r="O128" s="16" t="str">
        <f>IFERROR(__xludf.DUMMYFUNCTION("IMPORTRANGE(""https://docs.google.com/spreadsheets/d/""&amp;$A128&amp;""/edit#gid=156619080"",O$3)"),"5388900株")</f>
        <v>5388900株</v>
      </c>
      <c r="P128" s="16" t="str">
        <f>IFERROR(__xludf.DUMMYFUNCTION("IMPORTRANGE(""https://docs.google.com/spreadsheets/d/""&amp;$A128&amp;""/edit#gid=156619080"",P$3)"),"16488百万円")</f>
        <v>16488百万円</v>
      </c>
      <c r="Q128" s="16" t="str">
        <f>IFERROR(__xludf.DUMMYFUNCTION("IMPORTRANGE(""https://docs.google.com/spreadsheets/d/""&amp;$A128&amp;""/edit#gid=156619080"",Q$3)"),"9347回")</f>
        <v>9347回</v>
      </c>
      <c r="R128" s="16" t="str">
        <f>IFERROR(__xludf.DUMMYFUNCTION("IMPORTRANGE(""https://docs.google.com/spreadsheets/d/""&amp;$A128&amp;""/edit#gid=156619080"",R$3)"),"55049億円")</f>
        <v>55049億円</v>
      </c>
      <c r="S128" s="16" t="str">
        <f>IFERROR(__xludf.DUMMYFUNCTION("IMPORTRANGE(""https://docs.google.com/spreadsheets/d/""&amp;$A128&amp;""/edit#gid=156619080"",S$3)"),"陰線")</f>
        <v>陰線</v>
      </c>
      <c r="T128" s="16" t="str">
        <f>IFERROR(__xludf.DUMMYFUNCTION("IMPORTRANGE(""https://docs.google.com/spreadsheets/d/""&amp;$A128&amp;""/edit#gid=156619080"",T$3)"),"BSV1")</f>
        <v>BSV1</v>
      </c>
      <c r="U128" s="16">
        <f>IFERROR(__xludf.DUMMYFUNCTION("IMPORTRANGE(""https://docs.google.com/spreadsheets/d/""&amp;$A128&amp;""/edit#gid=156619080"",U$3)"),2997.2)</f>
        <v>2997.2</v>
      </c>
      <c r="V128" s="16">
        <f>IFERROR(__xludf.DUMMYFUNCTION("IMPORTRANGE(""https://docs.google.com/spreadsheets/d/""&amp;$A128&amp;""/edit#gid=156619080"",V$3)"),2945.2)</f>
        <v>2945.2</v>
      </c>
      <c r="W128" s="16">
        <f>IFERROR(__xludf.DUMMYFUNCTION("IMPORTRANGE(""https://docs.google.com/spreadsheets/d/""&amp;$A128&amp;""/edit#gid=156619080"",W$3)"),2924.2)</f>
        <v>2924.2</v>
      </c>
      <c r="X128" s="2">
        <f>IFERROR(__xludf.DUMMYFUNCTION("IMPORTRANGE(""https://docs.google.com/spreadsheets/d/""&amp;$A128&amp;""/edit#gid=156619080"",X$3)"),2968.2)</f>
        <v>2968.2</v>
      </c>
      <c r="Y128" s="17">
        <f>IFERROR(__xludf.DUMMYFUNCTION("IMPORTRANGE(""https://docs.google.com/spreadsheets/d/""&amp;$A128&amp;""/edit#gid=156619080"",Y$3)"),0.01394634992659822)</f>
        <v>0.01394634993</v>
      </c>
      <c r="Z128" s="2">
        <f>IFERROR(__xludf.DUMMYFUNCTION("IMPORTRANGE(""https://docs.google.com/spreadsheets/d/""&amp;$A128&amp;""/edit#gid=156619080"",Z$3)"),3066.05)</f>
        <v>3066.05</v>
      </c>
      <c r="AA128" s="2">
        <f>IFERROR(__xludf.DUMMYFUNCTION("IMPORTRANGE(""https://docs.google.com/spreadsheets/d/""&amp;$A128&amp;""/edit#gid=156619080"",AA$3)"),3048.32)</f>
        <v>3048.32</v>
      </c>
      <c r="AB128" s="2">
        <f>IFERROR(__xludf.DUMMYFUNCTION("IMPORTRANGE(""https://docs.google.com/spreadsheets/d/""&amp;$A128&amp;""/edit#gid=156619080"",AB$3)"),3030.59)</f>
        <v>3030.59</v>
      </c>
      <c r="AC128" s="18">
        <f>IFERROR(__xludf.DUMMYFUNCTION("IMPORTRANGE(""https://docs.google.com/spreadsheets/d/""&amp;$A128&amp;""/edit#gid=156619080"",AC$3)"),3012.86)</f>
        <v>3012.86</v>
      </c>
      <c r="AD128" s="18">
        <f>IFERROR(__xludf.DUMMYFUNCTION("IMPORTRANGE(""https://docs.google.com/spreadsheets/d/""&amp;$A128&amp;""/edit#gid=156619080"",AD$3)"),2995.13)</f>
        <v>2995.13</v>
      </c>
      <c r="AE128" s="18">
        <f>IFERROR(__xludf.DUMMYFUNCTION("IMPORTRANGE(""https://docs.google.com/spreadsheets/d/""&amp;$A128&amp;""/edit#gid=156619080"",AE$3)"),2924.2)</f>
        <v>2924.2</v>
      </c>
      <c r="AF128" s="2">
        <f>IFERROR(__xludf.DUMMYFUNCTION("IMPORTRANGE(""https://docs.google.com/spreadsheets/d/""&amp;$A128&amp;""/edit#gid=156619080"",AF$3)"),2853.27)</f>
        <v>2853.27</v>
      </c>
      <c r="AG128" s="2">
        <f>IFERROR(__xludf.DUMMYFUNCTION("IMPORTRANGE(""https://docs.google.com/spreadsheets/d/""&amp;$A128&amp;""/edit#gid=156619080"",AG$3)"),2835.54)</f>
        <v>2835.54</v>
      </c>
      <c r="AH128" s="2">
        <f>IFERROR(__xludf.DUMMYFUNCTION("IMPORTRANGE(""https://docs.google.com/spreadsheets/d/""&amp;$A128&amp;""/edit#gid=156619080"",AH$3)"),2817.81)</f>
        <v>2817.81</v>
      </c>
      <c r="AI128" s="2">
        <f>IFERROR(__xludf.DUMMYFUNCTION("IMPORTRANGE(""https://docs.google.com/spreadsheets/d/""&amp;$A128&amp;""/edit#gid=156619080"",AI$3)"),2800.08)</f>
        <v>2800.08</v>
      </c>
      <c r="AJ128" s="2">
        <f>IFERROR(__xludf.DUMMYFUNCTION("IMPORTRANGE(""https://docs.google.com/spreadsheets/d/""&amp;$A128&amp;""/edit#gid=156619080"",AJ$3)"),2782.35)</f>
        <v>2782.35</v>
      </c>
      <c r="AK128" s="2" t="str">
        <f>IFERROR(__xludf.DUMMYFUNCTION("IMPORTRANGE(""https://docs.google.com/spreadsheets/d/""&amp;$A128&amp;""/edit#gid=156619080"",AK$3)"),"1.5σ〜1.75σ")</f>
        <v>1.5σ〜1.75σ</v>
      </c>
      <c r="AL128" s="2">
        <f>IFERROR(__xludf.DUMMYFUNCTION("IMPORTRANGE(""https://docs.google.com/spreadsheets/d/""&amp;$A128&amp;""/edit#gid=156619080"",AL$3)"),1.0)</f>
        <v>1</v>
      </c>
      <c r="AM128" s="2" t="str">
        <f>IFERROR(__xludf.DUMMYFUNCTION("IMPORTRANGE(""https://docs.google.com/spreadsheets/d/""&amp;$A128&amp;""/edit#gid=156619080"",AM$3)"),"")</f>
        <v/>
      </c>
      <c r="AN128" s="2">
        <f>IFERROR(__xludf.DUMMYFUNCTION("IMPORTRANGE(""https://docs.google.com/spreadsheets/d/""&amp;$A128&amp;""/edit#gid=156619080"",AN$3)"),1.0)</f>
        <v>1</v>
      </c>
      <c r="AO128" s="2" t="str">
        <f>IFERROR(__xludf.DUMMYFUNCTION("IMPORTRANGE(""https://docs.google.com/spreadsheets/d/""&amp;$A128&amp;""/edit#gid=156619080"",AO$3)"),"")</f>
        <v/>
      </c>
      <c r="AP128" s="2">
        <f>IFERROR(__xludf.DUMMYFUNCTION("IMPORTRANGE(""https://docs.google.com/spreadsheets/d/""&amp;$A128&amp;""/edit#gid=156619080"",AP$3)"),1.0)</f>
        <v>1</v>
      </c>
      <c r="AQ128" s="2" t="str">
        <f>IFERROR(__xludf.DUMMYFUNCTION("IMPORTRANGE(""https://docs.google.com/spreadsheets/d/""&amp;$A128&amp;""/edit#gid=156619080"",AQ$3)"),"")</f>
        <v/>
      </c>
      <c r="AR128" s="18">
        <f>IFERROR(__xludf.DUMMYFUNCTION("IMPORTRANGE(""https://docs.google.com/spreadsheets/d/""&amp;$A128&amp;""/edit#gid=156619080"",AR$3)"),80.0)</f>
        <v>80</v>
      </c>
      <c r="AS128" s="19" t="str">
        <f>IFERROR(__xludf.DUMMYFUNCTION("IMPORTRANGE(""https://docs.google.com/spreadsheets/d/""&amp;$A128&amp;""/edit#gid=156619080"",AS$3)"),"30
0
-20
80
")</f>
        <v>30
0
-20
80
</v>
      </c>
      <c r="AT128" s="18">
        <f>IFERROR(__xludf.DUMMYFUNCTION("IMPORTRANGE(""https://docs.google.com/spreadsheets/d/""&amp;$A128&amp;""/edit#gid=156619080"",AT$3)"),90.65934065934066)</f>
        <v>90.65934066</v>
      </c>
      <c r="AU128" s="3" t="str">
        <f>IFERROR(__xludf.DUMMYFUNCTION("IMPORTRANGE(""https://docs.google.com/spreadsheets/d/""&amp;$A128&amp;""/edit#gid=156619080"",AU$3)"),"75.82
86.26
89.01
90.66
")</f>
        <v>75.82
86.26
89.01
90.66
</v>
      </c>
      <c r="AV128" s="18">
        <f>IFERROR(__xludf.DUMMYFUNCTION("IMPORTRANGE(""https://docs.google.com/spreadsheets/d/""&amp;$A128&amp;""/edit#gid=156619080"",AV$3)"),50.2922077922078)</f>
        <v>50.29220779</v>
      </c>
      <c r="AW128" s="19" t="str">
        <f>IFERROR(__xludf.DUMMYFUNCTION("IMPORTRANGE(""https://docs.google.com/spreadsheets/d/""&amp;$A128&amp;""/edit#gid=156619080"",AW$3)"),"-37.89
-20.75
-1.53
25.75
")</f>
        <v>-37.89
-20.75
-1.53
25.75
</v>
      </c>
      <c r="AX128" s="2">
        <f>IFERROR(__xludf.DUMMYFUNCTION("IMPORTRANGE(""https://docs.google.com/spreadsheets/d/""&amp;$A128&amp;""/edit#gid=156619080"",AX$3)"),89.9)</f>
        <v>89.9</v>
      </c>
      <c r="AY128" s="2">
        <f>IFERROR(__xludf.DUMMYFUNCTION("IMPORTRANGE(""https://docs.google.com/spreadsheets/d/""&amp;$A128&amp;""/edit#gid=156619080"",AY$3)"),50.56)</f>
        <v>50.56</v>
      </c>
      <c r="AZ128" s="2">
        <f>IFERROR(__xludf.DUMMYFUNCTION("IMPORTRANGE(""https://docs.google.com/spreadsheets/d/""&amp;$A128&amp;""/edit#gid=156619080"",AZ$3)"),3006.07)</f>
        <v>3006.07</v>
      </c>
      <c r="BA128" s="2">
        <f>IFERROR(__xludf.DUMMYFUNCTION("IMPORTRANGE(""https://docs.google.com/spreadsheets/d/""&amp;$A128&amp;""/edit#gid=156619080"",BA$3)"),39.620000000000346)</f>
        <v>39.62</v>
      </c>
      <c r="BB128" s="2">
        <f>IFERROR(__xludf.DUMMYFUNCTION("IMPORTRANGE(""https://docs.google.com/spreadsheets/d/""&amp;$A128&amp;""/edit#gid=156619080"",BB$3)"),-10.99)</f>
        <v>-10.99</v>
      </c>
      <c r="BC128" s="2" t="str">
        <f>IFERROR(__xludf.DUMMYFUNCTION("IMPORTRANGE(""https://docs.google.com/spreadsheets/d/""&amp;$A128&amp;""/edit#gid=156619080"",BC$3)"),"GC→GC")</f>
        <v>GC→GC</v>
      </c>
    </row>
    <row r="129" ht="51.0" customHeight="1">
      <c r="A129" s="7" t="str">
        <f t="shared" si="5"/>
        <v>1KcE4tTnYqjTxEKT_Y92UKMmFNuk9a8Q8PXUStOVYGZg</v>
      </c>
      <c r="B129" s="1" t="s">
        <v>156</v>
      </c>
      <c r="C129" s="2">
        <f>IFERROR(__xludf.DUMMYFUNCTION("IMPORTRANGE(""https://docs.google.com/spreadsheets/d/""&amp;$A129&amp;""/edit#gid=156619080"",C$3)"),132.0)</f>
        <v>132</v>
      </c>
      <c r="D129" s="2">
        <f>IFERROR(__xludf.DUMMYFUNCTION("IMPORTRANGE(""https://docs.google.com/spreadsheets/d/""&amp;$A129&amp;""/edit#gid=156619080"",D$3)"),7269.0)</f>
        <v>7269</v>
      </c>
      <c r="E129" s="15">
        <f>IFERROR(__xludf.DUMMYFUNCTION("IMPORTRANGE(""https://docs.google.com/spreadsheets/d/""&amp;$A129&amp;""/edit#gid=156619080"",E$3)"),43882.0)</f>
        <v>43882</v>
      </c>
      <c r="F129" s="2">
        <f>IFERROR(__xludf.DUMMYFUNCTION("IMPORTRANGE(""https://docs.google.com/spreadsheets/d/""&amp;$A129&amp;""/edit#gid=156619080"",F$3)"),-15.0)</f>
        <v>-15</v>
      </c>
      <c r="G129" s="16">
        <f>IFERROR(__xludf.DUMMYFUNCTION("IMPORTRANGE(""https://docs.google.com/spreadsheets/d/""&amp;$A129&amp;""/edit#gid=156619080"",G$3)"),-0.31)</f>
        <v>-0.31</v>
      </c>
      <c r="H129" s="16">
        <f>IFERROR(__xludf.DUMMYFUNCTION("IMPORTRANGE(""https://docs.google.com/spreadsheets/d/""&amp;$A129&amp;""/edit#gid=156619080"",H$3)"),4882.0)</f>
        <v>4882</v>
      </c>
      <c r="I129" s="16">
        <f>IFERROR(__xludf.DUMMYFUNCTION("IMPORTRANGE(""https://docs.google.com/spreadsheets/d/""&amp;$A129&amp;""/edit#gid=156619080"",I$3)"),-32.0)</f>
        <v>-32</v>
      </c>
      <c r="J129" s="16">
        <f>IFERROR(__xludf.DUMMYFUNCTION("IMPORTRANGE(""https://docs.google.com/spreadsheets/d/""&amp;$A129&amp;""/edit#gid=156619080"",J$3)"),4921.0)</f>
        <v>4921</v>
      </c>
      <c r="K129" s="16">
        <f>IFERROR(__xludf.DUMMYFUNCTION("IMPORTRANGE(""https://docs.google.com/spreadsheets/d/""&amp;$A129&amp;""/edit#gid=156619080"",K$3)"),0.3784722222222222)</f>
        <v>0.3784722222</v>
      </c>
      <c r="L129" s="16">
        <f>IFERROR(__xludf.DUMMYFUNCTION("IMPORTRANGE(""https://docs.google.com/spreadsheets/d/""&amp;$A129&amp;""/edit#gid=156619080"",L$3)"),4835.0)</f>
        <v>4835</v>
      </c>
      <c r="M129" s="16">
        <f>IFERROR(__xludf.DUMMYFUNCTION("IMPORTRANGE(""https://docs.google.com/spreadsheets/d/""&amp;$A129&amp;""/edit#gid=156619080"",M$3)"),0.625)</f>
        <v>0.625</v>
      </c>
      <c r="N129" s="16">
        <f>IFERROR(__xludf.DUMMYFUNCTION("IMPORTRANGE(""https://docs.google.com/spreadsheets/d/""&amp;$A129&amp;""/edit#gid=156619080"",N$3)"),4835.0)</f>
        <v>4835</v>
      </c>
      <c r="O129" s="16" t="str">
        <f>IFERROR(__xludf.DUMMYFUNCTION("IMPORTRANGE(""https://docs.google.com/spreadsheets/d/""&amp;$A129&amp;""/edit#gid=156619080"",O$3)"),"1220700株")</f>
        <v>1220700株</v>
      </c>
      <c r="P129" s="16" t="str">
        <f>IFERROR(__xludf.DUMMYFUNCTION("IMPORTRANGE(""https://docs.google.com/spreadsheets/d/""&amp;$A129&amp;""/edit#gid=156619080"",P$3)"),"5931百万円")</f>
        <v>5931百万円</v>
      </c>
      <c r="Q129" s="16" t="str">
        <f>IFERROR(__xludf.DUMMYFUNCTION("IMPORTRANGE(""https://docs.google.com/spreadsheets/d/""&amp;$A129&amp;""/edit#gid=156619080"",Q$3)"),"3768回")</f>
        <v>3768回</v>
      </c>
      <c r="R129" s="16" t="str">
        <f>IFERROR(__xludf.DUMMYFUNCTION("IMPORTRANGE(""https://docs.google.com/spreadsheets/d/""&amp;$A129&amp;""/edit#gid=156619080"",R$3)"),"23743億円")</f>
        <v>23743億円</v>
      </c>
      <c r="S129" s="16" t="str">
        <f>IFERROR(__xludf.DUMMYFUNCTION("IMPORTRANGE(""https://docs.google.com/spreadsheets/d/""&amp;$A129&amp;""/edit#gid=156619080"",S$3)"),"陰線")</f>
        <v>陰線</v>
      </c>
      <c r="T129" s="16" t="str">
        <f>IFERROR(__xludf.DUMMYFUNCTION("IMPORTRANGE(""https://docs.google.com/spreadsheets/d/""&amp;$A129&amp;""/edit#gid=156619080"",T$3)"),"")</f>
        <v/>
      </c>
      <c r="U129" s="16">
        <f>IFERROR(__xludf.DUMMYFUNCTION("IMPORTRANGE(""https://docs.google.com/spreadsheets/d/""&amp;$A129&amp;""/edit#gid=156619080"",U$3)"),4905.0)</f>
        <v>4905</v>
      </c>
      <c r="V129" s="16">
        <f>IFERROR(__xludf.DUMMYFUNCTION("IMPORTRANGE(""https://docs.google.com/spreadsheets/d/""&amp;$A129&amp;""/edit#gid=156619080"",V$3)"),4995.8)</f>
        <v>4995.8</v>
      </c>
      <c r="W129" s="16">
        <f>IFERROR(__xludf.DUMMYFUNCTION("IMPORTRANGE(""https://docs.google.com/spreadsheets/d/""&amp;$A129&amp;""/edit#gid=156619080"",W$3)"),4962.0)</f>
        <v>4962</v>
      </c>
      <c r="X129" s="2">
        <f>IFERROR(__xludf.DUMMYFUNCTION("IMPORTRANGE(""https://docs.google.com/spreadsheets/d/""&amp;$A129&amp;""/edit#gid=156619080"",X$3)"),4761.9)</f>
        <v>4761.9</v>
      </c>
      <c r="Y129" s="17">
        <f>IFERROR(__xludf.DUMMYFUNCTION("IMPORTRANGE(""https://docs.google.com/spreadsheets/d/""&amp;$A129&amp;""/edit#gid=156619080"",Y$3)"),-0.014271151885830785)</f>
        <v>-0.01427115189</v>
      </c>
      <c r="Z129" s="2">
        <f>IFERROR(__xludf.DUMMYFUNCTION("IMPORTRANGE(""https://docs.google.com/spreadsheets/d/""&amp;$A129&amp;""/edit#gid=156619080"",Z$3)"),5166.57)</f>
        <v>5166.57</v>
      </c>
      <c r="AA129" s="2">
        <f>IFERROR(__xludf.DUMMYFUNCTION("IMPORTRANGE(""https://docs.google.com/spreadsheets/d/""&amp;$A129&amp;""/edit#gid=156619080"",AA$3)"),5141.0)</f>
        <v>5141</v>
      </c>
      <c r="AB129" s="2">
        <f>IFERROR(__xludf.DUMMYFUNCTION("IMPORTRANGE(""https://docs.google.com/spreadsheets/d/""&amp;$A129&amp;""/edit#gid=156619080"",AB$3)"),5115.43)</f>
        <v>5115.43</v>
      </c>
      <c r="AC129" s="18">
        <f>IFERROR(__xludf.DUMMYFUNCTION("IMPORTRANGE(""https://docs.google.com/spreadsheets/d/""&amp;$A129&amp;""/edit#gid=156619080"",AC$3)"),5089.86)</f>
        <v>5089.86</v>
      </c>
      <c r="AD129" s="18">
        <f>IFERROR(__xludf.DUMMYFUNCTION("IMPORTRANGE(""https://docs.google.com/spreadsheets/d/""&amp;$A129&amp;""/edit#gid=156619080"",AD$3)"),5064.29)</f>
        <v>5064.29</v>
      </c>
      <c r="AE129" s="18">
        <f>IFERROR(__xludf.DUMMYFUNCTION("IMPORTRANGE(""https://docs.google.com/spreadsheets/d/""&amp;$A129&amp;""/edit#gid=156619080"",AE$3)"),4962.0)</f>
        <v>4962</v>
      </c>
      <c r="AF129" s="2">
        <f>IFERROR(__xludf.DUMMYFUNCTION("IMPORTRANGE(""https://docs.google.com/spreadsheets/d/""&amp;$A129&amp;""/edit#gid=156619080"",AF$3)"),4859.71)</f>
        <v>4859.71</v>
      </c>
      <c r="AG129" s="2">
        <f>IFERROR(__xludf.DUMMYFUNCTION("IMPORTRANGE(""https://docs.google.com/spreadsheets/d/""&amp;$A129&amp;""/edit#gid=156619080"",AG$3)"),4834.14)</f>
        <v>4834.14</v>
      </c>
      <c r="AH129" s="2">
        <f>IFERROR(__xludf.DUMMYFUNCTION("IMPORTRANGE(""https://docs.google.com/spreadsheets/d/""&amp;$A129&amp;""/edit#gid=156619080"",AH$3)"),4808.57)</f>
        <v>4808.57</v>
      </c>
      <c r="AI129" s="2">
        <f>IFERROR(__xludf.DUMMYFUNCTION("IMPORTRANGE(""https://docs.google.com/spreadsheets/d/""&amp;$A129&amp;""/edit#gid=156619080"",AI$3)"),4783.0)</f>
        <v>4783</v>
      </c>
      <c r="AJ129" s="2">
        <f>IFERROR(__xludf.DUMMYFUNCTION("IMPORTRANGE(""https://docs.google.com/spreadsheets/d/""&amp;$A129&amp;""/edit#gid=156619080"",AJ$3)"),4757.43)</f>
        <v>4757.43</v>
      </c>
      <c r="AK129" s="2" t="str">
        <f>IFERROR(__xludf.DUMMYFUNCTION("IMPORTRANGE(""https://docs.google.com/spreadsheets/d/""&amp;$A129&amp;""/edit#gid=156619080"",AK$3)"),"-1〜-1.25σ")</f>
        <v>-1〜-1.25σ</v>
      </c>
      <c r="AL129" s="2">
        <f>IFERROR(__xludf.DUMMYFUNCTION("IMPORTRANGE(""https://docs.google.com/spreadsheets/d/""&amp;$A129&amp;""/edit#gid=156619080"",AL$3)"),-1.0)</f>
        <v>-1</v>
      </c>
      <c r="AM129" s="2" t="str">
        <f>IFERROR(__xludf.DUMMYFUNCTION("IMPORTRANGE(""https://docs.google.com/spreadsheets/d/""&amp;$A129&amp;""/edit#gid=156619080"",AM$3)"),"")</f>
        <v/>
      </c>
      <c r="AN129" s="2">
        <f>IFERROR(__xludf.DUMMYFUNCTION("IMPORTRANGE(""https://docs.google.com/spreadsheets/d/""&amp;$A129&amp;""/edit#gid=156619080"",AN$3)"),-1.0)</f>
        <v>-1</v>
      </c>
      <c r="AO129" s="2" t="str">
        <f>IFERROR(__xludf.DUMMYFUNCTION("IMPORTRANGE(""https://docs.google.com/spreadsheets/d/""&amp;$A129&amp;""/edit#gid=156619080"",AO$3)"),"")</f>
        <v/>
      </c>
      <c r="AP129" s="2">
        <f>IFERROR(__xludf.DUMMYFUNCTION("IMPORTRANGE(""https://docs.google.com/spreadsheets/d/""&amp;$A129&amp;""/edit#gid=156619080"",AP$3)"),1.0)</f>
        <v>1</v>
      </c>
      <c r="AQ129" s="2" t="str">
        <f>IFERROR(__xludf.DUMMYFUNCTION("IMPORTRANGE(""https://docs.google.com/spreadsheets/d/""&amp;$A129&amp;""/edit#gid=156619080"",AQ$3)"),"")</f>
        <v/>
      </c>
      <c r="AR129" s="18">
        <f>IFERROR(__xludf.DUMMYFUNCTION("IMPORTRANGE(""https://docs.google.com/spreadsheets/d/""&amp;$A129&amp;""/edit#gid=156619080"",AR$3)"),-100.0)</f>
        <v>-100</v>
      </c>
      <c r="AS129" s="19" t="str">
        <f>IFERROR(__xludf.DUMMYFUNCTION("IMPORTRANGE(""https://docs.google.com/spreadsheets/d/""&amp;$A129&amp;""/edit#gid=156619080"",AS$3)"),"-40
-40
-100
-100
")</f>
        <v>-40
-40
-100
-100
</v>
      </c>
      <c r="AT129" s="18">
        <f>IFERROR(__xludf.DUMMYFUNCTION("IMPORTRANGE(""https://docs.google.com/spreadsheets/d/""&amp;$A129&amp;""/edit#gid=156619080"",AT$3)"),-61.53846153846154)</f>
        <v>-61.53846154</v>
      </c>
      <c r="AU129" s="3" t="str">
        <f>IFERROR(__xludf.DUMMYFUNCTION("IMPORTRANGE(""https://docs.google.com/spreadsheets/d/""&amp;$A129&amp;""/edit#gid=156619080"",AU$3)"),"52.61
9.75
-26.51
-44.09
")</f>
        <v>52.61
9.75
-26.51
-44.09
</v>
      </c>
      <c r="AV129" s="18">
        <f>IFERROR(__xludf.DUMMYFUNCTION("IMPORTRANGE(""https://docs.google.com/spreadsheets/d/""&amp;$A129&amp;""/edit#gid=156619080"",AV$3)"),19.318181818181824)</f>
        <v>19.31818182</v>
      </c>
      <c r="AW129" s="19" t="str">
        <f>IFERROR(__xludf.DUMMYFUNCTION("IMPORTRANGE(""https://docs.google.com/spreadsheets/d/""&amp;$A129&amp;""/edit#gid=156619080"",AW$3)"),"30.36
27.37
25.81
23.21
")</f>
        <v>30.36
27.37
25.81
23.21
</v>
      </c>
      <c r="AX129" s="2">
        <f>IFERROR(__xludf.DUMMYFUNCTION("IMPORTRANGE(""https://docs.google.com/spreadsheets/d/""&amp;$A129&amp;""/edit#gid=156619080"",AX$3)"),0.0)</f>
        <v>0</v>
      </c>
      <c r="AY129" s="2">
        <f>IFERROR(__xludf.DUMMYFUNCTION("IMPORTRANGE(""https://docs.google.com/spreadsheets/d/""&amp;$A129&amp;""/edit#gid=156619080"",AY$3)"),41.959999999999994)</f>
        <v>41.96</v>
      </c>
      <c r="AZ129" s="2">
        <f>IFERROR(__xludf.DUMMYFUNCTION("IMPORTRANGE(""https://docs.google.com/spreadsheets/d/""&amp;$A129&amp;""/edit#gid=156619080"",AZ$3)"),4896.21)</f>
        <v>4896.21</v>
      </c>
      <c r="BA129" s="2">
        <f>IFERROR(__xludf.DUMMYFUNCTION("IMPORTRANGE(""https://docs.google.com/spreadsheets/d/""&amp;$A129&amp;""/edit#gid=156619080"",BA$3)"),-41.56999999999971)</f>
        <v>-41.57</v>
      </c>
      <c r="BB129" s="2">
        <f>IFERROR(__xludf.DUMMYFUNCTION("IMPORTRANGE(""https://docs.google.com/spreadsheets/d/""&amp;$A129&amp;""/edit#gid=156619080"",BB$3)"),48.28)</f>
        <v>48.28</v>
      </c>
      <c r="BC129" s="2" t="str">
        <f>IFERROR(__xludf.DUMMYFUNCTION("IMPORTRANGE(""https://docs.google.com/spreadsheets/d/""&amp;$A129&amp;""/edit#gid=156619080"",BC$3)"),"DC→DC")</f>
        <v>DC→DC</v>
      </c>
    </row>
    <row r="130" ht="51.0" customHeight="1">
      <c r="A130" s="7" t="str">
        <f t="shared" si="5"/>
        <v>1M4TzTvAgthSzWUufEZhxNBHoplvhR1IONrvrZj72-iI</v>
      </c>
      <c r="B130" s="1" t="s">
        <v>157</v>
      </c>
      <c r="C130" s="2">
        <f>IFERROR(__xludf.DUMMYFUNCTION("IMPORTRANGE(""https://docs.google.com/spreadsheets/d/""&amp;$A130&amp;""/edit#gid=156619080"",C$3)"),132.0)</f>
        <v>132</v>
      </c>
      <c r="D130" s="2">
        <f>IFERROR(__xludf.DUMMYFUNCTION("IMPORTRANGE(""https://docs.google.com/spreadsheets/d/""&amp;$A130&amp;""/edit#gid=156619080"",D$3)"),7270.0)</f>
        <v>7270</v>
      </c>
      <c r="E130" s="15">
        <f>IFERROR(__xludf.DUMMYFUNCTION("IMPORTRANGE(""https://docs.google.com/spreadsheets/d/""&amp;$A130&amp;""/edit#gid=156619080"",E$3)"),43882.0)</f>
        <v>43882</v>
      </c>
      <c r="F130" s="2">
        <f>IFERROR(__xludf.DUMMYFUNCTION("IMPORTRANGE(""https://docs.google.com/spreadsheets/d/""&amp;$A130&amp;""/edit#gid=156619080"",F$3)"),-17.0)</f>
        <v>-17</v>
      </c>
      <c r="G130" s="16">
        <f>IFERROR(__xludf.DUMMYFUNCTION("IMPORTRANGE(""https://docs.google.com/spreadsheets/d/""&amp;$A130&amp;""/edit#gid=156619080"",G$3)"),-0.58)</f>
        <v>-0.58</v>
      </c>
      <c r="H130" s="16">
        <f>IFERROR(__xludf.DUMMYFUNCTION("IMPORTRANGE(""https://docs.google.com/spreadsheets/d/""&amp;$A130&amp;""/edit#gid=156619080"",H$3)"),2922.0)</f>
        <v>2922</v>
      </c>
      <c r="I130" s="16">
        <f>IFERROR(__xludf.DUMMYFUNCTION("IMPORTRANGE(""https://docs.google.com/spreadsheets/d/""&amp;$A130&amp;""/edit#gid=156619080"",I$3)"),0.5)</f>
        <v>0.5</v>
      </c>
      <c r="J130" s="16">
        <f>IFERROR(__xludf.DUMMYFUNCTION("IMPORTRANGE(""https://docs.google.com/spreadsheets/d/""&amp;$A130&amp;""/edit#gid=156619080"",J$3)"),2945.0)</f>
        <v>2945</v>
      </c>
      <c r="K130" s="16">
        <f>IFERROR(__xludf.DUMMYFUNCTION("IMPORTRANGE(""https://docs.google.com/spreadsheets/d/""&amp;$A130&amp;""/edit#gid=156619080"",K$3)"),0.39652777777777776)</f>
        <v>0.3965277778</v>
      </c>
      <c r="L130" s="16">
        <f>IFERROR(__xludf.DUMMYFUNCTION("IMPORTRANGE(""https://docs.google.com/spreadsheets/d/""&amp;$A130&amp;""/edit#gid=156619080"",L$3)"),2904.5)</f>
        <v>2904.5</v>
      </c>
      <c r="M130" s="16">
        <f>IFERROR(__xludf.DUMMYFUNCTION("IMPORTRANGE(""https://docs.google.com/spreadsheets/d/""&amp;$A130&amp;""/edit#gid=156619080"",M$3)"),0.375)</f>
        <v>0.375</v>
      </c>
      <c r="N130" s="16">
        <f>IFERROR(__xludf.DUMMYFUNCTION("IMPORTRANGE(""https://docs.google.com/spreadsheets/d/""&amp;$A130&amp;""/edit#gid=156619080"",N$3)"),2905.5)</f>
        <v>2905.5</v>
      </c>
      <c r="O130" s="16" t="str">
        <f>IFERROR(__xludf.DUMMYFUNCTION("IMPORTRANGE(""https://docs.google.com/spreadsheets/d/""&amp;$A130&amp;""/edit#gid=156619080"",O$3)"),"2983000株")</f>
        <v>2983000株</v>
      </c>
      <c r="P130" s="16" t="str">
        <f>IFERROR(__xludf.DUMMYFUNCTION("IMPORTRANGE(""https://docs.google.com/spreadsheets/d/""&amp;$A130&amp;""/edit#gid=156619080"",P$3)"),"8709百万円")</f>
        <v>8709百万円</v>
      </c>
      <c r="Q130" s="16" t="str">
        <f>IFERROR(__xludf.DUMMYFUNCTION("IMPORTRANGE(""https://docs.google.com/spreadsheets/d/""&amp;$A130&amp;""/edit#gid=156619080"",Q$3)"),"4955回")</f>
        <v>4955回</v>
      </c>
      <c r="R130" s="16" t="str">
        <f>IFERROR(__xludf.DUMMYFUNCTION("IMPORTRANGE(""https://docs.google.com/spreadsheets/d/""&amp;$A130&amp;""/edit#gid=156619080"",R$3)"),"22348億円")</f>
        <v>22348億円</v>
      </c>
      <c r="S130" s="16" t="str">
        <f>IFERROR(__xludf.DUMMYFUNCTION("IMPORTRANGE(""https://docs.google.com/spreadsheets/d/""&amp;$A130&amp;""/edit#gid=156619080"",S$3)"),"陰線")</f>
        <v>陰線</v>
      </c>
      <c r="T130" s="16" t="str">
        <f>IFERROR(__xludf.DUMMYFUNCTION("IMPORTRANGE(""https://docs.google.com/spreadsheets/d/""&amp;$A130&amp;""/edit#gid=156619080"",T$3)"),"")</f>
        <v/>
      </c>
      <c r="U130" s="16">
        <f>IFERROR(__xludf.DUMMYFUNCTION("IMPORTRANGE(""https://docs.google.com/spreadsheets/d/""&amp;$A130&amp;""/edit#gid=156619080"",U$3)"),2876.1)</f>
        <v>2876.1</v>
      </c>
      <c r="V130" s="16">
        <f>IFERROR(__xludf.DUMMYFUNCTION("IMPORTRANGE(""https://docs.google.com/spreadsheets/d/""&amp;$A130&amp;""/edit#gid=156619080"",V$3)"),2829.7)</f>
        <v>2829.7</v>
      </c>
      <c r="W130" s="16">
        <f>IFERROR(__xludf.DUMMYFUNCTION("IMPORTRANGE(""https://docs.google.com/spreadsheets/d/""&amp;$A130&amp;""/edit#gid=156619080"",W$3)"),2805.6)</f>
        <v>2805.6</v>
      </c>
      <c r="X130" s="2">
        <f>IFERROR(__xludf.DUMMYFUNCTION("IMPORTRANGE(""https://docs.google.com/spreadsheets/d/""&amp;$A130&amp;""/edit#gid=156619080"",X$3)"),2864.3)</f>
        <v>2864.3</v>
      </c>
      <c r="Y130" s="17">
        <f>IFERROR(__xludf.DUMMYFUNCTION("IMPORTRANGE(""https://docs.google.com/spreadsheets/d/""&amp;$A130&amp;""/edit#gid=156619080"",Y$3)"),0.010222175863148044)</f>
        <v>0.01022217586</v>
      </c>
      <c r="Z130" s="2">
        <f>IFERROR(__xludf.DUMMYFUNCTION("IMPORTRANGE(""https://docs.google.com/spreadsheets/d/""&amp;$A130&amp;""/edit#gid=156619080"",Z$3)"),2927.46)</f>
        <v>2927.46</v>
      </c>
      <c r="AA130" s="2">
        <f>IFERROR(__xludf.DUMMYFUNCTION("IMPORTRANGE(""https://docs.google.com/spreadsheets/d/""&amp;$A130&amp;""/edit#gid=156619080"",AA$3)"),2912.23)</f>
        <v>2912.23</v>
      </c>
      <c r="AB130" s="2">
        <f>IFERROR(__xludf.DUMMYFUNCTION("IMPORTRANGE(""https://docs.google.com/spreadsheets/d/""&amp;$A130&amp;""/edit#gid=156619080"",AB$3)"),2897.0)</f>
        <v>2897</v>
      </c>
      <c r="AC130" s="18">
        <f>IFERROR(__xludf.DUMMYFUNCTION("IMPORTRANGE(""https://docs.google.com/spreadsheets/d/""&amp;$A130&amp;""/edit#gid=156619080"",AC$3)"),2881.76)</f>
        <v>2881.76</v>
      </c>
      <c r="AD130" s="18">
        <f>IFERROR(__xludf.DUMMYFUNCTION("IMPORTRANGE(""https://docs.google.com/spreadsheets/d/""&amp;$A130&amp;""/edit#gid=156619080"",AD$3)"),2866.53)</f>
        <v>2866.53</v>
      </c>
      <c r="AE130" s="18">
        <f>IFERROR(__xludf.DUMMYFUNCTION("IMPORTRANGE(""https://docs.google.com/spreadsheets/d/""&amp;$A130&amp;""/edit#gid=156619080"",AE$3)"),2805.6)</f>
        <v>2805.6</v>
      </c>
      <c r="AF130" s="2">
        <f>IFERROR(__xludf.DUMMYFUNCTION("IMPORTRANGE(""https://docs.google.com/spreadsheets/d/""&amp;$A130&amp;""/edit#gid=156619080"",AF$3)"),2744.67)</f>
        <v>2744.67</v>
      </c>
      <c r="AG130" s="2">
        <f>IFERROR(__xludf.DUMMYFUNCTION("IMPORTRANGE(""https://docs.google.com/spreadsheets/d/""&amp;$A130&amp;""/edit#gid=156619080"",AG$3)"),2729.44)</f>
        <v>2729.44</v>
      </c>
      <c r="AH130" s="2">
        <f>IFERROR(__xludf.DUMMYFUNCTION("IMPORTRANGE(""https://docs.google.com/spreadsheets/d/""&amp;$A130&amp;""/edit#gid=156619080"",AH$3)"),2714.2)</f>
        <v>2714.2</v>
      </c>
      <c r="AI130" s="2">
        <f>IFERROR(__xludf.DUMMYFUNCTION("IMPORTRANGE(""https://docs.google.com/spreadsheets/d/""&amp;$A130&amp;""/edit#gid=156619080"",AI$3)"),2698.97)</f>
        <v>2698.97</v>
      </c>
      <c r="AJ130" s="2">
        <f>IFERROR(__xludf.DUMMYFUNCTION("IMPORTRANGE(""https://docs.google.com/spreadsheets/d/""&amp;$A130&amp;""/edit#gid=156619080"",AJ$3)"),2683.74)</f>
        <v>2683.74</v>
      </c>
      <c r="AK130" s="2" t="str">
        <f>IFERROR(__xludf.DUMMYFUNCTION("IMPORTRANGE(""https://docs.google.com/spreadsheets/d/""&amp;$A130&amp;""/edit#gid=156619080"",AK$3)"),"1.5σ〜1.75σ")</f>
        <v>1.5σ〜1.75σ</v>
      </c>
      <c r="AL130" s="2">
        <f>IFERROR(__xludf.DUMMYFUNCTION("IMPORTRANGE(""https://docs.google.com/spreadsheets/d/""&amp;$A130&amp;""/edit#gid=156619080"",AL$3)"),1.0)</f>
        <v>1</v>
      </c>
      <c r="AM130" s="2" t="str">
        <f>IFERROR(__xludf.DUMMYFUNCTION("IMPORTRANGE(""https://docs.google.com/spreadsheets/d/""&amp;$A130&amp;""/edit#gid=156619080"",AM$3)"),"")</f>
        <v/>
      </c>
      <c r="AN130" s="2">
        <f>IFERROR(__xludf.DUMMYFUNCTION("IMPORTRANGE(""https://docs.google.com/spreadsheets/d/""&amp;$A130&amp;""/edit#gid=156619080"",AN$3)"),1.0)</f>
        <v>1</v>
      </c>
      <c r="AO130" s="2" t="str">
        <f>IFERROR(__xludf.DUMMYFUNCTION("IMPORTRANGE(""https://docs.google.com/spreadsheets/d/""&amp;$A130&amp;""/edit#gid=156619080"",AO$3)"),"")</f>
        <v/>
      </c>
      <c r="AP130" s="2">
        <f>IFERROR(__xludf.DUMMYFUNCTION("IMPORTRANGE(""https://docs.google.com/spreadsheets/d/""&amp;$A130&amp;""/edit#gid=156619080"",AP$3)"),1.0)</f>
        <v>1</v>
      </c>
      <c r="AQ130" s="2" t="str">
        <f>IFERROR(__xludf.DUMMYFUNCTION("IMPORTRANGE(""https://docs.google.com/spreadsheets/d/""&amp;$A130&amp;""/edit#gid=156619080"",AQ$3)"),"")</f>
        <v/>
      </c>
      <c r="AR130" s="18">
        <f>IFERROR(__xludf.DUMMYFUNCTION("IMPORTRANGE(""https://docs.google.com/spreadsheets/d/""&amp;$A130&amp;""/edit#gid=156619080"",AR$3)"),80.0)</f>
        <v>80</v>
      </c>
      <c r="AS130" s="19" t="str">
        <f>IFERROR(__xludf.DUMMYFUNCTION("IMPORTRANGE(""https://docs.google.com/spreadsheets/d/""&amp;$A130&amp;""/edit#gid=156619080"",AS$3)"),"70
10
-60
30
")</f>
        <v>70
10
-60
30
</v>
      </c>
      <c r="AT130" s="18">
        <f>IFERROR(__xludf.DUMMYFUNCTION("IMPORTRANGE(""https://docs.google.com/spreadsheets/d/""&amp;$A130&amp;""/edit#gid=156619080"",AT$3)"),88.46153846153845)</f>
        <v>88.46153846</v>
      </c>
      <c r="AU130" s="3" t="str">
        <f>IFERROR(__xludf.DUMMYFUNCTION("IMPORTRANGE(""https://docs.google.com/spreadsheets/d/""&amp;$A130&amp;""/edit#gid=156619080"",AU$3)"),"79.12
82.42
84.07
87.36
")</f>
        <v>79.12
82.42
84.07
87.36
</v>
      </c>
      <c r="AV130" s="18">
        <f>IFERROR(__xludf.DUMMYFUNCTION("IMPORTRANGE(""https://docs.google.com/spreadsheets/d/""&amp;$A130&amp;""/edit#gid=156619080"",AV$3)"),75.45454545454545)</f>
        <v>75.45454545</v>
      </c>
      <c r="AW130" s="19" t="str">
        <f>IFERROR(__xludf.DUMMYFUNCTION("IMPORTRANGE(""https://docs.google.com/spreadsheets/d/""&amp;$A130&amp;""/edit#gid=156619080"",AW$3)"),"-5.58
13.25
32.34
59.61
")</f>
        <v>-5.58
13.25
32.34
59.61
</v>
      </c>
      <c r="AX130" s="2">
        <f>IFERROR(__xludf.DUMMYFUNCTION("IMPORTRANGE(""https://docs.google.com/spreadsheets/d/""&amp;$A130&amp;""/edit#gid=156619080"",AX$3)"),72.35000000000001)</f>
        <v>72.35</v>
      </c>
      <c r="AY130" s="2">
        <f>IFERROR(__xludf.DUMMYFUNCTION("IMPORTRANGE(""https://docs.google.com/spreadsheets/d/""&amp;$A130&amp;""/edit#gid=156619080"",AY$3)"),55.26)</f>
        <v>55.26</v>
      </c>
      <c r="AZ130" s="2">
        <f>IFERROR(__xludf.DUMMYFUNCTION("IMPORTRANGE(""https://docs.google.com/spreadsheets/d/""&amp;$A130&amp;""/edit#gid=156619080"",AZ$3)"),2883.19)</f>
        <v>2883.19</v>
      </c>
      <c r="BA130" s="2">
        <f>IFERROR(__xludf.DUMMYFUNCTION("IMPORTRANGE(""https://docs.google.com/spreadsheets/d/""&amp;$A130&amp;""/edit#gid=156619080"",BA$3)"),57.789999999999964)</f>
        <v>57.79</v>
      </c>
      <c r="BB130" s="2">
        <f>IFERROR(__xludf.DUMMYFUNCTION("IMPORTRANGE(""https://docs.google.com/spreadsheets/d/""&amp;$A130&amp;""/edit#gid=156619080"",BB$3)"),31.77)</f>
        <v>31.77</v>
      </c>
      <c r="BC130" s="2" t="str">
        <f>IFERROR(__xludf.DUMMYFUNCTION("IMPORTRANGE(""https://docs.google.com/spreadsheets/d/""&amp;$A130&amp;""/edit#gid=156619080"",BC$3)"),"GC→GC")</f>
        <v>GC→GC</v>
      </c>
    </row>
    <row r="131" ht="51.0" customHeight="1">
      <c r="A131" s="7" t="str">
        <f t="shared" si="5"/>
        <v>1TZ-reL6l-KaR9DOLkOZ1Ik1GzQrUd3Jt99hwZXV6cUQ</v>
      </c>
      <c r="B131" s="1" t="s">
        <v>158</v>
      </c>
      <c r="C131" s="2">
        <f>IFERROR(__xludf.DUMMYFUNCTION("IMPORTRANGE(""https://docs.google.com/spreadsheets/d/""&amp;$A131&amp;""/edit#gid=156619080"",C$3)"),132.0)</f>
        <v>132</v>
      </c>
      <c r="D131" s="2">
        <f>IFERROR(__xludf.DUMMYFUNCTION("IMPORTRANGE(""https://docs.google.com/spreadsheets/d/""&amp;$A131&amp;""/edit#gid=156619080"",D$3)"),7272.0)</f>
        <v>7272</v>
      </c>
      <c r="E131" s="15">
        <f>IFERROR(__xludf.DUMMYFUNCTION("IMPORTRANGE(""https://docs.google.com/spreadsheets/d/""&amp;$A131&amp;""/edit#gid=156619080"",E$3)"),43882.0)</f>
        <v>43882</v>
      </c>
      <c r="F131" s="2">
        <f>IFERROR(__xludf.DUMMYFUNCTION("IMPORTRANGE(""https://docs.google.com/spreadsheets/d/""&amp;$A131&amp;""/edit#gid=156619080"",F$3)"),-14.0)</f>
        <v>-14</v>
      </c>
      <c r="G131" s="16">
        <f>IFERROR(__xludf.DUMMYFUNCTION("IMPORTRANGE(""https://docs.google.com/spreadsheets/d/""&amp;$A131&amp;""/edit#gid=156619080"",G$3)"),-0.72)</f>
        <v>-0.72</v>
      </c>
      <c r="H131" s="16">
        <f>IFERROR(__xludf.DUMMYFUNCTION("IMPORTRANGE(""https://docs.google.com/spreadsheets/d/""&amp;$A131&amp;""/edit#gid=156619080"",H$3)"),1933.0)</f>
        <v>1933</v>
      </c>
      <c r="I131" s="16">
        <f>IFERROR(__xludf.DUMMYFUNCTION("IMPORTRANGE(""https://docs.google.com/spreadsheets/d/""&amp;$A131&amp;""/edit#gid=156619080"",I$3)"),13.0)</f>
        <v>13</v>
      </c>
      <c r="J131" s="16">
        <f>IFERROR(__xludf.DUMMYFUNCTION("IMPORTRANGE(""https://docs.google.com/spreadsheets/d/""&amp;$A131&amp;""/edit#gid=156619080"",J$3)"),1948.0)</f>
        <v>1948</v>
      </c>
      <c r="K131" s="16">
        <f>IFERROR(__xludf.DUMMYFUNCTION("IMPORTRANGE(""https://docs.google.com/spreadsheets/d/""&amp;$A131&amp;""/edit#gid=156619080"",K$3)"),0.3854166666666667)</f>
        <v>0.3854166667</v>
      </c>
      <c r="L131" s="16">
        <f>IFERROR(__xludf.DUMMYFUNCTION("IMPORTRANGE(""https://docs.google.com/spreadsheets/d/""&amp;$A131&amp;""/edit#gid=156619080"",L$3)"),1925.0)</f>
        <v>1925</v>
      </c>
      <c r="M131" s="16">
        <f>IFERROR(__xludf.DUMMYFUNCTION("IMPORTRANGE(""https://docs.google.com/spreadsheets/d/""&amp;$A131&amp;""/edit#gid=156619080"",M$3)"),0.4201388888888889)</f>
        <v>0.4201388889</v>
      </c>
      <c r="N131" s="16">
        <f>IFERROR(__xludf.DUMMYFUNCTION("IMPORTRANGE(""https://docs.google.com/spreadsheets/d/""&amp;$A131&amp;""/edit#gid=156619080"",N$3)"),1932.0)</f>
        <v>1932</v>
      </c>
      <c r="O131" s="16" t="str">
        <f>IFERROR(__xludf.DUMMYFUNCTION("IMPORTRANGE(""https://docs.google.com/spreadsheets/d/""&amp;$A131&amp;""/edit#gid=156619080"",O$3)"),"1247300株")</f>
        <v>1247300株</v>
      </c>
      <c r="P131" s="16" t="str">
        <f>IFERROR(__xludf.DUMMYFUNCTION("IMPORTRANGE(""https://docs.google.com/spreadsheets/d/""&amp;$A131&amp;""/edit#gid=156619080"",P$3)"),"2416百万円")</f>
        <v>2416百万円</v>
      </c>
      <c r="Q131" s="16" t="str">
        <f>IFERROR(__xludf.DUMMYFUNCTION("IMPORTRANGE(""https://docs.google.com/spreadsheets/d/""&amp;$A131&amp;""/edit#gid=156619080"",Q$3)"),"2436回")</f>
        <v>2436回</v>
      </c>
      <c r="R131" s="16" t="str">
        <f>IFERROR(__xludf.DUMMYFUNCTION("IMPORTRANGE(""https://docs.google.com/spreadsheets/d/""&amp;$A131&amp;""/edit#gid=156619080"",R$3)"),"6762億円")</f>
        <v>6762億円</v>
      </c>
      <c r="S131" s="16" t="str">
        <f>IFERROR(__xludf.DUMMYFUNCTION("IMPORTRANGE(""https://docs.google.com/spreadsheets/d/""&amp;$A131&amp;""/edit#gid=156619080"",S$3)"),"陰線")</f>
        <v>陰線</v>
      </c>
      <c r="T131" s="16" t="str">
        <f>IFERROR(__xludf.DUMMYFUNCTION("IMPORTRANGE(""https://docs.google.com/spreadsheets/d/""&amp;$A131&amp;""/edit#gid=156619080"",T$3)"),"")</f>
        <v/>
      </c>
      <c r="U131" s="16">
        <f>IFERROR(__xludf.DUMMYFUNCTION("IMPORTRANGE(""https://docs.google.com/spreadsheets/d/""&amp;$A131&amp;""/edit#gid=156619080"",U$3)"),1931.0)</f>
        <v>1931</v>
      </c>
      <c r="V131" s="16">
        <f>IFERROR(__xludf.DUMMYFUNCTION("IMPORTRANGE(""https://docs.google.com/spreadsheets/d/""&amp;$A131&amp;""/edit#gid=156619080"",V$3)"),1999.8)</f>
        <v>1999.8</v>
      </c>
      <c r="W131" s="16">
        <f>IFERROR(__xludf.DUMMYFUNCTION("IMPORTRANGE(""https://docs.google.com/spreadsheets/d/""&amp;$A131&amp;""/edit#gid=156619080"",W$3)"),2031.7)</f>
        <v>2031.7</v>
      </c>
      <c r="X131" s="2">
        <f>IFERROR(__xludf.DUMMYFUNCTION("IMPORTRANGE(""https://docs.google.com/spreadsheets/d/""&amp;$A131&amp;""/edit#gid=156619080"",X$3)"),2115.4)</f>
        <v>2115.4</v>
      </c>
      <c r="Y131" s="17">
        <f>IFERROR(__xludf.DUMMYFUNCTION("IMPORTRANGE(""https://docs.google.com/spreadsheets/d/""&amp;$A131&amp;""/edit#gid=156619080"",Y$3)"),5.178663904712584E-4)</f>
        <v>0.0005178663905</v>
      </c>
      <c r="Z131" s="2">
        <f>IFERROR(__xludf.DUMMYFUNCTION("IMPORTRANGE(""https://docs.google.com/spreadsheets/d/""&amp;$A131&amp;""/edit#gid=156619080"",Z$3)"),2177.57)</f>
        <v>2177.57</v>
      </c>
      <c r="AA131" s="2">
        <f>IFERROR(__xludf.DUMMYFUNCTION("IMPORTRANGE(""https://docs.google.com/spreadsheets/d/""&amp;$A131&amp;""/edit#gid=156619080"",AA$3)"),2159.34)</f>
        <v>2159.34</v>
      </c>
      <c r="AB131" s="2">
        <f>IFERROR(__xludf.DUMMYFUNCTION("IMPORTRANGE(""https://docs.google.com/spreadsheets/d/""&amp;$A131&amp;""/edit#gid=156619080"",AB$3)"),2141.1)</f>
        <v>2141.1</v>
      </c>
      <c r="AC131" s="18">
        <f>IFERROR(__xludf.DUMMYFUNCTION("IMPORTRANGE(""https://docs.google.com/spreadsheets/d/""&amp;$A131&amp;""/edit#gid=156619080"",AC$3)"),2122.87)</f>
        <v>2122.87</v>
      </c>
      <c r="AD131" s="18">
        <f>IFERROR(__xludf.DUMMYFUNCTION("IMPORTRANGE(""https://docs.google.com/spreadsheets/d/""&amp;$A131&amp;""/edit#gid=156619080"",AD$3)"),2104.63)</f>
        <v>2104.63</v>
      </c>
      <c r="AE131" s="18">
        <f>IFERROR(__xludf.DUMMYFUNCTION("IMPORTRANGE(""https://docs.google.com/spreadsheets/d/""&amp;$A131&amp;""/edit#gid=156619080"",AE$3)"),2031.7)</f>
        <v>2031.7</v>
      </c>
      <c r="AF131" s="2">
        <f>IFERROR(__xludf.DUMMYFUNCTION("IMPORTRANGE(""https://docs.google.com/spreadsheets/d/""&amp;$A131&amp;""/edit#gid=156619080"",AF$3)"),1958.77)</f>
        <v>1958.77</v>
      </c>
      <c r="AG131" s="2">
        <f>IFERROR(__xludf.DUMMYFUNCTION("IMPORTRANGE(""https://docs.google.com/spreadsheets/d/""&amp;$A131&amp;""/edit#gid=156619080"",AG$3)"),1940.53)</f>
        <v>1940.53</v>
      </c>
      <c r="AH131" s="2">
        <f>IFERROR(__xludf.DUMMYFUNCTION("IMPORTRANGE(""https://docs.google.com/spreadsheets/d/""&amp;$A131&amp;""/edit#gid=156619080"",AH$3)"),1922.3)</f>
        <v>1922.3</v>
      </c>
      <c r="AI131" s="2">
        <f>IFERROR(__xludf.DUMMYFUNCTION("IMPORTRANGE(""https://docs.google.com/spreadsheets/d/""&amp;$A131&amp;""/edit#gid=156619080"",AI$3)"),1904.06)</f>
        <v>1904.06</v>
      </c>
      <c r="AJ131" s="2">
        <f>IFERROR(__xludf.DUMMYFUNCTION("IMPORTRANGE(""https://docs.google.com/spreadsheets/d/""&amp;$A131&amp;""/edit#gid=156619080"",AJ$3)"),1885.83)</f>
        <v>1885.83</v>
      </c>
      <c r="AK131" s="2" t="str">
        <f>IFERROR(__xludf.DUMMYFUNCTION("IMPORTRANGE(""https://docs.google.com/spreadsheets/d/""&amp;$A131&amp;""/edit#gid=156619080"",AK$3)"),"-1.25σ〜-1.5σ")</f>
        <v>-1.25σ〜-1.5σ</v>
      </c>
      <c r="AL131" s="2">
        <f>IFERROR(__xludf.DUMMYFUNCTION("IMPORTRANGE(""https://docs.google.com/spreadsheets/d/""&amp;$A131&amp;""/edit#gid=156619080"",AL$3)"),-1.0)</f>
        <v>-1</v>
      </c>
      <c r="AM131" s="2" t="str">
        <f>IFERROR(__xludf.DUMMYFUNCTION("IMPORTRANGE(""https://docs.google.com/spreadsheets/d/""&amp;$A131&amp;""/edit#gid=156619080"",AM$3)"),"")</f>
        <v/>
      </c>
      <c r="AN131" s="2">
        <f>IFERROR(__xludf.DUMMYFUNCTION("IMPORTRANGE(""https://docs.google.com/spreadsheets/d/""&amp;$A131&amp;""/edit#gid=156619080"",AN$3)"),-1.0)</f>
        <v>-1</v>
      </c>
      <c r="AO131" s="2" t="str">
        <f>IFERROR(__xludf.DUMMYFUNCTION("IMPORTRANGE(""https://docs.google.com/spreadsheets/d/""&amp;$A131&amp;""/edit#gid=156619080"",AO$3)"),"")</f>
        <v/>
      </c>
      <c r="AP131" s="2">
        <f>IFERROR(__xludf.DUMMYFUNCTION("IMPORTRANGE(""https://docs.google.com/spreadsheets/d/""&amp;$A131&amp;""/edit#gid=156619080"",AP$3)"),-1.0)</f>
        <v>-1</v>
      </c>
      <c r="AQ131" s="2" t="str">
        <f>IFERROR(__xludf.DUMMYFUNCTION("IMPORTRANGE(""https://docs.google.com/spreadsheets/d/""&amp;$A131&amp;""/edit#gid=156619080"",AQ$3)"),"")</f>
        <v/>
      </c>
      <c r="AR131" s="18">
        <f>IFERROR(__xludf.DUMMYFUNCTION("IMPORTRANGE(""https://docs.google.com/spreadsheets/d/""&amp;$A131&amp;""/edit#gid=156619080"",AR$3)"),9.999999999999998)</f>
        <v>10</v>
      </c>
      <c r="AS131" s="19" t="str">
        <f>IFERROR(__xludf.DUMMYFUNCTION("IMPORTRANGE(""https://docs.google.com/spreadsheets/d/""&amp;$A131&amp;""/edit#gid=156619080"",AS$3)"),"-90
-90
-90
-40
")</f>
        <v>-90
-90
-90
-40
</v>
      </c>
      <c r="AT131" s="18">
        <f>IFERROR(__xludf.DUMMYFUNCTION("IMPORTRANGE(""https://docs.google.com/spreadsheets/d/""&amp;$A131&amp;""/edit#gid=156619080"",AT$3)"),-81.86813186813187)</f>
        <v>-81.86813187</v>
      </c>
      <c r="AU131" s="3" t="str">
        <f>IFERROR(__xludf.DUMMYFUNCTION("IMPORTRANGE(""https://docs.google.com/spreadsheets/d/""&amp;$A131&amp;""/edit#gid=156619080"",AU$3)"),"-41.76
-48.9
-67.03
-73.63
")</f>
        <v>-41.76
-48.9
-67.03
-73.63
</v>
      </c>
      <c r="AV131" s="18">
        <f>IFERROR(__xludf.DUMMYFUNCTION("IMPORTRANGE(""https://docs.google.com/spreadsheets/d/""&amp;$A131&amp;""/edit#gid=156619080"",AV$3)"),-79.9025974025974)</f>
        <v>-79.9025974</v>
      </c>
      <c r="AW131" s="19" t="str">
        <f>IFERROR(__xludf.DUMMYFUNCTION("IMPORTRANGE(""https://docs.google.com/spreadsheets/d/""&amp;$A131&amp;""/edit#gid=156619080"",AW$3)"),"-81.2
-81.33
-81.33
-80.55
")</f>
        <v>-81.2
-81.33
-81.33
-80.55
</v>
      </c>
      <c r="AX131" s="2">
        <f>IFERROR(__xludf.DUMMYFUNCTION("IMPORTRANGE(""https://docs.google.com/spreadsheets/d/""&amp;$A131&amp;""/edit#gid=156619080"",AX$3)"),36.0)</f>
        <v>36</v>
      </c>
      <c r="AY131" s="2">
        <f>IFERROR(__xludf.DUMMYFUNCTION("IMPORTRANGE(""https://docs.google.com/spreadsheets/d/""&amp;$A131&amp;""/edit#gid=156619080"",AY$3)"),26.650000000000002)</f>
        <v>26.65</v>
      </c>
      <c r="AZ131" s="2">
        <f>IFERROR(__xludf.DUMMYFUNCTION("IMPORTRANGE(""https://docs.google.com/spreadsheets/d/""&amp;$A131&amp;""/edit#gid=156619080"",AZ$3)"),1942.15)</f>
        <v>1942.15</v>
      </c>
      <c r="BA131" s="2">
        <f>IFERROR(__xludf.DUMMYFUNCTION("IMPORTRANGE(""https://docs.google.com/spreadsheets/d/""&amp;$A131&amp;""/edit#gid=156619080"",BA$3)"),-81.27999999999997)</f>
        <v>-81.28</v>
      </c>
      <c r="BB131" s="2">
        <f>IFERROR(__xludf.DUMMYFUNCTION("IMPORTRANGE(""https://docs.google.com/spreadsheets/d/""&amp;$A131&amp;""/edit#gid=156619080"",BB$3)"),-70.06)</f>
        <v>-70.06</v>
      </c>
      <c r="BC131" s="2" t="str">
        <f>IFERROR(__xludf.DUMMYFUNCTION("IMPORTRANGE(""https://docs.google.com/spreadsheets/d/""&amp;$A131&amp;""/edit#gid=156619080"",BC$3)"),"DC→DC")</f>
        <v>DC→DC</v>
      </c>
    </row>
    <row r="132" ht="51.0" customHeight="1">
      <c r="A132" s="7" t="str">
        <f t="shared" si="5"/>
        <v>1VOKdBCAXJ_Dy44uJ4sgISixXJpu1guZqK31TOsjkiSY</v>
      </c>
      <c r="B132" s="1" t="s">
        <v>159</v>
      </c>
      <c r="C132" s="2">
        <f>IFERROR(__xludf.DUMMYFUNCTION("IMPORTRANGE(""https://docs.google.com/spreadsheets/d/""&amp;$A132&amp;""/edit#gid=156619080"",C$3)"),132.0)</f>
        <v>132</v>
      </c>
      <c r="D132" s="2">
        <f>IFERROR(__xludf.DUMMYFUNCTION("IMPORTRANGE(""https://docs.google.com/spreadsheets/d/""&amp;$A132&amp;""/edit#gid=156619080"",D$3)"),4543.0)</f>
        <v>4543</v>
      </c>
      <c r="E132" s="15">
        <f>IFERROR(__xludf.DUMMYFUNCTION("IMPORTRANGE(""https://docs.google.com/spreadsheets/d/""&amp;$A132&amp;""/edit#gid=156619080"",E$3)"),43882.0)</f>
        <v>43882</v>
      </c>
      <c r="F132" s="2">
        <f>IFERROR(__xludf.DUMMYFUNCTION("IMPORTRANGE(""https://docs.google.com/spreadsheets/d/""&amp;$A132&amp;""/edit#gid=156619080"",F$3)"),-69.0)</f>
        <v>-69</v>
      </c>
      <c r="G132" s="16">
        <f>IFERROR(__xludf.DUMMYFUNCTION("IMPORTRANGE(""https://docs.google.com/spreadsheets/d/""&amp;$A132&amp;""/edit#gid=156619080"",G$3)"),-1.8)</f>
        <v>-1.8</v>
      </c>
      <c r="H132" s="16">
        <f>IFERROR(__xludf.DUMMYFUNCTION("IMPORTRANGE(""https://docs.google.com/spreadsheets/d/""&amp;$A132&amp;""/edit#gid=156619080"",H$3)"),3826.0)</f>
        <v>3826</v>
      </c>
      <c r="I132" s="16">
        <f>IFERROR(__xludf.DUMMYFUNCTION("IMPORTRANGE(""https://docs.google.com/spreadsheets/d/""&amp;$A132&amp;""/edit#gid=156619080"",I$3)"),18.0)</f>
        <v>18</v>
      </c>
      <c r="J132" s="16">
        <f>IFERROR(__xludf.DUMMYFUNCTION("IMPORTRANGE(""https://docs.google.com/spreadsheets/d/""&amp;$A132&amp;""/edit#gid=156619080"",J$3)"),3844.0)</f>
        <v>3844</v>
      </c>
      <c r="K132" s="16">
        <f>IFERROR(__xludf.DUMMYFUNCTION("IMPORTRANGE(""https://docs.google.com/spreadsheets/d/""&amp;$A132&amp;""/edit#gid=156619080"",K$3)"),0.375)</f>
        <v>0.375</v>
      </c>
      <c r="L132" s="16">
        <f>IFERROR(__xludf.DUMMYFUNCTION("IMPORTRANGE(""https://docs.google.com/spreadsheets/d/""&amp;$A132&amp;""/edit#gid=156619080"",L$3)"),3774.0)</f>
        <v>3774</v>
      </c>
      <c r="M132" s="16">
        <f>IFERROR(__xludf.DUMMYFUNCTION("IMPORTRANGE(""https://docs.google.com/spreadsheets/d/""&amp;$A132&amp;""/edit#gid=156619080"",M$3)"),0.5673611111111111)</f>
        <v>0.5673611111</v>
      </c>
      <c r="N132" s="16">
        <f>IFERROR(__xludf.DUMMYFUNCTION("IMPORTRANGE(""https://docs.google.com/spreadsheets/d/""&amp;$A132&amp;""/edit#gid=156619080"",N$3)"),3775.0)</f>
        <v>3775</v>
      </c>
      <c r="O132" s="16" t="str">
        <f>IFERROR(__xludf.DUMMYFUNCTION("IMPORTRANGE(""https://docs.google.com/spreadsheets/d/""&amp;$A132&amp;""/edit#gid=156619080"",O$3)"),"1366700株")</f>
        <v>1366700株</v>
      </c>
      <c r="P132" s="16" t="str">
        <f>IFERROR(__xludf.DUMMYFUNCTION("IMPORTRANGE(""https://docs.google.com/spreadsheets/d/""&amp;$A132&amp;""/edit#gid=156619080"",P$3)"),"5188百万円")</f>
        <v>5188百万円</v>
      </c>
      <c r="Q132" s="16" t="str">
        <f>IFERROR(__xludf.DUMMYFUNCTION("IMPORTRANGE(""https://docs.google.com/spreadsheets/d/""&amp;$A132&amp;""/edit#gid=156619080"",Q$3)"),"3290回")</f>
        <v>3290回</v>
      </c>
      <c r="R132" s="16" t="str">
        <f>IFERROR(__xludf.DUMMYFUNCTION("IMPORTRANGE(""https://docs.google.com/spreadsheets/d/""&amp;$A132&amp;""/edit#gid=156619080"",R$3)"),"28672億円")</f>
        <v>28672億円</v>
      </c>
      <c r="S132" s="16" t="str">
        <f>IFERROR(__xludf.DUMMYFUNCTION("IMPORTRANGE(""https://docs.google.com/spreadsheets/d/""&amp;$A132&amp;""/edit#gid=156619080"",S$3)"),"陰線")</f>
        <v>陰線</v>
      </c>
      <c r="T132" s="16" t="str">
        <f>IFERROR(__xludf.DUMMYFUNCTION("IMPORTRANGE(""https://docs.google.com/spreadsheets/d/""&amp;$A132&amp;""/edit#gid=156619080"",T$3)"),"")</f>
        <v/>
      </c>
      <c r="U132" s="16">
        <f>IFERROR(__xludf.DUMMYFUNCTION("IMPORTRANGE(""https://docs.google.com/spreadsheets/d/""&amp;$A132&amp;""/edit#gid=156619080"",U$3)"),3805.6)</f>
        <v>3805.6</v>
      </c>
      <c r="V132" s="16">
        <f>IFERROR(__xludf.DUMMYFUNCTION("IMPORTRANGE(""https://docs.google.com/spreadsheets/d/""&amp;$A132&amp;""/edit#gid=156619080"",V$3)"),3886.7)</f>
        <v>3886.7</v>
      </c>
      <c r="W132" s="16">
        <f>IFERROR(__xludf.DUMMYFUNCTION("IMPORTRANGE(""https://docs.google.com/spreadsheets/d/""&amp;$A132&amp;""/edit#gid=156619080"",W$3)"),3906.5)</f>
        <v>3906.5</v>
      </c>
      <c r="X132" s="2">
        <f>IFERROR(__xludf.DUMMYFUNCTION("IMPORTRANGE(""https://docs.google.com/spreadsheets/d/""&amp;$A132&amp;""/edit#gid=156619080"",X$3)"),3701.2)</f>
        <v>3701.2</v>
      </c>
      <c r="Y132" s="17">
        <f>IFERROR(__xludf.DUMMYFUNCTION("IMPORTRANGE(""https://docs.google.com/spreadsheets/d/""&amp;$A132&amp;""/edit#gid=156619080"",Y$3)"),-0.008040782005465605)</f>
        <v>-0.008040782005</v>
      </c>
      <c r="Z132" s="2">
        <f>IFERROR(__xludf.DUMMYFUNCTION("IMPORTRANGE(""https://docs.google.com/spreadsheets/d/""&amp;$A132&amp;""/edit#gid=156619080"",Z$3)"),4051.08)</f>
        <v>4051.08</v>
      </c>
      <c r="AA132" s="2">
        <f>IFERROR(__xludf.DUMMYFUNCTION("IMPORTRANGE(""https://docs.google.com/spreadsheets/d/""&amp;$A132&amp;""/edit#gid=156619080"",AA$3)"),4033.01)</f>
        <v>4033.01</v>
      </c>
      <c r="AB132" s="2">
        <f>IFERROR(__xludf.DUMMYFUNCTION("IMPORTRANGE(""https://docs.google.com/spreadsheets/d/""&amp;$A132&amp;""/edit#gid=156619080"",AB$3)"),4014.93)</f>
        <v>4014.93</v>
      </c>
      <c r="AC132" s="18">
        <f>IFERROR(__xludf.DUMMYFUNCTION("IMPORTRANGE(""https://docs.google.com/spreadsheets/d/""&amp;$A132&amp;""/edit#gid=156619080"",AC$3)"),3996.86)</f>
        <v>3996.86</v>
      </c>
      <c r="AD132" s="18">
        <f>IFERROR(__xludf.DUMMYFUNCTION("IMPORTRANGE(""https://docs.google.com/spreadsheets/d/""&amp;$A132&amp;""/edit#gid=156619080"",AD$3)"),3978.79)</f>
        <v>3978.79</v>
      </c>
      <c r="AE132" s="18">
        <f>IFERROR(__xludf.DUMMYFUNCTION("IMPORTRANGE(""https://docs.google.com/spreadsheets/d/""&amp;$A132&amp;""/edit#gid=156619080"",AE$3)"),3906.5)</f>
        <v>3906.5</v>
      </c>
      <c r="AF132" s="2">
        <f>IFERROR(__xludf.DUMMYFUNCTION("IMPORTRANGE(""https://docs.google.com/spreadsheets/d/""&amp;$A132&amp;""/edit#gid=156619080"",AF$3)"),3834.21)</f>
        <v>3834.21</v>
      </c>
      <c r="AG132" s="2">
        <f>IFERROR(__xludf.DUMMYFUNCTION("IMPORTRANGE(""https://docs.google.com/spreadsheets/d/""&amp;$A132&amp;""/edit#gid=156619080"",AG$3)"),3816.14)</f>
        <v>3816.14</v>
      </c>
      <c r="AH132" s="2">
        <f>IFERROR(__xludf.DUMMYFUNCTION("IMPORTRANGE(""https://docs.google.com/spreadsheets/d/""&amp;$A132&amp;""/edit#gid=156619080"",AH$3)"),3798.07)</f>
        <v>3798.07</v>
      </c>
      <c r="AI132" s="2">
        <f>IFERROR(__xludf.DUMMYFUNCTION("IMPORTRANGE(""https://docs.google.com/spreadsheets/d/""&amp;$A132&amp;""/edit#gid=156619080"",AI$3)"),3779.99)</f>
        <v>3779.99</v>
      </c>
      <c r="AJ132" s="2">
        <f>IFERROR(__xludf.DUMMYFUNCTION("IMPORTRANGE(""https://docs.google.com/spreadsheets/d/""&amp;$A132&amp;""/edit#gid=156619080"",AJ$3)"),3761.92)</f>
        <v>3761.92</v>
      </c>
      <c r="AK132" s="2" t="str">
        <f>IFERROR(__xludf.DUMMYFUNCTION("IMPORTRANGE(""https://docs.google.com/spreadsheets/d/""&amp;$A132&amp;""/edit#gid=156619080"",AK$3)"),"-1.75σ〜-2σ")</f>
        <v>-1.75σ〜-2σ</v>
      </c>
      <c r="AL132" s="2">
        <f>IFERROR(__xludf.DUMMYFUNCTION("IMPORTRANGE(""https://docs.google.com/spreadsheets/d/""&amp;$A132&amp;""/edit#gid=156619080"",AL$3)"),-1.0)</f>
        <v>-1</v>
      </c>
      <c r="AM132" s="2" t="str">
        <f>IFERROR(__xludf.DUMMYFUNCTION("IMPORTRANGE(""https://docs.google.com/spreadsheets/d/""&amp;$A132&amp;""/edit#gid=156619080"",AM$3)"),"")</f>
        <v/>
      </c>
      <c r="AN132" s="2">
        <f>IFERROR(__xludf.DUMMYFUNCTION("IMPORTRANGE(""https://docs.google.com/spreadsheets/d/""&amp;$A132&amp;""/edit#gid=156619080"",AN$3)"),-1.0)</f>
        <v>-1</v>
      </c>
      <c r="AO132" s="2" t="str">
        <f>IFERROR(__xludf.DUMMYFUNCTION("IMPORTRANGE(""https://docs.google.com/spreadsheets/d/""&amp;$A132&amp;""/edit#gid=156619080"",AO$3)"),"")</f>
        <v/>
      </c>
      <c r="AP132" s="2">
        <f>IFERROR(__xludf.DUMMYFUNCTION("IMPORTRANGE(""https://docs.google.com/spreadsheets/d/""&amp;$A132&amp;""/edit#gid=156619080"",AP$3)"),-1.0)</f>
        <v>-1</v>
      </c>
      <c r="AQ132" s="2" t="str">
        <f>IFERROR(__xludf.DUMMYFUNCTION("IMPORTRANGE(""https://docs.google.com/spreadsheets/d/""&amp;$A132&amp;""/edit#gid=156619080"",AQ$3)"),"")</f>
        <v/>
      </c>
      <c r="AR132" s="18">
        <f>IFERROR(__xludf.DUMMYFUNCTION("IMPORTRANGE(""https://docs.google.com/spreadsheets/d/""&amp;$A132&amp;""/edit#gid=156619080"",AR$3)"),0.0)</f>
        <v>0</v>
      </c>
      <c r="AS132" s="19" t="str">
        <f>IFERROR(__xludf.DUMMYFUNCTION("IMPORTRANGE(""https://docs.google.com/spreadsheets/d/""&amp;$A132&amp;""/edit#gid=156619080"",AS$3)"),"-90
-90
-90
-30
")</f>
        <v>-90
-90
-90
-30
</v>
      </c>
      <c r="AT132" s="18">
        <f>IFERROR(__xludf.DUMMYFUNCTION("IMPORTRANGE(""https://docs.google.com/spreadsheets/d/""&amp;$A132&amp;""/edit#gid=156619080"",AT$3)"),-77.33516483516483)</f>
        <v>-77.33516484</v>
      </c>
      <c r="AU132" s="3" t="str">
        <f>IFERROR(__xludf.DUMMYFUNCTION("IMPORTRANGE(""https://docs.google.com/spreadsheets/d/""&amp;$A132&amp;""/edit#gid=156619080"",AU$3)"),"-44.37
-48.76
-60.85
-59.75
")</f>
        <v>-44.37
-48.76
-60.85
-59.75
</v>
      </c>
      <c r="AV132" s="18">
        <f>IFERROR(__xludf.DUMMYFUNCTION("IMPORTRANGE(""https://docs.google.com/spreadsheets/d/""&amp;$A132&amp;""/edit#gid=156619080"",AV$3)"),-69.54545454545456)</f>
        <v>-69.54545455</v>
      </c>
      <c r="AW132" s="19" t="str">
        <f>IFERROR(__xludf.DUMMYFUNCTION("IMPORTRANGE(""https://docs.google.com/spreadsheets/d/""&amp;$A132&amp;""/edit#gid=156619080"",AW$3)"),"-51.23
-55.13
-58.38
-67.21
")</f>
        <v>-51.23
-55.13
-58.38
-67.21
</v>
      </c>
      <c r="AX132" s="2">
        <f>IFERROR(__xludf.DUMMYFUNCTION("IMPORTRANGE(""https://docs.google.com/spreadsheets/d/""&amp;$A132&amp;""/edit#gid=156619080"",AX$3)"),27.68)</f>
        <v>27.68</v>
      </c>
      <c r="AY132" s="2">
        <f>IFERROR(__xludf.DUMMYFUNCTION("IMPORTRANGE(""https://docs.google.com/spreadsheets/d/""&amp;$A132&amp;""/edit#gid=156619080"",AY$3)"),41.339999999999996)</f>
        <v>41.34</v>
      </c>
      <c r="AZ132" s="2">
        <f>IFERROR(__xludf.DUMMYFUNCTION("IMPORTRANGE(""https://docs.google.com/spreadsheets/d/""&amp;$A132&amp;""/edit#gid=156619080"",AZ$3)"),3817.79)</f>
        <v>3817.79</v>
      </c>
      <c r="BA132" s="2">
        <f>IFERROR(__xludf.DUMMYFUNCTION("IMPORTRANGE(""https://docs.google.com/spreadsheets/d/""&amp;$A132&amp;""/edit#gid=156619080"",BA$3)"),-64.13000000000011)</f>
        <v>-64.13</v>
      </c>
      <c r="BB132" s="2">
        <f>IFERROR(__xludf.DUMMYFUNCTION("IMPORTRANGE(""https://docs.google.com/spreadsheets/d/""&amp;$A132&amp;""/edit#gid=156619080"",BB$3)"),-24.17)</f>
        <v>-24.17</v>
      </c>
      <c r="BC132" s="2" t="str">
        <f>IFERROR(__xludf.DUMMYFUNCTION("IMPORTRANGE(""https://docs.google.com/spreadsheets/d/""&amp;$A132&amp;""/edit#gid=156619080"",BC$3)"),"DC→DC")</f>
        <v>DC→DC</v>
      </c>
    </row>
    <row r="133" ht="51.0" customHeight="1">
      <c r="A133" s="7" t="str">
        <f t="shared" si="5"/>
        <v>1CrrAKPy_5WBHg9c5zvhl-xsmD7ztDthZiEueoMUDYEc</v>
      </c>
      <c r="B133" s="1" t="s">
        <v>160</v>
      </c>
      <c r="C133" s="2">
        <f>IFERROR(__xludf.DUMMYFUNCTION("IMPORTRANGE(""https://docs.google.com/spreadsheets/d/""&amp;$A133&amp;""/edit#gid=156619080"",C$3)"),132.0)</f>
        <v>132</v>
      </c>
      <c r="D133" s="2">
        <f>IFERROR(__xludf.DUMMYFUNCTION("IMPORTRANGE(""https://docs.google.com/spreadsheets/d/""&amp;$A133&amp;""/edit#gid=156619080"",D$3)"),4902.0)</f>
        <v>4902</v>
      </c>
      <c r="E133" s="15">
        <f>IFERROR(__xludf.DUMMYFUNCTION("IMPORTRANGE(""https://docs.google.com/spreadsheets/d/""&amp;$A133&amp;""/edit#gid=156619080"",E$3)"),43882.0)</f>
        <v>43882</v>
      </c>
      <c r="F133" s="2">
        <f>IFERROR(__xludf.DUMMYFUNCTION("IMPORTRANGE(""https://docs.google.com/spreadsheets/d/""&amp;$A133&amp;""/edit#gid=156619080"",F$3)"),-9.0)</f>
        <v>-9</v>
      </c>
      <c r="G133" s="16">
        <f>IFERROR(__xludf.DUMMYFUNCTION("IMPORTRANGE(""https://docs.google.com/spreadsheets/d/""&amp;$A133&amp;""/edit#gid=156619080"",G$3)"),-1.38)</f>
        <v>-1.38</v>
      </c>
      <c r="H133" s="16">
        <f>IFERROR(__xludf.DUMMYFUNCTION("IMPORTRANGE(""https://docs.google.com/spreadsheets/d/""&amp;$A133&amp;""/edit#gid=156619080"",H$3)"),651.0)</f>
        <v>651</v>
      </c>
      <c r="I133" s="16">
        <f>IFERROR(__xludf.DUMMYFUNCTION("IMPORTRANGE(""https://docs.google.com/spreadsheets/d/""&amp;$A133&amp;""/edit#gid=156619080"",I$3)"),3.0)</f>
        <v>3</v>
      </c>
      <c r="J133" s="16">
        <f>IFERROR(__xludf.DUMMYFUNCTION("IMPORTRANGE(""https://docs.google.com/spreadsheets/d/""&amp;$A133&amp;""/edit#gid=156619080"",J$3)"),655.0)</f>
        <v>655</v>
      </c>
      <c r="K133" s="16">
        <f>IFERROR(__xludf.DUMMYFUNCTION("IMPORTRANGE(""https://docs.google.com/spreadsheets/d/""&amp;$A133&amp;""/edit#gid=156619080"",K$3)"),0.3763888888888889)</f>
        <v>0.3763888889</v>
      </c>
      <c r="L133" s="16">
        <f>IFERROR(__xludf.DUMMYFUNCTION("IMPORTRANGE(""https://docs.google.com/spreadsheets/d/""&amp;$A133&amp;""/edit#gid=156619080"",L$3)"),644.0)</f>
        <v>644</v>
      </c>
      <c r="M133" s="16">
        <f>IFERROR(__xludf.DUMMYFUNCTION("IMPORTRANGE(""https://docs.google.com/spreadsheets/d/""&amp;$A133&amp;""/edit#gid=156619080"",M$3)"),0.6243055555555556)</f>
        <v>0.6243055556</v>
      </c>
      <c r="N133" s="16">
        <f>IFERROR(__xludf.DUMMYFUNCTION("IMPORTRANGE(""https://docs.google.com/spreadsheets/d/""&amp;$A133&amp;""/edit#gid=156619080"",N$3)"),645.0)</f>
        <v>645</v>
      </c>
      <c r="O133" s="16" t="str">
        <f>IFERROR(__xludf.DUMMYFUNCTION("IMPORTRANGE(""https://docs.google.com/spreadsheets/d/""&amp;$A133&amp;""/edit#gid=156619080"",O$3)"),"2574500株")</f>
        <v>2574500株</v>
      </c>
      <c r="P133" s="16" t="str">
        <f>IFERROR(__xludf.DUMMYFUNCTION("IMPORTRANGE(""https://docs.google.com/spreadsheets/d/""&amp;$A133&amp;""/edit#gid=156619080"",P$3)"),"1671百万円")</f>
        <v>1671百万円</v>
      </c>
      <c r="Q133" s="16" t="str">
        <f>IFERROR(__xludf.DUMMYFUNCTION("IMPORTRANGE(""https://docs.google.com/spreadsheets/d/""&amp;$A133&amp;""/edit#gid=156619080"",Q$3)"),"1570回")</f>
        <v>1570回</v>
      </c>
      <c r="R133" s="16" t="str">
        <f>IFERROR(__xludf.DUMMYFUNCTION("IMPORTRANGE(""https://docs.google.com/spreadsheets/d/""&amp;$A133&amp;""/edit#gid=156619080"",R$3)"),"3242億円")</f>
        <v>3242億円</v>
      </c>
      <c r="S133" s="16" t="str">
        <f>IFERROR(__xludf.DUMMYFUNCTION("IMPORTRANGE(""https://docs.google.com/spreadsheets/d/""&amp;$A133&amp;""/edit#gid=156619080"",S$3)"),"陰線")</f>
        <v>陰線</v>
      </c>
      <c r="T133" s="16" t="str">
        <f>IFERROR(__xludf.DUMMYFUNCTION("IMPORTRANGE(""https://docs.google.com/spreadsheets/d/""&amp;$A133&amp;""/edit#gid=156619080"",T$3)"),"")</f>
        <v/>
      </c>
      <c r="U133" s="16">
        <f>IFERROR(__xludf.DUMMYFUNCTION("IMPORTRANGE(""https://docs.google.com/spreadsheets/d/""&amp;$A133&amp;""/edit#gid=156619080"",U$3)"),655.6)</f>
        <v>655.6</v>
      </c>
      <c r="V133" s="16">
        <f>IFERROR(__xludf.DUMMYFUNCTION("IMPORTRANGE(""https://docs.google.com/spreadsheets/d/""&amp;$A133&amp;""/edit#gid=156619080"",V$3)"),670.5)</f>
        <v>670.5</v>
      </c>
      <c r="W133" s="16">
        <f>IFERROR(__xludf.DUMMYFUNCTION("IMPORTRANGE(""https://docs.google.com/spreadsheets/d/""&amp;$A133&amp;""/edit#gid=156619080"",W$3)"),680.2)</f>
        <v>680.2</v>
      </c>
      <c r="X133" s="2">
        <f>IFERROR(__xludf.DUMMYFUNCTION("IMPORTRANGE(""https://docs.google.com/spreadsheets/d/""&amp;$A133&amp;""/edit#gid=156619080"",X$3)"),722.5)</f>
        <v>722.5</v>
      </c>
      <c r="Y133" s="17">
        <f>IFERROR(__xludf.DUMMYFUNCTION("IMPORTRANGE(""https://docs.google.com/spreadsheets/d/""&amp;$A133&amp;""/edit#gid=156619080"",Y$3)"),-0.01616839536302627)</f>
        <v>-0.01616839536</v>
      </c>
      <c r="Z133" s="2">
        <f>IFERROR(__xludf.DUMMYFUNCTION("IMPORTRANGE(""https://docs.google.com/spreadsheets/d/""&amp;$A133&amp;""/edit#gid=156619080"",Z$3)"),720.58)</f>
        <v>720.58</v>
      </c>
      <c r="AA133" s="2">
        <f>IFERROR(__xludf.DUMMYFUNCTION("IMPORTRANGE(""https://docs.google.com/spreadsheets/d/""&amp;$A133&amp;""/edit#gid=156619080"",AA$3)"),715.53)</f>
        <v>715.53</v>
      </c>
      <c r="AB133" s="2">
        <f>IFERROR(__xludf.DUMMYFUNCTION("IMPORTRANGE(""https://docs.google.com/spreadsheets/d/""&amp;$A133&amp;""/edit#gid=156619080"",AB$3)"),710.48)</f>
        <v>710.48</v>
      </c>
      <c r="AC133" s="18">
        <f>IFERROR(__xludf.DUMMYFUNCTION("IMPORTRANGE(""https://docs.google.com/spreadsheets/d/""&amp;$A133&amp;""/edit#gid=156619080"",AC$3)"),705.44)</f>
        <v>705.44</v>
      </c>
      <c r="AD133" s="18">
        <f>IFERROR(__xludf.DUMMYFUNCTION("IMPORTRANGE(""https://docs.google.com/spreadsheets/d/""&amp;$A133&amp;""/edit#gid=156619080"",AD$3)"),700.39)</f>
        <v>700.39</v>
      </c>
      <c r="AE133" s="18">
        <f>IFERROR(__xludf.DUMMYFUNCTION("IMPORTRANGE(""https://docs.google.com/spreadsheets/d/""&amp;$A133&amp;""/edit#gid=156619080"",AE$3)"),680.2)</f>
        <v>680.2</v>
      </c>
      <c r="AF133" s="2">
        <f>IFERROR(__xludf.DUMMYFUNCTION("IMPORTRANGE(""https://docs.google.com/spreadsheets/d/""&amp;$A133&amp;""/edit#gid=156619080"",AF$3)"),660.01)</f>
        <v>660.01</v>
      </c>
      <c r="AG133" s="2">
        <f>IFERROR(__xludf.DUMMYFUNCTION("IMPORTRANGE(""https://docs.google.com/spreadsheets/d/""&amp;$A133&amp;""/edit#gid=156619080"",AG$3)"),654.96)</f>
        <v>654.96</v>
      </c>
      <c r="AH133" s="2">
        <f>IFERROR(__xludf.DUMMYFUNCTION("IMPORTRANGE(""https://docs.google.com/spreadsheets/d/""&amp;$A133&amp;""/edit#gid=156619080"",AH$3)"),649.92)</f>
        <v>649.92</v>
      </c>
      <c r="AI133" s="2">
        <f>IFERROR(__xludf.DUMMYFUNCTION("IMPORTRANGE(""https://docs.google.com/spreadsheets/d/""&amp;$A133&amp;""/edit#gid=156619080"",AI$3)"),644.87)</f>
        <v>644.87</v>
      </c>
      <c r="AJ133" s="2">
        <f>IFERROR(__xludf.DUMMYFUNCTION("IMPORTRANGE(""https://docs.google.com/spreadsheets/d/""&amp;$A133&amp;""/edit#gid=156619080"",AJ$3)"),639.82)</f>
        <v>639.82</v>
      </c>
      <c r="AK133" s="2" t="str">
        <f>IFERROR(__xludf.DUMMYFUNCTION("IMPORTRANGE(""https://docs.google.com/spreadsheets/d/""&amp;$A133&amp;""/edit#gid=156619080"",AK$3)"),"-1.5σ〜-1.75σ")</f>
        <v>-1.5σ〜-1.75σ</v>
      </c>
      <c r="AL133" s="2">
        <f>IFERROR(__xludf.DUMMYFUNCTION("IMPORTRANGE(""https://docs.google.com/spreadsheets/d/""&amp;$A133&amp;""/edit#gid=156619080"",AL$3)"),-1.0)</f>
        <v>-1</v>
      </c>
      <c r="AM133" s="2" t="str">
        <f>IFERROR(__xludf.DUMMYFUNCTION("IMPORTRANGE(""https://docs.google.com/spreadsheets/d/""&amp;$A133&amp;""/edit#gid=156619080"",AM$3)"),"")</f>
        <v/>
      </c>
      <c r="AN133" s="2">
        <f>IFERROR(__xludf.DUMMYFUNCTION("IMPORTRANGE(""https://docs.google.com/spreadsheets/d/""&amp;$A133&amp;""/edit#gid=156619080"",AN$3)"),-1.0)</f>
        <v>-1</v>
      </c>
      <c r="AO133" s="2" t="str">
        <f>IFERROR(__xludf.DUMMYFUNCTION("IMPORTRANGE(""https://docs.google.com/spreadsheets/d/""&amp;$A133&amp;""/edit#gid=156619080"",AO$3)"),"")</f>
        <v/>
      </c>
      <c r="AP133" s="2">
        <f>IFERROR(__xludf.DUMMYFUNCTION("IMPORTRANGE(""https://docs.google.com/spreadsheets/d/""&amp;$A133&amp;""/edit#gid=156619080"",AP$3)"),-1.0)</f>
        <v>-1</v>
      </c>
      <c r="AQ133" s="2" t="str">
        <f>IFERROR(__xludf.DUMMYFUNCTION("IMPORTRANGE(""https://docs.google.com/spreadsheets/d/""&amp;$A133&amp;""/edit#gid=156619080"",AQ$3)"),"")</f>
        <v/>
      </c>
      <c r="AR133" s="18">
        <f>IFERROR(__xludf.DUMMYFUNCTION("IMPORTRANGE(""https://docs.google.com/spreadsheets/d/""&amp;$A133&amp;""/edit#gid=156619080"",AR$3)"),-89.99999999999999)</f>
        <v>-90</v>
      </c>
      <c r="AS133" s="19" t="str">
        <f>IFERROR(__xludf.DUMMYFUNCTION("IMPORTRANGE(""https://docs.google.com/spreadsheets/d/""&amp;$A133&amp;""/edit#gid=156619080"",AS$3)"),"-90
-90
-50
-50
")</f>
        <v>-90
-90
-50
-50
</v>
      </c>
      <c r="AT133" s="18">
        <f>IFERROR(__xludf.DUMMYFUNCTION("IMPORTRANGE(""https://docs.google.com/spreadsheets/d/""&amp;$A133&amp;""/edit#gid=156619080"",AT$3)"),-81.86813186813187)</f>
        <v>-81.86813187</v>
      </c>
      <c r="AU133" s="3" t="str">
        <f>IFERROR(__xludf.DUMMYFUNCTION("IMPORTRANGE(""https://docs.google.com/spreadsheets/d/""&amp;$A133&amp;""/edit#gid=156619080"",AU$3)"),"-50.69
-50.69
-66.62
-75.27
")</f>
        <v>-50.69
-50.69
-66.62
-75.27
</v>
      </c>
      <c r="AV133" s="18">
        <f>IFERROR(__xludf.DUMMYFUNCTION("IMPORTRANGE(""https://docs.google.com/spreadsheets/d/""&amp;$A133&amp;""/edit#gid=156619080"",AV$3)"),-85.68181818181819)</f>
        <v>-85.68181818</v>
      </c>
      <c r="AW133" s="19" t="str">
        <f>IFERROR(__xludf.DUMMYFUNCTION("IMPORTRANGE(""https://docs.google.com/spreadsheets/d/""&amp;$A133&amp;""/edit#gid=156619080"",AW$3)"),"-86.2
-86.2
-85.68
-85.68
")</f>
        <v>-86.2
-86.2
-85.68
-85.68
</v>
      </c>
      <c r="AX133" s="2">
        <f>IFERROR(__xludf.DUMMYFUNCTION("IMPORTRANGE(""https://docs.google.com/spreadsheets/d/""&amp;$A133&amp;""/edit#gid=156619080"",AX$3)"),18.18)</f>
        <v>18.18</v>
      </c>
      <c r="AY133" s="2">
        <f>IFERROR(__xludf.DUMMYFUNCTION("IMPORTRANGE(""https://docs.google.com/spreadsheets/d/""&amp;$A133&amp;""/edit#gid=156619080"",AY$3)"),30.37)</f>
        <v>30.37</v>
      </c>
      <c r="AZ133" s="2">
        <f>IFERROR(__xludf.DUMMYFUNCTION("IMPORTRANGE(""https://docs.google.com/spreadsheets/d/""&amp;$A133&amp;""/edit#gid=156619080"",AZ$3)"),655.27)</f>
        <v>655.27</v>
      </c>
      <c r="BA133" s="2">
        <f>IFERROR(__xludf.DUMMYFUNCTION("IMPORTRANGE(""https://docs.google.com/spreadsheets/d/""&amp;$A133&amp;""/edit#gid=156619080"",BA$3)"),-22.090000000000032)</f>
        <v>-22.09</v>
      </c>
      <c r="BB133" s="2">
        <f>IFERROR(__xludf.DUMMYFUNCTION("IMPORTRANGE(""https://docs.google.com/spreadsheets/d/""&amp;$A133&amp;""/edit#gid=156619080"",BB$3)"),-16.69)</f>
        <v>-16.69</v>
      </c>
      <c r="BC133" s="2" t="str">
        <f>IFERROR(__xludf.DUMMYFUNCTION("IMPORTRANGE(""https://docs.google.com/spreadsheets/d/""&amp;$A133&amp;""/edit#gid=156619080"",BC$3)"),"DC→DC")</f>
        <v>DC→DC</v>
      </c>
    </row>
    <row r="134" ht="51.0" customHeight="1">
      <c r="A134" s="7" t="str">
        <f t="shared" si="5"/>
        <v>1YkXh1dWPTEcD66kUojh6c9NsyG5c69izbVU7iyEN_aM</v>
      </c>
      <c r="B134" s="1" t="s">
        <v>161</v>
      </c>
      <c r="C134" s="2">
        <f>IFERROR(__xludf.DUMMYFUNCTION("IMPORTRANGE(""https://docs.google.com/spreadsheets/d/""&amp;$A134&amp;""/edit#gid=156619080"",C$3)"),132.0)</f>
        <v>132</v>
      </c>
      <c r="D134" s="2">
        <f>IFERROR(__xludf.DUMMYFUNCTION("IMPORTRANGE(""https://docs.google.com/spreadsheets/d/""&amp;$A134&amp;""/edit#gid=156619080"",D$3)"),7731.0)</f>
        <v>7731</v>
      </c>
      <c r="E134" s="15">
        <f>IFERROR(__xludf.DUMMYFUNCTION("IMPORTRANGE(""https://docs.google.com/spreadsheets/d/""&amp;$A134&amp;""/edit#gid=156619080"",E$3)"),43882.0)</f>
        <v>43882</v>
      </c>
      <c r="F134" s="2">
        <f>IFERROR(__xludf.DUMMYFUNCTION("IMPORTRANGE(""https://docs.google.com/spreadsheets/d/""&amp;$A134&amp;""/edit#gid=156619080"",F$3)"),-9.0)</f>
        <v>-9</v>
      </c>
      <c r="G134" s="16">
        <f>IFERROR(__xludf.DUMMYFUNCTION("IMPORTRANGE(""https://docs.google.com/spreadsheets/d/""&amp;$A134&amp;""/edit#gid=156619080"",G$3)"),-0.75)</f>
        <v>-0.75</v>
      </c>
      <c r="H134" s="16">
        <f>IFERROR(__xludf.DUMMYFUNCTION("IMPORTRANGE(""https://docs.google.com/spreadsheets/d/""&amp;$A134&amp;""/edit#gid=156619080"",H$3)"),1188.0)</f>
        <v>1188</v>
      </c>
      <c r="I134" s="16">
        <f>IFERROR(__xludf.DUMMYFUNCTION("IMPORTRANGE(""https://docs.google.com/spreadsheets/d/""&amp;$A134&amp;""/edit#gid=156619080"",I$3)"),7.0)</f>
        <v>7</v>
      </c>
      <c r="J134" s="16">
        <f>IFERROR(__xludf.DUMMYFUNCTION("IMPORTRANGE(""https://docs.google.com/spreadsheets/d/""&amp;$A134&amp;""/edit#gid=156619080"",J$3)"),1200.0)</f>
        <v>1200</v>
      </c>
      <c r="K134" s="16">
        <f>IFERROR(__xludf.DUMMYFUNCTION("IMPORTRANGE(""https://docs.google.com/spreadsheets/d/""&amp;$A134&amp;""/edit#gid=156619080"",K$3)"),0.43333333333333335)</f>
        <v>0.4333333333</v>
      </c>
      <c r="L134" s="16">
        <f>IFERROR(__xludf.DUMMYFUNCTION("IMPORTRANGE(""https://docs.google.com/spreadsheets/d/""&amp;$A134&amp;""/edit#gid=156619080"",L$3)"),1186.0)</f>
        <v>1186</v>
      </c>
      <c r="M134" s="16">
        <f>IFERROR(__xludf.DUMMYFUNCTION("IMPORTRANGE(""https://docs.google.com/spreadsheets/d/""&amp;$A134&amp;""/edit#gid=156619080"",M$3)"),0.4111111111111111)</f>
        <v>0.4111111111</v>
      </c>
      <c r="N134" s="16">
        <f>IFERROR(__xludf.DUMMYFUNCTION("IMPORTRANGE(""https://docs.google.com/spreadsheets/d/""&amp;$A134&amp;""/edit#gid=156619080"",N$3)"),1186.0)</f>
        <v>1186</v>
      </c>
      <c r="O134" s="16" t="str">
        <f>IFERROR(__xludf.DUMMYFUNCTION("IMPORTRANGE(""https://docs.google.com/spreadsheets/d/""&amp;$A134&amp;""/edit#gid=156619080"",O$3)"),"2528000株")</f>
        <v>2528000株</v>
      </c>
      <c r="P134" s="16" t="str">
        <f>IFERROR(__xludf.DUMMYFUNCTION("IMPORTRANGE(""https://docs.google.com/spreadsheets/d/""&amp;$A134&amp;""/edit#gid=156619080"",P$3)"),"3010百万円")</f>
        <v>3010百万円</v>
      </c>
      <c r="Q134" s="16" t="str">
        <f>IFERROR(__xludf.DUMMYFUNCTION("IMPORTRANGE(""https://docs.google.com/spreadsheets/d/""&amp;$A134&amp;""/edit#gid=156619080"",Q$3)"),"2050回")</f>
        <v>2050回</v>
      </c>
      <c r="R134" s="16" t="str">
        <f>IFERROR(__xludf.DUMMYFUNCTION("IMPORTRANGE(""https://docs.google.com/spreadsheets/d/""&amp;$A134&amp;""/edit#gid=156619080"",R$3)"),"4754億円")</f>
        <v>4754億円</v>
      </c>
      <c r="S134" s="16" t="str">
        <f>IFERROR(__xludf.DUMMYFUNCTION("IMPORTRANGE(""https://docs.google.com/spreadsheets/d/""&amp;$A134&amp;""/edit#gid=156619080"",S$3)"),"陰線")</f>
        <v>陰線</v>
      </c>
      <c r="T134" s="16" t="str">
        <f>IFERROR(__xludf.DUMMYFUNCTION("IMPORTRANGE(""https://docs.google.com/spreadsheets/d/""&amp;$A134&amp;""/edit#gid=156619080"",T$3)"),"")</f>
        <v/>
      </c>
      <c r="U134" s="16">
        <f>IFERROR(__xludf.DUMMYFUNCTION("IMPORTRANGE(""https://docs.google.com/spreadsheets/d/""&amp;$A134&amp;""/edit#gid=156619080"",U$3)"),1195.2)</f>
        <v>1195.2</v>
      </c>
      <c r="V134" s="16">
        <f>IFERROR(__xludf.DUMMYFUNCTION("IMPORTRANGE(""https://docs.google.com/spreadsheets/d/""&amp;$A134&amp;""/edit#gid=156619080"",V$3)"),1249.5)</f>
        <v>1249.5</v>
      </c>
      <c r="W134" s="16">
        <f>IFERROR(__xludf.DUMMYFUNCTION("IMPORTRANGE(""https://docs.google.com/spreadsheets/d/""&amp;$A134&amp;""/edit#gid=156619080"",W$3)"),1287.6)</f>
        <v>1287.6</v>
      </c>
      <c r="X134" s="2">
        <f>IFERROR(__xludf.DUMMYFUNCTION("IMPORTRANGE(""https://docs.google.com/spreadsheets/d/""&amp;$A134&amp;""/edit#gid=156619080"",X$3)"),1375.0)</f>
        <v>1375</v>
      </c>
      <c r="Y134" s="17">
        <f>IFERROR(__xludf.DUMMYFUNCTION("IMPORTRANGE(""https://docs.google.com/spreadsheets/d/""&amp;$A134&amp;""/edit#gid=156619080"",Y$3)"),-0.007697456492637253)</f>
        <v>-0.007697456493</v>
      </c>
      <c r="Z134" s="2">
        <f>IFERROR(__xludf.DUMMYFUNCTION("IMPORTRANGE(""https://docs.google.com/spreadsheets/d/""&amp;$A134&amp;""/edit#gid=156619080"",Z$3)"),1426.9)</f>
        <v>1426.9</v>
      </c>
      <c r="AA134" s="2">
        <f>IFERROR(__xludf.DUMMYFUNCTION("IMPORTRANGE(""https://docs.google.com/spreadsheets/d/""&amp;$A134&amp;""/edit#gid=156619080"",AA$3)"),1409.49)</f>
        <v>1409.49</v>
      </c>
      <c r="AB134" s="2">
        <f>IFERROR(__xludf.DUMMYFUNCTION("IMPORTRANGE(""https://docs.google.com/spreadsheets/d/""&amp;$A134&amp;""/edit#gid=156619080"",AB$3)"),1392.07)</f>
        <v>1392.07</v>
      </c>
      <c r="AC134" s="18">
        <f>IFERROR(__xludf.DUMMYFUNCTION("IMPORTRANGE(""https://docs.google.com/spreadsheets/d/""&amp;$A134&amp;""/edit#gid=156619080"",AC$3)"),1374.66)</f>
        <v>1374.66</v>
      </c>
      <c r="AD134" s="18">
        <f>IFERROR(__xludf.DUMMYFUNCTION("IMPORTRANGE(""https://docs.google.com/spreadsheets/d/""&amp;$A134&amp;""/edit#gid=156619080"",AD$3)"),1357.25)</f>
        <v>1357.25</v>
      </c>
      <c r="AE134" s="18">
        <f>IFERROR(__xludf.DUMMYFUNCTION("IMPORTRANGE(""https://docs.google.com/spreadsheets/d/""&amp;$A134&amp;""/edit#gid=156619080"",AE$3)"),1287.6)</f>
        <v>1287.6</v>
      </c>
      <c r="AF134" s="2">
        <f>IFERROR(__xludf.DUMMYFUNCTION("IMPORTRANGE(""https://docs.google.com/spreadsheets/d/""&amp;$A134&amp;""/edit#gid=156619080"",AF$3)"),1217.95)</f>
        <v>1217.95</v>
      </c>
      <c r="AG134" s="2">
        <f>IFERROR(__xludf.DUMMYFUNCTION("IMPORTRANGE(""https://docs.google.com/spreadsheets/d/""&amp;$A134&amp;""/edit#gid=156619080"",AG$3)"),1200.54)</f>
        <v>1200.54</v>
      </c>
      <c r="AH134" s="2">
        <f>IFERROR(__xludf.DUMMYFUNCTION("IMPORTRANGE(""https://docs.google.com/spreadsheets/d/""&amp;$A134&amp;""/edit#gid=156619080"",AH$3)"),1183.13)</f>
        <v>1183.13</v>
      </c>
      <c r="AI134" s="2">
        <f>IFERROR(__xludf.DUMMYFUNCTION("IMPORTRANGE(""https://docs.google.com/spreadsheets/d/""&amp;$A134&amp;""/edit#gid=156619080"",AI$3)"),1165.71)</f>
        <v>1165.71</v>
      </c>
      <c r="AJ134" s="2">
        <f>IFERROR(__xludf.DUMMYFUNCTION("IMPORTRANGE(""https://docs.google.com/spreadsheets/d/""&amp;$A134&amp;""/edit#gid=156619080"",AJ$3)"),1148.3)</f>
        <v>1148.3</v>
      </c>
      <c r="AK134" s="2" t="str">
        <f>IFERROR(__xludf.DUMMYFUNCTION("IMPORTRANGE(""https://docs.google.com/spreadsheets/d/""&amp;$A134&amp;""/edit#gid=156619080"",AK$3)"),"-1.25σ〜-1.5σ")</f>
        <v>-1.25σ〜-1.5σ</v>
      </c>
      <c r="AL134" s="2">
        <f>IFERROR(__xludf.DUMMYFUNCTION("IMPORTRANGE(""https://docs.google.com/spreadsheets/d/""&amp;$A134&amp;""/edit#gid=156619080"",AL$3)"),-1.0)</f>
        <v>-1</v>
      </c>
      <c r="AM134" s="2" t="str">
        <f>IFERROR(__xludf.DUMMYFUNCTION("IMPORTRANGE(""https://docs.google.com/spreadsheets/d/""&amp;$A134&amp;""/edit#gid=156619080"",AM$3)"),"")</f>
        <v/>
      </c>
      <c r="AN134" s="2">
        <f>IFERROR(__xludf.DUMMYFUNCTION("IMPORTRANGE(""https://docs.google.com/spreadsheets/d/""&amp;$A134&amp;""/edit#gid=156619080"",AN$3)"),-1.0)</f>
        <v>-1</v>
      </c>
      <c r="AO134" s="2" t="str">
        <f>IFERROR(__xludf.DUMMYFUNCTION("IMPORTRANGE(""https://docs.google.com/spreadsheets/d/""&amp;$A134&amp;""/edit#gid=156619080"",AO$3)"),"")</f>
        <v/>
      </c>
      <c r="AP134" s="2">
        <f>IFERROR(__xludf.DUMMYFUNCTION("IMPORTRANGE(""https://docs.google.com/spreadsheets/d/""&amp;$A134&amp;""/edit#gid=156619080"",AP$3)"),-1.0)</f>
        <v>-1</v>
      </c>
      <c r="AQ134" s="2" t="str">
        <f>IFERROR(__xludf.DUMMYFUNCTION("IMPORTRANGE(""https://docs.google.com/spreadsheets/d/""&amp;$A134&amp;""/edit#gid=156619080"",AQ$3)"),"")</f>
        <v/>
      </c>
      <c r="AR134" s="18">
        <f>IFERROR(__xludf.DUMMYFUNCTION("IMPORTRANGE(""https://docs.google.com/spreadsheets/d/""&amp;$A134&amp;""/edit#gid=156619080"",AR$3)"),-39.99999999999999)</f>
        <v>-40</v>
      </c>
      <c r="AS134" s="19" t="str">
        <f>IFERROR(__xludf.DUMMYFUNCTION("IMPORTRANGE(""https://docs.google.com/spreadsheets/d/""&amp;$A134&amp;""/edit#gid=156619080"",AS$3)"),"-100
-90
-70
-40
")</f>
        <v>-100
-90
-70
-40
</v>
      </c>
      <c r="AT134" s="18">
        <f>IFERROR(__xludf.DUMMYFUNCTION("IMPORTRANGE(""https://docs.google.com/spreadsheets/d/""&amp;$A134&amp;""/edit#gid=156619080"",AT$3)"),-91.75824175824177)</f>
        <v>-91.75824176</v>
      </c>
      <c r="AU134" s="3" t="str">
        <f>IFERROR(__xludf.DUMMYFUNCTION("IMPORTRANGE(""https://docs.google.com/spreadsheets/d/""&amp;$A134&amp;""/edit#gid=156619080"",AU$3)"),"-76.79
-79.53
-86.26
-86.81
")</f>
        <v>-76.79
-79.53
-86.26
-86.81
</v>
      </c>
      <c r="AV134" s="18">
        <f>IFERROR(__xludf.DUMMYFUNCTION("IMPORTRANGE(""https://docs.google.com/spreadsheets/d/""&amp;$A134&amp;""/edit#gid=156619080"",AV$3)"),-91.55844155844154)</f>
        <v>-91.55844156</v>
      </c>
      <c r="AW134" s="19" t="str">
        <f>IFERROR(__xludf.DUMMYFUNCTION("IMPORTRANGE(""https://docs.google.com/spreadsheets/d/""&amp;$A134&amp;""/edit#gid=156619080"",AW$3)"),"-92.08
-92.08
-91.82
-91.56
")</f>
        <v>-92.08
-92.08
-91.82
-91.56
</v>
      </c>
      <c r="AX134" s="2">
        <f>IFERROR(__xludf.DUMMYFUNCTION("IMPORTRANGE(""https://docs.google.com/spreadsheets/d/""&amp;$A134&amp;""/edit#gid=156619080"",AX$3)"),21.88)</f>
        <v>21.88</v>
      </c>
      <c r="AY134" s="2">
        <f>IFERROR(__xludf.DUMMYFUNCTION("IMPORTRANGE(""https://docs.google.com/spreadsheets/d/""&amp;$A134&amp;""/edit#gid=156619080"",AY$3)"),21.93)</f>
        <v>21.93</v>
      </c>
      <c r="AZ134" s="2">
        <f>IFERROR(__xludf.DUMMYFUNCTION("IMPORTRANGE(""https://docs.google.com/spreadsheets/d/""&amp;$A134&amp;""/edit#gid=156619080"",AZ$3)"),1199.81)</f>
        <v>1199.81</v>
      </c>
      <c r="BA134" s="2">
        <f>IFERROR(__xludf.DUMMYFUNCTION("IMPORTRANGE(""https://docs.google.com/spreadsheets/d/""&amp;$A134&amp;""/edit#gid=156619080"",BA$3)"),-70.00999999999999)</f>
        <v>-70.01</v>
      </c>
      <c r="BB134" s="2">
        <f>IFERROR(__xludf.DUMMYFUNCTION("IMPORTRANGE(""https://docs.google.com/spreadsheets/d/""&amp;$A134&amp;""/edit#gid=156619080"",BB$3)"),-56.43)</f>
        <v>-56.43</v>
      </c>
      <c r="BC134" s="2" t="str">
        <f>IFERROR(__xludf.DUMMYFUNCTION("IMPORTRANGE(""https://docs.google.com/spreadsheets/d/""&amp;$A134&amp;""/edit#gid=156619080"",BC$3)"),"DC→DC")</f>
        <v>DC→DC</v>
      </c>
    </row>
    <row r="135" ht="51.0" customHeight="1">
      <c r="A135" s="7" t="str">
        <f t="shared" si="5"/>
        <v>1S4pPF0JBYT8uNMI9c5FdapiG7oGJJrofFzfxnvyl-s4</v>
      </c>
      <c r="B135" s="1" t="s">
        <v>162</v>
      </c>
      <c r="C135" s="2">
        <f>IFERROR(__xludf.DUMMYFUNCTION("IMPORTRANGE(""https://docs.google.com/spreadsheets/d/""&amp;$A135&amp;""/edit#gid=156619080"",C$3)"),132.0)</f>
        <v>132</v>
      </c>
      <c r="D135" s="2">
        <f>IFERROR(__xludf.DUMMYFUNCTION("IMPORTRANGE(""https://docs.google.com/spreadsheets/d/""&amp;$A135&amp;""/edit#gid=156619080"",D$3)"),7733.0)</f>
        <v>7733</v>
      </c>
      <c r="E135" s="15">
        <f>IFERROR(__xludf.DUMMYFUNCTION("IMPORTRANGE(""https://docs.google.com/spreadsheets/d/""&amp;$A135&amp;""/edit#gid=156619080"",E$3)"),43882.0)</f>
        <v>43882</v>
      </c>
      <c r="F135" s="2">
        <f>IFERROR(__xludf.DUMMYFUNCTION("IMPORTRANGE(""https://docs.google.com/spreadsheets/d/""&amp;$A135&amp;""/edit#gid=156619080"",F$3)"),-34.0)</f>
        <v>-34</v>
      </c>
      <c r="G135" s="16">
        <f>IFERROR(__xludf.DUMMYFUNCTION("IMPORTRANGE(""https://docs.google.com/spreadsheets/d/""&amp;$A135&amp;""/edit#gid=156619080"",G$3)"),-1.61)</f>
        <v>-1.61</v>
      </c>
      <c r="H135" s="16">
        <f>IFERROR(__xludf.DUMMYFUNCTION("IMPORTRANGE(""https://docs.google.com/spreadsheets/d/""&amp;$A135&amp;""/edit#gid=156619080"",H$3)"),2123.0)</f>
        <v>2123</v>
      </c>
      <c r="I135" s="16">
        <f>IFERROR(__xludf.DUMMYFUNCTION("IMPORTRANGE(""https://docs.google.com/spreadsheets/d/""&amp;$A135&amp;""/edit#gid=156619080"",I$3)"),-13.0)</f>
        <v>-13</v>
      </c>
      <c r="J135" s="16">
        <f>IFERROR(__xludf.DUMMYFUNCTION("IMPORTRANGE(""https://docs.google.com/spreadsheets/d/""&amp;$A135&amp;""/edit#gid=156619080"",J$3)"),2130.5)</f>
        <v>2130.5</v>
      </c>
      <c r="K135" s="16">
        <f>IFERROR(__xludf.DUMMYFUNCTION("IMPORTRANGE(""https://docs.google.com/spreadsheets/d/""&amp;$A135&amp;""/edit#gid=156619080"",K$3)"),0.375)</f>
        <v>0.375</v>
      </c>
      <c r="L135" s="16">
        <f>IFERROR(__xludf.DUMMYFUNCTION("IMPORTRANGE(""https://docs.google.com/spreadsheets/d/""&amp;$A135&amp;""/edit#gid=156619080"",L$3)"),2065.0)</f>
        <v>2065</v>
      </c>
      <c r="M135" s="16">
        <f>IFERROR(__xludf.DUMMYFUNCTION("IMPORTRANGE(""https://docs.google.com/spreadsheets/d/""&amp;$A135&amp;""/edit#gid=156619080"",M$3)"),0.42083333333333334)</f>
        <v>0.4208333333</v>
      </c>
      <c r="N135" s="16">
        <f>IFERROR(__xludf.DUMMYFUNCTION("IMPORTRANGE(""https://docs.google.com/spreadsheets/d/""&amp;$A135&amp;""/edit#gid=156619080"",N$3)"),2076.0)</f>
        <v>2076</v>
      </c>
      <c r="O135" s="16" t="str">
        <f>IFERROR(__xludf.DUMMYFUNCTION("IMPORTRANGE(""https://docs.google.com/spreadsheets/d/""&amp;$A135&amp;""/edit#gid=156619080"",O$3)"),"5656100株")</f>
        <v>5656100株</v>
      </c>
      <c r="P135" s="16" t="str">
        <f>IFERROR(__xludf.DUMMYFUNCTION("IMPORTRANGE(""https://docs.google.com/spreadsheets/d/""&amp;$A135&amp;""/edit#gid=156619080"",P$3)"),"11791百万円")</f>
        <v>11791百万円</v>
      </c>
      <c r="Q135" s="16" t="str">
        <f>IFERROR(__xludf.DUMMYFUNCTION("IMPORTRANGE(""https://docs.google.com/spreadsheets/d/""&amp;$A135&amp;""/edit#gid=156619080"",Q$3)"),"7171回")</f>
        <v>7171回</v>
      </c>
      <c r="R135" s="16" t="str">
        <f>IFERROR(__xludf.DUMMYFUNCTION("IMPORTRANGE(""https://docs.google.com/spreadsheets/d/""&amp;$A135&amp;""/edit#gid=156619080"",R$3)"),"28460億円")</f>
        <v>28460億円</v>
      </c>
      <c r="S135" s="16" t="str">
        <f>IFERROR(__xludf.DUMMYFUNCTION("IMPORTRANGE(""https://docs.google.com/spreadsheets/d/""&amp;$A135&amp;""/edit#gid=156619080"",S$3)"),"陰線")</f>
        <v>陰線</v>
      </c>
      <c r="T135" s="16" t="str">
        <f>IFERROR(__xludf.DUMMYFUNCTION("IMPORTRANGE(""https://docs.google.com/spreadsheets/d/""&amp;$A135&amp;""/edit#gid=156619080"",T$3)"),"")</f>
        <v/>
      </c>
      <c r="U135" s="16">
        <f>IFERROR(__xludf.DUMMYFUNCTION("IMPORTRANGE(""https://docs.google.com/spreadsheets/d/""&amp;$A135&amp;""/edit#gid=156619080"",U$3)"),2042.0)</f>
        <v>2042</v>
      </c>
      <c r="V135" s="16">
        <f>IFERROR(__xludf.DUMMYFUNCTION("IMPORTRANGE(""https://docs.google.com/spreadsheets/d/""&amp;$A135&amp;""/edit#gid=156619080"",V$3)"),1990.5)</f>
        <v>1990.5</v>
      </c>
      <c r="W135" s="16">
        <f>IFERROR(__xludf.DUMMYFUNCTION("IMPORTRANGE(""https://docs.google.com/spreadsheets/d/""&amp;$A135&amp;""/edit#gid=156619080"",W$3)"),1909.3)</f>
        <v>1909.3</v>
      </c>
      <c r="X135" s="2">
        <f>IFERROR(__xludf.DUMMYFUNCTION("IMPORTRANGE(""https://docs.google.com/spreadsheets/d/""&amp;$A135&amp;""/edit#gid=156619080"",X$3)"),1638.7)</f>
        <v>1638.7</v>
      </c>
      <c r="Y135" s="17">
        <f>IFERROR(__xludf.DUMMYFUNCTION("IMPORTRANGE(""https://docs.google.com/spreadsheets/d/""&amp;$A135&amp;""/edit#gid=156619080"",Y$3)"),0.01665034280117532)</f>
        <v>0.0166503428</v>
      </c>
      <c r="Z135" s="2">
        <f>IFERROR(__xludf.DUMMYFUNCTION("IMPORTRANGE(""https://docs.google.com/spreadsheets/d/""&amp;$A135&amp;""/edit#gid=156619080"",Z$3)"),2167.19)</f>
        <v>2167.19</v>
      </c>
      <c r="AA135" s="2">
        <f>IFERROR(__xludf.DUMMYFUNCTION("IMPORTRANGE(""https://docs.google.com/spreadsheets/d/""&amp;$A135&amp;""/edit#gid=156619080"",AA$3)"),2134.95)</f>
        <v>2134.95</v>
      </c>
      <c r="AB135" s="2">
        <f>IFERROR(__xludf.DUMMYFUNCTION("IMPORTRANGE(""https://docs.google.com/spreadsheets/d/""&amp;$A135&amp;""/edit#gid=156619080"",AB$3)"),2102.71)</f>
        <v>2102.71</v>
      </c>
      <c r="AC135" s="18">
        <f>IFERROR(__xludf.DUMMYFUNCTION("IMPORTRANGE(""https://docs.google.com/spreadsheets/d/""&amp;$A135&amp;""/edit#gid=156619080"",AC$3)"),2070.48)</f>
        <v>2070.48</v>
      </c>
      <c r="AD135" s="18">
        <f>IFERROR(__xludf.DUMMYFUNCTION("IMPORTRANGE(""https://docs.google.com/spreadsheets/d/""&amp;$A135&amp;""/edit#gid=156619080"",AD$3)"),2038.24)</f>
        <v>2038.24</v>
      </c>
      <c r="AE135" s="18">
        <f>IFERROR(__xludf.DUMMYFUNCTION("IMPORTRANGE(""https://docs.google.com/spreadsheets/d/""&amp;$A135&amp;""/edit#gid=156619080"",AE$3)"),1909.3)</f>
        <v>1909.3</v>
      </c>
      <c r="AF135" s="2">
        <f>IFERROR(__xludf.DUMMYFUNCTION("IMPORTRANGE(""https://docs.google.com/spreadsheets/d/""&amp;$A135&amp;""/edit#gid=156619080"",AF$3)"),1780.36)</f>
        <v>1780.36</v>
      </c>
      <c r="AG135" s="2">
        <f>IFERROR(__xludf.DUMMYFUNCTION("IMPORTRANGE(""https://docs.google.com/spreadsheets/d/""&amp;$A135&amp;""/edit#gid=156619080"",AG$3)"),1748.12)</f>
        <v>1748.12</v>
      </c>
      <c r="AH135" s="2">
        <f>IFERROR(__xludf.DUMMYFUNCTION("IMPORTRANGE(""https://docs.google.com/spreadsheets/d/""&amp;$A135&amp;""/edit#gid=156619080"",AH$3)"),1715.89)</f>
        <v>1715.89</v>
      </c>
      <c r="AI135" s="2">
        <f>IFERROR(__xludf.DUMMYFUNCTION("IMPORTRANGE(""https://docs.google.com/spreadsheets/d/""&amp;$A135&amp;""/edit#gid=156619080"",AI$3)"),1683.65)</f>
        <v>1683.65</v>
      </c>
      <c r="AJ135" s="2">
        <f>IFERROR(__xludf.DUMMYFUNCTION("IMPORTRANGE(""https://docs.google.com/spreadsheets/d/""&amp;$A135&amp;""/edit#gid=156619080"",AJ$3)"),1651.41)</f>
        <v>1651.41</v>
      </c>
      <c r="AK135" s="2" t="str">
        <f>IFERROR(__xludf.DUMMYFUNCTION("IMPORTRANGE(""https://docs.google.com/spreadsheets/d/""&amp;$A135&amp;""/edit#gid=156619080"",AK$3)"),"1.25σ〜1.5σ")</f>
        <v>1.25σ〜1.5σ</v>
      </c>
      <c r="AL135" s="2">
        <f>IFERROR(__xludf.DUMMYFUNCTION("IMPORTRANGE(""https://docs.google.com/spreadsheets/d/""&amp;$A135&amp;""/edit#gid=156619080"",AL$3)"),1.0)</f>
        <v>1</v>
      </c>
      <c r="AM135" s="2" t="str">
        <f>IFERROR(__xludf.DUMMYFUNCTION("IMPORTRANGE(""https://docs.google.com/spreadsheets/d/""&amp;$A135&amp;""/edit#gid=156619080"",AM$3)"),"")</f>
        <v/>
      </c>
      <c r="AN135" s="2">
        <f>IFERROR(__xludf.DUMMYFUNCTION("IMPORTRANGE(""https://docs.google.com/spreadsheets/d/""&amp;$A135&amp;""/edit#gid=156619080"",AN$3)"),1.0)</f>
        <v>1</v>
      </c>
      <c r="AO135" s="2" t="str">
        <f>IFERROR(__xludf.DUMMYFUNCTION("IMPORTRANGE(""https://docs.google.com/spreadsheets/d/""&amp;$A135&amp;""/edit#gid=156619080"",AO$3)"),"")</f>
        <v/>
      </c>
      <c r="AP135" s="2">
        <f>IFERROR(__xludf.DUMMYFUNCTION("IMPORTRANGE(""https://docs.google.com/spreadsheets/d/""&amp;$A135&amp;""/edit#gid=156619080"",AP$3)"),1.0)</f>
        <v>1</v>
      </c>
      <c r="AQ135" s="2" t="str">
        <f>IFERROR(__xludf.DUMMYFUNCTION("IMPORTRANGE(""https://docs.google.com/spreadsheets/d/""&amp;$A135&amp;""/edit#gid=156619080"",AQ$3)"),"")</f>
        <v/>
      </c>
      <c r="AR135" s="18">
        <f>IFERROR(__xludf.DUMMYFUNCTION("IMPORTRANGE(""https://docs.google.com/spreadsheets/d/""&amp;$A135&amp;""/edit#gid=156619080"",AR$3)"),90.0)</f>
        <v>90</v>
      </c>
      <c r="AS135" s="19" t="str">
        <f>IFERROR(__xludf.DUMMYFUNCTION("IMPORTRANGE(""https://docs.google.com/spreadsheets/d/""&amp;$A135&amp;""/edit#gid=156619080"",AS$3)"),"-30
-80
20
70
")</f>
        <v>-30
-80
20
70
</v>
      </c>
      <c r="AT135" s="18">
        <f>IFERROR(__xludf.DUMMYFUNCTION("IMPORTRANGE(""https://docs.google.com/spreadsheets/d/""&amp;$A135&amp;""/edit#gid=156619080"",AT$3)"),69.23076923076923)</f>
        <v>69.23076923</v>
      </c>
      <c r="AU135" s="3" t="str">
        <f>IFERROR(__xludf.DUMMYFUNCTION("IMPORTRANGE(""https://docs.google.com/spreadsheets/d/""&amp;$A135&amp;""/edit#gid=156619080"",AU$3)"),"80.22
71.98
68.13
69.23
")</f>
        <v>80.22
71.98
68.13
69.23
</v>
      </c>
      <c r="AV135" s="18">
        <f>IFERROR(__xludf.DUMMYFUNCTION("IMPORTRANGE(""https://docs.google.com/spreadsheets/d/""&amp;$A135&amp;""/edit#gid=156619080"",AV$3)"),83.11688311688312)</f>
        <v>83.11688312</v>
      </c>
      <c r="AW135" s="19" t="str">
        <f>IFERROR(__xludf.DUMMYFUNCTION("IMPORTRANGE(""https://docs.google.com/spreadsheets/d/""&amp;$A135&amp;""/edit#gid=156619080"",AW$3)"),"68.7
76.23
76.49
77.4
")</f>
        <v>68.7
76.23
76.49
77.4
</v>
      </c>
      <c r="AX135" s="2">
        <f>IFERROR(__xludf.DUMMYFUNCTION("IMPORTRANGE(""https://docs.google.com/spreadsheets/d/""&amp;$A135&amp;""/edit#gid=156619080"",AX$3)"),59.0)</f>
        <v>59</v>
      </c>
      <c r="AY135" s="2">
        <f>IFERROR(__xludf.DUMMYFUNCTION("IMPORTRANGE(""https://docs.google.com/spreadsheets/d/""&amp;$A135&amp;""/edit#gid=156619080"",AY$3)"),68.58)</f>
        <v>68.58</v>
      </c>
      <c r="AZ135" s="2">
        <f>IFERROR(__xludf.DUMMYFUNCTION("IMPORTRANGE(""https://docs.google.com/spreadsheets/d/""&amp;$A135&amp;""/edit#gid=156619080"",AZ$3)"),2056.41)</f>
        <v>2056.41</v>
      </c>
      <c r="BA135" s="2">
        <f>IFERROR(__xludf.DUMMYFUNCTION("IMPORTRANGE(""https://docs.google.com/spreadsheets/d/""&amp;$A135&amp;""/edit#gid=156619080"",BA$3)"),117.33999999999992)</f>
        <v>117.34</v>
      </c>
      <c r="BB135" s="2">
        <f>IFERROR(__xludf.DUMMYFUNCTION("IMPORTRANGE(""https://docs.google.com/spreadsheets/d/""&amp;$A135&amp;""/edit#gid=156619080"",BB$3)"),99.96)</f>
        <v>99.96</v>
      </c>
      <c r="BC135" s="2" t="str">
        <f>IFERROR(__xludf.DUMMYFUNCTION("IMPORTRANGE(""https://docs.google.com/spreadsheets/d/""&amp;$A135&amp;""/edit#gid=156619080"",BC$3)"),"GC→GC")</f>
        <v>GC→GC</v>
      </c>
    </row>
    <row r="136" ht="51.0" customHeight="1">
      <c r="A136" s="7" t="str">
        <f t="shared" si="5"/>
        <v>1M8oyweEYpENSNk3atA-ZVRUKv0C3eRL95beU3eME_ws</v>
      </c>
      <c r="B136" s="1" t="s">
        <v>163</v>
      </c>
      <c r="C136" s="2">
        <f>IFERROR(__xludf.DUMMYFUNCTION("IMPORTRANGE(""https://docs.google.com/spreadsheets/d/""&amp;$A136&amp;""/edit#gid=156619080"",C$3)"),132.0)</f>
        <v>132</v>
      </c>
      <c r="D136" s="2">
        <f>IFERROR(__xludf.DUMMYFUNCTION("IMPORTRANGE(""https://docs.google.com/spreadsheets/d/""&amp;$A136&amp;""/edit#gid=156619080"",D$3)"),7762.0)</f>
        <v>7762</v>
      </c>
      <c r="E136" s="15">
        <f>IFERROR(__xludf.DUMMYFUNCTION("IMPORTRANGE(""https://docs.google.com/spreadsheets/d/""&amp;$A136&amp;""/edit#gid=156619080"",E$3)"),43882.0)</f>
        <v>43882</v>
      </c>
      <c r="F136" s="2">
        <f>IFERROR(__xludf.DUMMYFUNCTION("IMPORTRANGE(""https://docs.google.com/spreadsheets/d/""&amp;$A136&amp;""/edit#gid=156619080"",F$3)"),-7.0)</f>
        <v>-7</v>
      </c>
      <c r="G136" s="16">
        <f>IFERROR(__xludf.DUMMYFUNCTION("IMPORTRANGE(""https://docs.google.com/spreadsheets/d/""&amp;$A136&amp;""/edit#gid=156619080"",G$3)"),-1.44)</f>
        <v>-1.44</v>
      </c>
      <c r="H136" s="16">
        <f>IFERROR(__xludf.DUMMYFUNCTION("IMPORTRANGE(""https://docs.google.com/spreadsheets/d/""&amp;$A136&amp;""/edit#gid=156619080"",H$3)"),484.0)</f>
        <v>484</v>
      </c>
      <c r="I136" s="16">
        <f>IFERROR(__xludf.DUMMYFUNCTION("IMPORTRANGE(""https://docs.google.com/spreadsheets/d/""&amp;$A136&amp;""/edit#gid=156619080"",I$3)"),3.0)</f>
        <v>3</v>
      </c>
      <c r="J136" s="16">
        <f>IFERROR(__xludf.DUMMYFUNCTION("IMPORTRANGE(""https://docs.google.com/spreadsheets/d/""&amp;$A136&amp;""/edit#gid=156619080"",J$3)"),487.0)</f>
        <v>487</v>
      </c>
      <c r="K136" s="16">
        <f>IFERROR(__xludf.DUMMYFUNCTION("IMPORTRANGE(""https://docs.google.com/spreadsheets/d/""&amp;$A136&amp;""/edit#gid=156619080"",K$3)"),0.37569444444444444)</f>
        <v>0.3756944444</v>
      </c>
      <c r="L136" s="16">
        <f>IFERROR(__xludf.DUMMYFUNCTION("IMPORTRANGE(""https://docs.google.com/spreadsheets/d/""&amp;$A136&amp;""/edit#gid=156619080"",L$3)"),480.0)</f>
        <v>480</v>
      </c>
      <c r="M136" s="16">
        <f>IFERROR(__xludf.DUMMYFUNCTION("IMPORTRANGE(""https://docs.google.com/spreadsheets/d/""&amp;$A136&amp;""/edit#gid=156619080"",M$3)"),0.6180555555555556)</f>
        <v>0.6180555556</v>
      </c>
      <c r="N136" s="16">
        <f>IFERROR(__xludf.DUMMYFUNCTION("IMPORTRANGE(""https://docs.google.com/spreadsheets/d/""&amp;$A136&amp;""/edit#gid=156619080"",N$3)"),480.0)</f>
        <v>480</v>
      </c>
      <c r="O136" s="16" t="str">
        <f>IFERROR(__xludf.DUMMYFUNCTION("IMPORTRANGE(""https://docs.google.com/spreadsheets/d/""&amp;$A136&amp;""/edit#gid=156619080"",O$3)"),"2217500株")</f>
        <v>2217500株</v>
      </c>
      <c r="P136" s="16" t="str">
        <f>IFERROR(__xludf.DUMMYFUNCTION("IMPORTRANGE(""https://docs.google.com/spreadsheets/d/""&amp;$A136&amp;""/edit#gid=156619080"",P$3)"),"1070百万円")</f>
        <v>1070百万円</v>
      </c>
      <c r="Q136" s="16" t="str">
        <f>IFERROR(__xludf.DUMMYFUNCTION("IMPORTRANGE(""https://docs.google.com/spreadsheets/d/""&amp;$A136&amp;""/edit#gid=156619080"",Q$3)"),"2770回")</f>
        <v>2770回</v>
      </c>
      <c r="R136" s="16" t="str">
        <f>IFERROR(__xludf.DUMMYFUNCTION("IMPORTRANGE(""https://docs.google.com/spreadsheets/d/""&amp;$A136&amp;""/edit#gid=156619080"",R$3)"),"1509億円")</f>
        <v>1509億円</v>
      </c>
      <c r="S136" s="16" t="str">
        <f>IFERROR(__xludf.DUMMYFUNCTION("IMPORTRANGE(""https://docs.google.com/spreadsheets/d/""&amp;$A136&amp;""/edit#gid=156619080"",S$3)"),"陰線")</f>
        <v>陰線</v>
      </c>
      <c r="T136" s="16" t="str">
        <f>IFERROR(__xludf.DUMMYFUNCTION("IMPORTRANGE(""https://docs.google.com/spreadsheets/d/""&amp;$A136&amp;""/edit#gid=156619080"",T$3)"),"")</f>
        <v/>
      </c>
      <c r="U136" s="16">
        <f>IFERROR(__xludf.DUMMYFUNCTION("IMPORTRANGE(""https://docs.google.com/spreadsheets/d/""&amp;$A136&amp;""/edit#gid=156619080"",U$3)"),487.0)</f>
        <v>487</v>
      </c>
      <c r="V136" s="16">
        <f>IFERROR(__xludf.DUMMYFUNCTION("IMPORTRANGE(""https://docs.google.com/spreadsheets/d/""&amp;$A136&amp;""/edit#gid=156619080"",V$3)"),510.8)</f>
        <v>510.8</v>
      </c>
      <c r="W136" s="16">
        <f>IFERROR(__xludf.DUMMYFUNCTION("IMPORTRANGE(""https://docs.google.com/spreadsheets/d/""&amp;$A136&amp;""/edit#gid=156619080"",W$3)"),523.7)</f>
        <v>523.7</v>
      </c>
      <c r="X136" s="2">
        <f>IFERROR(__xludf.DUMMYFUNCTION("IMPORTRANGE(""https://docs.google.com/spreadsheets/d/""&amp;$A136&amp;""/edit#gid=156619080"",X$3)"),563.5)</f>
        <v>563.5</v>
      </c>
      <c r="Y136" s="17">
        <f>IFERROR(__xludf.DUMMYFUNCTION("IMPORTRANGE(""https://docs.google.com/spreadsheets/d/""&amp;$A136&amp;""/edit#gid=156619080"",Y$3)"),-0.014373716632443531)</f>
        <v>-0.01437371663</v>
      </c>
      <c r="Z136" s="2">
        <f>IFERROR(__xludf.DUMMYFUNCTION("IMPORTRANGE(""https://docs.google.com/spreadsheets/d/""&amp;$A136&amp;""/edit#gid=156619080"",Z$3)"),577.57)</f>
        <v>577.57</v>
      </c>
      <c r="AA136" s="2">
        <f>IFERROR(__xludf.DUMMYFUNCTION("IMPORTRANGE(""https://docs.google.com/spreadsheets/d/""&amp;$A136&amp;""/edit#gid=156619080"",AA$3)"),570.83)</f>
        <v>570.83</v>
      </c>
      <c r="AB136" s="2">
        <f>IFERROR(__xludf.DUMMYFUNCTION("IMPORTRANGE(""https://docs.google.com/spreadsheets/d/""&amp;$A136&amp;""/edit#gid=156619080"",AB$3)"),564.1)</f>
        <v>564.1</v>
      </c>
      <c r="AC136" s="18">
        <f>IFERROR(__xludf.DUMMYFUNCTION("IMPORTRANGE(""https://docs.google.com/spreadsheets/d/""&amp;$A136&amp;""/edit#gid=156619080"",AC$3)"),557.37)</f>
        <v>557.37</v>
      </c>
      <c r="AD136" s="18">
        <f>IFERROR(__xludf.DUMMYFUNCTION("IMPORTRANGE(""https://docs.google.com/spreadsheets/d/""&amp;$A136&amp;""/edit#gid=156619080"",AD$3)"),550.63)</f>
        <v>550.63</v>
      </c>
      <c r="AE136" s="18">
        <f>IFERROR(__xludf.DUMMYFUNCTION("IMPORTRANGE(""https://docs.google.com/spreadsheets/d/""&amp;$A136&amp;""/edit#gid=156619080"",AE$3)"),523.7)</f>
        <v>523.7</v>
      </c>
      <c r="AF136" s="2">
        <f>IFERROR(__xludf.DUMMYFUNCTION("IMPORTRANGE(""https://docs.google.com/spreadsheets/d/""&amp;$A136&amp;""/edit#gid=156619080"",AF$3)"),496.77)</f>
        <v>496.77</v>
      </c>
      <c r="AG136" s="2">
        <f>IFERROR(__xludf.DUMMYFUNCTION("IMPORTRANGE(""https://docs.google.com/spreadsheets/d/""&amp;$A136&amp;""/edit#gid=156619080"",AG$3)"),490.03)</f>
        <v>490.03</v>
      </c>
      <c r="AH136" s="2">
        <f>IFERROR(__xludf.DUMMYFUNCTION("IMPORTRANGE(""https://docs.google.com/spreadsheets/d/""&amp;$A136&amp;""/edit#gid=156619080"",AH$3)"),483.3)</f>
        <v>483.3</v>
      </c>
      <c r="AI136" s="2">
        <f>IFERROR(__xludf.DUMMYFUNCTION("IMPORTRANGE(""https://docs.google.com/spreadsheets/d/""&amp;$A136&amp;""/edit#gid=156619080"",AI$3)"),476.57)</f>
        <v>476.57</v>
      </c>
      <c r="AJ136" s="2">
        <f>IFERROR(__xludf.DUMMYFUNCTION("IMPORTRANGE(""https://docs.google.com/spreadsheets/d/""&amp;$A136&amp;""/edit#gid=156619080"",AJ$3)"),469.83)</f>
        <v>469.83</v>
      </c>
      <c r="AK136" s="2" t="str">
        <f>IFERROR(__xludf.DUMMYFUNCTION("IMPORTRANGE(""https://docs.google.com/spreadsheets/d/""&amp;$A136&amp;""/edit#gid=156619080"",AK$3)"),"-1.5σ〜-1.75σ")</f>
        <v>-1.5σ〜-1.75σ</v>
      </c>
      <c r="AL136" s="2">
        <f>IFERROR(__xludf.DUMMYFUNCTION("IMPORTRANGE(""https://docs.google.com/spreadsheets/d/""&amp;$A136&amp;""/edit#gid=156619080"",AL$3)"),-1.0)</f>
        <v>-1</v>
      </c>
      <c r="AM136" s="2" t="str">
        <f>IFERROR(__xludf.DUMMYFUNCTION("IMPORTRANGE(""https://docs.google.com/spreadsheets/d/""&amp;$A136&amp;""/edit#gid=156619080"",AM$3)"),"")</f>
        <v/>
      </c>
      <c r="AN136" s="2">
        <f>IFERROR(__xludf.DUMMYFUNCTION("IMPORTRANGE(""https://docs.google.com/spreadsheets/d/""&amp;$A136&amp;""/edit#gid=156619080"",AN$3)"),-1.0)</f>
        <v>-1</v>
      </c>
      <c r="AO136" s="2" t="str">
        <f>IFERROR(__xludf.DUMMYFUNCTION("IMPORTRANGE(""https://docs.google.com/spreadsheets/d/""&amp;$A136&amp;""/edit#gid=156619080"",AO$3)"),"")</f>
        <v/>
      </c>
      <c r="AP136" s="2">
        <f>IFERROR(__xludf.DUMMYFUNCTION("IMPORTRANGE(""https://docs.google.com/spreadsheets/d/""&amp;$A136&amp;""/edit#gid=156619080"",AP$3)"),-1.0)</f>
        <v>-1</v>
      </c>
      <c r="AQ136" s="2" t="str">
        <f>IFERROR(__xludf.DUMMYFUNCTION("IMPORTRANGE(""https://docs.google.com/spreadsheets/d/""&amp;$A136&amp;""/edit#gid=156619080"",AQ$3)"),"")</f>
        <v/>
      </c>
      <c r="AR136" s="18">
        <f>IFERROR(__xludf.DUMMYFUNCTION("IMPORTRANGE(""https://docs.google.com/spreadsheets/d/""&amp;$A136&amp;""/edit#gid=156619080"",AR$3)"),-57.49999999999999)</f>
        <v>-57.5</v>
      </c>
      <c r="AS136" s="19" t="str">
        <f>IFERROR(__xludf.DUMMYFUNCTION("IMPORTRANGE(""https://docs.google.com/spreadsheets/d/""&amp;$A136&amp;""/edit#gid=156619080"",AS$3)"),"-82.5
-92.5
-70
-57.5
")</f>
        <v>-82.5
-92.5
-70
-57.5
</v>
      </c>
      <c r="AT136" s="18">
        <f>IFERROR(__xludf.DUMMYFUNCTION("IMPORTRANGE(""https://docs.google.com/spreadsheets/d/""&amp;$A136&amp;""/edit#gid=156619080"",AT$3)"),-81.86813186813187)</f>
        <v>-81.86813187</v>
      </c>
      <c r="AU136" s="3" t="str">
        <f>IFERROR(__xludf.DUMMYFUNCTION("IMPORTRANGE(""https://docs.google.com/spreadsheets/d/""&amp;$A136&amp;""/edit#gid=156619080"",AU$3)"),"-43.27
-45.88
-62.64
-70.33
")</f>
        <v>-43.27
-45.88
-62.64
-70.33
</v>
      </c>
      <c r="AV136" s="18">
        <f>IFERROR(__xludf.DUMMYFUNCTION("IMPORTRANGE(""https://docs.google.com/spreadsheets/d/""&amp;$A136&amp;""/edit#gid=156619080"",AV$3)"),-86.03896103896105)</f>
        <v>-86.03896104</v>
      </c>
      <c r="AW136" s="19" t="str">
        <f>IFERROR(__xludf.DUMMYFUNCTION("IMPORTRANGE(""https://docs.google.com/spreadsheets/d/""&amp;$A136&amp;""/edit#gid=156619080"",AW$3)"),"-86.46
-86.59
-86.3
-86.04
")</f>
        <v>-86.46
-86.59
-86.3
-86.04
</v>
      </c>
      <c r="AX136" s="2">
        <f>IFERROR(__xludf.DUMMYFUNCTION("IMPORTRANGE(""https://docs.google.com/spreadsheets/d/""&amp;$A136&amp;""/edit#gid=156619080"",AX$3)"),21.740000000000002)</f>
        <v>21.74</v>
      </c>
      <c r="AY136" s="2">
        <f>IFERROR(__xludf.DUMMYFUNCTION("IMPORTRANGE(""https://docs.google.com/spreadsheets/d/""&amp;$A136&amp;""/edit#gid=156619080"",AY$3)"),24.48)</f>
        <v>24.48</v>
      </c>
      <c r="AZ136" s="2">
        <f>IFERROR(__xludf.DUMMYFUNCTION("IMPORTRANGE(""https://docs.google.com/spreadsheets/d/""&amp;$A136&amp;""/edit#gid=156619080"",AZ$3)"),488.86)</f>
        <v>488.86</v>
      </c>
      <c r="BA136" s="2">
        <f>IFERROR(__xludf.DUMMYFUNCTION("IMPORTRANGE(""https://docs.google.com/spreadsheets/d/""&amp;$A136&amp;""/edit#gid=156619080"",BA$3)"),-31.949999999999932)</f>
        <v>-31.95</v>
      </c>
      <c r="BB136" s="2">
        <f>IFERROR(__xludf.DUMMYFUNCTION("IMPORTRANGE(""https://docs.google.com/spreadsheets/d/""&amp;$A136&amp;""/edit#gid=156619080"",BB$3)"),-26.73)</f>
        <v>-26.73</v>
      </c>
      <c r="BC136" s="2" t="str">
        <f>IFERROR(__xludf.DUMMYFUNCTION("IMPORTRANGE(""https://docs.google.com/spreadsheets/d/""&amp;$A136&amp;""/edit#gid=156619080"",BC$3)"),"DC→DC")</f>
        <v>DC→DC</v>
      </c>
    </row>
    <row r="137" ht="51.0" customHeight="1">
      <c r="A137" s="7" t="str">
        <f t="shared" si="5"/>
        <v>12NxmM0m8BX0oiGQ_JEpUDWWqv-8zJPjj4DFWdVCxcDc</v>
      </c>
      <c r="B137" s="1" t="s">
        <v>164</v>
      </c>
      <c r="C137" s="2">
        <f>IFERROR(__xludf.DUMMYFUNCTION("IMPORTRANGE(""https://docs.google.com/spreadsheets/d/""&amp;$A137&amp;""/edit#gid=156619080"",C$3)"),132.0)</f>
        <v>132</v>
      </c>
      <c r="D137" s="2">
        <f>IFERROR(__xludf.DUMMYFUNCTION("IMPORTRANGE(""https://docs.google.com/spreadsheets/d/""&amp;$A137&amp;""/edit#gid=156619080"",D$3)"),7832.0)</f>
        <v>7832</v>
      </c>
      <c r="E137" s="15">
        <f>IFERROR(__xludf.DUMMYFUNCTION("IMPORTRANGE(""https://docs.google.com/spreadsheets/d/""&amp;$A137&amp;""/edit#gid=156619080"",E$3)"),43882.0)</f>
        <v>43882</v>
      </c>
      <c r="F137" s="2">
        <f>IFERROR(__xludf.DUMMYFUNCTION("IMPORTRANGE(""https://docs.google.com/spreadsheets/d/""&amp;$A137&amp;""/edit#gid=156619080"",F$3)"),10.0)</f>
        <v>10</v>
      </c>
      <c r="G137" s="16">
        <f>IFERROR(__xludf.DUMMYFUNCTION("IMPORTRANGE(""https://docs.google.com/spreadsheets/d/""&amp;$A137&amp;""/edit#gid=156619080"",G$3)"),0.17)</f>
        <v>0.17</v>
      </c>
      <c r="H137" s="16">
        <f>IFERROR(__xludf.DUMMYFUNCTION("IMPORTRANGE(""https://docs.google.com/spreadsheets/d/""&amp;$A137&amp;""/edit#gid=156619080"",H$3)"),5901.0)</f>
        <v>5901</v>
      </c>
      <c r="I137" s="16">
        <f>IFERROR(__xludf.DUMMYFUNCTION("IMPORTRANGE(""https://docs.google.com/spreadsheets/d/""&amp;$A137&amp;""/edit#gid=156619080"",I$3)"),9.0)</f>
        <v>9</v>
      </c>
      <c r="J137" s="16">
        <f>IFERROR(__xludf.DUMMYFUNCTION("IMPORTRANGE(""https://docs.google.com/spreadsheets/d/""&amp;$A137&amp;""/edit#gid=156619080"",J$3)"),5956.0)</f>
        <v>5956</v>
      </c>
      <c r="K137" s="16">
        <f>IFERROR(__xludf.DUMMYFUNCTION("IMPORTRANGE(""https://docs.google.com/spreadsheets/d/""&amp;$A137&amp;""/edit#gid=156619080"",K$3)"),0.4444444444444444)</f>
        <v>0.4444444444</v>
      </c>
      <c r="L137" s="16">
        <f>IFERROR(__xludf.DUMMYFUNCTION("IMPORTRANGE(""https://docs.google.com/spreadsheets/d/""&amp;$A137&amp;""/edit#gid=156619080"",L$3)"),5870.0)</f>
        <v>5870</v>
      </c>
      <c r="M137" s="16">
        <f>IFERROR(__xludf.DUMMYFUNCTION("IMPORTRANGE(""https://docs.google.com/spreadsheets/d/""&amp;$A137&amp;""/edit#gid=156619080"",M$3)"),0.37916666666666665)</f>
        <v>0.3791666667</v>
      </c>
      <c r="N137" s="16">
        <f>IFERROR(__xludf.DUMMYFUNCTION("IMPORTRANGE(""https://docs.google.com/spreadsheets/d/""&amp;$A137&amp;""/edit#gid=156619080"",N$3)"),5920.0)</f>
        <v>5920</v>
      </c>
      <c r="O137" s="16" t="str">
        <f>IFERROR(__xludf.DUMMYFUNCTION("IMPORTRANGE(""https://docs.google.com/spreadsheets/d/""&amp;$A137&amp;""/edit#gid=156619080"",O$3)"),"677200株")</f>
        <v>677200株</v>
      </c>
      <c r="P137" s="16" t="str">
        <f>IFERROR(__xludf.DUMMYFUNCTION("IMPORTRANGE(""https://docs.google.com/spreadsheets/d/""&amp;$A137&amp;""/edit#gid=156619080"",P$3)"),"4014百万円")</f>
        <v>4014百万円</v>
      </c>
      <c r="Q137" s="16" t="str">
        <f>IFERROR(__xludf.DUMMYFUNCTION("IMPORTRANGE(""https://docs.google.com/spreadsheets/d/""&amp;$A137&amp;""/edit#gid=156619080"",Q$3)"),"2397回")</f>
        <v>2397回</v>
      </c>
      <c r="R137" s="16" t="str">
        <f>IFERROR(__xludf.DUMMYFUNCTION("IMPORTRANGE(""https://docs.google.com/spreadsheets/d/""&amp;$A137&amp;""/edit#gid=156619080"",R$3)"),"13142億円")</f>
        <v>13142億円</v>
      </c>
      <c r="S137" s="16" t="str">
        <f>IFERROR(__xludf.DUMMYFUNCTION("IMPORTRANGE(""https://docs.google.com/spreadsheets/d/""&amp;$A137&amp;""/edit#gid=156619080"",S$3)"),"陽線")</f>
        <v>陽線</v>
      </c>
      <c r="T137" s="16" t="str">
        <f>IFERROR(__xludf.DUMMYFUNCTION("IMPORTRANGE(""https://docs.google.com/spreadsheets/d/""&amp;$A137&amp;""/edit#gid=156619080"",T$3)"),"")</f>
        <v/>
      </c>
      <c r="U137" s="16">
        <f>IFERROR(__xludf.DUMMYFUNCTION("IMPORTRANGE(""https://docs.google.com/spreadsheets/d/""&amp;$A137&amp;""/edit#gid=156619080"",U$3)"),5944.2)</f>
        <v>5944.2</v>
      </c>
      <c r="V137" s="16">
        <f>IFERROR(__xludf.DUMMYFUNCTION("IMPORTRANGE(""https://docs.google.com/spreadsheets/d/""&amp;$A137&amp;""/edit#gid=156619080"",V$3)"),6136.9)</f>
        <v>6136.9</v>
      </c>
      <c r="W137" s="16">
        <f>IFERROR(__xludf.DUMMYFUNCTION("IMPORTRANGE(""https://docs.google.com/spreadsheets/d/""&amp;$A137&amp;""/edit#gid=156619080"",W$3)"),6251.7)</f>
        <v>6251.7</v>
      </c>
      <c r="X137" s="2">
        <f>IFERROR(__xludf.DUMMYFUNCTION("IMPORTRANGE(""https://docs.google.com/spreadsheets/d/""&amp;$A137&amp;""/edit#gid=156619080"",X$3)"),6494.4)</f>
        <v>6494.4</v>
      </c>
      <c r="Y137" s="17">
        <f>IFERROR(__xludf.DUMMYFUNCTION("IMPORTRANGE(""https://docs.google.com/spreadsheets/d/""&amp;$A137&amp;""/edit#gid=156619080"",Y$3)"),-0.004071195451027862)</f>
        <v>-0.004071195451</v>
      </c>
      <c r="Z137" s="2">
        <f>IFERROR(__xludf.DUMMYFUNCTION("IMPORTRANGE(""https://docs.google.com/spreadsheets/d/""&amp;$A137&amp;""/edit#gid=156619080"",Z$3)"),6783.16)</f>
        <v>6783.16</v>
      </c>
      <c r="AA137" s="2">
        <f>IFERROR(__xludf.DUMMYFUNCTION("IMPORTRANGE(""https://docs.google.com/spreadsheets/d/""&amp;$A137&amp;""/edit#gid=156619080"",AA$3)"),6716.72)</f>
        <v>6716.72</v>
      </c>
      <c r="AB137" s="2">
        <f>IFERROR(__xludf.DUMMYFUNCTION("IMPORTRANGE(""https://docs.google.com/spreadsheets/d/""&amp;$A137&amp;""/edit#gid=156619080"",AB$3)"),6650.29)</f>
        <v>6650.29</v>
      </c>
      <c r="AC137" s="18">
        <f>IFERROR(__xludf.DUMMYFUNCTION("IMPORTRANGE(""https://docs.google.com/spreadsheets/d/""&amp;$A137&amp;""/edit#gid=156619080"",AC$3)"),6583.86)</f>
        <v>6583.86</v>
      </c>
      <c r="AD137" s="18">
        <f>IFERROR(__xludf.DUMMYFUNCTION("IMPORTRANGE(""https://docs.google.com/spreadsheets/d/""&amp;$A137&amp;""/edit#gid=156619080"",AD$3)"),6517.43)</f>
        <v>6517.43</v>
      </c>
      <c r="AE137" s="18">
        <f>IFERROR(__xludf.DUMMYFUNCTION("IMPORTRANGE(""https://docs.google.com/spreadsheets/d/""&amp;$A137&amp;""/edit#gid=156619080"",AE$3)"),6251.7)</f>
        <v>6251.7</v>
      </c>
      <c r="AF137" s="2">
        <f>IFERROR(__xludf.DUMMYFUNCTION("IMPORTRANGE(""https://docs.google.com/spreadsheets/d/""&amp;$A137&amp;""/edit#gid=156619080"",AF$3)"),5985.97)</f>
        <v>5985.97</v>
      </c>
      <c r="AG137" s="2">
        <f>IFERROR(__xludf.DUMMYFUNCTION("IMPORTRANGE(""https://docs.google.com/spreadsheets/d/""&amp;$A137&amp;""/edit#gid=156619080"",AG$3)"),5919.54)</f>
        <v>5919.54</v>
      </c>
      <c r="AH137" s="2">
        <f>IFERROR(__xludf.DUMMYFUNCTION("IMPORTRANGE(""https://docs.google.com/spreadsheets/d/""&amp;$A137&amp;""/edit#gid=156619080"",AH$3)"),5853.11)</f>
        <v>5853.11</v>
      </c>
      <c r="AI137" s="2">
        <f>IFERROR(__xludf.DUMMYFUNCTION("IMPORTRANGE(""https://docs.google.com/spreadsheets/d/""&amp;$A137&amp;""/edit#gid=156619080"",AI$3)"),5786.68)</f>
        <v>5786.68</v>
      </c>
      <c r="AJ137" s="2">
        <f>IFERROR(__xludf.DUMMYFUNCTION("IMPORTRANGE(""https://docs.google.com/spreadsheets/d/""&amp;$A137&amp;""/edit#gid=156619080"",AJ$3)"),5720.24)</f>
        <v>5720.24</v>
      </c>
      <c r="AK137" s="2" t="str">
        <f>IFERROR(__xludf.DUMMYFUNCTION("IMPORTRANGE(""https://docs.google.com/spreadsheets/d/""&amp;$A137&amp;""/edit#gid=156619080"",AK$3)"),"-1〜-1.25σ")</f>
        <v>-1〜-1.25σ</v>
      </c>
      <c r="AL137" s="2">
        <f>IFERROR(__xludf.DUMMYFUNCTION("IMPORTRANGE(""https://docs.google.com/spreadsheets/d/""&amp;$A137&amp;""/edit#gid=156619080"",AL$3)"),-1.0)</f>
        <v>-1</v>
      </c>
      <c r="AM137" s="2" t="str">
        <f>IFERROR(__xludf.DUMMYFUNCTION("IMPORTRANGE(""https://docs.google.com/spreadsheets/d/""&amp;$A137&amp;""/edit#gid=156619080"",AM$3)"),"")</f>
        <v/>
      </c>
      <c r="AN137" s="2">
        <f>IFERROR(__xludf.DUMMYFUNCTION("IMPORTRANGE(""https://docs.google.com/spreadsheets/d/""&amp;$A137&amp;""/edit#gid=156619080"",AN$3)"),-1.0)</f>
        <v>-1</v>
      </c>
      <c r="AO137" s="2" t="str">
        <f>IFERROR(__xludf.DUMMYFUNCTION("IMPORTRANGE(""https://docs.google.com/spreadsheets/d/""&amp;$A137&amp;""/edit#gid=156619080"",AO$3)"),"")</f>
        <v/>
      </c>
      <c r="AP137" s="2">
        <f>IFERROR(__xludf.DUMMYFUNCTION("IMPORTRANGE(""https://docs.google.com/spreadsheets/d/""&amp;$A137&amp;""/edit#gid=156619080"",AP$3)"),-1.0)</f>
        <v>-1</v>
      </c>
      <c r="AQ137" s="2" t="str">
        <f>IFERROR(__xludf.DUMMYFUNCTION("IMPORTRANGE(""https://docs.google.com/spreadsheets/d/""&amp;$A137&amp;""/edit#gid=156619080"",AQ$3)"),"")</f>
        <v/>
      </c>
      <c r="AR137" s="18">
        <f>IFERROR(__xludf.DUMMYFUNCTION("IMPORTRANGE(""https://docs.google.com/spreadsheets/d/""&amp;$A137&amp;""/edit#gid=156619080"",AR$3)"),-30.000000000000004)</f>
        <v>-30</v>
      </c>
      <c r="AS137" s="19" t="str">
        <f>IFERROR(__xludf.DUMMYFUNCTION("IMPORTRANGE(""https://docs.google.com/spreadsheets/d/""&amp;$A137&amp;""/edit#gid=156619080"",AS$3)"),"70
0
-50
-60
")</f>
        <v>70
0
-50
-60
</v>
      </c>
      <c r="AT137" s="18">
        <f>IFERROR(__xludf.DUMMYFUNCTION("IMPORTRANGE(""https://docs.google.com/spreadsheets/d/""&amp;$A137&amp;""/edit#gid=156619080"",AT$3)"),-84.61538461538463)</f>
        <v>-84.61538462</v>
      </c>
      <c r="AU137" s="3" t="str">
        <f>IFERROR(__xludf.DUMMYFUNCTION("IMPORTRANGE(""https://docs.google.com/spreadsheets/d/""&amp;$A137&amp;""/edit#gid=156619080"",AU$3)"),"-62.64
-68.68
-79.67
-83.52
")</f>
        <v>-62.64
-68.68
-79.67
-83.52
</v>
      </c>
      <c r="AV137" s="18">
        <f>IFERROR(__xludf.DUMMYFUNCTION("IMPORTRANGE(""https://docs.google.com/spreadsheets/d/""&amp;$A137&amp;""/edit#gid=156619080"",AV$3)"),-82.88961038961038)</f>
        <v>-82.88961039</v>
      </c>
      <c r="AW137" s="19" t="str">
        <f>IFERROR(__xludf.DUMMYFUNCTION("IMPORTRANGE(""https://docs.google.com/spreadsheets/d/""&amp;$A137&amp;""/edit#gid=156619080"",AW$3)"),"-68.6
-74.06
-78.47
-81.98
")</f>
        <v>-68.6
-74.06
-78.47
-81.98
</v>
      </c>
      <c r="AX137" s="2">
        <f>IFERROR(__xludf.DUMMYFUNCTION("IMPORTRANGE(""https://docs.google.com/spreadsheets/d/""&amp;$A137&amp;""/edit#gid=156619080"",AX$3)"),30.25)</f>
        <v>30.25</v>
      </c>
      <c r="AY137" s="2">
        <f>IFERROR(__xludf.DUMMYFUNCTION("IMPORTRANGE(""https://docs.google.com/spreadsheets/d/""&amp;$A137&amp;""/edit#gid=156619080"",AY$3)"),33.86)</f>
        <v>33.86</v>
      </c>
      <c r="AZ137" s="2">
        <f>IFERROR(__xludf.DUMMYFUNCTION("IMPORTRANGE(""https://docs.google.com/spreadsheets/d/""&amp;$A137&amp;""/edit#gid=156619080"",AZ$3)"),5952.57)</f>
        <v>5952.57</v>
      </c>
      <c r="BA137" s="2">
        <f>IFERROR(__xludf.DUMMYFUNCTION("IMPORTRANGE(""https://docs.google.com/spreadsheets/d/""&amp;$A137&amp;""/edit#gid=156619080"",BA$3)"),-231.32000000000062)</f>
        <v>-231.32</v>
      </c>
      <c r="BB137" s="2">
        <f>IFERROR(__xludf.DUMMYFUNCTION("IMPORTRANGE(""https://docs.google.com/spreadsheets/d/""&amp;$A137&amp;""/edit#gid=156619080"",BB$3)"),-178.2)</f>
        <v>-178.2</v>
      </c>
      <c r="BC137" s="2" t="str">
        <f>IFERROR(__xludf.DUMMYFUNCTION("IMPORTRANGE(""https://docs.google.com/spreadsheets/d/""&amp;$A137&amp;""/edit#gid=156619080"",BC$3)"),"DC→DC")</f>
        <v>DC→DC</v>
      </c>
    </row>
    <row r="138" ht="51.0" customHeight="1">
      <c r="A138" s="7" t="str">
        <f t="shared" si="5"/>
        <v>1hcUNe8kiiZMZVlfyD-dZJ3BiP4kUXpbj8-t5doZiPVw</v>
      </c>
      <c r="B138" s="1" t="s">
        <v>165</v>
      </c>
      <c r="C138" s="2">
        <f>IFERROR(__xludf.DUMMYFUNCTION("IMPORTRANGE(""https://docs.google.com/spreadsheets/d/""&amp;$A138&amp;""/edit#gid=156619080"",C$3)"),132.0)</f>
        <v>132</v>
      </c>
      <c r="D138" s="2">
        <f>IFERROR(__xludf.DUMMYFUNCTION("IMPORTRANGE(""https://docs.google.com/spreadsheets/d/""&amp;$A138&amp;""/edit#gid=156619080"",D$3)"),7911.0)</f>
        <v>7911</v>
      </c>
      <c r="E138" s="15">
        <f>IFERROR(__xludf.DUMMYFUNCTION("IMPORTRANGE(""https://docs.google.com/spreadsheets/d/""&amp;$A138&amp;""/edit#gid=156619080"",E$3)"),43882.0)</f>
        <v>43882</v>
      </c>
      <c r="F138" s="2">
        <f>IFERROR(__xludf.DUMMYFUNCTION("IMPORTRANGE(""https://docs.google.com/spreadsheets/d/""&amp;$A138&amp;""/edit#gid=156619080"",F$3)"),-9.0)</f>
        <v>-9</v>
      </c>
      <c r="G138" s="16">
        <f>IFERROR(__xludf.DUMMYFUNCTION("IMPORTRANGE(""https://docs.google.com/spreadsheets/d/""&amp;$A138&amp;""/edit#gid=156619080"",G$3)"),-0.44)</f>
        <v>-0.44</v>
      </c>
      <c r="H138" s="16">
        <f>IFERROR(__xludf.DUMMYFUNCTION("IMPORTRANGE(""https://docs.google.com/spreadsheets/d/""&amp;$A138&amp;""/edit#gid=156619080"",H$3)"),2037.0)</f>
        <v>2037</v>
      </c>
      <c r="I138" s="16">
        <f>IFERROR(__xludf.DUMMYFUNCTION("IMPORTRANGE(""https://docs.google.com/spreadsheets/d/""&amp;$A138&amp;""/edit#gid=156619080"",I$3)"),1.0)</f>
        <v>1</v>
      </c>
      <c r="J138" s="16">
        <f>IFERROR(__xludf.DUMMYFUNCTION("IMPORTRANGE(""https://docs.google.com/spreadsheets/d/""&amp;$A138&amp;""/edit#gid=156619080"",J$3)"),2057.0)</f>
        <v>2057</v>
      </c>
      <c r="K138" s="16">
        <f>IFERROR(__xludf.DUMMYFUNCTION("IMPORTRANGE(""https://docs.google.com/spreadsheets/d/""&amp;$A138&amp;""/edit#gid=156619080"",K$3)"),0.5409722222222222)</f>
        <v>0.5409722222</v>
      </c>
      <c r="L138" s="16">
        <f>IFERROR(__xludf.DUMMYFUNCTION("IMPORTRANGE(""https://docs.google.com/spreadsheets/d/""&amp;$A138&amp;""/edit#gid=156619080"",L$3)"),2025.0)</f>
        <v>2025</v>
      </c>
      <c r="M138" s="16">
        <f>IFERROR(__xludf.DUMMYFUNCTION("IMPORTRANGE(""https://docs.google.com/spreadsheets/d/""&amp;$A138&amp;""/edit#gid=156619080"",M$3)"),0.375)</f>
        <v>0.375</v>
      </c>
      <c r="N138" s="16">
        <f>IFERROR(__xludf.DUMMYFUNCTION("IMPORTRANGE(""https://docs.google.com/spreadsheets/d/""&amp;$A138&amp;""/edit#gid=156619080"",N$3)"),2029.0)</f>
        <v>2029</v>
      </c>
      <c r="O138" s="16" t="str">
        <f>IFERROR(__xludf.DUMMYFUNCTION("IMPORTRANGE(""https://docs.google.com/spreadsheets/d/""&amp;$A138&amp;""/edit#gid=156619080"",O$3)"),"1566900株")</f>
        <v>1566900株</v>
      </c>
      <c r="P138" s="16" t="str">
        <f>IFERROR(__xludf.DUMMYFUNCTION("IMPORTRANGE(""https://docs.google.com/spreadsheets/d/""&amp;$A138&amp;""/edit#gid=156619080"",P$3)"),"3192百万円")</f>
        <v>3192百万円</v>
      </c>
      <c r="Q138" s="16" t="str">
        <f>IFERROR(__xludf.DUMMYFUNCTION("IMPORTRANGE(""https://docs.google.com/spreadsheets/d/""&amp;$A138&amp;""/edit#gid=156619080"",Q$3)"),"1890回")</f>
        <v>1890回</v>
      </c>
      <c r="R138" s="16" t="str">
        <f>IFERROR(__xludf.DUMMYFUNCTION("IMPORTRANGE(""https://docs.google.com/spreadsheets/d/""&amp;$A138&amp;""/edit#gid=156619080"",R$3)"),"7096億円")</f>
        <v>7096億円</v>
      </c>
      <c r="S138" s="16" t="str">
        <f>IFERROR(__xludf.DUMMYFUNCTION("IMPORTRANGE(""https://docs.google.com/spreadsheets/d/""&amp;$A138&amp;""/edit#gid=156619080"",S$3)"),"陰線")</f>
        <v>陰線</v>
      </c>
      <c r="T138" s="16" t="str">
        <f>IFERROR(__xludf.DUMMYFUNCTION("IMPORTRANGE(""https://docs.google.com/spreadsheets/d/""&amp;$A138&amp;""/edit#gid=156619080"",T$3)"),"")</f>
        <v/>
      </c>
      <c r="U138" s="16">
        <f>IFERROR(__xludf.DUMMYFUNCTION("IMPORTRANGE(""https://docs.google.com/spreadsheets/d/""&amp;$A138&amp;""/edit#gid=156619080"",U$3)"),2052.6)</f>
        <v>2052.6</v>
      </c>
      <c r="V138" s="16">
        <f>IFERROR(__xludf.DUMMYFUNCTION("IMPORTRANGE(""https://docs.google.com/spreadsheets/d/""&amp;$A138&amp;""/edit#gid=156619080"",V$3)"),2131.8)</f>
        <v>2131.8</v>
      </c>
      <c r="W138" s="16">
        <f>IFERROR(__xludf.DUMMYFUNCTION("IMPORTRANGE(""https://docs.google.com/spreadsheets/d/""&amp;$A138&amp;""/edit#gid=156619080"",W$3)"),2170.0)</f>
        <v>2170</v>
      </c>
      <c r="X138" s="2">
        <f>IFERROR(__xludf.DUMMYFUNCTION("IMPORTRANGE(""https://docs.google.com/spreadsheets/d/""&amp;$A138&amp;""/edit#gid=156619080"",X$3)"),2097.8)</f>
        <v>2097.8</v>
      </c>
      <c r="Y138" s="17">
        <f>IFERROR(__xludf.DUMMYFUNCTION("IMPORTRANGE(""https://docs.google.com/spreadsheets/d/""&amp;$A138&amp;""/edit#gid=156619080"",Y$3)"),-0.011497612783786373)</f>
        <v>-0.01149761278</v>
      </c>
      <c r="Z138" s="2">
        <f>IFERROR(__xludf.DUMMYFUNCTION("IMPORTRANGE(""https://docs.google.com/spreadsheets/d/""&amp;$A138&amp;""/edit#gid=156619080"",Z$3)"),2340.55)</f>
        <v>2340.55</v>
      </c>
      <c r="AA138" s="2">
        <f>IFERROR(__xludf.DUMMYFUNCTION("IMPORTRANGE(""https://docs.google.com/spreadsheets/d/""&amp;$A138&amp;""/edit#gid=156619080"",AA$3)"),2319.24)</f>
        <v>2319.24</v>
      </c>
      <c r="AB138" s="2">
        <f>IFERROR(__xludf.DUMMYFUNCTION("IMPORTRANGE(""https://docs.google.com/spreadsheets/d/""&amp;$A138&amp;""/edit#gid=156619080"",AB$3)"),2297.92)</f>
        <v>2297.92</v>
      </c>
      <c r="AC138" s="18">
        <f>IFERROR(__xludf.DUMMYFUNCTION("IMPORTRANGE(""https://docs.google.com/spreadsheets/d/""&amp;$A138&amp;""/edit#gid=156619080"",AC$3)"),2276.6)</f>
        <v>2276.6</v>
      </c>
      <c r="AD138" s="18">
        <f>IFERROR(__xludf.DUMMYFUNCTION("IMPORTRANGE(""https://docs.google.com/spreadsheets/d/""&amp;$A138&amp;""/edit#gid=156619080"",AD$3)"),2255.28)</f>
        <v>2255.28</v>
      </c>
      <c r="AE138" s="18">
        <f>IFERROR(__xludf.DUMMYFUNCTION("IMPORTRANGE(""https://docs.google.com/spreadsheets/d/""&amp;$A138&amp;""/edit#gid=156619080"",AE$3)"),2170.0)</f>
        <v>2170</v>
      </c>
      <c r="AF138" s="2">
        <f>IFERROR(__xludf.DUMMYFUNCTION("IMPORTRANGE(""https://docs.google.com/spreadsheets/d/""&amp;$A138&amp;""/edit#gid=156619080"",AF$3)"),2084.72)</f>
        <v>2084.72</v>
      </c>
      <c r="AG138" s="2">
        <f>IFERROR(__xludf.DUMMYFUNCTION("IMPORTRANGE(""https://docs.google.com/spreadsheets/d/""&amp;$A138&amp;""/edit#gid=156619080"",AG$3)"),2063.4)</f>
        <v>2063.4</v>
      </c>
      <c r="AH138" s="2">
        <f>IFERROR(__xludf.DUMMYFUNCTION("IMPORTRANGE(""https://docs.google.com/spreadsheets/d/""&amp;$A138&amp;""/edit#gid=156619080"",AH$3)"),2042.08)</f>
        <v>2042.08</v>
      </c>
      <c r="AI138" s="2">
        <f>IFERROR(__xludf.DUMMYFUNCTION("IMPORTRANGE(""https://docs.google.com/spreadsheets/d/""&amp;$A138&amp;""/edit#gid=156619080"",AI$3)"),2020.76)</f>
        <v>2020.76</v>
      </c>
      <c r="AJ138" s="2">
        <f>IFERROR(__xludf.DUMMYFUNCTION("IMPORTRANGE(""https://docs.google.com/spreadsheets/d/""&amp;$A138&amp;""/edit#gid=156619080"",AJ$3)"),1999.45)</f>
        <v>1999.45</v>
      </c>
      <c r="AK138" s="2" t="str">
        <f>IFERROR(__xludf.DUMMYFUNCTION("IMPORTRANGE(""https://docs.google.com/spreadsheets/d/""&amp;$A138&amp;""/edit#gid=156619080"",AK$3)"),"-1.5σ〜-1.75σ")</f>
        <v>-1.5σ〜-1.75σ</v>
      </c>
      <c r="AL138" s="2">
        <f>IFERROR(__xludf.DUMMYFUNCTION("IMPORTRANGE(""https://docs.google.com/spreadsheets/d/""&amp;$A138&amp;""/edit#gid=156619080"",AL$3)"),-1.0)</f>
        <v>-1</v>
      </c>
      <c r="AM138" s="2" t="str">
        <f>IFERROR(__xludf.DUMMYFUNCTION("IMPORTRANGE(""https://docs.google.com/spreadsheets/d/""&amp;$A138&amp;""/edit#gid=156619080"",AM$3)"),"")</f>
        <v/>
      </c>
      <c r="AN138" s="2">
        <f>IFERROR(__xludf.DUMMYFUNCTION("IMPORTRANGE(""https://docs.google.com/spreadsheets/d/""&amp;$A138&amp;""/edit#gid=156619080"",AN$3)"),-1.0)</f>
        <v>-1</v>
      </c>
      <c r="AO138" s="2" t="str">
        <f>IFERROR(__xludf.DUMMYFUNCTION("IMPORTRANGE(""https://docs.google.com/spreadsheets/d/""&amp;$A138&amp;""/edit#gid=156619080"",AO$3)"),"")</f>
        <v/>
      </c>
      <c r="AP138" s="2">
        <f>IFERROR(__xludf.DUMMYFUNCTION("IMPORTRANGE(""https://docs.google.com/spreadsheets/d/""&amp;$A138&amp;""/edit#gid=156619080"",AP$3)"),-1.0)</f>
        <v>-1</v>
      </c>
      <c r="AQ138" s="2" t="str">
        <f>IFERROR(__xludf.DUMMYFUNCTION("IMPORTRANGE(""https://docs.google.com/spreadsheets/d/""&amp;$A138&amp;""/edit#gid=156619080"",AQ$3)"),"")</f>
        <v/>
      </c>
      <c r="AR138" s="18">
        <f>IFERROR(__xludf.DUMMYFUNCTION("IMPORTRANGE(""https://docs.google.com/spreadsheets/d/""&amp;$A138&amp;""/edit#gid=156619080"",AR$3)"),-100.0)</f>
        <v>-100</v>
      </c>
      <c r="AS138" s="19" t="str">
        <f>IFERROR(__xludf.DUMMYFUNCTION("IMPORTRANGE(""https://docs.google.com/spreadsheets/d/""&amp;$A138&amp;""/edit#gid=156619080"",AS$3)"),"-70
-40
0
-100
")</f>
        <v>-70
-40
0
-100
</v>
      </c>
      <c r="AT138" s="18">
        <f>IFERROR(__xludf.DUMMYFUNCTION("IMPORTRANGE(""https://docs.google.com/spreadsheets/d/""&amp;$A138&amp;""/edit#gid=156619080"",AT$3)"),-85.16483516483517)</f>
        <v>-85.16483516</v>
      </c>
      <c r="AU138" s="3" t="str">
        <f>IFERROR(__xludf.DUMMYFUNCTION("IMPORTRANGE(""https://docs.google.com/spreadsheets/d/""&amp;$A138&amp;""/edit#gid=156619080"",AU$3)"),"-40.66
-42.31
-59.89
-73.63
")</f>
        <v>-40.66
-42.31
-59.89
-73.63
</v>
      </c>
      <c r="AV138" s="18">
        <f>IFERROR(__xludf.DUMMYFUNCTION("IMPORTRANGE(""https://docs.google.com/spreadsheets/d/""&amp;$A138&amp;""/edit#gid=156619080"",AV$3)"),-81.03896103896105)</f>
        <v>-81.03896104</v>
      </c>
      <c r="AW138" s="19" t="str">
        <f>IFERROR(__xludf.DUMMYFUNCTION("IMPORTRANGE(""https://docs.google.com/spreadsheets/d/""&amp;$A138&amp;""/edit#gid=156619080"",AW$3)"),"-71.82
-75.97
-78.31
-80.65
")</f>
        <v>-71.82
-75.97
-78.31
-80.65
</v>
      </c>
      <c r="AX138" s="2">
        <f>IFERROR(__xludf.DUMMYFUNCTION("IMPORTRANGE(""https://docs.google.com/spreadsheets/d/""&amp;$A138&amp;""/edit#gid=156619080"",AX$3)"),0.0)</f>
        <v>0</v>
      </c>
      <c r="AY138" s="2">
        <f>IFERROR(__xludf.DUMMYFUNCTION("IMPORTRANGE(""https://docs.google.com/spreadsheets/d/""&amp;$A138&amp;""/edit#gid=156619080"",AY$3)"),30.599999999999998)</f>
        <v>30.6</v>
      </c>
      <c r="AZ138" s="2">
        <f>IFERROR(__xludf.DUMMYFUNCTION("IMPORTRANGE(""https://docs.google.com/spreadsheets/d/""&amp;$A138&amp;""/edit#gid=156619080"",AZ$3)"),2055.35)</f>
        <v>2055.35</v>
      </c>
      <c r="BA138" s="2">
        <f>IFERROR(__xludf.DUMMYFUNCTION("IMPORTRANGE(""https://docs.google.com/spreadsheets/d/""&amp;$A138&amp;""/edit#gid=156619080"",BA$3)"),-87.76999999999998)</f>
        <v>-87.77</v>
      </c>
      <c r="BB138" s="2">
        <f>IFERROR(__xludf.DUMMYFUNCTION("IMPORTRANGE(""https://docs.google.com/spreadsheets/d/""&amp;$A138&amp;""/edit#gid=156619080"",BB$3)"),-53.63)</f>
        <v>-53.63</v>
      </c>
      <c r="BC138" s="2" t="str">
        <f>IFERROR(__xludf.DUMMYFUNCTION("IMPORTRANGE(""https://docs.google.com/spreadsheets/d/""&amp;$A138&amp;""/edit#gid=156619080"",BC$3)"),"DC→DC")</f>
        <v>DC→DC</v>
      </c>
    </row>
    <row r="139" ht="51.0" customHeight="1">
      <c r="A139" s="7" t="str">
        <f t="shared" si="5"/>
        <v>13GqR9Wye5YK68ZsL1DfpjxlFTJou88AdjMFzRcJVv_s</v>
      </c>
      <c r="B139" s="1" t="s">
        <v>166</v>
      </c>
      <c r="C139" s="2">
        <f>IFERROR(__xludf.DUMMYFUNCTION("IMPORTRANGE(""https://docs.google.com/spreadsheets/d/""&amp;$A139&amp;""/edit#gid=156619080"",C$3)"),132.0)</f>
        <v>132</v>
      </c>
      <c r="D139" s="2">
        <f>IFERROR(__xludf.DUMMYFUNCTION("IMPORTRANGE(""https://docs.google.com/spreadsheets/d/""&amp;$A139&amp;""/edit#gid=156619080"",D$3)"),7912.0)</f>
        <v>7912</v>
      </c>
      <c r="E139" s="15">
        <f>IFERROR(__xludf.DUMMYFUNCTION("IMPORTRANGE(""https://docs.google.com/spreadsheets/d/""&amp;$A139&amp;""/edit#gid=156619080"",E$3)"),43882.0)</f>
        <v>43882</v>
      </c>
      <c r="F139" s="2">
        <f>IFERROR(__xludf.DUMMYFUNCTION("IMPORTRANGE(""https://docs.google.com/spreadsheets/d/""&amp;$A139&amp;""/edit#gid=156619080"",F$3)"),-22.0)</f>
        <v>-22</v>
      </c>
      <c r="G139" s="16">
        <f>IFERROR(__xludf.DUMMYFUNCTION("IMPORTRANGE(""https://docs.google.com/spreadsheets/d/""&amp;$A139&amp;""/edit#gid=156619080"",G$3)"),-0.75)</f>
        <v>-0.75</v>
      </c>
      <c r="H139" s="16">
        <f>IFERROR(__xludf.DUMMYFUNCTION("IMPORTRANGE(""https://docs.google.com/spreadsheets/d/""&amp;$A139&amp;""/edit#gid=156619080"",H$3)"),2916.0)</f>
        <v>2916</v>
      </c>
      <c r="I139" s="16">
        <f>IFERROR(__xludf.DUMMYFUNCTION("IMPORTRANGE(""https://docs.google.com/spreadsheets/d/""&amp;$A139&amp;""/edit#gid=156619080"",I$3)"),20.0)</f>
        <v>20</v>
      </c>
      <c r="J139" s="16">
        <f>IFERROR(__xludf.DUMMYFUNCTION("IMPORTRANGE(""https://docs.google.com/spreadsheets/d/""&amp;$A139&amp;""/edit#gid=156619080"",J$3)"),2943.0)</f>
        <v>2943</v>
      </c>
      <c r="K139" s="16">
        <f>IFERROR(__xludf.DUMMYFUNCTION("IMPORTRANGE(""https://docs.google.com/spreadsheets/d/""&amp;$A139&amp;""/edit#gid=156619080"",K$3)"),0.45625)</f>
        <v>0.45625</v>
      </c>
      <c r="L139" s="16">
        <f>IFERROR(__xludf.DUMMYFUNCTION("IMPORTRANGE(""https://docs.google.com/spreadsheets/d/""&amp;$A139&amp;""/edit#gid=156619080"",L$3)"),2905.0)</f>
        <v>2905</v>
      </c>
      <c r="M139" s="16">
        <f>IFERROR(__xludf.DUMMYFUNCTION("IMPORTRANGE(""https://docs.google.com/spreadsheets/d/""&amp;$A139&amp;""/edit#gid=156619080"",M$3)"),0.37569444444444444)</f>
        <v>0.3756944444</v>
      </c>
      <c r="N139" s="16">
        <f>IFERROR(__xludf.DUMMYFUNCTION("IMPORTRANGE(""https://docs.google.com/spreadsheets/d/""&amp;$A139&amp;""/edit#gid=156619080"",N$3)"),2914.0)</f>
        <v>2914</v>
      </c>
      <c r="O139" s="16" t="str">
        <f>IFERROR(__xludf.DUMMYFUNCTION("IMPORTRANGE(""https://docs.google.com/spreadsheets/d/""&amp;$A139&amp;""/edit#gid=156619080"",O$3)"),"836000株")</f>
        <v>836000株</v>
      </c>
      <c r="P139" s="16" t="str">
        <f>IFERROR(__xludf.DUMMYFUNCTION("IMPORTRANGE(""https://docs.google.com/spreadsheets/d/""&amp;$A139&amp;""/edit#gid=156619080"",P$3)"),"2445百万円")</f>
        <v>2445百万円</v>
      </c>
      <c r="Q139" s="16" t="str">
        <f>IFERROR(__xludf.DUMMYFUNCTION("IMPORTRANGE(""https://docs.google.com/spreadsheets/d/""&amp;$A139&amp;""/edit#gid=156619080"",Q$3)"),"1535回")</f>
        <v>1535回</v>
      </c>
      <c r="R139" s="16" t="str">
        <f>IFERROR(__xludf.DUMMYFUNCTION("IMPORTRANGE(""https://docs.google.com/spreadsheets/d/""&amp;$A139&amp;""/edit#gid=156619080"",R$3)"),"9448億円")</f>
        <v>9448億円</v>
      </c>
      <c r="S139" s="16" t="str">
        <f>IFERROR(__xludf.DUMMYFUNCTION("IMPORTRANGE(""https://docs.google.com/spreadsheets/d/""&amp;$A139&amp;""/edit#gid=156619080"",S$3)"),"陰線")</f>
        <v>陰線</v>
      </c>
      <c r="T139" s="16" t="str">
        <f>IFERROR(__xludf.DUMMYFUNCTION("IMPORTRANGE(""https://docs.google.com/spreadsheets/d/""&amp;$A139&amp;""/edit#gid=156619080"",T$3)"),"")</f>
        <v/>
      </c>
      <c r="U139" s="16">
        <f>IFERROR(__xludf.DUMMYFUNCTION("IMPORTRANGE(""https://docs.google.com/spreadsheets/d/""&amp;$A139&amp;""/edit#gid=156619080"",U$3)"),2931.8)</f>
        <v>2931.8</v>
      </c>
      <c r="V139" s="16">
        <f>IFERROR(__xludf.DUMMYFUNCTION("IMPORTRANGE(""https://docs.google.com/spreadsheets/d/""&amp;$A139&amp;""/edit#gid=156619080"",V$3)"),3006.8)</f>
        <v>3006.8</v>
      </c>
      <c r="W139" s="16">
        <f>IFERROR(__xludf.DUMMYFUNCTION("IMPORTRANGE(""https://docs.google.com/spreadsheets/d/""&amp;$A139&amp;""/edit#gid=156619080"",W$3)"),3017.7)</f>
        <v>3017.7</v>
      </c>
      <c r="X139" s="2">
        <f>IFERROR(__xludf.DUMMYFUNCTION("IMPORTRANGE(""https://docs.google.com/spreadsheets/d/""&amp;$A139&amp;""/edit#gid=156619080"",X$3)"),2909.0)</f>
        <v>2909</v>
      </c>
      <c r="Y139" s="17">
        <f>IFERROR(__xludf.DUMMYFUNCTION("IMPORTRANGE(""https://docs.google.com/spreadsheets/d/""&amp;$A139&amp;""/edit#gid=156619080"",Y$3)"),-0.006071355481274364)</f>
        <v>-0.006071355481</v>
      </c>
      <c r="Z139" s="2">
        <f>IFERROR(__xludf.DUMMYFUNCTION("IMPORTRANGE(""https://docs.google.com/spreadsheets/d/""&amp;$A139&amp;""/edit#gid=156619080"",Z$3)"),3136.05)</f>
        <v>3136.05</v>
      </c>
      <c r="AA139" s="2">
        <f>IFERROR(__xludf.DUMMYFUNCTION("IMPORTRANGE(""https://docs.google.com/spreadsheets/d/""&amp;$A139&amp;""/edit#gid=156619080"",AA$3)"),3121.26)</f>
        <v>3121.26</v>
      </c>
      <c r="AB139" s="2">
        <f>IFERROR(__xludf.DUMMYFUNCTION("IMPORTRANGE(""https://docs.google.com/spreadsheets/d/""&amp;$A139&amp;""/edit#gid=156619080"",AB$3)"),3106.46)</f>
        <v>3106.46</v>
      </c>
      <c r="AC139" s="18">
        <f>IFERROR(__xludf.DUMMYFUNCTION("IMPORTRANGE(""https://docs.google.com/spreadsheets/d/""&amp;$A139&amp;""/edit#gid=156619080"",AC$3)"),3091.67)</f>
        <v>3091.67</v>
      </c>
      <c r="AD139" s="18">
        <f>IFERROR(__xludf.DUMMYFUNCTION("IMPORTRANGE(""https://docs.google.com/spreadsheets/d/""&amp;$A139&amp;""/edit#gid=156619080"",AD$3)"),3076.88)</f>
        <v>3076.88</v>
      </c>
      <c r="AE139" s="18">
        <f>IFERROR(__xludf.DUMMYFUNCTION("IMPORTRANGE(""https://docs.google.com/spreadsheets/d/""&amp;$A139&amp;""/edit#gid=156619080"",AE$3)"),3017.7)</f>
        <v>3017.7</v>
      </c>
      <c r="AF139" s="2">
        <f>IFERROR(__xludf.DUMMYFUNCTION("IMPORTRANGE(""https://docs.google.com/spreadsheets/d/""&amp;$A139&amp;""/edit#gid=156619080"",AF$3)"),2958.52)</f>
        <v>2958.52</v>
      </c>
      <c r="AG139" s="2">
        <f>IFERROR(__xludf.DUMMYFUNCTION("IMPORTRANGE(""https://docs.google.com/spreadsheets/d/""&amp;$A139&amp;""/edit#gid=156619080"",AG$3)"),2943.73)</f>
        <v>2943.73</v>
      </c>
      <c r="AH139" s="2">
        <f>IFERROR(__xludf.DUMMYFUNCTION("IMPORTRANGE(""https://docs.google.com/spreadsheets/d/""&amp;$A139&amp;""/edit#gid=156619080"",AH$3)"),2928.94)</f>
        <v>2928.94</v>
      </c>
      <c r="AI139" s="2">
        <f>IFERROR(__xludf.DUMMYFUNCTION("IMPORTRANGE(""https://docs.google.com/spreadsheets/d/""&amp;$A139&amp;""/edit#gid=156619080"",AI$3)"),2914.14)</f>
        <v>2914.14</v>
      </c>
      <c r="AJ139" s="2">
        <f>IFERROR(__xludf.DUMMYFUNCTION("IMPORTRANGE(""https://docs.google.com/spreadsheets/d/""&amp;$A139&amp;""/edit#gid=156619080"",AJ$3)"),2899.35)</f>
        <v>2899.35</v>
      </c>
      <c r="AK139" s="2" t="str">
        <f>IFERROR(__xludf.DUMMYFUNCTION("IMPORTRANGE(""https://docs.google.com/spreadsheets/d/""&amp;$A139&amp;""/edit#gid=156619080"",AK$3)"),"-1.75σ〜-2σ")</f>
        <v>-1.75σ〜-2σ</v>
      </c>
      <c r="AL139" s="2">
        <f>IFERROR(__xludf.DUMMYFUNCTION("IMPORTRANGE(""https://docs.google.com/spreadsheets/d/""&amp;$A139&amp;""/edit#gid=156619080"",AL$3)"),-1.0)</f>
        <v>-1</v>
      </c>
      <c r="AM139" s="2" t="str">
        <f>IFERROR(__xludf.DUMMYFUNCTION("IMPORTRANGE(""https://docs.google.com/spreadsheets/d/""&amp;$A139&amp;""/edit#gid=156619080"",AM$3)"),"")</f>
        <v/>
      </c>
      <c r="AN139" s="2">
        <f>IFERROR(__xludf.DUMMYFUNCTION("IMPORTRANGE(""https://docs.google.com/spreadsheets/d/""&amp;$A139&amp;""/edit#gid=156619080"",AN$3)"),-1.0)</f>
        <v>-1</v>
      </c>
      <c r="AO139" s="2" t="str">
        <f>IFERROR(__xludf.DUMMYFUNCTION("IMPORTRANGE(""https://docs.google.com/spreadsheets/d/""&amp;$A139&amp;""/edit#gid=156619080"",AO$3)"),"")</f>
        <v/>
      </c>
      <c r="AP139" s="2">
        <f>IFERROR(__xludf.DUMMYFUNCTION("IMPORTRANGE(""https://docs.google.com/spreadsheets/d/""&amp;$A139&amp;""/edit#gid=156619080"",AP$3)"),-1.0)</f>
        <v>-1</v>
      </c>
      <c r="AQ139" s="2" t="str">
        <f>IFERROR(__xludf.DUMMYFUNCTION("IMPORTRANGE(""https://docs.google.com/spreadsheets/d/""&amp;$A139&amp;""/edit#gid=156619080"",AQ$3)"),"")</f>
        <v/>
      </c>
      <c r="AR139" s="18">
        <f>IFERROR(__xludf.DUMMYFUNCTION("IMPORTRANGE(""https://docs.google.com/spreadsheets/d/""&amp;$A139&amp;""/edit#gid=156619080"",AR$3)"),-70.0)</f>
        <v>-70</v>
      </c>
      <c r="AS139" s="19" t="str">
        <f>IFERROR(__xludf.DUMMYFUNCTION("IMPORTRANGE(""https://docs.google.com/spreadsheets/d/""&amp;$A139&amp;""/edit#gid=156619080"",AS$3)"),"-100
-100
-100
-70
")</f>
        <v>-100
-100
-100
-70
</v>
      </c>
      <c r="AT139" s="18">
        <f>IFERROR(__xludf.DUMMYFUNCTION("IMPORTRANGE(""https://docs.google.com/spreadsheets/d/""&amp;$A139&amp;""/edit#gid=156619080"",AT$3)"),-96.15384615384615)</f>
        <v>-96.15384615</v>
      </c>
      <c r="AU139" s="3" t="str">
        <f>IFERROR(__xludf.DUMMYFUNCTION("IMPORTRANGE(""https://docs.google.com/spreadsheets/d/""&amp;$A139&amp;""/edit#gid=156619080"",AU$3)"),"-36.81
-56.04
-80.77
-90.66
")</f>
        <v>-36.81
-56.04
-80.77
-90.66
</v>
      </c>
      <c r="AV139" s="18">
        <f>IFERROR(__xludf.DUMMYFUNCTION("IMPORTRANGE(""https://docs.google.com/spreadsheets/d/""&amp;$A139&amp;""/edit#gid=156619080"",AV$3)"),-60.3896103896104)</f>
        <v>-60.38961039</v>
      </c>
      <c r="AW139" s="19" t="str">
        <f>IFERROR(__xludf.DUMMYFUNCTION("IMPORTRANGE(""https://docs.google.com/spreadsheets/d/""&amp;$A139&amp;""/edit#gid=156619080"",AW$3)"),"-2.76
-24.97
-41.23
-54.64
")</f>
        <v>-2.76
-24.97
-41.23
-54.64
</v>
      </c>
      <c r="AX139" s="2">
        <f>IFERROR(__xludf.DUMMYFUNCTION("IMPORTRANGE(""https://docs.google.com/spreadsheets/d/""&amp;$A139&amp;""/edit#gid=156619080"",AX$3)"),16.33)</f>
        <v>16.33</v>
      </c>
      <c r="AY139" s="2">
        <f>IFERROR(__xludf.DUMMYFUNCTION("IMPORTRANGE(""https://docs.google.com/spreadsheets/d/""&amp;$A139&amp;""/edit#gid=156619080"",AY$3)"),36.02)</f>
        <v>36.02</v>
      </c>
      <c r="AZ139" s="2">
        <f>IFERROR(__xludf.DUMMYFUNCTION("IMPORTRANGE(""https://docs.google.com/spreadsheets/d/""&amp;$A139&amp;""/edit#gid=156619080"",AZ$3)"),2937.83)</f>
        <v>2937.83</v>
      </c>
      <c r="BA139" s="2">
        <f>IFERROR(__xludf.DUMMYFUNCTION("IMPORTRANGE(""https://docs.google.com/spreadsheets/d/""&amp;$A139&amp;""/edit#gid=156619080"",BA$3)"),-54.409999999999854)</f>
        <v>-54.41</v>
      </c>
      <c r="BB139" s="2">
        <f>IFERROR(__xludf.DUMMYFUNCTION("IMPORTRANGE(""https://docs.google.com/spreadsheets/d/""&amp;$A139&amp;""/edit#gid=156619080"",BB$3)"),-16.08)</f>
        <v>-16.08</v>
      </c>
      <c r="BC139" s="2" t="str">
        <f>IFERROR(__xludf.DUMMYFUNCTION("IMPORTRANGE(""https://docs.google.com/spreadsheets/d/""&amp;$A139&amp;""/edit#gid=156619080"",BC$3)"),"DC→DC")</f>
        <v>DC→DC</v>
      </c>
    </row>
    <row r="140" ht="51.0" customHeight="1">
      <c r="A140" s="7" t="str">
        <f t="shared" si="5"/>
        <v>12x8Gkfc-W3-L4QOKuBsOXYZFz8-f4K7REFltowj-IUk</v>
      </c>
      <c r="B140" s="1" t="s">
        <v>167</v>
      </c>
      <c r="C140" s="2">
        <f>IFERROR(__xludf.DUMMYFUNCTION("IMPORTRANGE(""https://docs.google.com/spreadsheets/d/""&amp;$A140&amp;""/edit#gid=156619080"",C$3)"),132.0)</f>
        <v>132</v>
      </c>
      <c r="D140" s="2">
        <f>IFERROR(__xludf.DUMMYFUNCTION("IMPORTRANGE(""https://docs.google.com/spreadsheets/d/""&amp;$A140&amp;""/edit#gid=156619080"",D$3)"),7951.0)</f>
        <v>7951</v>
      </c>
      <c r="E140" s="15">
        <f>IFERROR(__xludf.DUMMYFUNCTION("IMPORTRANGE(""https://docs.google.com/spreadsheets/d/""&amp;$A140&amp;""/edit#gid=156619080"",E$3)"),43882.0)</f>
        <v>43882</v>
      </c>
      <c r="F140" s="2">
        <f>IFERROR(__xludf.DUMMYFUNCTION("IMPORTRANGE(""https://docs.google.com/spreadsheets/d/""&amp;$A140&amp;""/edit#gid=156619080"",F$3)"),-140.0)</f>
        <v>-140</v>
      </c>
      <c r="G140" s="16">
        <f>IFERROR(__xludf.DUMMYFUNCTION("IMPORTRANGE(""https://docs.google.com/spreadsheets/d/""&amp;$A140&amp;""/edit#gid=156619080"",G$3)"),-2.38)</f>
        <v>-2.38</v>
      </c>
      <c r="H140" s="16">
        <f>IFERROR(__xludf.DUMMYFUNCTION("IMPORTRANGE(""https://docs.google.com/spreadsheets/d/""&amp;$A140&amp;""/edit#gid=156619080"",H$3)"),5790.0)</f>
        <v>5790</v>
      </c>
      <c r="I140" s="16">
        <f>IFERROR(__xludf.DUMMYFUNCTION("IMPORTRANGE(""https://docs.google.com/spreadsheets/d/""&amp;$A140&amp;""/edit#gid=156619080"",I$3)"),90.0)</f>
        <v>90</v>
      </c>
      <c r="J140" s="16">
        <f>IFERROR(__xludf.DUMMYFUNCTION("IMPORTRANGE(""https://docs.google.com/spreadsheets/d/""&amp;$A140&amp;""/edit#gid=156619080"",J$3)"),5840.0)</f>
        <v>5840</v>
      </c>
      <c r="K140" s="16">
        <f>IFERROR(__xludf.DUMMYFUNCTION("IMPORTRANGE(""https://docs.google.com/spreadsheets/d/""&amp;$A140&amp;""/edit#gid=156619080"",K$3)"),0.4409722222222222)</f>
        <v>0.4409722222</v>
      </c>
      <c r="L140" s="16">
        <f>IFERROR(__xludf.DUMMYFUNCTION("IMPORTRANGE(""https://docs.google.com/spreadsheets/d/""&amp;$A140&amp;""/edit#gid=156619080"",L$3)"),5740.0)</f>
        <v>5740</v>
      </c>
      <c r="M140" s="16">
        <f>IFERROR(__xludf.DUMMYFUNCTION("IMPORTRANGE(""https://docs.google.com/spreadsheets/d/""&amp;$A140&amp;""/edit#gid=156619080"",M$3)"),0.6027777777777777)</f>
        <v>0.6027777778</v>
      </c>
      <c r="N140" s="16">
        <f>IFERROR(__xludf.DUMMYFUNCTION("IMPORTRANGE(""https://docs.google.com/spreadsheets/d/""&amp;$A140&amp;""/edit#gid=156619080"",N$3)"),5740.0)</f>
        <v>5740</v>
      </c>
      <c r="O140" s="16" t="str">
        <f>IFERROR(__xludf.DUMMYFUNCTION("IMPORTRANGE(""https://docs.google.com/spreadsheets/d/""&amp;$A140&amp;""/edit#gid=156619080"",O$3)"),"537700株")</f>
        <v>537700株</v>
      </c>
      <c r="P140" s="16" t="str">
        <f>IFERROR(__xludf.DUMMYFUNCTION("IMPORTRANGE(""https://docs.google.com/spreadsheets/d/""&amp;$A140&amp;""/edit#gid=156619080"",P$3)"),"3104百万円")</f>
        <v>3104百万円</v>
      </c>
      <c r="Q140" s="16" t="str">
        <f>IFERROR(__xludf.DUMMYFUNCTION("IMPORTRANGE(""https://docs.google.com/spreadsheets/d/""&amp;$A140&amp;""/edit#gid=156619080"",Q$3)"),"1284回")</f>
        <v>1284回</v>
      </c>
      <c r="R140" s="16" t="str">
        <f>IFERROR(__xludf.DUMMYFUNCTION("IMPORTRANGE(""https://docs.google.com/spreadsheets/d/""&amp;$A140&amp;""/edit#gid=156619080"",R$3)"),"10995億円")</f>
        <v>10995億円</v>
      </c>
      <c r="S140" s="16" t="str">
        <f>IFERROR(__xludf.DUMMYFUNCTION("IMPORTRANGE(""https://docs.google.com/spreadsheets/d/""&amp;$A140&amp;""/edit#gid=156619080"",S$3)"),"陰線")</f>
        <v>陰線</v>
      </c>
      <c r="T140" s="16" t="str">
        <f>IFERROR(__xludf.DUMMYFUNCTION("IMPORTRANGE(""https://docs.google.com/spreadsheets/d/""&amp;$A140&amp;""/edit#gid=156619080"",T$3)"),"")</f>
        <v/>
      </c>
      <c r="U140" s="16">
        <f>IFERROR(__xludf.DUMMYFUNCTION("IMPORTRANGE(""https://docs.google.com/spreadsheets/d/""&amp;$A140&amp;""/edit#gid=156619080"",U$3)"),5810.0)</f>
        <v>5810</v>
      </c>
      <c r="V140" s="16">
        <f>IFERROR(__xludf.DUMMYFUNCTION("IMPORTRANGE(""https://docs.google.com/spreadsheets/d/""&amp;$A140&amp;""/edit#gid=156619080"",V$3)"),5767.7)</f>
        <v>5767.7</v>
      </c>
      <c r="W140" s="16">
        <f>IFERROR(__xludf.DUMMYFUNCTION("IMPORTRANGE(""https://docs.google.com/spreadsheets/d/""&amp;$A140&amp;""/edit#gid=156619080"",W$3)"),5777.1)</f>
        <v>5777.1</v>
      </c>
      <c r="X140" s="2">
        <f>IFERROR(__xludf.DUMMYFUNCTION("IMPORTRANGE(""https://docs.google.com/spreadsheets/d/""&amp;$A140&amp;""/edit#gid=156619080"",X$3)"),5590.1)</f>
        <v>5590.1</v>
      </c>
      <c r="Y140" s="17">
        <f>IFERROR(__xludf.DUMMYFUNCTION("IMPORTRANGE(""https://docs.google.com/spreadsheets/d/""&amp;$A140&amp;""/edit#gid=156619080"",Y$3)"),-0.012048192771084338)</f>
        <v>-0.01204819277</v>
      </c>
      <c r="Z140" s="2">
        <f>IFERROR(__xludf.DUMMYFUNCTION("IMPORTRANGE(""https://docs.google.com/spreadsheets/d/""&amp;$A140&amp;""/edit#gid=156619080"",Z$3)"),6086.46)</f>
        <v>6086.46</v>
      </c>
      <c r="AA140" s="2">
        <f>IFERROR(__xludf.DUMMYFUNCTION("IMPORTRANGE(""https://docs.google.com/spreadsheets/d/""&amp;$A140&amp;""/edit#gid=156619080"",AA$3)"),6047.79)</f>
        <v>6047.79</v>
      </c>
      <c r="AB140" s="2">
        <f>IFERROR(__xludf.DUMMYFUNCTION("IMPORTRANGE(""https://docs.google.com/spreadsheets/d/""&amp;$A140&amp;""/edit#gid=156619080"",AB$3)"),6009.12)</f>
        <v>6009.12</v>
      </c>
      <c r="AC140" s="18">
        <f>IFERROR(__xludf.DUMMYFUNCTION("IMPORTRANGE(""https://docs.google.com/spreadsheets/d/""&amp;$A140&amp;""/edit#gid=156619080"",AC$3)"),5970.45)</f>
        <v>5970.45</v>
      </c>
      <c r="AD140" s="18">
        <f>IFERROR(__xludf.DUMMYFUNCTION("IMPORTRANGE(""https://docs.google.com/spreadsheets/d/""&amp;$A140&amp;""/edit#gid=156619080"",AD$3)"),5931.78)</f>
        <v>5931.78</v>
      </c>
      <c r="AE140" s="18">
        <f>IFERROR(__xludf.DUMMYFUNCTION("IMPORTRANGE(""https://docs.google.com/spreadsheets/d/""&amp;$A140&amp;""/edit#gid=156619080"",AE$3)"),5777.1)</f>
        <v>5777.1</v>
      </c>
      <c r="AF140" s="2">
        <f>IFERROR(__xludf.DUMMYFUNCTION("IMPORTRANGE(""https://docs.google.com/spreadsheets/d/""&amp;$A140&amp;""/edit#gid=156619080"",AF$3)"),5622.42)</f>
        <v>5622.42</v>
      </c>
      <c r="AG140" s="2">
        <f>IFERROR(__xludf.DUMMYFUNCTION("IMPORTRANGE(""https://docs.google.com/spreadsheets/d/""&amp;$A140&amp;""/edit#gid=156619080"",AG$3)"),5583.75)</f>
        <v>5583.75</v>
      </c>
      <c r="AH140" s="2">
        <f>IFERROR(__xludf.DUMMYFUNCTION("IMPORTRANGE(""https://docs.google.com/spreadsheets/d/""&amp;$A140&amp;""/edit#gid=156619080"",AH$3)"),5545.08)</f>
        <v>5545.08</v>
      </c>
      <c r="AI140" s="2">
        <f>IFERROR(__xludf.DUMMYFUNCTION("IMPORTRANGE(""https://docs.google.com/spreadsheets/d/""&amp;$A140&amp;""/edit#gid=156619080"",AI$3)"),5506.41)</f>
        <v>5506.41</v>
      </c>
      <c r="AJ140" s="2">
        <f>IFERROR(__xludf.DUMMYFUNCTION("IMPORTRANGE(""https://docs.google.com/spreadsheets/d/""&amp;$A140&amp;""/edit#gid=156619080"",AJ$3)"),5467.74)</f>
        <v>5467.74</v>
      </c>
      <c r="AK140" s="2" t="str">
        <f>IFERROR(__xludf.DUMMYFUNCTION("IMPORTRANGE(""https://docs.google.com/spreadsheets/d/""&amp;$A140&amp;""/edit#gid=156619080"",AK$3)"),"")</f>
        <v/>
      </c>
      <c r="AL140" s="2">
        <f>IFERROR(__xludf.DUMMYFUNCTION("IMPORTRANGE(""https://docs.google.com/spreadsheets/d/""&amp;$A140&amp;""/edit#gid=156619080"",AL$3)"),1.0)</f>
        <v>1</v>
      </c>
      <c r="AM140" s="2" t="str">
        <f>IFERROR(__xludf.DUMMYFUNCTION("IMPORTRANGE(""https://docs.google.com/spreadsheets/d/""&amp;$A140&amp;""/edit#gid=156619080"",AM$3)"),"")</f>
        <v/>
      </c>
      <c r="AN140" s="2">
        <f>IFERROR(__xludf.DUMMYFUNCTION("IMPORTRANGE(""https://docs.google.com/spreadsheets/d/""&amp;$A140&amp;""/edit#gid=156619080"",AN$3)"),1.0)</f>
        <v>1</v>
      </c>
      <c r="AO140" s="2" t="str">
        <f>IFERROR(__xludf.DUMMYFUNCTION("IMPORTRANGE(""https://docs.google.com/spreadsheets/d/""&amp;$A140&amp;""/edit#gid=156619080"",AO$3)"),"")</f>
        <v/>
      </c>
      <c r="AP140" s="2">
        <f>IFERROR(__xludf.DUMMYFUNCTION("IMPORTRANGE(""https://docs.google.com/spreadsheets/d/""&amp;$A140&amp;""/edit#gid=156619080"",AP$3)"),-1.0)</f>
        <v>-1</v>
      </c>
      <c r="AQ140" s="2" t="str">
        <f>IFERROR(__xludf.DUMMYFUNCTION("IMPORTRANGE(""https://docs.google.com/spreadsheets/d/""&amp;$A140&amp;""/edit#gid=156619080"",AQ$3)"),"")</f>
        <v/>
      </c>
      <c r="AR140" s="18">
        <f>IFERROR(__xludf.DUMMYFUNCTION("IMPORTRANGE(""https://docs.google.com/spreadsheets/d/""&amp;$A140&amp;""/edit#gid=156619080"",AR$3)"),-19.999999999999996)</f>
        <v>-20</v>
      </c>
      <c r="AS140" s="19" t="str">
        <f>IFERROR(__xludf.DUMMYFUNCTION("IMPORTRANGE(""https://docs.google.com/spreadsheets/d/""&amp;$A140&amp;""/edit#gid=156619080"",AS$3)"),"37.5
-62.5
37.5
60
")</f>
        <v>37.5
-62.5
37.5
60
</v>
      </c>
      <c r="AT140" s="18">
        <f>IFERROR(__xludf.DUMMYFUNCTION("IMPORTRANGE(""https://docs.google.com/spreadsheets/d/""&amp;$A140&amp;""/edit#gid=156619080"",AT$3)"),47.527472527472526)</f>
        <v>47.52747253</v>
      </c>
      <c r="AU140" s="3" t="str">
        <f>IFERROR(__xludf.DUMMYFUNCTION("IMPORTRANGE(""https://docs.google.com/spreadsheets/d/""&amp;$A140&amp;""/edit#gid=156619080"",AU$3)"),"73.9
70.6
71.7
72.8
")</f>
        <v>73.9
70.6
71.7
72.8
</v>
      </c>
      <c r="AV140" s="18">
        <f>IFERROR(__xludf.DUMMYFUNCTION("IMPORTRANGE(""https://docs.google.com/spreadsheets/d/""&amp;$A140&amp;""/edit#gid=156619080"",AV$3)"),8.18181818181818)</f>
        <v>8.181818182</v>
      </c>
      <c r="AW140" s="19" t="str">
        <f>IFERROR(__xludf.DUMMYFUNCTION("IMPORTRANGE(""https://docs.google.com/spreadsheets/d/""&amp;$A140&amp;""/edit#gid=156619080"",AW$3)"),"-46.53
-37.24
-22.47
-5.71
")</f>
        <v>-46.53
-37.24
-22.47
-5.71
</v>
      </c>
      <c r="AX140" s="2">
        <f>IFERROR(__xludf.DUMMYFUNCTION("IMPORTRANGE(""https://docs.google.com/spreadsheets/d/""&amp;$A140&amp;""/edit#gid=156619080"",AX$3)"),47.22)</f>
        <v>47.22</v>
      </c>
      <c r="AY140" s="2">
        <f>IFERROR(__xludf.DUMMYFUNCTION("IMPORTRANGE(""https://docs.google.com/spreadsheets/d/""&amp;$A140&amp;""/edit#gid=156619080"",AY$3)"),39.57)</f>
        <v>39.57</v>
      </c>
      <c r="AZ140" s="2">
        <f>IFERROR(__xludf.DUMMYFUNCTION("IMPORTRANGE(""https://docs.google.com/spreadsheets/d/""&amp;$A140&amp;""/edit#gid=156619080"",AZ$3)"),5799.69)</f>
        <v>5799.69</v>
      </c>
      <c r="BA140" s="2">
        <f>IFERROR(__xludf.DUMMYFUNCTION("IMPORTRANGE(""https://docs.google.com/spreadsheets/d/""&amp;$A140&amp;""/edit#gid=156619080"",BA$3)"),-18.220000000000255)</f>
        <v>-18.22</v>
      </c>
      <c r="BB140" s="2">
        <f>IFERROR(__xludf.DUMMYFUNCTION("IMPORTRANGE(""https://docs.google.com/spreadsheets/d/""&amp;$A140&amp;""/edit#gid=156619080"",BB$3)"),-63.79)</f>
        <v>-63.79</v>
      </c>
      <c r="BC140" s="2" t="str">
        <f>IFERROR(__xludf.DUMMYFUNCTION("IMPORTRANGE(""https://docs.google.com/spreadsheets/d/""&amp;$A140&amp;""/edit#gid=156619080"",BC$3)"),"GC→GC")</f>
        <v>GC→GC</v>
      </c>
    </row>
    <row r="141" ht="51.0" customHeight="1">
      <c r="A141" s="7" t="str">
        <f t="shared" si="5"/>
        <v>1UnV9G5F98xgzgp67GG1-9eXeTRxbZ7-y83IiZ89NM_A</v>
      </c>
      <c r="B141" s="1" t="s">
        <v>168</v>
      </c>
      <c r="C141" s="2">
        <f>IFERROR(__xludf.DUMMYFUNCTION("IMPORTRANGE(""https://docs.google.com/spreadsheets/d/""&amp;$A141&amp;""/edit#gid=156619080"",C$3)"),132.0)</f>
        <v>132</v>
      </c>
      <c r="D141" s="2">
        <f>IFERROR(__xludf.DUMMYFUNCTION("IMPORTRANGE(""https://docs.google.com/spreadsheets/d/""&amp;$A141&amp;""/edit#gid=156619080"",D$3)"),1332.0)</f>
        <v>1332</v>
      </c>
      <c r="E141" s="15">
        <f>IFERROR(__xludf.DUMMYFUNCTION("IMPORTRANGE(""https://docs.google.com/spreadsheets/d/""&amp;$A141&amp;""/edit#gid=156619080"",E$3)"),43882.0)</f>
        <v>43882</v>
      </c>
      <c r="F141" s="2">
        <f>IFERROR(__xludf.DUMMYFUNCTION("IMPORTRANGE(""https://docs.google.com/spreadsheets/d/""&amp;$A141&amp;""/edit#gid=156619080"",F$3)"),-16.0)</f>
        <v>-16</v>
      </c>
      <c r="G141" s="16">
        <f>IFERROR(__xludf.DUMMYFUNCTION("IMPORTRANGE(""https://docs.google.com/spreadsheets/d/""&amp;$A141&amp;""/edit#gid=156619080"",G$3)"),-2.62)</f>
        <v>-2.62</v>
      </c>
      <c r="H141" s="16">
        <f>IFERROR(__xludf.DUMMYFUNCTION("IMPORTRANGE(""https://docs.google.com/spreadsheets/d/""&amp;$A141&amp;""/edit#gid=156619080"",H$3)"),608.0)</f>
        <v>608</v>
      </c>
      <c r="I141" s="16">
        <f>IFERROR(__xludf.DUMMYFUNCTION("IMPORTRANGE(""https://docs.google.com/spreadsheets/d/""&amp;$A141&amp;""/edit#gid=156619080"",I$3)"),2.0)</f>
        <v>2</v>
      </c>
      <c r="J141" s="16">
        <f>IFERROR(__xludf.DUMMYFUNCTION("IMPORTRANGE(""https://docs.google.com/spreadsheets/d/""&amp;$A141&amp;""/edit#gid=156619080"",J$3)"),610.0)</f>
        <v>610</v>
      </c>
      <c r="K141" s="16">
        <f>IFERROR(__xludf.DUMMYFUNCTION("IMPORTRANGE(""https://docs.google.com/spreadsheets/d/""&amp;$A141&amp;""/edit#gid=156619080"",K$3)"),0.375)</f>
        <v>0.375</v>
      </c>
      <c r="L141" s="16">
        <f>IFERROR(__xludf.DUMMYFUNCTION("IMPORTRANGE(""https://docs.google.com/spreadsheets/d/""&amp;$A141&amp;""/edit#gid=156619080"",L$3)"),594.0)</f>
        <v>594</v>
      </c>
      <c r="M141" s="16">
        <f>IFERROR(__xludf.DUMMYFUNCTION("IMPORTRANGE(""https://docs.google.com/spreadsheets/d/""&amp;$A141&amp;""/edit#gid=156619080"",M$3)"),0.6243055555555556)</f>
        <v>0.6243055556</v>
      </c>
      <c r="N141" s="16">
        <f>IFERROR(__xludf.DUMMYFUNCTION("IMPORTRANGE(""https://docs.google.com/spreadsheets/d/""&amp;$A141&amp;""/edit#gid=156619080"",N$3)"),594.0)</f>
        <v>594</v>
      </c>
      <c r="O141" s="16" t="str">
        <f>IFERROR(__xludf.DUMMYFUNCTION("IMPORTRANGE(""https://docs.google.com/spreadsheets/d/""&amp;$A141&amp;""/edit#gid=156619080"",O$3)"),"1582200株")</f>
        <v>1582200株</v>
      </c>
      <c r="P141" s="16" t="str">
        <f>IFERROR(__xludf.DUMMYFUNCTION("IMPORTRANGE(""https://docs.google.com/spreadsheets/d/""&amp;$A141&amp;""/edit#gid=156619080"",P$3)"),"949百万円")</f>
        <v>949百万円</v>
      </c>
      <c r="Q141" s="16" t="str">
        <f>IFERROR(__xludf.DUMMYFUNCTION("IMPORTRANGE(""https://docs.google.com/spreadsheets/d/""&amp;$A141&amp;""/edit#gid=156619080"",Q$3)"),"843回")</f>
        <v>843回</v>
      </c>
      <c r="R141" s="16" t="str">
        <f>IFERROR(__xludf.DUMMYFUNCTION("IMPORTRANGE(""https://docs.google.com/spreadsheets/d/""&amp;$A141&amp;""/edit#gid=156619080"",R$3)"),"1856億円")</f>
        <v>1856億円</v>
      </c>
      <c r="S141" s="16" t="str">
        <f>IFERROR(__xludf.DUMMYFUNCTION("IMPORTRANGE(""https://docs.google.com/spreadsheets/d/""&amp;$A141&amp;""/edit#gid=156619080"",S$3)"),"陰線")</f>
        <v>陰線</v>
      </c>
      <c r="T141" s="16" t="str">
        <f>IFERROR(__xludf.DUMMYFUNCTION("IMPORTRANGE(""https://docs.google.com/spreadsheets/d/""&amp;$A141&amp;""/edit#gid=156619080"",T$3)"),"")</f>
        <v/>
      </c>
      <c r="U141" s="16">
        <f>IFERROR(__xludf.DUMMYFUNCTION("IMPORTRANGE(""https://docs.google.com/spreadsheets/d/""&amp;$A141&amp;""/edit#gid=156619080"",U$3)"),610.8)</f>
        <v>610.8</v>
      </c>
      <c r="V141" s="16">
        <f>IFERROR(__xludf.DUMMYFUNCTION("IMPORTRANGE(""https://docs.google.com/spreadsheets/d/""&amp;$A141&amp;""/edit#gid=156619080"",V$3)"),612.2)</f>
        <v>612.2</v>
      </c>
      <c r="W141" s="16">
        <f>IFERROR(__xludf.DUMMYFUNCTION("IMPORTRANGE(""https://docs.google.com/spreadsheets/d/""&amp;$A141&amp;""/edit#gid=156619080"",W$3)"),607.6)</f>
        <v>607.6</v>
      </c>
      <c r="X141" s="2">
        <f>IFERROR(__xludf.DUMMYFUNCTION("IMPORTRANGE(""https://docs.google.com/spreadsheets/d/""&amp;$A141&amp;""/edit#gid=156619080"",X$3)"),618.4)</f>
        <v>618.4</v>
      </c>
      <c r="Y141" s="17">
        <f>IFERROR(__xludf.DUMMYFUNCTION("IMPORTRANGE(""https://docs.google.com/spreadsheets/d/""&amp;$A141&amp;""/edit#gid=156619080"",Y$3)"),-0.027504911591355527)</f>
        <v>-0.02750491159</v>
      </c>
      <c r="Z141" s="2">
        <f>IFERROR(__xludf.DUMMYFUNCTION("IMPORTRANGE(""https://docs.google.com/spreadsheets/d/""&amp;$A141&amp;""/edit#gid=156619080"",Z$3)"),628.87)</f>
        <v>628.87</v>
      </c>
      <c r="AA141" s="2">
        <f>IFERROR(__xludf.DUMMYFUNCTION("IMPORTRANGE(""https://docs.google.com/spreadsheets/d/""&amp;$A141&amp;""/edit#gid=156619080"",AA$3)"),626.21)</f>
        <v>626.21</v>
      </c>
      <c r="AB141" s="2">
        <f>IFERROR(__xludf.DUMMYFUNCTION("IMPORTRANGE(""https://docs.google.com/spreadsheets/d/""&amp;$A141&amp;""/edit#gid=156619080"",AB$3)"),623.55)</f>
        <v>623.55</v>
      </c>
      <c r="AC141" s="18">
        <f>IFERROR(__xludf.DUMMYFUNCTION("IMPORTRANGE(""https://docs.google.com/spreadsheets/d/""&amp;$A141&amp;""/edit#gid=156619080"",AC$3)"),620.89)</f>
        <v>620.89</v>
      </c>
      <c r="AD141" s="18">
        <f>IFERROR(__xludf.DUMMYFUNCTION("IMPORTRANGE(""https://docs.google.com/spreadsheets/d/""&amp;$A141&amp;""/edit#gid=156619080"",AD$3)"),618.23)</f>
        <v>618.23</v>
      </c>
      <c r="AE141" s="18">
        <f>IFERROR(__xludf.DUMMYFUNCTION("IMPORTRANGE(""https://docs.google.com/spreadsheets/d/""&amp;$A141&amp;""/edit#gid=156619080"",AE$3)"),607.6)</f>
        <v>607.6</v>
      </c>
      <c r="AF141" s="2">
        <f>IFERROR(__xludf.DUMMYFUNCTION("IMPORTRANGE(""https://docs.google.com/spreadsheets/d/""&amp;$A141&amp;""/edit#gid=156619080"",AF$3)"),596.97)</f>
        <v>596.97</v>
      </c>
      <c r="AG141" s="2">
        <f>IFERROR(__xludf.DUMMYFUNCTION("IMPORTRANGE(""https://docs.google.com/spreadsheets/d/""&amp;$A141&amp;""/edit#gid=156619080"",AG$3)"),594.31)</f>
        <v>594.31</v>
      </c>
      <c r="AH141" s="2">
        <f>IFERROR(__xludf.DUMMYFUNCTION("IMPORTRANGE(""https://docs.google.com/spreadsheets/d/""&amp;$A141&amp;""/edit#gid=156619080"",AH$3)"),591.65)</f>
        <v>591.65</v>
      </c>
      <c r="AI141" s="2">
        <f>IFERROR(__xludf.DUMMYFUNCTION("IMPORTRANGE(""https://docs.google.com/spreadsheets/d/""&amp;$A141&amp;""/edit#gid=156619080"",AI$3)"),588.99)</f>
        <v>588.99</v>
      </c>
      <c r="AJ141" s="2">
        <f>IFERROR(__xludf.DUMMYFUNCTION("IMPORTRANGE(""https://docs.google.com/spreadsheets/d/""&amp;$A141&amp;""/edit#gid=156619080"",AJ$3)"),586.33)</f>
        <v>586.33</v>
      </c>
      <c r="AK141" s="2" t="str">
        <f>IFERROR(__xludf.DUMMYFUNCTION("IMPORTRANGE(""https://docs.google.com/spreadsheets/d/""&amp;$A141&amp;""/edit#gid=156619080"",AK$3)"),"-1.25σ〜-1.5σ")</f>
        <v>-1.25σ〜-1.5σ</v>
      </c>
      <c r="AL141" s="2">
        <f>IFERROR(__xludf.DUMMYFUNCTION("IMPORTRANGE(""https://docs.google.com/spreadsheets/d/""&amp;$A141&amp;""/edit#gid=156619080"",AL$3)"),-1.0)</f>
        <v>-1</v>
      </c>
      <c r="AM141" s="2" t="str">
        <f>IFERROR(__xludf.DUMMYFUNCTION("IMPORTRANGE(""https://docs.google.com/spreadsheets/d/""&amp;$A141&amp;""/edit#gid=156619080"",AM$3)"),"bs1")</f>
        <v>bs1</v>
      </c>
      <c r="AN141" s="2">
        <f>IFERROR(__xludf.DUMMYFUNCTION("IMPORTRANGE(""https://docs.google.com/spreadsheets/d/""&amp;$A141&amp;""/edit#gid=156619080"",AN$3)"),1.0)</f>
        <v>1</v>
      </c>
      <c r="AO141" s="2" t="str">
        <f>IFERROR(__xludf.DUMMYFUNCTION("IMPORTRANGE(""https://docs.google.com/spreadsheets/d/""&amp;$A141&amp;""/edit#gid=156619080"",AO$3)"),"")</f>
        <v/>
      </c>
      <c r="AP141" s="2">
        <f>IFERROR(__xludf.DUMMYFUNCTION("IMPORTRANGE(""https://docs.google.com/spreadsheets/d/""&amp;$A141&amp;""/edit#gid=156619080"",AP$3)"),1.0)</f>
        <v>1</v>
      </c>
      <c r="AQ141" s="2" t="str">
        <f>IFERROR(__xludf.DUMMYFUNCTION("IMPORTRANGE(""https://docs.google.com/spreadsheets/d/""&amp;$A141&amp;""/edit#gid=156619080"",AQ$3)"),"")</f>
        <v/>
      </c>
      <c r="AR141" s="18">
        <f>IFERROR(__xludf.DUMMYFUNCTION("IMPORTRANGE(""https://docs.google.com/spreadsheets/d/""&amp;$A141&amp;""/edit#gid=156619080"",AR$3)"),-62.5)</f>
        <v>-62.5</v>
      </c>
      <c r="AS141" s="19" t="str">
        <f>IFERROR(__xludf.DUMMYFUNCTION("IMPORTRANGE(""https://docs.google.com/spreadsheets/d/""&amp;$A141&amp;""/edit#gid=156619080"",AS$3)"),"-55
-52.5
-5
-5
")</f>
        <v>-55
-52.5
-5
-5
</v>
      </c>
      <c r="AT141" s="18">
        <f>IFERROR(__xludf.DUMMYFUNCTION("IMPORTRANGE(""https://docs.google.com/spreadsheets/d/""&amp;$A141&amp;""/edit#gid=156619080"",AT$3)"),-6.868131868131866)</f>
        <v>-6.868131868</v>
      </c>
      <c r="AU141" s="3" t="str">
        <f>IFERROR(__xludf.DUMMYFUNCTION("IMPORTRANGE(""https://docs.google.com/spreadsheets/d/""&amp;$A141&amp;""/edit#gid=156619080"",AU$3)"),"70.19
64.7
53.02
28.85
")</f>
        <v>70.19
64.7
53.02
28.85
</v>
      </c>
      <c r="AV141" s="18">
        <f>IFERROR(__xludf.DUMMYFUNCTION("IMPORTRANGE(""https://docs.google.com/spreadsheets/d/""&amp;$A141&amp;""/edit#gid=156619080"",AV$3)"),47.857142857142854)</f>
        <v>47.85714286</v>
      </c>
      <c r="AW141" s="19" t="str">
        <f>IFERROR(__xludf.DUMMYFUNCTION("IMPORTRANGE(""https://docs.google.com/spreadsheets/d/""&amp;$A141&amp;""/edit#gid=156619080"",AW$3)"),"27.79
42.24
49.81
49.81
")</f>
        <v>27.79
42.24
49.81
49.81
</v>
      </c>
      <c r="AX141" s="2">
        <f>IFERROR(__xludf.DUMMYFUNCTION("IMPORTRANGE(""https://docs.google.com/spreadsheets/d/""&amp;$A141&amp;""/edit#gid=156619080"",AX$3)"),4.17)</f>
        <v>4.17</v>
      </c>
      <c r="AY141" s="2">
        <f>IFERROR(__xludf.DUMMYFUNCTION("IMPORTRANGE(""https://docs.google.com/spreadsheets/d/""&amp;$A141&amp;""/edit#gid=156619080"",AY$3)"),42.33)</f>
        <v>42.33</v>
      </c>
      <c r="AZ141" s="2">
        <f>IFERROR(__xludf.DUMMYFUNCTION("IMPORTRANGE(""https://docs.google.com/spreadsheets/d/""&amp;$A141&amp;""/edit#gid=156619080"",AZ$3)"),607.67)</f>
        <v>607.67</v>
      </c>
      <c r="BA141" s="2">
        <f>IFERROR(__xludf.DUMMYFUNCTION("IMPORTRANGE(""https://docs.google.com/spreadsheets/d/""&amp;$A141&amp;""/edit#gid=156619080"",BA$3)"),-4.759999999999991)</f>
        <v>-4.76</v>
      </c>
      <c r="BB141" s="2">
        <f>IFERROR(__xludf.DUMMYFUNCTION("IMPORTRANGE(""https://docs.google.com/spreadsheets/d/""&amp;$A141&amp;""/edit#gid=156619080"",BB$3)"),-2.32)</f>
        <v>-2.32</v>
      </c>
      <c r="BC141" s="2" t="str">
        <f>IFERROR(__xludf.DUMMYFUNCTION("IMPORTRANGE(""https://docs.google.com/spreadsheets/d/""&amp;$A141&amp;""/edit#gid=156619080"",BC$3)"),"GC→DC")</f>
        <v>GC→DC</v>
      </c>
    </row>
    <row r="142" ht="51.0" customHeight="1">
      <c r="A142" s="7" t="str">
        <f t="shared" si="5"/>
        <v>1ToqJ6FEGW6AE76RwIkjuQAj-KTPwbnWyFmiyq-7MeKo</v>
      </c>
      <c r="B142" s="1" t="s">
        <v>169</v>
      </c>
      <c r="C142" s="2">
        <f>IFERROR(__xludf.DUMMYFUNCTION("IMPORTRANGE(""https://docs.google.com/spreadsheets/d/""&amp;$A142&amp;""/edit#gid=156619080"",C$3)"),132.0)</f>
        <v>132</v>
      </c>
      <c r="D142" s="2">
        <f>IFERROR(__xludf.DUMMYFUNCTION("IMPORTRANGE(""https://docs.google.com/spreadsheets/d/""&amp;$A142&amp;""/edit#gid=156619080"",D$3)"),1333.0)</f>
        <v>1333</v>
      </c>
      <c r="E142" s="15">
        <f>IFERROR(__xludf.DUMMYFUNCTION("IMPORTRANGE(""https://docs.google.com/spreadsheets/d/""&amp;$A142&amp;""/edit#gid=156619080"",E$3)"),43882.0)</f>
        <v>43882</v>
      </c>
      <c r="F142" s="2">
        <f>IFERROR(__xludf.DUMMYFUNCTION("IMPORTRANGE(""https://docs.google.com/spreadsheets/d/""&amp;$A142&amp;""/edit#gid=156619080"",F$3)"),-21.0)</f>
        <v>-21</v>
      </c>
      <c r="G142" s="16">
        <f>IFERROR(__xludf.DUMMYFUNCTION("IMPORTRANGE(""https://docs.google.com/spreadsheets/d/""&amp;$A142&amp;""/edit#gid=156619080"",G$3)"),-0.82)</f>
        <v>-0.82</v>
      </c>
      <c r="H142" s="16">
        <f>IFERROR(__xludf.DUMMYFUNCTION("IMPORTRANGE(""https://docs.google.com/spreadsheets/d/""&amp;$A142&amp;""/edit#gid=156619080"",H$3)"),2558.0)</f>
        <v>2558</v>
      </c>
      <c r="I142" s="16">
        <f>IFERROR(__xludf.DUMMYFUNCTION("IMPORTRANGE(""https://docs.google.com/spreadsheets/d/""&amp;$A142&amp;""/edit#gid=156619080"",I$3)"),7.0)</f>
        <v>7</v>
      </c>
      <c r="J142" s="16">
        <f>IFERROR(__xludf.DUMMYFUNCTION("IMPORTRANGE(""https://docs.google.com/spreadsheets/d/""&amp;$A142&amp;""/edit#gid=156619080"",J$3)"),2570.0)</f>
        <v>2570</v>
      </c>
      <c r="K142" s="16">
        <f>IFERROR(__xludf.DUMMYFUNCTION("IMPORTRANGE(""https://docs.google.com/spreadsheets/d/""&amp;$A142&amp;""/edit#gid=156619080"",K$3)"),0.44513888888888886)</f>
        <v>0.4451388889</v>
      </c>
      <c r="L142" s="16">
        <f>IFERROR(__xludf.DUMMYFUNCTION("IMPORTRANGE(""https://docs.google.com/spreadsheets/d/""&amp;$A142&amp;""/edit#gid=156619080"",L$3)"),2544.0)</f>
        <v>2544</v>
      </c>
      <c r="M142" s="16">
        <f>IFERROR(__xludf.DUMMYFUNCTION("IMPORTRANGE(""https://docs.google.com/spreadsheets/d/""&amp;$A142&amp;""/edit#gid=156619080"",M$3)"),0.625)</f>
        <v>0.625</v>
      </c>
      <c r="N142" s="16">
        <f>IFERROR(__xludf.DUMMYFUNCTION("IMPORTRANGE(""https://docs.google.com/spreadsheets/d/""&amp;$A142&amp;""/edit#gid=156619080"",N$3)"),2544.0)</f>
        <v>2544</v>
      </c>
      <c r="O142" s="16" t="str">
        <f>IFERROR(__xludf.DUMMYFUNCTION("IMPORTRANGE(""https://docs.google.com/spreadsheets/d/""&amp;$A142&amp;""/edit#gid=156619080"",O$3)"),"161800株")</f>
        <v>161800株</v>
      </c>
      <c r="P142" s="16" t="str">
        <f>IFERROR(__xludf.DUMMYFUNCTION("IMPORTRANGE(""https://docs.google.com/spreadsheets/d/""&amp;$A142&amp;""/edit#gid=156619080"",P$3)"),"413百万円")</f>
        <v>413百万円</v>
      </c>
      <c r="Q142" s="16" t="str">
        <f>IFERROR(__xludf.DUMMYFUNCTION("IMPORTRANGE(""https://docs.google.com/spreadsheets/d/""&amp;$A142&amp;""/edit#gid=156619080"",Q$3)"),"691回")</f>
        <v>691回</v>
      </c>
      <c r="R142" s="16" t="str">
        <f>IFERROR(__xludf.DUMMYFUNCTION("IMPORTRANGE(""https://docs.google.com/spreadsheets/d/""&amp;$A142&amp;""/edit#gid=156619080"",R$3)"),"1340億円")</f>
        <v>1340億円</v>
      </c>
      <c r="S142" s="16" t="str">
        <f>IFERROR(__xludf.DUMMYFUNCTION("IMPORTRANGE(""https://docs.google.com/spreadsheets/d/""&amp;$A142&amp;""/edit#gid=156619080"",S$3)"),"陰線")</f>
        <v>陰線</v>
      </c>
      <c r="T142" s="16" t="str">
        <f>IFERROR(__xludf.DUMMYFUNCTION("IMPORTRANGE(""https://docs.google.com/spreadsheets/d/""&amp;$A142&amp;""/edit#gid=156619080"",T$3)"),"")</f>
        <v/>
      </c>
      <c r="U142" s="16">
        <f>IFERROR(__xludf.DUMMYFUNCTION("IMPORTRANGE(""https://docs.google.com/spreadsheets/d/""&amp;$A142&amp;""/edit#gid=156619080"",U$3)"),2573.8)</f>
        <v>2573.8</v>
      </c>
      <c r="V142" s="16">
        <f>IFERROR(__xludf.DUMMYFUNCTION("IMPORTRANGE(""https://docs.google.com/spreadsheets/d/""&amp;$A142&amp;""/edit#gid=156619080"",V$3)"),2577.8)</f>
        <v>2577.8</v>
      </c>
      <c r="W142" s="16">
        <f>IFERROR(__xludf.DUMMYFUNCTION("IMPORTRANGE(""https://docs.google.com/spreadsheets/d/""&amp;$A142&amp;""/edit#gid=156619080"",W$3)"),2603.8)</f>
        <v>2603.8</v>
      </c>
      <c r="X142" s="2">
        <f>IFERROR(__xludf.DUMMYFUNCTION("IMPORTRANGE(""https://docs.google.com/spreadsheets/d/""&amp;$A142&amp;""/edit#gid=156619080"",X$3)"),2746.3)</f>
        <v>2746.3</v>
      </c>
      <c r="Y142" s="17">
        <f>IFERROR(__xludf.DUMMYFUNCTION("IMPORTRANGE(""https://docs.google.com/spreadsheets/d/""&amp;$A142&amp;""/edit#gid=156619080"",Y$3)"),-0.01157821120522192)</f>
        <v>-0.01157821121</v>
      </c>
      <c r="Z142" s="2">
        <f>IFERROR(__xludf.DUMMYFUNCTION("IMPORTRANGE(""https://docs.google.com/spreadsheets/d/""&amp;$A142&amp;""/edit#gid=156619080"",Z$3)"),2693.32)</f>
        <v>2693.32</v>
      </c>
      <c r="AA142" s="2">
        <f>IFERROR(__xludf.DUMMYFUNCTION("IMPORTRANGE(""https://docs.google.com/spreadsheets/d/""&amp;$A142&amp;""/edit#gid=156619080"",AA$3)"),2682.13)</f>
        <v>2682.13</v>
      </c>
      <c r="AB142" s="2">
        <f>IFERROR(__xludf.DUMMYFUNCTION("IMPORTRANGE(""https://docs.google.com/spreadsheets/d/""&amp;$A142&amp;""/edit#gid=156619080"",AB$3)"),2670.94)</f>
        <v>2670.94</v>
      </c>
      <c r="AC142" s="18">
        <f>IFERROR(__xludf.DUMMYFUNCTION("IMPORTRANGE(""https://docs.google.com/spreadsheets/d/""&amp;$A142&amp;""/edit#gid=156619080"",AC$3)"),2659.75)</f>
        <v>2659.75</v>
      </c>
      <c r="AD142" s="18">
        <f>IFERROR(__xludf.DUMMYFUNCTION("IMPORTRANGE(""https://docs.google.com/spreadsheets/d/""&amp;$A142&amp;""/edit#gid=156619080"",AD$3)"),2648.56)</f>
        <v>2648.56</v>
      </c>
      <c r="AE142" s="18">
        <f>IFERROR(__xludf.DUMMYFUNCTION("IMPORTRANGE(""https://docs.google.com/spreadsheets/d/""&amp;$A142&amp;""/edit#gid=156619080"",AE$3)"),2603.8)</f>
        <v>2603.8</v>
      </c>
      <c r="AF142" s="2">
        <f>IFERROR(__xludf.DUMMYFUNCTION("IMPORTRANGE(""https://docs.google.com/spreadsheets/d/""&amp;$A142&amp;""/edit#gid=156619080"",AF$3)"),2559.04)</f>
        <v>2559.04</v>
      </c>
      <c r="AG142" s="2">
        <f>IFERROR(__xludf.DUMMYFUNCTION("IMPORTRANGE(""https://docs.google.com/spreadsheets/d/""&amp;$A142&amp;""/edit#gid=156619080"",AG$3)"),2547.85)</f>
        <v>2547.85</v>
      </c>
      <c r="AH142" s="2">
        <f>IFERROR(__xludf.DUMMYFUNCTION("IMPORTRANGE(""https://docs.google.com/spreadsheets/d/""&amp;$A142&amp;""/edit#gid=156619080"",AH$3)"),2536.66)</f>
        <v>2536.66</v>
      </c>
      <c r="AI142" s="2">
        <f>IFERROR(__xludf.DUMMYFUNCTION("IMPORTRANGE(""https://docs.google.com/spreadsheets/d/""&amp;$A142&amp;""/edit#gid=156619080"",AI$3)"),2525.47)</f>
        <v>2525.47</v>
      </c>
      <c r="AJ142" s="2">
        <f>IFERROR(__xludf.DUMMYFUNCTION("IMPORTRANGE(""https://docs.google.com/spreadsheets/d/""&amp;$A142&amp;""/edit#gid=156619080"",AJ$3)"),2514.28)</f>
        <v>2514.28</v>
      </c>
      <c r="AK142" s="2" t="str">
        <f>IFERROR(__xludf.DUMMYFUNCTION("IMPORTRANGE(""https://docs.google.com/spreadsheets/d/""&amp;$A142&amp;""/edit#gid=156619080"",AK$3)"),"-1.25σ〜-1.5σ")</f>
        <v>-1.25σ〜-1.5σ</v>
      </c>
      <c r="AL142" s="2">
        <f>IFERROR(__xludf.DUMMYFUNCTION("IMPORTRANGE(""https://docs.google.com/spreadsheets/d/""&amp;$A142&amp;""/edit#gid=156619080"",AL$3)"),-1.0)</f>
        <v>-1</v>
      </c>
      <c r="AM142" s="2" t="str">
        <f>IFERROR(__xludf.DUMMYFUNCTION("IMPORTRANGE(""https://docs.google.com/spreadsheets/d/""&amp;$A142&amp;""/edit#gid=156619080"",AM$3)"),"")</f>
        <v/>
      </c>
      <c r="AN142" s="2">
        <f>IFERROR(__xludf.DUMMYFUNCTION("IMPORTRANGE(""https://docs.google.com/spreadsheets/d/""&amp;$A142&amp;""/edit#gid=156619080"",AN$3)"),-1.0)</f>
        <v>-1</v>
      </c>
      <c r="AO142" s="2" t="str">
        <f>IFERROR(__xludf.DUMMYFUNCTION("IMPORTRANGE(""https://docs.google.com/spreadsheets/d/""&amp;$A142&amp;""/edit#gid=156619080"",AO$3)"),"")</f>
        <v/>
      </c>
      <c r="AP142" s="2">
        <f>IFERROR(__xludf.DUMMYFUNCTION("IMPORTRANGE(""https://docs.google.com/spreadsheets/d/""&amp;$A142&amp;""/edit#gid=156619080"",AP$3)"),-1.0)</f>
        <v>-1</v>
      </c>
      <c r="AQ142" s="2" t="str">
        <f>IFERROR(__xludf.DUMMYFUNCTION("IMPORTRANGE(""https://docs.google.com/spreadsheets/d/""&amp;$A142&amp;""/edit#gid=156619080"",AQ$3)"),"")</f>
        <v/>
      </c>
      <c r="AR142" s="18">
        <f>IFERROR(__xludf.DUMMYFUNCTION("IMPORTRANGE(""https://docs.google.com/spreadsheets/d/""&amp;$A142&amp;""/edit#gid=156619080"",AR$3)"),-70.0)</f>
        <v>-70</v>
      </c>
      <c r="AS142" s="19" t="str">
        <f>IFERROR(__xludf.DUMMYFUNCTION("IMPORTRANGE(""https://docs.google.com/spreadsheets/d/""&amp;$A142&amp;""/edit#gid=156619080"",AS$3)"),"-70
30
80
30
")</f>
        <v>-70
30
80
30
</v>
      </c>
      <c r="AT142" s="18">
        <f>IFERROR(__xludf.DUMMYFUNCTION("IMPORTRANGE(""https://docs.google.com/spreadsheets/d/""&amp;$A142&amp;""/edit#gid=156619080"",AT$3)"),-26.23626373626373)</f>
        <v>-26.23626374</v>
      </c>
      <c r="AU142" s="3" t="str">
        <f>IFERROR(__xludf.DUMMYFUNCTION("IMPORTRANGE(""https://docs.google.com/spreadsheets/d/""&amp;$A142&amp;""/edit#gid=156619080"",AU$3)"),"-59.2
-36.13
-43.27
-35.58
")</f>
        <v>-59.2
-36.13
-43.27
-35.58
</v>
      </c>
      <c r="AV142" s="18">
        <f>IFERROR(__xludf.DUMMYFUNCTION("IMPORTRANGE(""https://docs.google.com/spreadsheets/d/""&amp;$A142&amp;""/edit#gid=156619080"",AV$3)"),-74.64285714285714)</f>
        <v>-74.64285714</v>
      </c>
      <c r="AW142" s="19" t="str">
        <f>IFERROR(__xludf.DUMMYFUNCTION("IMPORTRANGE(""https://docs.google.com/spreadsheets/d/""&amp;$A142&amp;""/edit#gid=156619080"",AW$3)"),"-87.11
-81.79
-78.67
-76.85
")</f>
        <v>-87.11
-81.79
-78.67
-76.85
</v>
      </c>
      <c r="AX142" s="2">
        <f>IFERROR(__xludf.DUMMYFUNCTION("IMPORTRANGE(""https://docs.google.com/spreadsheets/d/""&amp;$A142&amp;""/edit#gid=156619080"",AX$3)"),50.82)</f>
        <v>50.82</v>
      </c>
      <c r="AY142" s="2">
        <f>IFERROR(__xludf.DUMMYFUNCTION("IMPORTRANGE(""https://docs.google.com/spreadsheets/d/""&amp;$A142&amp;""/edit#gid=156619080"",AY$3)"),35.22)</f>
        <v>35.22</v>
      </c>
      <c r="AZ142" s="2">
        <f>IFERROR(__xludf.DUMMYFUNCTION("IMPORTRANGE(""https://docs.google.com/spreadsheets/d/""&amp;$A142&amp;""/edit#gid=156619080"",AZ$3)"),2566.17)</f>
        <v>2566.17</v>
      </c>
      <c r="BA142" s="2">
        <f>IFERROR(__xludf.DUMMYFUNCTION("IMPORTRANGE(""https://docs.google.com/spreadsheets/d/""&amp;$A142&amp;""/edit#gid=156619080"",BA$3)"),-45.659999999999854)</f>
        <v>-45.66</v>
      </c>
      <c r="BB142" s="2">
        <f>IFERROR(__xludf.DUMMYFUNCTION("IMPORTRANGE(""https://docs.google.com/spreadsheets/d/""&amp;$A142&amp;""/edit#gid=156619080"",BB$3)"),-52.38)</f>
        <v>-52.38</v>
      </c>
      <c r="BC142" s="2" t="str">
        <f>IFERROR(__xludf.DUMMYFUNCTION("IMPORTRANGE(""https://docs.google.com/spreadsheets/d/""&amp;$A142&amp;""/edit#gid=156619080"",BC$3)"),"GC→GC")</f>
        <v>GC→GC</v>
      </c>
    </row>
    <row r="143" ht="51.0" customHeight="1">
      <c r="A143" s="7" t="str">
        <f t="shared" si="5"/>
        <v>1gj5qi_o2Ql7YmI1xk2QstV8DYp_VG47pKf_7ADlV0T4</v>
      </c>
      <c r="B143" s="1" t="s">
        <v>170</v>
      </c>
      <c r="C143" s="2">
        <f>IFERROR(__xludf.DUMMYFUNCTION("IMPORTRANGE(""https://docs.google.com/spreadsheets/d/""&amp;$A143&amp;""/edit#gid=156619080"",C$3)"),132.0)</f>
        <v>132</v>
      </c>
      <c r="D143" s="2">
        <f>IFERROR(__xludf.DUMMYFUNCTION("IMPORTRANGE(""https://docs.google.com/spreadsheets/d/""&amp;$A143&amp;""/edit#gid=156619080"",D$3)"),1605.0)</f>
        <v>1605</v>
      </c>
      <c r="E143" s="15">
        <f>IFERROR(__xludf.DUMMYFUNCTION("IMPORTRANGE(""https://docs.google.com/spreadsheets/d/""&amp;$A143&amp;""/edit#gid=156619080"",E$3)"),43882.0)</f>
        <v>43882</v>
      </c>
      <c r="F143" s="2">
        <f>IFERROR(__xludf.DUMMYFUNCTION("IMPORTRANGE(""https://docs.google.com/spreadsheets/d/""&amp;$A143&amp;""/edit#gid=156619080"",F$3)"),-2.5)</f>
        <v>-2.5</v>
      </c>
      <c r="G143" s="16">
        <f>IFERROR(__xludf.DUMMYFUNCTION("IMPORTRANGE(""https://docs.google.com/spreadsheets/d/""&amp;$A143&amp;""/edit#gid=156619080"",G$3)"),-0.23)</f>
        <v>-0.23</v>
      </c>
      <c r="H143" s="16">
        <f>IFERROR(__xludf.DUMMYFUNCTION("IMPORTRANGE(""https://docs.google.com/spreadsheets/d/""&amp;$A143&amp;""/edit#gid=156619080"",H$3)"),1079.5)</f>
        <v>1079.5</v>
      </c>
      <c r="I143" s="16">
        <f>IFERROR(__xludf.DUMMYFUNCTION("IMPORTRANGE(""https://docs.google.com/spreadsheets/d/""&amp;$A143&amp;""/edit#gid=156619080"",I$3)"),-7.5)</f>
        <v>-7.5</v>
      </c>
      <c r="J143" s="16">
        <f>IFERROR(__xludf.DUMMYFUNCTION("IMPORTRANGE(""https://docs.google.com/spreadsheets/d/""&amp;$A143&amp;""/edit#gid=156619080"",J$3)"),1082.0)</f>
        <v>1082</v>
      </c>
      <c r="K143" s="16">
        <f>IFERROR(__xludf.DUMMYFUNCTION("IMPORTRANGE(""https://docs.google.com/spreadsheets/d/""&amp;$A143&amp;""/edit#gid=156619080"",K$3)"),0.39861111111111114)</f>
        <v>0.3986111111</v>
      </c>
      <c r="L143" s="16">
        <f>IFERROR(__xludf.DUMMYFUNCTION("IMPORTRANGE(""https://docs.google.com/spreadsheets/d/""&amp;$A143&amp;""/edit#gid=156619080"",L$3)"),1064.0)</f>
        <v>1064</v>
      </c>
      <c r="M143" s="16">
        <f>IFERROR(__xludf.DUMMYFUNCTION("IMPORTRANGE(""https://docs.google.com/spreadsheets/d/""&amp;$A143&amp;""/edit#gid=156619080"",M$3)"),0.4756944444444444)</f>
        <v>0.4756944444</v>
      </c>
      <c r="N143" s="16">
        <f>IFERROR(__xludf.DUMMYFUNCTION("IMPORTRANGE(""https://docs.google.com/spreadsheets/d/""&amp;$A143&amp;""/edit#gid=156619080"",N$3)"),1069.5)</f>
        <v>1069.5</v>
      </c>
      <c r="O143" s="16" t="str">
        <f>IFERROR(__xludf.DUMMYFUNCTION("IMPORTRANGE(""https://docs.google.com/spreadsheets/d/""&amp;$A143&amp;""/edit#gid=156619080"",O$3)"),"4303500株")</f>
        <v>4303500株</v>
      </c>
      <c r="P143" s="16" t="str">
        <f>IFERROR(__xludf.DUMMYFUNCTION("IMPORTRANGE(""https://docs.google.com/spreadsheets/d/""&amp;$A143&amp;""/edit#gid=156619080"",P$3)"),"4609百万円")</f>
        <v>4609百万円</v>
      </c>
      <c r="Q143" s="16" t="str">
        <f>IFERROR(__xludf.DUMMYFUNCTION("IMPORTRANGE(""https://docs.google.com/spreadsheets/d/""&amp;$A143&amp;""/edit#gid=156619080"",Q$3)"),"3765回")</f>
        <v>3765回</v>
      </c>
      <c r="R143" s="16" t="str">
        <f>IFERROR(__xludf.DUMMYFUNCTION("IMPORTRANGE(""https://docs.google.com/spreadsheets/d/""&amp;$A143&amp;""/edit#gid=156619080"",R$3)"),"15640億円")</f>
        <v>15640億円</v>
      </c>
      <c r="S143" s="16" t="str">
        <f>IFERROR(__xludf.DUMMYFUNCTION("IMPORTRANGE(""https://docs.google.com/spreadsheets/d/""&amp;$A143&amp;""/edit#gid=156619080"",S$3)"),"陰線")</f>
        <v>陰線</v>
      </c>
      <c r="T143" s="16" t="str">
        <f>IFERROR(__xludf.DUMMYFUNCTION("IMPORTRANGE(""https://docs.google.com/spreadsheets/d/""&amp;$A143&amp;""/edit#gid=156619080"",T$3)"),"")</f>
        <v/>
      </c>
      <c r="U143" s="16">
        <f>IFERROR(__xludf.DUMMYFUNCTION("IMPORTRANGE(""https://docs.google.com/spreadsheets/d/""&amp;$A143&amp;""/edit#gid=156619080"",U$3)"),1055.1)</f>
        <v>1055.1</v>
      </c>
      <c r="V143" s="16">
        <f>IFERROR(__xludf.DUMMYFUNCTION("IMPORTRANGE(""https://docs.google.com/spreadsheets/d/""&amp;$A143&amp;""/edit#gid=156619080"",V$3)"),1055.7)</f>
        <v>1055.7</v>
      </c>
      <c r="W143" s="16">
        <f>IFERROR(__xludf.DUMMYFUNCTION("IMPORTRANGE(""https://docs.google.com/spreadsheets/d/""&amp;$A143&amp;""/edit#gid=156619080"",W$3)"),1052.7)</f>
        <v>1052.7</v>
      </c>
      <c r="X143" s="2">
        <f>IFERROR(__xludf.DUMMYFUNCTION("IMPORTRANGE(""https://docs.google.com/spreadsheets/d/""&amp;$A143&amp;""/edit#gid=156619080"",X$3)"),1043.4)</f>
        <v>1043.4</v>
      </c>
      <c r="Y143" s="17">
        <f>IFERROR(__xludf.DUMMYFUNCTION("IMPORTRANGE(""https://docs.google.com/spreadsheets/d/""&amp;$A143&amp;""/edit#gid=156619080"",Y$3)"),0.01364799545066827)</f>
        <v>0.01364799545</v>
      </c>
      <c r="Z143" s="2">
        <f>IFERROR(__xludf.DUMMYFUNCTION("IMPORTRANGE(""https://docs.google.com/spreadsheets/d/""&amp;$A143&amp;""/edit#gid=156619080"",Z$3)"),1085.97)</f>
        <v>1085.97</v>
      </c>
      <c r="AA143" s="2">
        <f>IFERROR(__xludf.DUMMYFUNCTION("IMPORTRANGE(""https://docs.google.com/spreadsheets/d/""&amp;$A143&amp;""/edit#gid=156619080"",AA$3)"),1081.81)</f>
        <v>1081.81</v>
      </c>
      <c r="AB143" s="2">
        <f>IFERROR(__xludf.DUMMYFUNCTION("IMPORTRANGE(""https://docs.google.com/spreadsheets/d/""&amp;$A143&amp;""/edit#gid=156619080"",AB$3)"),1077.65)</f>
        <v>1077.65</v>
      </c>
      <c r="AC143" s="18">
        <f>IFERROR(__xludf.DUMMYFUNCTION("IMPORTRANGE(""https://docs.google.com/spreadsheets/d/""&amp;$A143&amp;""/edit#gid=156619080"",AC$3)"),1073.49)</f>
        <v>1073.49</v>
      </c>
      <c r="AD143" s="18">
        <f>IFERROR(__xludf.DUMMYFUNCTION("IMPORTRANGE(""https://docs.google.com/spreadsheets/d/""&amp;$A143&amp;""/edit#gid=156619080"",AD$3)"),1069.34)</f>
        <v>1069.34</v>
      </c>
      <c r="AE143" s="18">
        <f>IFERROR(__xludf.DUMMYFUNCTION("IMPORTRANGE(""https://docs.google.com/spreadsheets/d/""&amp;$A143&amp;""/edit#gid=156619080"",AE$3)"),1052.7)</f>
        <v>1052.7</v>
      </c>
      <c r="AF143" s="2">
        <f>IFERROR(__xludf.DUMMYFUNCTION("IMPORTRANGE(""https://docs.google.com/spreadsheets/d/""&amp;$A143&amp;""/edit#gid=156619080"",AF$3)"),1036.06)</f>
        <v>1036.06</v>
      </c>
      <c r="AG143" s="2">
        <f>IFERROR(__xludf.DUMMYFUNCTION("IMPORTRANGE(""https://docs.google.com/spreadsheets/d/""&amp;$A143&amp;""/edit#gid=156619080"",AG$3)"),1031.91)</f>
        <v>1031.91</v>
      </c>
      <c r="AH143" s="2">
        <f>IFERROR(__xludf.DUMMYFUNCTION("IMPORTRANGE(""https://docs.google.com/spreadsheets/d/""&amp;$A143&amp;""/edit#gid=156619080"",AH$3)"),1027.75)</f>
        <v>1027.75</v>
      </c>
      <c r="AI143" s="2">
        <f>IFERROR(__xludf.DUMMYFUNCTION("IMPORTRANGE(""https://docs.google.com/spreadsheets/d/""&amp;$A143&amp;""/edit#gid=156619080"",AI$3)"),1023.59)</f>
        <v>1023.59</v>
      </c>
      <c r="AJ143" s="2">
        <f>IFERROR(__xludf.DUMMYFUNCTION("IMPORTRANGE(""https://docs.google.com/spreadsheets/d/""&amp;$A143&amp;""/edit#gid=156619080"",AJ$3)"),1019.43)</f>
        <v>1019.43</v>
      </c>
      <c r="AK143" s="2" t="str">
        <f>IFERROR(__xludf.DUMMYFUNCTION("IMPORTRANGE(""https://docs.google.com/spreadsheets/d/""&amp;$A143&amp;""/edit#gid=156619080"",AK$3)"),"1〜1.25σ")</f>
        <v>1〜1.25σ</v>
      </c>
      <c r="AL143" s="2">
        <f>IFERROR(__xludf.DUMMYFUNCTION("IMPORTRANGE(""https://docs.google.com/spreadsheets/d/""&amp;$A143&amp;""/edit#gid=156619080"",AL$3)"),-1.0)</f>
        <v>-1</v>
      </c>
      <c r="AM143" s="2" t="str">
        <f>IFERROR(__xludf.DUMMYFUNCTION("IMPORTRANGE(""https://docs.google.com/spreadsheets/d/""&amp;$A143&amp;""/edit#gid=156619080"",AM$3)"),"")</f>
        <v/>
      </c>
      <c r="AN143" s="2">
        <f>IFERROR(__xludf.DUMMYFUNCTION("IMPORTRANGE(""https://docs.google.com/spreadsheets/d/""&amp;$A143&amp;""/edit#gid=156619080"",AN$3)"),1.0)</f>
        <v>1</v>
      </c>
      <c r="AO143" s="2" t="str">
        <f>IFERROR(__xludf.DUMMYFUNCTION("IMPORTRANGE(""https://docs.google.com/spreadsheets/d/""&amp;$A143&amp;""/edit#gid=156619080"",AO$3)"),"ws2")</f>
        <v>ws2</v>
      </c>
      <c r="AP143" s="2">
        <f>IFERROR(__xludf.DUMMYFUNCTION("IMPORTRANGE(""https://docs.google.com/spreadsheets/d/""&amp;$A143&amp;""/edit#gid=156619080"",AP$3)"),1.0)</f>
        <v>1</v>
      </c>
      <c r="AQ143" s="2" t="str">
        <f>IFERROR(__xludf.DUMMYFUNCTION("IMPORTRANGE(""https://docs.google.com/spreadsheets/d/""&amp;$A143&amp;""/edit#gid=156619080"",AQ$3)"),"ws3")</f>
        <v>ws3</v>
      </c>
      <c r="AR143" s="18">
        <f>IFERROR(__xludf.DUMMYFUNCTION("IMPORTRANGE(""https://docs.google.com/spreadsheets/d/""&amp;$A143&amp;""/edit#gid=156619080"",AR$3)"),60.0)</f>
        <v>60</v>
      </c>
      <c r="AS143" s="19" t="str">
        <f>IFERROR(__xludf.DUMMYFUNCTION("IMPORTRANGE(""https://docs.google.com/spreadsheets/d/""&amp;$A143&amp;""/edit#gid=156619080"",AS$3)"),"-30
-30
-52.5
17.5
")</f>
        <v>-30
-30
-52.5
17.5
</v>
      </c>
      <c r="AT143" s="18">
        <f>IFERROR(__xludf.DUMMYFUNCTION("IMPORTRANGE(""https://docs.google.com/spreadsheets/d/""&amp;$A143&amp;""/edit#gid=156619080"",AT$3)"),7.280219780219777)</f>
        <v>7.28021978</v>
      </c>
      <c r="AU143" s="3" t="str">
        <f>IFERROR(__xludf.DUMMYFUNCTION("IMPORTRANGE(""https://docs.google.com/spreadsheets/d/""&amp;$A143&amp;""/edit#gid=156619080"",AU$3)"),"60.44
42.31
28.02
20.33
")</f>
        <v>60.44
42.31
28.02
20.33
</v>
      </c>
      <c r="AV143" s="18">
        <f>IFERROR(__xludf.DUMMYFUNCTION("IMPORTRANGE(""https://docs.google.com/spreadsheets/d/""&amp;$A143&amp;""/edit#gid=156619080"",AV$3)"),3.8961038961038974)</f>
        <v>3.896103896</v>
      </c>
      <c r="AW143" s="19" t="str">
        <f>IFERROR(__xludf.DUMMYFUNCTION("IMPORTRANGE(""https://docs.google.com/spreadsheets/d/""&amp;$A143&amp;""/edit#gid=156619080"",AW$3)"),"-45.71
-40.13
-32.89
-15.23
")</f>
        <v>-45.71
-40.13
-32.89
-15.23
</v>
      </c>
      <c r="AX143" s="2">
        <f>IFERROR(__xludf.DUMMYFUNCTION("IMPORTRANGE(""https://docs.google.com/spreadsheets/d/""&amp;$A143&amp;""/edit#gid=156619080"",AX$3)"),72.61999999999999)</f>
        <v>72.62</v>
      </c>
      <c r="AY143" s="2">
        <f>IFERROR(__xludf.DUMMYFUNCTION("IMPORTRANGE(""https://docs.google.com/spreadsheets/d/""&amp;$A143&amp;""/edit#gid=156619080"",AY$3)"),42.699999999999996)</f>
        <v>42.7</v>
      </c>
      <c r="AZ143" s="2">
        <f>IFERROR(__xludf.DUMMYFUNCTION("IMPORTRANGE(""https://docs.google.com/spreadsheets/d/""&amp;$A143&amp;""/edit#gid=156619080"",AZ$3)"),1059.91)</f>
        <v>1059.91</v>
      </c>
      <c r="BA143" s="2">
        <f>IFERROR(__xludf.DUMMYFUNCTION("IMPORTRANGE(""https://docs.google.com/spreadsheets/d/""&amp;$A143&amp;""/edit#gid=156619080"",BA$3)"),-4.529999999999973)</f>
        <v>-4.53</v>
      </c>
      <c r="BB143" s="2">
        <f>IFERROR(__xludf.DUMMYFUNCTION("IMPORTRANGE(""https://docs.google.com/spreadsheets/d/""&amp;$A143&amp;""/edit#gid=156619080"",BB$3)"),-15.76)</f>
        <v>-15.76</v>
      </c>
      <c r="BC143" s="2" t="str">
        <f>IFERROR(__xludf.DUMMYFUNCTION("IMPORTRANGE(""https://docs.google.com/spreadsheets/d/""&amp;$A143&amp;""/edit#gid=156619080"",BC$3)"),"GC→GC")</f>
        <v>GC→GC</v>
      </c>
    </row>
    <row r="144" ht="51.0" customHeight="1">
      <c r="A144" s="7" t="str">
        <f t="shared" si="5"/>
        <v>1qBXo0YaBdeQJ6h9BosKn6qKQDzqPhhWoFCtKbOYoBdQ</v>
      </c>
      <c r="B144" s="1" t="s">
        <v>171</v>
      </c>
      <c r="C144" s="2">
        <f>IFERROR(__xludf.DUMMYFUNCTION("IMPORTRANGE(""https://docs.google.com/spreadsheets/d/""&amp;$A144&amp;""/edit#gid=156619080"",C$3)"),132.0)</f>
        <v>132</v>
      </c>
      <c r="D144" s="2">
        <f>IFERROR(__xludf.DUMMYFUNCTION("IMPORTRANGE(""https://docs.google.com/spreadsheets/d/""&amp;$A144&amp;""/edit#gid=156619080"",D$3)"),1721.0)</f>
        <v>1721</v>
      </c>
      <c r="E144" s="15">
        <f>IFERROR(__xludf.DUMMYFUNCTION("IMPORTRANGE(""https://docs.google.com/spreadsheets/d/""&amp;$A144&amp;""/edit#gid=156619080"",E$3)"),43882.0)</f>
        <v>43882</v>
      </c>
      <c r="F144" s="2">
        <f>IFERROR(__xludf.DUMMYFUNCTION("IMPORTRANGE(""https://docs.google.com/spreadsheets/d/""&amp;$A144&amp;""/edit#gid=156619080"",F$3)"),-64.0)</f>
        <v>-64</v>
      </c>
      <c r="G144" s="16">
        <f>IFERROR(__xludf.DUMMYFUNCTION("IMPORTRANGE(""https://docs.google.com/spreadsheets/d/""&amp;$A144&amp;""/edit#gid=156619080"",G$3)"),-2.19)</f>
        <v>-2.19</v>
      </c>
      <c r="H144" s="16">
        <f>IFERROR(__xludf.DUMMYFUNCTION("IMPORTRANGE(""https://docs.google.com/spreadsheets/d/""&amp;$A144&amp;""/edit#gid=156619080"",H$3)"),2899.0)</f>
        <v>2899</v>
      </c>
      <c r="I144" s="16">
        <f>IFERROR(__xludf.DUMMYFUNCTION("IMPORTRANGE(""https://docs.google.com/spreadsheets/d/""&amp;$A144&amp;""/edit#gid=156619080"",I$3)"),20.0)</f>
        <v>20</v>
      </c>
      <c r="J144" s="16">
        <f>IFERROR(__xludf.DUMMYFUNCTION("IMPORTRANGE(""https://docs.google.com/spreadsheets/d/""&amp;$A144&amp;""/edit#gid=156619080"",J$3)"),2906.0)</f>
        <v>2906</v>
      </c>
      <c r="K144" s="16">
        <f>IFERROR(__xludf.DUMMYFUNCTION("IMPORTRANGE(""https://docs.google.com/spreadsheets/d/""&amp;$A144&amp;""/edit#gid=156619080"",K$3)"),0.375)</f>
        <v>0.375</v>
      </c>
      <c r="L144" s="16">
        <f>IFERROR(__xludf.DUMMYFUNCTION("IMPORTRANGE(""https://docs.google.com/spreadsheets/d/""&amp;$A144&amp;""/edit#gid=156619080"",L$3)"),2850.0)</f>
        <v>2850</v>
      </c>
      <c r="M144" s="16">
        <f>IFERROR(__xludf.DUMMYFUNCTION("IMPORTRANGE(""https://docs.google.com/spreadsheets/d/""&amp;$A144&amp;""/edit#gid=156619080"",M$3)"),0.6180555555555556)</f>
        <v>0.6180555556</v>
      </c>
      <c r="N144" s="16">
        <f>IFERROR(__xludf.DUMMYFUNCTION("IMPORTRANGE(""https://docs.google.com/spreadsheets/d/""&amp;$A144&amp;""/edit#gid=156619080"",N$3)"),2855.0)</f>
        <v>2855</v>
      </c>
      <c r="O144" s="16" t="str">
        <f>IFERROR(__xludf.DUMMYFUNCTION("IMPORTRANGE(""https://docs.google.com/spreadsheets/d/""&amp;$A144&amp;""/edit#gid=156619080"",O$3)"),"543900株")</f>
        <v>543900株</v>
      </c>
      <c r="P144" s="16" t="str">
        <f>IFERROR(__xludf.DUMMYFUNCTION("IMPORTRANGE(""https://docs.google.com/spreadsheets/d/""&amp;$A144&amp;""/edit#gid=156619080"",P$3)"),"1561百万円")</f>
        <v>1561百万円</v>
      </c>
      <c r="Q144" s="16" t="str">
        <f>IFERROR(__xludf.DUMMYFUNCTION("IMPORTRANGE(""https://docs.google.com/spreadsheets/d/""&amp;$A144&amp;""/edit#gid=156619080"",Q$3)"),"1368回")</f>
        <v>1368回</v>
      </c>
      <c r="R144" s="16" t="str">
        <f>IFERROR(__xludf.DUMMYFUNCTION("IMPORTRANGE(""https://docs.google.com/spreadsheets/d/""&amp;$A144&amp;""/edit#gid=156619080"",R$3)"),"4026億円")</f>
        <v>4026億円</v>
      </c>
      <c r="S144" s="16" t="str">
        <f>IFERROR(__xludf.DUMMYFUNCTION("IMPORTRANGE(""https://docs.google.com/spreadsheets/d/""&amp;$A144&amp;""/edit#gid=156619080"",S$3)"),"陰線")</f>
        <v>陰線</v>
      </c>
      <c r="T144" s="16" t="str">
        <f>IFERROR(__xludf.DUMMYFUNCTION("IMPORTRANGE(""https://docs.google.com/spreadsheets/d/""&amp;$A144&amp;""/edit#gid=156619080"",T$3)"),"")</f>
        <v/>
      </c>
      <c r="U144" s="16">
        <f>IFERROR(__xludf.DUMMYFUNCTION("IMPORTRANGE(""https://docs.google.com/spreadsheets/d/""&amp;$A144&amp;""/edit#gid=156619080"",U$3)"),2905.4)</f>
        <v>2905.4</v>
      </c>
      <c r="V144" s="16">
        <f>IFERROR(__xludf.DUMMYFUNCTION("IMPORTRANGE(""https://docs.google.com/spreadsheets/d/""&amp;$A144&amp;""/edit#gid=156619080"",V$3)"),3007.6)</f>
        <v>3007.6</v>
      </c>
      <c r="W144" s="16">
        <f>IFERROR(__xludf.DUMMYFUNCTION("IMPORTRANGE(""https://docs.google.com/spreadsheets/d/""&amp;$A144&amp;""/edit#gid=156619080"",W$3)"),3071.4)</f>
        <v>3071.4</v>
      </c>
      <c r="X144" s="2">
        <f>IFERROR(__xludf.DUMMYFUNCTION("IMPORTRANGE(""https://docs.google.com/spreadsheets/d/""&amp;$A144&amp;""/edit#gid=156619080"",X$3)"),3106.1)</f>
        <v>3106.1</v>
      </c>
      <c r="Y144" s="17">
        <f>IFERROR(__xludf.DUMMYFUNCTION("IMPORTRANGE(""https://docs.google.com/spreadsheets/d/""&amp;$A144&amp;""/edit#gid=156619080"",Y$3)"),-0.017347009017691227)</f>
        <v>-0.01734700902</v>
      </c>
      <c r="Z144" s="2">
        <f>IFERROR(__xludf.DUMMYFUNCTION("IMPORTRANGE(""https://docs.google.com/spreadsheets/d/""&amp;$A144&amp;""/edit#gid=156619080"",Z$3)"),3308.33)</f>
        <v>3308.33</v>
      </c>
      <c r="AA144" s="2">
        <f>IFERROR(__xludf.DUMMYFUNCTION("IMPORTRANGE(""https://docs.google.com/spreadsheets/d/""&amp;$A144&amp;""/edit#gid=156619080"",AA$3)"),3278.71)</f>
        <v>3278.71</v>
      </c>
      <c r="AB144" s="2">
        <f>IFERROR(__xludf.DUMMYFUNCTION("IMPORTRANGE(""https://docs.google.com/spreadsheets/d/""&amp;$A144&amp;""/edit#gid=156619080"",AB$3)"),3249.1)</f>
        <v>3249.1</v>
      </c>
      <c r="AC144" s="18">
        <f>IFERROR(__xludf.DUMMYFUNCTION("IMPORTRANGE(""https://docs.google.com/spreadsheets/d/""&amp;$A144&amp;""/edit#gid=156619080"",AC$3)"),3219.48)</f>
        <v>3219.48</v>
      </c>
      <c r="AD144" s="18">
        <f>IFERROR(__xludf.DUMMYFUNCTION("IMPORTRANGE(""https://docs.google.com/spreadsheets/d/""&amp;$A144&amp;""/edit#gid=156619080"",AD$3)"),3189.86)</f>
        <v>3189.86</v>
      </c>
      <c r="AE144" s="18">
        <f>IFERROR(__xludf.DUMMYFUNCTION("IMPORTRANGE(""https://docs.google.com/spreadsheets/d/""&amp;$A144&amp;""/edit#gid=156619080"",AE$3)"),3071.4)</f>
        <v>3071.4</v>
      </c>
      <c r="AF144" s="2">
        <f>IFERROR(__xludf.DUMMYFUNCTION("IMPORTRANGE(""https://docs.google.com/spreadsheets/d/""&amp;$A144&amp;""/edit#gid=156619080"",AF$3)"),2952.94)</f>
        <v>2952.94</v>
      </c>
      <c r="AG144" s="2">
        <f>IFERROR(__xludf.DUMMYFUNCTION("IMPORTRANGE(""https://docs.google.com/spreadsheets/d/""&amp;$A144&amp;""/edit#gid=156619080"",AG$3)"),2923.32)</f>
        <v>2923.32</v>
      </c>
      <c r="AH144" s="2">
        <f>IFERROR(__xludf.DUMMYFUNCTION("IMPORTRANGE(""https://docs.google.com/spreadsheets/d/""&amp;$A144&amp;""/edit#gid=156619080"",AH$3)"),2893.7)</f>
        <v>2893.7</v>
      </c>
      <c r="AI144" s="2">
        <f>IFERROR(__xludf.DUMMYFUNCTION("IMPORTRANGE(""https://docs.google.com/spreadsheets/d/""&amp;$A144&amp;""/edit#gid=156619080"",AI$3)"),2864.09)</f>
        <v>2864.09</v>
      </c>
      <c r="AJ144" s="2">
        <f>IFERROR(__xludf.DUMMYFUNCTION("IMPORTRANGE(""https://docs.google.com/spreadsheets/d/""&amp;$A144&amp;""/edit#gid=156619080"",AJ$3)"),2834.47)</f>
        <v>2834.47</v>
      </c>
      <c r="AK144" s="2" t="str">
        <f>IFERROR(__xludf.DUMMYFUNCTION("IMPORTRANGE(""https://docs.google.com/spreadsheets/d/""&amp;$A144&amp;""/edit#gid=156619080"",AK$3)"),"-1.75σ〜-2σ")</f>
        <v>-1.75σ〜-2σ</v>
      </c>
      <c r="AL144" s="2">
        <f>IFERROR(__xludf.DUMMYFUNCTION("IMPORTRANGE(""https://docs.google.com/spreadsheets/d/""&amp;$A144&amp;""/edit#gid=156619080"",AL$3)"),-1.0)</f>
        <v>-1</v>
      </c>
      <c r="AM144" s="2" t="str">
        <f>IFERROR(__xludf.DUMMYFUNCTION("IMPORTRANGE(""https://docs.google.com/spreadsheets/d/""&amp;$A144&amp;""/edit#gid=156619080"",AM$3)"),"")</f>
        <v/>
      </c>
      <c r="AN144" s="2">
        <f>IFERROR(__xludf.DUMMYFUNCTION("IMPORTRANGE(""https://docs.google.com/spreadsheets/d/""&amp;$A144&amp;""/edit#gid=156619080"",AN$3)"),-1.0)</f>
        <v>-1</v>
      </c>
      <c r="AO144" s="2" t="str">
        <f>IFERROR(__xludf.DUMMYFUNCTION("IMPORTRANGE(""https://docs.google.com/spreadsheets/d/""&amp;$A144&amp;""/edit#gid=156619080"",AO$3)"),"")</f>
        <v/>
      </c>
      <c r="AP144" s="2">
        <f>IFERROR(__xludf.DUMMYFUNCTION("IMPORTRANGE(""https://docs.google.com/spreadsheets/d/""&amp;$A144&amp;""/edit#gid=156619080"",AP$3)"),-1.0)</f>
        <v>-1</v>
      </c>
      <c r="AQ144" s="2" t="str">
        <f>IFERROR(__xludf.DUMMYFUNCTION("IMPORTRANGE(""https://docs.google.com/spreadsheets/d/""&amp;$A144&amp;""/edit#gid=156619080"",AQ$3)"),"")</f>
        <v/>
      </c>
      <c r="AR144" s="18">
        <f>IFERROR(__xludf.DUMMYFUNCTION("IMPORTRANGE(""https://docs.google.com/spreadsheets/d/""&amp;$A144&amp;""/edit#gid=156619080"",AR$3)"),-19.999999999999996)</f>
        <v>-20</v>
      </c>
      <c r="AS144" s="19" t="str">
        <f>IFERROR(__xludf.DUMMYFUNCTION("IMPORTRANGE(""https://docs.google.com/spreadsheets/d/""&amp;$A144&amp;""/edit#gid=156619080"",AS$3)"),"-100
-100
-70
-20
")</f>
        <v>-100
-100
-70
-20
</v>
      </c>
      <c r="AT144" s="18">
        <f>IFERROR(__xludf.DUMMYFUNCTION("IMPORTRANGE(""https://docs.google.com/spreadsheets/d/""&amp;$A144&amp;""/edit#gid=156619080"",AT$3)"),-90.79670329670331)</f>
        <v>-90.7967033</v>
      </c>
      <c r="AU144" s="3" t="str">
        <f>IFERROR(__xludf.DUMMYFUNCTION("IMPORTRANGE(""https://docs.google.com/spreadsheets/d/""&amp;$A144&amp;""/edit#gid=156619080"",AU$3)"),"-75.96
-84.2
-89.15
-86.4
")</f>
        <v>-75.96
-84.2
-89.15
-86.4
</v>
      </c>
      <c r="AV144" s="18">
        <f>IFERROR(__xludf.DUMMYFUNCTION("IMPORTRANGE(""https://docs.google.com/spreadsheets/d/""&amp;$A144&amp;""/edit#gid=156619080"",AV$3)"),-87.6948051948052)</f>
        <v>-87.69480519</v>
      </c>
      <c r="AW144" s="19" t="str">
        <f>IFERROR(__xludf.DUMMYFUNCTION("IMPORTRANGE(""https://docs.google.com/spreadsheets/d/""&amp;$A144&amp;""/edit#gid=156619080"",AW$3)"),"-87.56
-88.34
-88.34
-87.69
")</f>
        <v>-87.56
-88.34
-88.34
-87.69
</v>
      </c>
      <c r="AX144" s="2">
        <f>IFERROR(__xludf.DUMMYFUNCTION("IMPORTRANGE(""https://docs.google.com/spreadsheets/d/""&amp;$A144&amp;""/edit#gid=156619080"",AX$3)"),12.139999999999999)</f>
        <v>12.14</v>
      </c>
      <c r="AY144" s="2">
        <f>IFERROR(__xludf.DUMMYFUNCTION("IMPORTRANGE(""https://docs.google.com/spreadsheets/d/""&amp;$A144&amp;""/edit#gid=156619080"",AY$3)"),20.990000000000002)</f>
        <v>20.99</v>
      </c>
      <c r="AZ144" s="2">
        <f>IFERROR(__xludf.DUMMYFUNCTION("IMPORTRANGE(""https://docs.google.com/spreadsheets/d/""&amp;$A144&amp;""/edit#gid=156619080"",AZ$3)"),2910.73)</f>
        <v>2910.73</v>
      </c>
      <c r="BA144" s="2">
        <f>IFERROR(__xludf.DUMMYFUNCTION("IMPORTRANGE(""https://docs.google.com/spreadsheets/d/""&amp;$A144&amp;""/edit#gid=156619080"",BA$3)"),-125.90999999999985)</f>
        <v>-125.91</v>
      </c>
      <c r="BB144" s="2">
        <f>IFERROR(__xludf.DUMMYFUNCTION("IMPORTRANGE(""https://docs.google.com/spreadsheets/d/""&amp;$A144&amp;""/edit#gid=156619080"",BB$3)"),-85.55)</f>
        <v>-85.55</v>
      </c>
      <c r="BC144" s="2" t="str">
        <f>IFERROR(__xludf.DUMMYFUNCTION("IMPORTRANGE(""https://docs.google.com/spreadsheets/d/""&amp;$A144&amp;""/edit#gid=156619080"",BC$3)"),"DC→DC")</f>
        <v>DC→DC</v>
      </c>
    </row>
    <row r="145" ht="51.0" customHeight="1">
      <c r="A145" s="7" t="str">
        <f t="shared" si="5"/>
        <v>1S4CiVFCD48HgmYO_F-qv2NhvexwCLmt5LEPHzlX_xzo</v>
      </c>
      <c r="B145" s="1" t="s">
        <v>172</v>
      </c>
      <c r="C145" s="2">
        <f>IFERROR(__xludf.DUMMYFUNCTION("IMPORTRANGE(""https://docs.google.com/spreadsheets/d/""&amp;$A145&amp;""/edit#gid=156619080"",C$3)"),132.0)</f>
        <v>132</v>
      </c>
      <c r="D145" s="2">
        <f>IFERROR(__xludf.DUMMYFUNCTION("IMPORTRANGE(""https://docs.google.com/spreadsheets/d/""&amp;$A145&amp;""/edit#gid=156619080"",D$3)"),1801.0)</f>
        <v>1801</v>
      </c>
      <c r="E145" s="15">
        <f>IFERROR(__xludf.DUMMYFUNCTION("IMPORTRANGE(""https://docs.google.com/spreadsheets/d/""&amp;$A145&amp;""/edit#gid=156619080"",E$3)"),43882.0)</f>
        <v>43882</v>
      </c>
      <c r="F145" s="2">
        <f>IFERROR(__xludf.DUMMYFUNCTION("IMPORTRANGE(""https://docs.google.com/spreadsheets/d/""&amp;$A145&amp;""/edit#gid=156619080"",F$3)"),-60.0)</f>
        <v>-60</v>
      </c>
      <c r="G145" s="16">
        <f>IFERROR(__xludf.DUMMYFUNCTION("IMPORTRANGE(""https://docs.google.com/spreadsheets/d/""&amp;$A145&amp;""/edit#gid=156619080"",G$3)"),-1.47)</f>
        <v>-1.47</v>
      </c>
      <c r="H145" s="16">
        <f>IFERROR(__xludf.DUMMYFUNCTION("IMPORTRANGE(""https://docs.google.com/spreadsheets/d/""&amp;$A145&amp;""/edit#gid=156619080"",H$3)"),4005.0)</f>
        <v>4005</v>
      </c>
      <c r="I145" s="16">
        <f>IFERROR(__xludf.DUMMYFUNCTION("IMPORTRANGE(""https://docs.google.com/spreadsheets/d/""&amp;$A145&amp;""/edit#gid=156619080"",I$3)"),65.0)</f>
        <v>65</v>
      </c>
      <c r="J145" s="16">
        <f>IFERROR(__xludf.DUMMYFUNCTION("IMPORTRANGE(""https://docs.google.com/spreadsheets/d/""&amp;$A145&amp;""/edit#gid=156619080"",J$3)"),4065.0)</f>
        <v>4065</v>
      </c>
      <c r="K145" s="16">
        <f>IFERROR(__xludf.DUMMYFUNCTION("IMPORTRANGE(""https://docs.google.com/spreadsheets/d/""&amp;$A145&amp;""/edit#gid=156619080"",K$3)"),0.3909722222222222)</f>
        <v>0.3909722222</v>
      </c>
      <c r="L145" s="16">
        <f>IFERROR(__xludf.DUMMYFUNCTION("IMPORTRANGE(""https://docs.google.com/spreadsheets/d/""&amp;$A145&amp;""/edit#gid=156619080"",L$3)"),3990.0)</f>
        <v>3990</v>
      </c>
      <c r="M145" s="16">
        <f>IFERROR(__xludf.DUMMYFUNCTION("IMPORTRANGE(""https://docs.google.com/spreadsheets/d/""&amp;$A145&amp;""/edit#gid=156619080"",M$3)"),0.375)</f>
        <v>0.375</v>
      </c>
      <c r="N145" s="16">
        <f>IFERROR(__xludf.DUMMYFUNCTION("IMPORTRANGE(""https://docs.google.com/spreadsheets/d/""&amp;$A145&amp;""/edit#gid=156619080"",N$3)"),4010.0)</f>
        <v>4010</v>
      </c>
      <c r="O145" s="16" t="str">
        <f>IFERROR(__xludf.DUMMYFUNCTION("IMPORTRANGE(""https://docs.google.com/spreadsheets/d/""&amp;$A145&amp;""/edit#gid=156619080"",O$3)"),"1343100株")</f>
        <v>1343100株</v>
      </c>
      <c r="P145" s="16" t="str">
        <f>IFERROR(__xludf.DUMMYFUNCTION("IMPORTRANGE(""https://docs.google.com/spreadsheets/d/""&amp;$A145&amp;""/edit#gid=156619080"",P$3)"),"5406百万円")</f>
        <v>5406百万円</v>
      </c>
      <c r="Q145" s="16" t="str">
        <f>IFERROR(__xludf.DUMMYFUNCTION("IMPORTRANGE(""https://docs.google.com/spreadsheets/d/""&amp;$A145&amp;""/edit#gid=156619080"",Q$3)"),"1974回")</f>
        <v>1974回</v>
      </c>
      <c r="R145" s="16" t="str">
        <f>IFERROR(__xludf.DUMMYFUNCTION("IMPORTRANGE(""https://docs.google.com/spreadsheets/d/""&amp;$A145&amp;""/edit#gid=156619080"",R$3)"),"9004億円")</f>
        <v>9004億円</v>
      </c>
      <c r="S145" s="16" t="str">
        <f>IFERROR(__xludf.DUMMYFUNCTION("IMPORTRANGE(""https://docs.google.com/spreadsheets/d/""&amp;$A145&amp;""/edit#gid=156619080"",S$3)"),"陽線")</f>
        <v>陽線</v>
      </c>
      <c r="T145" s="16" t="str">
        <f>IFERROR(__xludf.DUMMYFUNCTION("IMPORTRANGE(""https://docs.google.com/spreadsheets/d/""&amp;$A145&amp;""/edit#gid=156619080"",T$3)"),"RSV1")</f>
        <v>RSV1</v>
      </c>
      <c r="U145" s="16">
        <f>IFERROR(__xludf.DUMMYFUNCTION("IMPORTRANGE(""https://docs.google.com/spreadsheets/d/""&amp;$A145&amp;""/edit#gid=156619080"",U$3)"),4087.0)</f>
        <v>4087</v>
      </c>
      <c r="V145" s="16">
        <f>IFERROR(__xludf.DUMMYFUNCTION("IMPORTRANGE(""https://docs.google.com/spreadsheets/d/""&amp;$A145&amp;""/edit#gid=156619080"",V$3)"),4269.6)</f>
        <v>4269.6</v>
      </c>
      <c r="W145" s="16">
        <f>IFERROR(__xludf.DUMMYFUNCTION("IMPORTRANGE(""https://docs.google.com/spreadsheets/d/""&amp;$A145&amp;""/edit#gid=156619080"",W$3)"),4341.7)</f>
        <v>4341.7</v>
      </c>
      <c r="X145" s="2">
        <f>IFERROR(__xludf.DUMMYFUNCTION("IMPORTRANGE(""https://docs.google.com/spreadsheets/d/""&amp;$A145&amp;""/edit#gid=156619080"",X$3)"),4293.5)</f>
        <v>4293.5</v>
      </c>
      <c r="Y145" s="17">
        <f>IFERROR(__xludf.DUMMYFUNCTION("IMPORTRANGE(""https://docs.google.com/spreadsheets/d/""&amp;$A145&amp;""/edit#gid=156619080"",Y$3)"),-0.018840225103988254)</f>
        <v>-0.0188402251</v>
      </c>
      <c r="Z145" s="2">
        <f>IFERROR(__xludf.DUMMYFUNCTION("IMPORTRANGE(""https://docs.google.com/spreadsheets/d/""&amp;$A145&amp;""/edit#gid=156619080"",Z$3)"),4685.58)</f>
        <v>4685.58</v>
      </c>
      <c r="AA145" s="2">
        <f>IFERROR(__xludf.DUMMYFUNCTION("IMPORTRANGE(""https://docs.google.com/spreadsheets/d/""&amp;$A145&amp;""/edit#gid=156619080"",AA$3)"),4642.59)</f>
        <v>4642.59</v>
      </c>
      <c r="AB145" s="2">
        <f>IFERROR(__xludf.DUMMYFUNCTION("IMPORTRANGE(""https://docs.google.com/spreadsheets/d/""&amp;$A145&amp;""/edit#gid=156619080"",AB$3)"),4599.61)</f>
        <v>4599.61</v>
      </c>
      <c r="AC145" s="18">
        <f>IFERROR(__xludf.DUMMYFUNCTION("IMPORTRANGE(""https://docs.google.com/spreadsheets/d/""&amp;$A145&amp;""/edit#gid=156619080"",AC$3)"),4556.62)</f>
        <v>4556.62</v>
      </c>
      <c r="AD145" s="18">
        <f>IFERROR(__xludf.DUMMYFUNCTION("IMPORTRANGE(""https://docs.google.com/spreadsheets/d/""&amp;$A145&amp;""/edit#gid=156619080"",AD$3)"),4513.64)</f>
        <v>4513.64</v>
      </c>
      <c r="AE145" s="18">
        <f>IFERROR(__xludf.DUMMYFUNCTION("IMPORTRANGE(""https://docs.google.com/spreadsheets/d/""&amp;$A145&amp;""/edit#gid=156619080"",AE$3)"),4341.7)</f>
        <v>4341.7</v>
      </c>
      <c r="AF145" s="2">
        <f>IFERROR(__xludf.DUMMYFUNCTION("IMPORTRANGE(""https://docs.google.com/spreadsheets/d/""&amp;$A145&amp;""/edit#gid=156619080"",AF$3)"),4169.76)</f>
        <v>4169.76</v>
      </c>
      <c r="AG145" s="2">
        <f>IFERROR(__xludf.DUMMYFUNCTION("IMPORTRANGE(""https://docs.google.com/spreadsheets/d/""&amp;$A145&amp;""/edit#gid=156619080"",AG$3)"),4126.78)</f>
        <v>4126.78</v>
      </c>
      <c r="AH145" s="2">
        <f>IFERROR(__xludf.DUMMYFUNCTION("IMPORTRANGE(""https://docs.google.com/spreadsheets/d/""&amp;$A145&amp;""/edit#gid=156619080"",AH$3)"),4083.79)</f>
        <v>4083.79</v>
      </c>
      <c r="AI145" s="2">
        <f>IFERROR(__xludf.DUMMYFUNCTION("IMPORTRANGE(""https://docs.google.com/spreadsheets/d/""&amp;$A145&amp;""/edit#gid=156619080"",AI$3)"),4040.81)</f>
        <v>4040.81</v>
      </c>
      <c r="AJ145" s="2">
        <f>IFERROR(__xludf.DUMMYFUNCTION("IMPORTRANGE(""https://docs.google.com/spreadsheets/d/""&amp;$A145&amp;""/edit#gid=156619080"",AJ$3)"),3997.82)</f>
        <v>3997.82</v>
      </c>
      <c r="AK145" s="2" t="str">
        <f>IFERROR(__xludf.DUMMYFUNCTION("IMPORTRANGE(""https://docs.google.com/spreadsheets/d/""&amp;$A145&amp;""/edit#gid=156619080"",AK$3)"),"-1.75σ〜-2σ")</f>
        <v>-1.75σ〜-2σ</v>
      </c>
      <c r="AL145" s="2">
        <f>IFERROR(__xludf.DUMMYFUNCTION("IMPORTRANGE(""https://docs.google.com/spreadsheets/d/""&amp;$A145&amp;""/edit#gid=156619080"",AL$3)"),-1.0)</f>
        <v>-1</v>
      </c>
      <c r="AM145" s="2" t="str">
        <f>IFERROR(__xludf.DUMMYFUNCTION("IMPORTRANGE(""https://docs.google.com/spreadsheets/d/""&amp;$A145&amp;""/edit#gid=156619080"",AM$3)"),"")</f>
        <v/>
      </c>
      <c r="AN145" s="2">
        <f>IFERROR(__xludf.DUMMYFUNCTION("IMPORTRANGE(""https://docs.google.com/spreadsheets/d/""&amp;$A145&amp;""/edit#gid=156619080"",AN$3)"),-1.0)</f>
        <v>-1</v>
      </c>
      <c r="AO145" s="2" t="str">
        <f>IFERROR(__xludf.DUMMYFUNCTION("IMPORTRANGE(""https://docs.google.com/spreadsheets/d/""&amp;$A145&amp;""/edit#gid=156619080"",AO$3)"),"")</f>
        <v/>
      </c>
      <c r="AP145" s="2">
        <f>IFERROR(__xludf.DUMMYFUNCTION("IMPORTRANGE(""https://docs.google.com/spreadsheets/d/""&amp;$A145&amp;""/edit#gid=156619080"",AP$3)"),-1.0)</f>
        <v>-1</v>
      </c>
      <c r="AQ145" s="2" t="str">
        <f>IFERROR(__xludf.DUMMYFUNCTION("IMPORTRANGE(""https://docs.google.com/spreadsheets/d/""&amp;$A145&amp;""/edit#gid=156619080"",AQ$3)"),"")</f>
        <v/>
      </c>
      <c r="AR145" s="18">
        <f>IFERROR(__xludf.DUMMYFUNCTION("IMPORTRANGE(""https://docs.google.com/spreadsheets/d/""&amp;$A145&amp;""/edit#gid=156619080"",AR$3)"),-100.0)</f>
        <v>-100</v>
      </c>
      <c r="AS145" s="19" t="str">
        <f>IFERROR(__xludf.DUMMYFUNCTION("IMPORTRANGE(""https://docs.google.com/spreadsheets/d/""&amp;$A145&amp;""/edit#gid=156619080"",AS$3)"),"-70
-70
-100
-100
")</f>
        <v>-70
-70
-100
-100
</v>
      </c>
      <c r="AT145" s="18">
        <f>IFERROR(__xludf.DUMMYFUNCTION("IMPORTRANGE(""https://docs.google.com/spreadsheets/d/""&amp;$A145&amp;""/edit#gid=156619080"",AT$3)"),-94.5054945054945)</f>
        <v>-94.50549451</v>
      </c>
      <c r="AU145" s="3" t="str">
        <f>IFERROR(__xludf.DUMMYFUNCTION("IMPORTRANGE(""https://docs.google.com/spreadsheets/d/""&amp;$A145&amp;""/edit#gid=156619080"",AU$3)"),"-52.2
-64.29
-78.57
-86.26
")</f>
        <v>-52.2
-64.29
-78.57
-86.26
</v>
      </c>
      <c r="AV145" s="18">
        <f>IFERROR(__xludf.DUMMYFUNCTION("IMPORTRANGE(""https://docs.google.com/spreadsheets/d/""&amp;$A145&amp;""/edit#gid=156619080"",AV$3)"),-83.50649350649351)</f>
        <v>-83.50649351</v>
      </c>
      <c r="AW145" s="19" t="str">
        <f>IFERROR(__xludf.DUMMYFUNCTION("IMPORTRANGE(""https://docs.google.com/spreadsheets/d/""&amp;$A145&amp;""/edit#gid=156619080"",AW$3)"),"-78.93
-82.47
-83.38
-83.51
")</f>
        <v>-78.93
-82.47
-83.38
-83.51
</v>
      </c>
      <c r="AX145" s="2">
        <f>IFERROR(__xludf.DUMMYFUNCTION("IMPORTRANGE(""https://docs.google.com/spreadsheets/d/""&amp;$A145&amp;""/edit#gid=156619080"",AX$3)"),0.0)</f>
        <v>0</v>
      </c>
      <c r="AY145" s="2">
        <f>IFERROR(__xludf.DUMMYFUNCTION("IMPORTRANGE(""https://docs.google.com/spreadsheets/d/""&amp;$A145&amp;""/edit#gid=156619080"",AY$3)"),24.490000000000002)</f>
        <v>24.49</v>
      </c>
      <c r="AZ145" s="2">
        <f>IFERROR(__xludf.DUMMYFUNCTION("IMPORTRANGE(""https://docs.google.com/spreadsheets/d/""&amp;$A145&amp;""/edit#gid=156619080"",AZ$3)"),4093.51)</f>
        <v>4093.51</v>
      </c>
      <c r="BA145" s="2">
        <f>IFERROR(__xludf.DUMMYFUNCTION("IMPORTRANGE(""https://docs.google.com/spreadsheets/d/""&amp;$A145&amp;""/edit#gid=156619080"",BA$3)"),-197.32999999999993)</f>
        <v>-197.33</v>
      </c>
      <c r="BB145" s="2">
        <f>IFERROR(__xludf.DUMMYFUNCTION("IMPORTRANGE(""https://docs.google.com/spreadsheets/d/""&amp;$A145&amp;""/edit#gid=156619080"",BB$3)"),-116.19)</f>
        <v>-116.19</v>
      </c>
      <c r="BC145" s="2" t="str">
        <f>IFERROR(__xludf.DUMMYFUNCTION("IMPORTRANGE(""https://docs.google.com/spreadsheets/d/""&amp;$A145&amp;""/edit#gid=156619080"",BC$3)"),"DC→DC")</f>
        <v>DC→DC</v>
      </c>
    </row>
    <row r="146" ht="51.0" customHeight="1">
      <c r="A146" s="7" t="str">
        <f t="shared" si="5"/>
        <v>1Q0HFZkAx-Creu_L34ZmI9zwIcIzb7ZT8icNGZLTKj7M</v>
      </c>
      <c r="B146" s="1" t="s">
        <v>173</v>
      </c>
      <c r="C146" s="2">
        <f>IFERROR(__xludf.DUMMYFUNCTION("IMPORTRANGE(""https://docs.google.com/spreadsheets/d/""&amp;$A146&amp;""/edit#gid=156619080"",C$3)"),132.0)</f>
        <v>132</v>
      </c>
      <c r="D146" s="2">
        <f>IFERROR(__xludf.DUMMYFUNCTION("IMPORTRANGE(""https://docs.google.com/spreadsheets/d/""&amp;$A146&amp;""/edit#gid=156619080"",D$3)"),1802.0)</f>
        <v>1802</v>
      </c>
      <c r="E146" s="15">
        <f>IFERROR(__xludf.DUMMYFUNCTION("IMPORTRANGE(""https://docs.google.com/spreadsheets/d/""&amp;$A146&amp;""/edit#gid=156619080"",E$3)"),43882.0)</f>
        <v>43882</v>
      </c>
      <c r="F146" s="2">
        <f>IFERROR(__xludf.DUMMYFUNCTION("IMPORTRANGE(""https://docs.google.com/spreadsheets/d/""&amp;$A146&amp;""/edit#gid=156619080"",F$3)"),-20.0)</f>
        <v>-20</v>
      </c>
      <c r="G146" s="16">
        <f>IFERROR(__xludf.DUMMYFUNCTION("IMPORTRANGE(""https://docs.google.com/spreadsheets/d/""&amp;$A146&amp;""/edit#gid=156619080"",G$3)"),-1.63)</f>
        <v>-1.63</v>
      </c>
      <c r="H146" s="16">
        <f>IFERROR(__xludf.DUMMYFUNCTION("IMPORTRANGE(""https://docs.google.com/spreadsheets/d/""&amp;$A146&amp;""/edit#gid=156619080"",H$3)"),1219.0)</f>
        <v>1219</v>
      </c>
      <c r="I146" s="16">
        <f>IFERROR(__xludf.DUMMYFUNCTION("IMPORTRANGE(""https://docs.google.com/spreadsheets/d/""&amp;$A146&amp;""/edit#gid=156619080"",I$3)"),10.0)</f>
        <v>10</v>
      </c>
      <c r="J146" s="16">
        <f>IFERROR(__xludf.DUMMYFUNCTION("IMPORTRANGE(""https://docs.google.com/spreadsheets/d/""&amp;$A146&amp;""/edit#gid=156619080"",J$3)"),1226.0)</f>
        <v>1226</v>
      </c>
      <c r="K146" s="16">
        <f>IFERROR(__xludf.DUMMYFUNCTION("IMPORTRANGE(""https://docs.google.com/spreadsheets/d/""&amp;$A146&amp;""/edit#gid=156619080"",K$3)"),0.40069444444444446)</f>
        <v>0.4006944444</v>
      </c>
      <c r="L146" s="16">
        <f>IFERROR(__xludf.DUMMYFUNCTION("IMPORTRANGE(""https://docs.google.com/spreadsheets/d/""&amp;$A146&amp;""/edit#gid=156619080"",L$3)"),1207.0)</f>
        <v>1207</v>
      </c>
      <c r="M146" s="16">
        <f>IFERROR(__xludf.DUMMYFUNCTION("IMPORTRANGE(""https://docs.google.com/spreadsheets/d/""&amp;$A146&amp;""/edit#gid=156619080"",M$3)"),0.6180555555555556)</f>
        <v>0.6180555556</v>
      </c>
      <c r="N146" s="16">
        <f>IFERROR(__xludf.DUMMYFUNCTION("IMPORTRANGE(""https://docs.google.com/spreadsheets/d/""&amp;$A146&amp;""/edit#gid=156619080"",N$3)"),1209.0)</f>
        <v>1209</v>
      </c>
      <c r="O146" s="16" t="str">
        <f>IFERROR(__xludf.DUMMYFUNCTION("IMPORTRANGE(""https://docs.google.com/spreadsheets/d/""&amp;$A146&amp;""/edit#gid=156619080"",O$3)"),"1854000株")</f>
        <v>1854000株</v>
      </c>
      <c r="P146" s="16" t="str">
        <f>IFERROR(__xludf.DUMMYFUNCTION("IMPORTRANGE(""https://docs.google.com/spreadsheets/d/""&amp;$A146&amp;""/edit#gid=156619080"",P$3)"),"2254百万円")</f>
        <v>2254百万円</v>
      </c>
      <c r="Q146" s="16" t="str">
        <f>IFERROR(__xludf.DUMMYFUNCTION("IMPORTRANGE(""https://docs.google.com/spreadsheets/d/""&amp;$A146&amp;""/edit#gid=156619080"",Q$3)"),"1777回")</f>
        <v>1777回</v>
      </c>
      <c r="R146" s="16" t="str">
        <f>IFERROR(__xludf.DUMMYFUNCTION("IMPORTRANGE(""https://docs.google.com/spreadsheets/d/""&amp;$A146&amp;""/edit#gid=156619080"",R$3)"),"8723億円")</f>
        <v>8723億円</v>
      </c>
      <c r="S146" s="16" t="str">
        <f>IFERROR(__xludf.DUMMYFUNCTION("IMPORTRANGE(""https://docs.google.com/spreadsheets/d/""&amp;$A146&amp;""/edit#gid=156619080"",S$3)"),"陰線")</f>
        <v>陰線</v>
      </c>
      <c r="T146" s="16" t="str">
        <f>IFERROR(__xludf.DUMMYFUNCTION("IMPORTRANGE(""https://docs.google.com/spreadsheets/d/""&amp;$A146&amp;""/edit#gid=156619080"",T$3)"),"")</f>
        <v/>
      </c>
      <c r="U146" s="16">
        <f>IFERROR(__xludf.DUMMYFUNCTION("IMPORTRANGE(""https://docs.google.com/spreadsheets/d/""&amp;$A146&amp;""/edit#gid=156619080"",U$3)"),1224.4)</f>
        <v>1224.4</v>
      </c>
      <c r="V146" s="16">
        <f>IFERROR(__xludf.DUMMYFUNCTION("IMPORTRANGE(""https://docs.google.com/spreadsheets/d/""&amp;$A146&amp;""/edit#gid=156619080"",V$3)"),1236.4)</f>
        <v>1236.4</v>
      </c>
      <c r="W146" s="16">
        <f>IFERROR(__xludf.DUMMYFUNCTION("IMPORTRANGE(""https://docs.google.com/spreadsheets/d/""&amp;$A146&amp;""/edit#gid=156619080"",W$3)"),1229.6)</f>
        <v>1229.6</v>
      </c>
      <c r="X146" s="2">
        <f>IFERROR(__xludf.DUMMYFUNCTION("IMPORTRANGE(""https://docs.google.com/spreadsheets/d/""&amp;$A146&amp;""/edit#gid=156619080"",X$3)"),1161.6)</f>
        <v>1161.6</v>
      </c>
      <c r="Y146" s="17">
        <f>IFERROR(__xludf.DUMMYFUNCTION("IMPORTRANGE(""https://docs.google.com/spreadsheets/d/""&amp;$A146&amp;""/edit#gid=156619080"",Y$3)"),-0.012577589023195107)</f>
        <v>-0.01257758902</v>
      </c>
      <c r="Z146" s="2">
        <f>IFERROR(__xludf.DUMMYFUNCTION("IMPORTRANGE(""https://docs.google.com/spreadsheets/d/""&amp;$A146&amp;""/edit#gid=156619080"",Z$3)"),1267.96)</f>
        <v>1267.96</v>
      </c>
      <c r="AA146" s="2">
        <f>IFERROR(__xludf.DUMMYFUNCTION("IMPORTRANGE(""https://docs.google.com/spreadsheets/d/""&amp;$A146&amp;""/edit#gid=156619080"",AA$3)"),1263.17)</f>
        <v>1263.17</v>
      </c>
      <c r="AB146" s="2">
        <f>IFERROR(__xludf.DUMMYFUNCTION("IMPORTRANGE(""https://docs.google.com/spreadsheets/d/""&amp;$A146&amp;""/edit#gid=156619080"",AB$3)"),1258.37)</f>
        <v>1258.37</v>
      </c>
      <c r="AC146" s="18">
        <f>IFERROR(__xludf.DUMMYFUNCTION("IMPORTRANGE(""https://docs.google.com/spreadsheets/d/""&amp;$A146&amp;""/edit#gid=156619080"",AC$3)"),1253.58)</f>
        <v>1253.58</v>
      </c>
      <c r="AD146" s="18">
        <f>IFERROR(__xludf.DUMMYFUNCTION("IMPORTRANGE(""https://docs.google.com/spreadsheets/d/""&amp;$A146&amp;""/edit#gid=156619080"",AD$3)"),1248.78)</f>
        <v>1248.78</v>
      </c>
      <c r="AE146" s="18">
        <f>IFERROR(__xludf.DUMMYFUNCTION("IMPORTRANGE(""https://docs.google.com/spreadsheets/d/""&amp;$A146&amp;""/edit#gid=156619080"",AE$3)"),1229.6)</f>
        <v>1229.6</v>
      </c>
      <c r="AF146" s="2">
        <f>IFERROR(__xludf.DUMMYFUNCTION("IMPORTRANGE(""https://docs.google.com/spreadsheets/d/""&amp;$A146&amp;""/edit#gid=156619080"",AF$3)"),1210.42)</f>
        <v>1210.42</v>
      </c>
      <c r="AG146" s="2">
        <f>IFERROR(__xludf.DUMMYFUNCTION("IMPORTRANGE(""https://docs.google.com/spreadsheets/d/""&amp;$A146&amp;""/edit#gid=156619080"",AG$3)"),1205.62)</f>
        <v>1205.62</v>
      </c>
      <c r="AH146" s="2">
        <f>IFERROR(__xludf.DUMMYFUNCTION("IMPORTRANGE(""https://docs.google.com/spreadsheets/d/""&amp;$A146&amp;""/edit#gid=156619080"",AH$3)"),1200.83)</f>
        <v>1200.83</v>
      </c>
      <c r="AI146" s="2">
        <f>IFERROR(__xludf.DUMMYFUNCTION("IMPORTRANGE(""https://docs.google.com/spreadsheets/d/""&amp;$A146&amp;""/edit#gid=156619080"",AI$3)"),1196.03)</f>
        <v>1196.03</v>
      </c>
      <c r="AJ146" s="2">
        <f>IFERROR(__xludf.DUMMYFUNCTION("IMPORTRANGE(""https://docs.google.com/spreadsheets/d/""&amp;$A146&amp;""/edit#gid=156619080"",AJ$3)"),1191.24)</f>
        <v>1191.24</v>
      </c>
      <c r="AK146" s="2" t="str">
        <f>IFERROR(__xludf.DUMMYFUNCTION("IMPORTRANGE(""https://docs.google.com/spreadsheets/d/""&amp;$A146&amp;""/edit#gid=156619080"",AK$3)"),"-1〜-1.25σ")</f>
        <v>-1〜-1.25σ</v>
      </c>
      <c r="AL146" s="2">
        <f>IFERROR(__xludf.DUMMYFUNCTION("IMPORTRANGE(""https://docs.google.com/spreadsheets/d/""&amp;$A146&amp;""/edit#gid=156619080"",AL$3)"),-1.0)</f>
        <v>-1</v>
      </c>
      <c r="AM146" s="2" t="str">
        <f>IFERROR(__xludf.DUMMYFUNCTION("IMPORTRANGE(""https://docs.google.com/spreadsheets/d/""&amp;$A146&amp;""/edit#gid=156619080"",AM$3)"),"")</f>
        <v/>
      </c>
      <c r="AN146" s="2">
        <f>IFERROR(__xludf.DUMMYFUNCTION("IMPORTRANGE(""https://docs.google.com/spreadsheets/d/""&amp;$A146&amp;""/edit#gid=156619080"",AN$3)"),-1.0)</f>
        <v>-1</v>
      </c>
      <c r="AO146" s="2" t="str">
        <f>IFERROR(__xludf.DUMMYFUNCTION("IMPORTRANGE(""https://docs.google.com/spreadsheets/d/""&amp;$A146&amp;""/edit#gid=156619080"",AO$3)"),"bs2")</f>
        <v>bs2</v>
      </c>
      <c r="AP146" s="2">
        <f>IFERROR(__xludf.DUMMYFUNCTION("IMPORTRANGE(""https://docs.google.com/spreadsheets/d/""&amp;$A146&amp;""/edit#gid=156619080"",AP$3)"),1.0)</f>
        <v>1</v>
      </c>
      <c r="AQ146" s="2" t="str">
        <f>IFERROR(__xludf.DUMMYFUNCTION("IMPORTRANGE(""https://docs.google.com/spreadsheets/d/""&amp;$A146&amp;""/edit#gid=156619080"",AQ$3)"),"")</f>
        <v/>
      </c>
      <c r="AR146" s="18">
        <f>IFERROR(__xludf.DUMMYFUNCTION("IMPORTRANGE(""https://docs.google.com/spreadsheets/d/""&amp;$A146&amp;""/edit#gid=156619080"",AR$3)"),-70.0)</f>
        <v>-70</v>
      </c>
      <c r="AS146" s="19" t="str">
        <f>IFERROR(__xludf.DUMMYFUNCTION("IMPORTRANGE(""https://docs.google.com/spreadsheets/d/""&amp;$A146&amp;""/edit#gid=156619080"",AS$3)"),"-30
-30
-90
-70
")</f>
        <v>-30
-30
-90
-70
</v>
      </c>
      <c r="AT146" s="18">
        <f>IFERROR(__xludf.DUMMYFUNCTION("IMPORTRANGE(""https://docs.google.com/spreadsheets/d/""&amp;$A146&amp;""/edit#gid=156619080"",AT$3)"),-27.472527472527464)</f>
        <v>-27.47252747</v>
      </c>
      <c r="AU146" s="3" t="str">
        <f>IFERROR(__xludf.DUMMYFUNCTION("IMPORTRANGE(""https://docs.google.com/spreadsheets/d/""&amp;$A146&amp;""/edit#gid=156619080"",AU$3)"),"63.19
48.9
26.92
8.79
")</f>
        <v>63.19
48.9
26.92
8.79
</v>
      </c>
      <c r="AV146" s="18">
        <f>IFERROR(__xludf.DUMMYFUNCTION("IMPORTRANGE(""https://docs.google.com/spreadsheets/d/""&amp;$A146&amp;""/edit#gid=156619080"",AV$3)"),17.922077922077918)</f>
        <v>17.92207792</v>
      </c>
      <c r="AW146" s="19" t="str">
        <f>IFERROR(__xludf.DUMMYFUNCTION("IMPORTRANGE(""https://docs.google.com/spreadsheets/d/""&amp;$A146&amp;""/edit#gid=156619080"",AW$3)"),"7.95
9.87
13.64
21.43
")</f>
        <v>7.95
9.87
13.64
21.43
</v>
      </c>
      <c r="AX146" s="2">
        <f>IFERROR(__xludf.DUMMYFUNCTION("IMPORTRANGE(""https://docs.google.com/spreadsheets/d/""&amp;$A146&amp;""/edit#gid=156619080"",AX$3)"),11.540000000000001)</f>
        <v>11.54</v>
      </c>
      <c r="AY146" s="2">
        <f>IFERROR(__xludf.DUMMYFUNCTION("IMPORTRANGE(""https://docs.google.com/spreadsheets/d/""&amp;$A146&amp;""/edit#gid=156619080"",AY$3)"),42.51)</f>
        <v>42.51</v>
      </c>
      <c r="AZ146" s="2">
        <f>IFERROR(__xludf.DUMMYFUNCTION("IMPORTRANGE(""https://docs.google.com/spreadsheets/d/""&amp;$A146&amp;""/edit#gid=156619080"",AZ$3)"),1223.52)</f>
        <v>1223.52</v>
      </c>
      <c r="BA146" s="2">
        <f>IFERROR(__xludf.DUMMYFUNCTION("IMPORTRANGE(""https://docs.google.com/spreadsheets/d/""&amp;$A146&amp;""/edit#gid=156619080"",BA$3)"),-6.509999999999991)</f>
        <v>-6.51</v>
      </c>
      <c r="BB146" s="2">
        <f>IFERROR(__xludf.DUMMYFUNCTION("IMPORTRANGE(""https://docs.google.com/spreadsheets/d/""&amp;$A146&amp;""/edit#gid=156619080"",BB$3)"),2.86)</f>
        <v>2.86</v>
      </c>
      <c r="BC146" s="2" t="str">
        <f>IFERROR(__xludf.DUMMYFUNCTION("IMPORTRANGE(""https://docs.google.com/spreadsheets/d/""&amp;$A146&amp;""/edit#gid=156619080"",BC$3)"),"DC→DC")</f>
        <v>DC→DC</v>
      </c>
    </row>
    <row r="147" ht="51.0" customHeight="1">
      <c r="A147" s="7" t="str">
        <f t="shared" si="5"/>
        <v>1JrOPM7ALVt5oYbRfVk4vvrZ10AEkByKkQm33L2A-ebI</v>
      </c>
      <c r="B147" s="1" t="s">
        <v>174</v>
      </c>
      <c r="C147" s="2">
        <f>IFERROR(__xludf.DUMMYFUNCTION("IMPORTRANGE(""https://docs.google.com/spreadsheets/d/""&amp;$A147&amp;""/edit#gid=156619080"",C$3)"),132.0)</f>
        <v>132</v>
      </c>
      <c r="D147" s="2">
        <f>IFERROR(__xludf.DUMMYFUNCTION("IMPORTRANGE(""https://docs.google.com/spreadsheets/d/""&amp;$A147&amp;""/edit#gid=156619080"",D$3)"),1803.0)</f>
        <v>1803</v>
      </c>
      <c r="E147" s="15">
        <f>IFERROR(__xludf.DUMMYFUNCTION("IMPORTRANGE(""https://docs.google.com/spreadsheets/d/""&amp;$A147&amp;""/edit#gid=156619080"",E$3)"),43882.0)</f>
        <v>43882</v>
      </c>
      <c r="F147" s="2">
        <f>IFERROR(__xludf.DUMMYFUNCTION("IMPORTRANGE(""https://docs.google.com/spreadsheets/d/""&amp;$A147&amp;""/edit#gid=156619080"",F$3)"),-18.0)</f>
        <v>-18</v>
      </c>
      <c r="G147" s="16">
        <f>IFERROR(__xludf.DUMMYFUNCTION("IMPORTRANGE(""https://docs.google.com/spreadsheets/d/""&amp;$A147&amp;""/edit#gid=156619080"",G$3)"),-1.66)</f>
        <v>-1.66</v>
      </c>
      <c r="H147" s="16">
        <f>IFERROR(__xludf.DUMMYFUNCTION("IMPORTRANGE(""https://docs.google.com/spreadsheets/d/""&amp;$A147&amp;""/edit#gid=156619080"",H$3)"),1069.0)</f>
        <v>1069</v>
      </c>
      <c r="I147" s="16">
        <f>IFERROR(__xludf.DUMMYFUNCTION("IMPORTRANGE(""https://docs.google.com/spreadsheets/d/""&amp;$A147&amp;""/edit#gid=156619080"",I$3)"),13.0)</f>
        <v>13</v>
      </c>
      <c r="J147" s="16">
        <f>IFERROR(__xludf.DUMMYFUNCTION("IMPORTRANGE(""https://docs.google.com/spreadsheets/d/""&amp;$A147&amp;""/edit#gid=156619080"",J$3)"),1073.0)</f>
        <v>1073</v>
      </c>
      <c r="K147" s="16">
        <f>IFERROR(__xludf.DUMMYFUNCTION("IMPORTRANGE(""https://docs.google.com/spreadsheets/d/""&amp;$A147&amp;""/edit#gid=156619080"",K$3)"),0.42986111111111114)</f>
        <v>0.4298611111</v>
      </c>
      <c r="L147" s="16">
        <f>IFERROR(__xludf.DUMMYFUNCTION("IMPORTRANGE(""https://docs.google.com/spreadsheets/d/""&amp;$A147&amp;""/edit#gid=156619080"",L$3)"),1060.0)</f>
        <v>1060</v>
      </c>
      <c r="M147" s="16">
        <f>IFERROR(__xludf.DUMMYFUNCTION("IMPORTRANGE(""https://docs.google.com/spreadsheets/d/""&amp;$A147&amp;""/edit#gid=156619080"",M$3)"),0.37569444444444444)</f>
        <v>0.3756944444</v>
      </c>
      <c r="N147" s="16">
        <f>IFERROR(__xludf.DUMMYFUNCTION("IMPORTRANGE(""https://docs.google.com/spreadsheets/d/""&amp;$A147&amp;""/edit#gid=156619080"",N$3)"),1064.0)</f>
        <v>1064</v>
      </c>
      <c r="O147" s="16" t="str">
        <f>IFERROR(__xludf.DUMMYFUNCTION("IMPORTRANGE(""https://docs.google.com/spreadsheets/d/""&amp;$A147&amp;""/edit#gid=156619080"",O$3)"),"2491400株")</f>
        <v>2491400株</v>
      </c>
      <c r="P147" s="16" t="str">
        <f>IFERROR(__xludf.DUMMYFUNCTION("IMPORTRANGE(""https://docs.google.com/spreadsheets/d/""&amp;$A147&amp;""/edit#gid=156619080"",P$3)"),"2656百万円")</f>
        <v>2656百万円</v>
      </c>
      <c r="Q147" s="16" t="str">
        <f>IFERROR(__xludf.DUMMYFUNCTION("IMPORTRANGE(""https://docs.google.com/spreadsheets/d/""&amp;$A147&amp;""/edit#gid=156619080"",Q$3)"),"1940回")</f>
        <v>1940回</v>
      </c>
      <c r="R147" s="16" t="str">
        <f>IFERROR(__xludf.DUMMYFUNCTION("IMPORTRANGE(""https://docs.google.com/spreadsheets/d/""&amp;$A147&amp;""/edit#gid=156619080"",R$3)"),"8390億円")</f>
        <v>8390億円</v>
      </c>
      <c r="S147" s="16" t="str">
        <f>IFERROR(__xludf.DUMMYFUNCTION("IMPORTRANGE(""https://docs.google.com/spreadsheets/d/""&amp;$A147&amp;""/edit#gid=156619080"",S$3)"),"陰線")</f>
        <v>陰線</v>
      </c>
      <c r="T147" s="16" t="str">
        <f>IFERROR(__xludf.DUMMYFUNCTION("IMPORTRANGE(""https://docs.google.com/spreadsheets/d/""&amp;$A147&amp;""/edit#gid=156619080"",T$3)"),"")</f>
        <v/>
      </c>
      <c r="U147" s="16">
        <f>IFERROR(__xludf.DUMMYFUNCTION("IMPORTRANGE(""https://docs.google.com/spreadsheets/d/""&amp;$A147&amp;""/edit#gid=156619080"",U$3)"),1083.0)</f>
        <v>1083</v>
      </c>
      <c r="V147" s="16">
        <f>IFERROR(__xludf.DUMMYFUNCTION("IMPORTRANGE(""https://docs.google.com/spreadsheets/d/""&amp;$A147&amp;""/edit#gid=156619080"",V$3)"),1116.2)</f>
        <v>1116.2</v>
      </c>
      <c r="W147" s="16">
        <f>IFERROR(__xludf.DUMMYFUNCTION("IMPORTRANGE(""https://docs.google.com/spreadsheets/d/""&amp;$A147&amp;""/edit#gid=156619080"",W$3)"),1125.9)</f>
        <v>1125.9</v>
      </c>
      <c r="X147" s="2">
        <f>IFERROR(__xludf.DUMMYFUNCTION("IMPORTRANGE(""https://docs.google.com/spreadsheets/d/""&amp;$A147&amp;""/edit#gid=156619080"",X$3)"),1062.1)</f>
        <v>1062.1</v>
      </c>
      <c r="Y147" s="17">
        <f>IFERROR(__xludf.DUMMYFUNCTION("IMPORTRANGE(""https://docs.google.com/spreadsheets/d/""&amp;$A147&amp;""/edit#gid=156619080"",Y$3)"),-0.017543859649122806)</f>
        <v>-0.01754385965</v>
      </c>
      <c r="Z147" s="2">
        <f>IFERROR(__xludf.DUMMYFUNCTION("IMPORTRANGE(""https://docs.google.com/spreadsheets/d/""&amp;$A147&amp;""/edit#gid=156619080"",Z$3)"),1186.14)</f>
        <v>1186.14</v>
      </c>
      <c r="AA147" s="2">
        <f>IFERROR(__xludf.DUMMYFUNCTION("IMPORTRANGE(""https://docs.google.com/spreadsheets/d/""&amp;$A147&amp;""/edit#gid=156619080"",AA$3)"),1178.61)</f>
        <v>1178.61</v>
      </c>
      <c r="AB147" s="2">
        <f>IFERROR(__xludf.DUMMYFUNCTION("IMPORTRANGE(""https://docs.google.com/spreadsheets/d/""&amp;$A147&amp;""/edit#gid=156619080"",AB$3)"),1171.08)</f>
        <v>1171.08</v>
      </c>
      <c r="AC147" s="18">
        <f>IFERROR(__xludf.DUMMYFUNCTION("IMPORTRANGE(""https://docs.google.com/spreadsheets/d/""&amp;$A147&amp;""/edit#gid=156619080"",AC$3)"),1163.55)</f>
        <v>1163.55</v>
      </c>
      <c r="AD147" s="18">
        <f>IFERROR(__xludf.DUMMYFUNCTION("IMPORTRANGE(""https://docs.google.com/spreadsheets/d/""&amp;$A147&amp;""/edit#gid=156619080"",AD$3)"),1156.02)</f>
        <v>1156.02</v>
      </c>
      <c r="AE147" s="18">
        <f>IFERROR(__xludf.DUMMYFUNCTION("IMPORTRANGE(""https://docs.google.com/spreadsheets/d/""&amp;$A147&amp;""/edit#gid=156619080"",AE$3)"),1125.9)</f>
        <v>1125.9</v>
      </c>
      <c r="AF147" s="2">
        <f>IFERROR(__xludf.DUMMYFUNCTION("IMPORTRANGE(""https://docs.google.com/spreadsheets/d/""&amp;$A147&amp;""/edit#gid=156619080"",AF$3)"),1095.78)</f>
        <v>1095.78</v>
      </c>
      <c r="AG147" s="2">
        <f>IFERROR(__xludf.DUMMYFUNCTION("IMPORTRANGE(""https://docs.google.com/spreadsheets/d/""&amp;$A147&amp;""/edit#gid=156619080"",AG$3)"),1088.25)</f>
        <v>1088.25</v>
      </c>
      <c r="AH147" s="2">
        <f>IFERROR(__xludf.DUMMYFUNCTION("IMPORTRANGE(""https://docs.google.com/spreadsheets/d/""&amp;$A147&amp;""/edit#gid=156619080"",AH$3)"),1080.72)</f>
        <v>1080.72</v>
      </c>
      <c r="AI147" s="2">
        <f>IFERROR(__xludf.DUMMYFUNCTION("IMPORTRANGE(""https://docs.google.com/spreadsheets/d/""&amp;$A147&amp;""/edit#gid=156619080"",AI$3)"),1073.19)</f>
        <v>1073.19</v>
      </c>
      <c r="AJ147" s="2">
        <f>IFERROR(__xludf.DUMMYFUNCTION("IMPORTRANGE(""https://docs.google.com/spreadsheets/d/""&amp;$A147&amp;""/edit#gid=156619080"",AJ$3)"),1065.66)</f>
        <v>1065.66</v>
      </c>
      <c r="AK147" s="2" t="str">
        <f>IFERROR(__xludf.DUMMYFUNCTION("IMPORTRANGE(""https://docs.google.com/spreadsheets/d/""&amp;$A147&amp;""/edit#gid=156619080"",AK$3)"),"-2σ以下")</f>
        <v>-2σ以下</v>
      </c>
      <c r="AL147" s="2">
        <f>IFERROR(__xludf.DUMMYFUNCTION("IMPORTRANGE(""https://docs.google.com/spreadsheets/d/""&amp;$A147&amp;""/edit#gid=156619080"",AL$3)"),-1.0)</f>
        <v>-1</v>
      </c>
      <c r="AM147" s="2" t="str">
        <f>IFERROR(__xludf.DUMMYFUNCTION("IMPORTRANGE(""https://docs.google.com/spreadsheets/d/""&amp;$A147&amp;""/edit#gid=156619080"",AM$3)"),"")</f>
        <v/>
      </c>
      <c r="AN147" s="2">
        <f>IFERROR(__xludf.DUMMYFUNCTION("IMPORTRANGE(""https://docs.google.com/spreadsheets/d/""&amp;$A147&amp;""/edit#gid=156619080"",AN$3)"),-1.0)</f>
        <v>-1</v>
      </c>
      <c r="AO147" s="2" t="str">
        <f>IFERROR(__xludf.DUMMYFUNCTION("IMPORTRANGE(""https://docs.google.com/spreadsheets/d/""&amp;$A147&amp;""/edit#gid=156619080"",AO$3)"),"")</f>
        <v/>
      </c>
      <c r="AP147" s="2">
        <f>IFERROR(__xludf.DUMMYFUNCTION("IMPORTRANGE(""https://docs.google.com/spreadsheets/d/""&amp;$A147&amp;""/edit#gid=156619080"",AP$3)"),-1.0)</f>
        <v>-1</v>
      </c>
      <c r="AQ147" s="2" t="str">
        <f>IFERROR(__xludf.DUMMYFUNCTION("IMPORTRANGE(""https://docs.google.com/spreadsheets/d/""&amp;$A147&amp;""/edit#gid=156619080"",AQ$3)"),"")</f>
        <v/>
      </c>
      <c r="AR147" s="18">
        <f>IFERROR(__xludf.DUMMYFUNCTION("IMPORTRANGE(""https://docs.google.com/spreadsheets/d/""&amp;$A147&amp;""/edit#gid=156619080"",AR$3)"),-89.99999999999999)</f>
        <v>-90</v>
      </c>
      <c r="AS147" s="19" t="str">
        <f>IFERROR(__xludf.DUMMYFUNCTION("IMPORTRANGE(""https://docs.google.com/spreadsheets/d/""&amp;$A147&amp;""/edit#gid=156619080"",AS$3)"),"-90
-90
-80
-90
")</f>
        <v>-90
-90
-80
-90
</v>
      </c>
      <c r="AT147" s="18">
        <f>IFERROR(__xludf.DUMMYFUNCTION("IMPORTRANGE(""https://docs.google.com/spreadsheets/d/""&amp;$A147&amp;""/edit#gid=156619080"",AT$3)"),-85.16483516483517)</f>
        <v>-85.16483516</v>
      </c>
      <c r="AU147" s="3" t="str">
        <f>IFERROR(__xludf.DUMMYFUNCTION("IMPORTRANGE(""https://docs.google.com/spreadsheets/d/""&amp;$A147&amp;""/edit#gid=156619080"",AU$3)"),"-42.31
-54.4
-63.74
-73.63
")</f>
        <v>-42.31
-54.4
-63.74
-73.63
</v>
      </c>
      <c r="AV147" s="18">
        <f>IFERROR(__xludf.DUMMYFUNCTION("IMPORTRANGE(""https://docs.google.com/spreadsheets/d/""&amp;$A147&amp;""/edit#gid=156619080"",AV$3)"),-72.59740259740259)</f>
        <v>-72.5974026</v>
      </c>
      <c r="AW147" s="19" t="str">
        <f>IFERROR(__xludf.DUMMYFUNCTION("IMPORTRANGE(""https://docs.google.com/spreadsheets/d/""&amp;$A147&amp;""/edit#gid=156619080"",AW$3)"),"-38.41
-53.08
-61.4
-67.53
")</f>
        <v>-38.41
-53.08
-61.4
-67.53
</v>
      </c>
      <c r="AX147" s="2">
        <f>IFERROR(__xludf.DUMMYFUNCTION("IMPORTRANGE(""https://docs.google.com/spreadsheets/d/""&amp;$A147&amp;""/edit#gid=156619080"",AX$3)"),13.43)</f>
        <v>13.43</v>
      </c>
      <c r="AY147" s="2">
        <f>IFERROR(__xludf.DUMMYFUNCTION("IMPORTRANGE(""https://docs.google.com/spreadsheets/d/""&amp;$A147&amp;""/edit#gid=156619080"",AY$3)"),32.45)</f>
        <v>32.45</v>
      </c>
      <c r="AZ147" s="2">
        <f>IFERROR(__xludf.DUMMYFUNCTION("IMPORTRANGE(""https://docs.google.com/spreadsheets/d/""&amp;$A147&amp;""/edit#gid=156619080"",AZ$3)"),1084.18)</f>
        <v>1084.18</v>
      </c>
      <c r="BA147" s="2">
        <f>IFERROR(__xludf.DUMMYFUNCTION("IMPORTRANGE(""https://docs.google.com/spreadsheets/d/""&amp;$A147&amp;""/edit#gid=156619080"",BA$3)"),-29.75)</f>
        <v>-29.75</v>
      </c>
      <c r="BB147" s="2">
        <f>IFERROR(__xludf.DUMMYFUNCTION("IMPORTRANGE(""https://docs.google.com/spreadsheets/d/""&amp;$A147&amp;""/edit#gid=156619080"",BB$3)"),-10.28)</f>
        <v>-10.28</v>
      </c>
      <c r="BC147" s="2" t="str">
        <f>IFERROR(__xludf.DUMMYFUNCTION("IMPORTRANGE(""https://docs.google.com/spreadsheets/d/""&amp;$A147&amp;""/edit#gid=156619080"",BC$3)"),"DC→DC")</f>
        <v>DC→DC</v>
      </c>
    </row>
    <row r="148" ht="51.0" customHeight="1">
      <c r="A148" s="7" t="str">
        <f t="shared" si="5"/>
        <v>1ofSh5gzv5kGD419GFifO1uVJ0fMzPygDgzMA6_tQdag</v>
      </c>
      <c r="B148" s="1" t="s">
        <v>175</v>
      </c>
      <c r="C148" s="2">
        <f>IFERROR(__xludf.DUMMYFUNCTION("IMPORTRANGE(""https://docs.google.com/spreadsheets/d/""&amp;$A148&amp;""/edit#gid=156619080"",C$3)"),132.0)</f>
        <v>132</v>
      </c>
      <c r="D148" s="2">
        <f>IFERROR(__xludf.DUMMYFUNCTION("IMPORTRANGE(""https://docs.google.com/spreadsheets/d/""&amp;$A148&amp;""/edit#gid=156619080"",D$3)"),1808.0)</f>
        <v>1808</v>
      </c>
      <c r="E148" s="15">
        <f>IFERROR(__xludf.DUMMYFUNCTION("IMPORTRANGE(""https://docs.google.com/spreadsheets/d/""&amp;$A148&amp;""/edit#gid=156619080"",E$3)"),43882.0)</f>
        <v>43882</v>
      </c>
      <c r="F148" s="2">
        <f>IFERROR(__xludf.DUMMYFUNCTION("IMPORTRANGE(""https://docs.google.com/spreadsheets/d/""&amp;$A148&amp;""/edit#gid=156619080"",F$3)"),-8.0)</f>
        <v>-8</v>
      </c>
      <c r="G148" s="16">
        <f>IFERROR(__xludf.DUMMYFUNCTION("IMPORTRANGE(""https://docs.google.com/spreadsheets/d/""&amp;$A148&amp;""/edit#gid=156619080"",G$3)"),-0.56)</f>
        <v>-0.56</v>
      </c>
      <c r="H148" s="16">
        <f>IFERROR(__xludf.DUMMYFUNCTION("IMPORTRANGE(""https://docs.google.com/spreadsheets/d/""&amp;$A148&amp;""/edit#gid=156619080"",H$3)"),1417.0)</f>
        <v>1417</v>
      </c>
      <c r="I148" s="16">
        <f>IFERROR(__xludf.DUMMYFUNCTION("IMPORTRANGE(""https://docs.google.com/spreadsheets/d/""&amp;$A148&amp;""/edit#gid=156619080"",I$3)"),-1.0)</f>
        <v>-1</v>
      </c>
      <c r="J148" s="16">
        <f>IFERROR(__xludf.DUMMYFUNCTION("IMPORTRANGE(""https://docs.google.com/spreadsheets/d/""&amp;$A148&amp;""/edit#gid=156619080"",J$3)"),1429.0)</f>
        <v>1429</v>
      </c>
      <c r="K148" s="16">
        <f>IFERROR(__xludf.DUMMYFUNCTION("IMPORTRANGE(""https://docs.google.com/spreadsheets/d/""&amp;$A148&amp;""/edit#gid=156619080"",K$3)"),0.3923611111111111)</f>
        <v>0.3923611111</v>
      </c>
      <c r="L148" s="16">
        <f>IFERROR(__xludf.DUMMYFUNCTION("IMPORTRANGE(""https://docs.google.com/spreadsheets/d/""&amp;$A148&amp;""/edit#gid=156619080"",L$3)"),1405.0)</f>
        <v>1405</v>
      </c>
      <c r="M148" s="16">
        <f>IFERROR(__xludf.DUMMYFUNCTION("IMPORTRANGE(""https://docs.google.com/spreadsheets/d/""&amp;$A148&amp;""/edit#gid=156619080"",M$3)"),0.6243055555555556)</f>
        <v>0.6243055556</v>
      </c>
      <c r="N148" s="16">
        <f>IFERROR(__xludf.DUMMYFUNCTION("IMPORTRANGE(""https://docs.google.com/spreadsheets/d/""&amp;$A148&amp;""/edit#gid=156619080"",N$3)"),1408.0)</f>
        <v>1408</v>
      </c>
      <c r="O148" s="16" t="str">
        <f>IFERROR(__xludf.DUMMYFUNCTION("IMPORTRANGE(""https://docs.google.com/spreadsheets/d/""&amp;$A148&amp;""/edit#gid=156619080"",O$3)"),"1514700株")</f>
        <v>1514700株</v>
      </c>
      <c r="P148" s="16" t="str">
        <f>IFERROR(__xludf.DUMMYFUNCTION("IMPORTRANGE(""https://docs.google.com/spreadsheets/d/""&amp;$A148&amp;""/edit#gid=156619080"",P$3)"),"2144百万円")</f>
        <v>2144百万円</v>
      </c>
      <c r="Q148" s="16" t="str">
        <f>IFERROR(__xludf.DUMMYFUNCTION("IMPORTRANGE(""https://docs.google.com/spreadsheets/d/""&amp;$A148&amp;""/edit#gid=156619080"",Q$3)"),"2566回")</f>
        <v>2566回</v>
      </c>
      <c r="R148" s="16" t="str">
        <f>IFERROR(__xludf.DUMMYFUNCTION("IMPORTRANGE(""https://docs.google.com/spreadsheets/d/""&amp;$A148&amp;""/edit#gid=156619080"",R$3)"),"4235億円")</f>
        <v>4235億円</v>
      </c>
      <c r="S148" s="16" t="str">
        <f>IFERROR(__xludf.DUMMYFUNCTION("IMPORTRANGE(""https://docs.google.com/spreadsheets/d/""&amp;$A148&amp;""/edit#gid=156619080"",S$3)"),"陰線")</f>
        <v>陰線</v>
      </c>
      <c r="T148" s="16" t="str">
        <f>IFERROR(__xludf.DUMMYFUNCTION("IMPORTRANGE(""https://docs.google.com/spreadsheets/d/""&amp;$A148&amp;""/edit#gid=156619080"",T$3)"),"")</f>
        <v/>
      </c>
      <c r="U148" s="16">
        <f>IFERROR(__xludf.DUMMYFUNCTION("IMPORTRANGE(""https://docs.google.com/spreadsheets/d/""&amp;$A148&amp;""/edit#gid=156619080"",U$3)"),1423.0)</f>
        <v>1423</v>
      </c>
      <c r="V148" s="16">
        <f>IFERROR(__xludf.DUMMYFUNCTION("IMPORTRANGE(""https://docs.google.com/spreadsheets/d/""&amp;$A148&amp;""/edit#gid=156619080"",V$3)"),1447.1)</f>
        <v>1447.1</v>
      </c>
      <c r="W148" s="16">
        <f>IFERROR(__xludf.DUMMYFUNCTION("IMPORTRANGE(""https://docs.google.com/spreadsheets/d/""&amp;$A148&amp;""/edit#gid=156619080"",W$3)"),1455.3)</f>
        <v>1455.3</v>
      </c>
      <c r="X148" s="2">
        <f>IFERROR(__xludf.DUMMYFUNCTION("IMPORTRANGE(""https://docs.google.com/spreadsheets/d/""&amp;$A148&amp;""/edit#gid=156619080"",X$3)"),1395.4)</f>
        <v>1395.4</v>
      </c>
      <c r="Y148" s="17">
        <f>IFERROR(__xludf.DUMMYFUNCTION("IMPORTRANGE(""https://docs.google.com/spreadsheets/d/""&amp;$A148&amp;""/edit#gid=156619080"",Y$3)"),-0.010541110330288124)</f>
        <v>-0.01054111033</v>
      </c>
      <c r="Z148" s="2">
        <f>IFERROR(__xludf.DUMMYFUNCTION("IMPORTRANGE(""https://docs.google.com/spreadsheets/d/""&amp;$A148&amp;""/edit#gid=156619080"",Z$3)"),1523.48)</f>
        <v>1523.48</v>
      </c>
      <c r="AA148" s="2">
        <f>IFERROR(__xludf.DUMMYFUNCTION("IMPORTRANGE(""https://docs.google.com/spreadsheets/d/""&amp;$A148&amp;""/edit#gid=156619080"",AA$3)"),1514.96)</f>
        <v>1514.96</v>
      </c>
      <c r="AB148" s="2">
        <f>IFERROR(__xludf.DUMMYFUNCTION("IMPORTRANGE(""https://docs.google.com/spreadsheets/d/""&amp;$A148&amp;""/edit#gid=156619080"",AB$3)"),1506.43)</f>
        <v>1506.43</v>
      </c>
      <c r="AC148" s="18">
        <f>IFERROR(__xludf.DUMMYFUNCTION("IMPORTRANGE(""https://docs.google.com/spreadsheets/d/""&amp;$A148&amp;""/edit#gid=156619080"",AC$3)"),1497.91)</f>
        <v>1497.91</v>
      </c>
      <c r="AD148" s="18">
        <f>IFERROR(__xludf.DUMMYFUNCTION("IMPORTRANGE(""https://docs.google.com/spreadsheets/d/""&amp;$A148&amp;""/edit#gid=156619080"",AD$3)"),1489.39)</f>
        <v>1489.39</v>
      </c>
      <c r="AE148" s="18">
        <f>IFERROR(__xludf.DUMMYFUNCTION("IMPORTRANGE(""https://docs.google.com/spreadsheets/d/""&amp;$A148&amp;""/edit#gid=156619080"",AE$3)"),1455.3)</f>
        <v>1455.3</v>
      </c>
      <c r="AF148" s="2">
        <f>IFERROR(__xludf.DUMMYFUNCTION("IMPORTRANGE(""https://docs.google.com/spreadsheets/d/""&amp;$A148&amp;""/edit#gid=156619080"",AF$3)"),1421.21)</f>
        <v>1421.21</v>
      </c>
      <c r="AG148" s="2">
        <f>IFERROR(__xludf.DUMMYFUNCTION("IMPORTRANGE(""https://docs.google.com/spreadsheets/d/""&amp;$A148&amp;""/edit#gid=156619080"",AG$3)"),1412.69)</f>
        <v>1412.69</v>
      </c>
      <c r="AH148" s="2">
        <f>IFERROR(__xludf.DUMMYFUNCTION("IMPORTRANGE(""https://docs.google.com/spreadsheets/d/""&amp;$A148&amp;""/edit#gid=156619080"",AH$3)"),1404.17)</f>
        <v>1404.17</v>
      </c>
      <c r="AI148" s="2">
        <f>IFERROR(__xludf.DUMMYFUNCTION("IMPORTRANGE(""https://docs.google.com/spreadsheets/d/""&amp;$A148&amp;""/edit#gid=156619080"",AI$3)"),1395.64)</f>
        <v>1395.64</v>
      </c>
      <c r="AJ148" s="2">
        <f>IFERROR(__xludf.DUMMYFUNCTION("IMPORTRANGE(""https://docs.google.com/spreadsheets/d/""&amp;$A148&amp;""/edit#gid=156619080"",AJ$3)"),1387.12)</f>
        <v>1387.12</v>
      </c>
      <c r="AK148" s="2" t="str">
        <f>IFERROR(__xludf.DUMMYFUNCTION("IMPORTRANGE(""https://docs.google.com/spreadsheets/d/""&amp;$A148&amp;""/edit#gid=156619080"",AK$3)"),"-1.25σ〜-1.5σ")</f>
        <v>-1.25σ〜-1.5σ</v>
      </c>
      <c r="AL148" s="2">
        <f>IFERROR(__xludf.DUMMYFUNCTION("IMPORTRANGE(""https://docs.google.com/spreadsheets/d/""&amp;$A148&amp;""/edit#gid=156619080"",AL$3)"),-1.0)</f>
        <v>-1</v>
      </c>
      <c r="AM148" s="2" t="str">
        <f>IFERROR(__xludf.DUMMYFUNCTION("IMPORTRANGE(""https://docs.google.com/spreadsheets/d/""&amp;$A148&amp;""/edit#gid=156619080"",AM$3)"),"")</f>
        <v/>
      </c>
      <c r="AN148" s="2">
        <f>IFERROR(__xludf.DUMMYFUNCTION("IMPORTRANGE(""https://docs.google.com/spreadsheets/d/""&amp;$A148&amp;""/edit#gid=156619080"",AN$3)"),-1.0)</f>
        <v>-1</v>
      </c>
      <c r="AO148" s="2" t="str">
        <f>IFERROR(__xludf.DUMMYFUNCTION("IMPORTRANGE(""https://docs.google.com/spreadsheets/d/""&amp;$A148&amp;""/edit#gid=156619080"",AO$3)"),"")</f>
        <v/>
      </c>
      <c r="AP148" s="2">
        <f>IFERROR(__xludf.DUMMYFUNCTION("IMPORTRANGE(""https://docs.google.com/spreadsheets/d/""&amp;$A148&amp;""/edit#gid=156619080"",AP$3)"),-1.0)</f>
        <v>-1</v>
      </c>
      <c r="AQ148" s="2" t="str">
        <f>IFERROR(__xludf.DUMMYFUNCTION("IMPORTRANGE(""https://docs.google.com/spreadsheets/d/""&amp;$A148&amp;""/edit#gid=156619080"",AQ$3)"),"")</f>
        <v/>
      </c>
      <c r="AR148" s="18">
        <f>IFERROR(__xludf.DUMMYFUNCTION("IMPORTRANGE(""https://docs.google.com/spreadsheets/d/""&amp;$A148&amp;""/edit#gid=156619080"",AR$3)"),-100.0)</f>
        <v>-100</v>
      </c>
      <c r="AS148" s="19" t="str">
        <f>IFERROR(__xludf.DUMMYFUNCTION("IMPORTRANGE(""https://docs.google.com/spreadsheets/d/""&amp;$A148&amp;""/edit#gid=156619080"",AS$3)"),"-90
-90
-90
-100
")</f>
        <v>-90
-90
-90
-100
</v>
      </c>
      <c r="AT148" s="18">
        <f>IFERROR(__xludf.DUMMYFUNCTION("IMPORTRANGE(""https://docs.google.com/spreadsheets/d/""&amp;$A148&amp;""/edit#gid=156619080"",AT$3)"),-49.03846153846154)</f>
        <v>-49.03846154</v>
      </c>
      <c r="AU148" s="3" t="str">
        <f>IFERROR(__xludf.DUMMYFUNCTION("IMPORTRANGE(""https://docs.google.com/spreadsheets/d/""&amp;$A148&amp;""/edit#gid=156619080"",AU$3)"),"42.17
30.08
4.4
-19.37
")</f>
        <v>42.17
30.08
4.4
-19.37
</v>
      </c>
      <c r="AV148" s="18">
        <f>IFERROR(__xludf.DUMMYFUNCTION("IMPORTRANGE(""https://docs.google.com/spreadsheets/d/""&amp;$A148&amp;""/edit#gid=156619080"",AV$3)"),-55.00000000000001)</f>
        <v>-55</v>
      </c>
      <c r="AW148" s="19" t="str">
        <f>IFERROR(__xludf.DUMMYFUNCTION("IMPORTRANGE(""https://docs.google.com/spreadsheets/d/""&amp;$A148&amp;""/edit#gid=156619080"",AW$3)"),"-30.55
-43.28
-51.46
-55
")</f>
        <v>-30.55
-43.28
-51.46
-55
</v>
      </c>
      <c r="AX148" s="2">
        <f>IFERROR(__xludf.DUMMYFUNCTION("IMPORTRANGE(""https://docs.google.com/spreadsheets/d/""&amp;$A148&amp;""/edit#gid=156619080"",AX$3)"),0.0)</f>
        <v>0</v>
      </c>
      <c r="AY148" s="2">
        <f>IFERROR(__xludf.DUMMYFUNCTION("IMPORTRANGE(""https://docs.google.com/spreadsheets/d/""&amp;$A148&amp;""/edit#gid=156619080"",AY$3)"),27.42)</f>
        <v>27.42</v>
      </c>
      <c r="AZ148" s="2">
        <f>IFERROR(__xludf.DUMMYFUNCTION("IMPORTRANGE(""https://docs.google.com/spreadsheets/d/""&amp;$A148&amp;""/edit#gid=156619080"",AZ$3)"),1422.83)</f>
        <v>1422.83</v>
      </c>
      <c r="BA148" s="2">
        <f>IFERROR(__xludf.DUMMYFUNCTION("IMPORTRANGE(""https://docs.google.com/spreadsheets/d/""&amp;$A148&amp;""/edit#gid=156619080"",BA$3)"),-25.87000000000012)</f>
        <v>-25.87</v>
      </c>
      <c r="BB148" s="2">
        <f>IFERROR(__xludf.DUMMYFUNCTION("IMPORTRANGE(""https://docs.google.com/spreadsheets/d/""&amp;$A148&amp;""/edit#gid=156619080"",BB$3)"),-11.04)</f>
        <v>-11.04</v>
      </c>
      <c r="BC148" s="2" t="str">
        <f>IFERROR(__xludf.DUMMYFUNCTION("IMPORTRANGE(""https://docs.google.com/spreadsheets/d/""&amp;$A148&amp;""/edit#gid=156619080"",BC$3)"),"DC→DC")</f>
        <v>DC→DC</v>
      </c>
    </row>
    <row r="149" ht="51.0" customHeight="1">
      <c r="A149" s="7" t="str">
        <f t="shared" si="5"/>
        <v>1x_mv-yEWGKEx5qPHutLupcKZ1K2pY_JzZaJUnqecqQg</v>
      </c>
      <c r="B149" s="1" t="s">
        <v>176</v>
      </c>
      <c r="C149" s="2">
        <f>IFERROR(__xludf.DUMMYFUNCTION("IMPORTRANGE(""https://docs.google.com/spreadsheets/d/""&amp;$A149&amp;""/edit#gid=156619080"",C$3)"),132.0)</f>
        <v>132</v>
      </c>
      <c r="D149" s="2">
        <f>IFERROR(__xludf.DUMMYFUNCTION("IMPORTRANGE(""https://docs.google.com/spreadsheets/d/""&amp;$A149&amp;""/edit#gid=156619080"",D$3)"),1812.0)</f>
        <v>1812</v>
      </c>
      <c r="E149" s="15">
        <f>IFERROR(__xludf.DUMMYFUNCTION("IMPORTRANGE(""https://docs.google.com/spreadsheets/d/""&amp;$A149&amp;""/edit#gid=156619080"",E$3)"),43882.0)</f>
        <v>43882</v>
      </c>
      <c r="F149" s="2">
        <f>IFERROR(__xludf.DUMMYFUNCTION("IMPORTRANGE(""https://docs.google.com/spreadsheets/d/""&amp;$A149&amp;""/edit#gid=156619080"",F$3)"),-18.0)</f>
        <v>-18</v>
      </c>
      <c r="G149" s="16">
        <f>IFERROR(__xludf.DUMMYFUNCTION("IMPORTRANGE(""https://docs.google.com/spreadsheets/d/""&amp;$A149&amp;""/edit#gid=156619080"",G$3)"),-1.41)</f>
        <v>-1.41</v>
      </c>
      <c r="H149" s="16">
        <f>IFERROR(__xludf.DUMMYFUNCTION("IMPORTRANGE(""https://docs.google.com/spreadsheets/d/""&amp;$A149&amp;""/edit#gid=156619080"",H$3)"),1270.0)</f>
        <v>1270</v>
      </c>
      <c r="I149" s="16">
        <f>IFERROR(__xludf.DUMMYFUNCTION("IMPORTRANGE(""https://docs.google.com/spreadsheets/d/""&amp;$A149&amp;""/edit#gid=156619080"",I$3)"),8.0)</f>
        <v>8</v>
      </c>
      <c r="J149" s="16">
        <f>IFERROR(__xludf.DUMMYFUNCTION("IMPORTRANGE(""https://docs.google.com/spreadsheets/d/""&amp;$A149&amp;""/edit#gid=156619080"",J$3)"),1277.0)</f>
        <v>1277</v>
      </c>
      <c r="K149" s="16">
        <f>IFERROR(__xludf.DUMMYFUNCTION("IMPORTRANGE(""https://docs.google.com/spreadsheets/d/""&amp;$A149&amp;""/edit#gid=156619080"",K$3)"),0.3798611111111111)</f>
        <v>0.3798611111</v>
      </c>
      <c r="L149" s="16">
        <f>IFERROR(__xludf.DUMMYFUNCTION("IMPORTRANGE(""https://docs.google.com/spreadsheets/d/""&amp;$A149&amp;""/edit#gid=156619080"",L$3)"),1257.0)</f>
        <v>1257</v>
      </c>
      <c r="M149" s="16">
        <f>IFERROR(__xludf.DUMMYFUNCTION("IMPORTRANGE(""https://docs.google.com/spreadsheets/d/""&amp;$A149&amp;""/edit#gid=156619080"",M$3)"),0.61875)</f>
        <v>0.61875</v>
      </c>
      <c r="N149" s="16">
        <f>IFERROR(__xludf.DUMMYFUNCTION("IMPORTRANGE(""https://docs.google.com/spreadsheets/d/""&amp;$A149&amp;""/edit#gid=156619080"",N$3)"),1260.0)</f>
        <v>1260</v>
      </c>
      <c r="O149" s="16" t="str">
        <f>IFERROR(__xludf.DUMMYFUNCTION("IMPORTRANGE(""https://docs.google.com/spreadsheets/d/""&amp;$A149&amp;""/edit#gid=156619080"",O$3)"),"2071500株")</f>
        <v>2071500株</v>
      </c>
      <c r="P149" s="16" t="str">
        <f>IFERROR(__xludf.DUMMYFUNCTION("IMPORTRANGE(""https://docs.google.com/spreadsheets/d/""&amp;$A149&amp;""/edit#gid=156619080"",P$3)"),"2623百万円")</f>
        <v>2623百万円</v>
      </c>
      <c r="Q149" s="16" t="str">
        <f>IFERROR(__xludf.DUMMYFUNCTION("IMPORTRANGE(""https://docs.google.com/spreadsheets/d/""&amp;$A149&amp;""/edit#gid=156619080"",Q$3)"),"2521回")</f>
        <v>2521回</v>
      </c>
      <c r="R149" s="16" t="str">
        <f>IFERROR(__xludf.DUMMYFUNCTION("IMPORTRANGE(""https://docs.google.com/spreadsheets/d/""&amp;$A149&amp;""/edit#gid=156619080"",R$3)"),"6661億円")</f>
        <v>6661億円</v>
      </c>
      <c r="S149" s="16" t="str">
        <f>IFERROR(__xludf.DUMMYFUNCTION("IMPORTRANGE(""https://docs.google.com/spreadsheets/d/""&amp;$A149&amp;""/edit#gid=156619080"",S$3)"),"陰線")</f>
        <v>陰線</v>
      </c>
      <c r="T149" s="16" t="str">
        <f>IFERROR(__xludf.DUMMYFUNCTION("IMPORTRANGE(""https://docs.google.com/spreadsheets/d/""&amp;$A149&amp;""/edit#gid=156619080"",T$3)"),"")</f>
        <v/>
      </c>
      <c r="U149" s="16">
        <f>IFERROR(__xludf.DUMMYFUNCTION("IMPORTRANGE(""https://docs.google.com/spreadsheets/d/""&amp;$A149&amp;""/edit#gid=156619080"",U$3)"),1285.2)</f>
        <v>1285.2</v>
      </c>
      <c r="V149" s="16">
        <f>IFERROR(__xludf.DUMMYFUNCTION("IMPORTRANGE(""https://docs.google.com/spreadsheets/d/""&amp;$A149&amp;""/edit#gid=156619080"",V$3)"),1354.7)</f>
        <v>1354.7</v>
      </c>
      <c r="W149" s="16">
        <f>IFERROR(__xludf.DUMMYFUNCTION("IMPORTRANGE(""https://docs.google.com/spreadsheets/d/""&amp;$A149&amp;""/edit#gid=156619080"",W$3)"),1378.8)</f>
        <v>1378.8</v>
      </c>
      <c r="X149" s="2">
        <f>IFERROR(__xludf.DUMMYFUNCTION("IMPORTRANGE(""https://docs.google.com/spreadsheets/d/""&amp;$A149&amp;""/edit#gid=156619080"",X$3)"),1428.9)</f>
        <v>1428.9</v>
      </c>
      <c r="Y149" s="17">
        <f>IFERROR(__xludf.DUMMYFUNCTION("IMPORTRANGE(""https://docs.google.com/spreadsheets/d/""&amp;$A149&amp;""/edit#gid=156619080"",Y$3)"),-0.019607843137254936)</f>
        <v>-0.01960784314</v>
      </c>
      <c r="Z149" s="2">
        <f>IFERROR(__xludf.DUMMYFUNCTION("IMPORTRANGE(""https://docs.google.com/spreadsheets/d/""&amp;$A149&amp;""/edit#gid=156619080"",Z$3)"),1506.11)</f>
        <v>1506.11</v>
      </c>
      <c r="AA149" s="2">
        <f>IFERROR(__xludf.DUMMYFUNCTION("IMPORTRANGE(""https://docs.google.com/spreadsheets/d/""&amp;$A149&amp;""/edit#gid=156619080"",AA$3)"),1490.19)</f>
        <v>1490.19</v>
      </c>
      <c r="AB149" s="2">
        <f>IFERROR(__xludf.DUMMYFUNCTION("IMPORTRANGE(""https://docs.google.com/spreadsheets/d/""&amp;$A149&amp;""/edit#gid=156619080"",AB$3)"),1474.28)</f>
        <v>1474.28</v>
      </c>
      <c r="AC149" s="18">
        <f>IFERROR(__xludf.DUMMYFUNCTION("IMPORTRANGE(""https://docs.google.com/spreadsheets/d/""&amp;$A149&amp;""/edit#gid=156619080"",AC$3)"),1458.37)</f>
        <v>1458.37</v>
      </c>
      <c r="AD149" s="18">
        <f>IFERROR(__xludf.DUMMYFUNCTION("IMPORTRANGE(""https://docs.google.com/spreadsheets/d/""&amp;$A149&amp;""/edit#gid=156619080"",AD$3)"),1442.45)</f>
        <v>1442.45</v>
      </c>
      <c r="AE149" s="18">
        <f>IFERROR(__xludf.DUMMYFUNCTION("IMPORTRANGE(""https://docs.google.com/spreadsheets/d/""&amp;$A149&amp;""/edit#gid=156619080"",AE$3)"),1378.8)</f>
        <v>1378.8</v>
      </c>
      <c r="AF149" s="2">
        <f>IFERROR(__xludf.DUMMYFUNCTION("IMPORTRANGE(""https://docs.google.com/spreadsheets/d/""&amp;$A149&amp;""/edit#gid=156619080"",AF$3)"),1315.15)</f>
        <v>1315.15</v>
      </c>
      <c r="AG149" s="2">
        <f>IFERROR(__xludf.DUMMYFUNCTION("IMPORTRANGE(""https://docs.google.com/spreadsheets/d/""&amp;$A149&amp;""/edit#gid=156619080"",AG$3)"),1299.23)</f>
        <v>1299.23</v>
      </c>
      <c r="AH149" s="2">
        <f>IFERROR(__xludf.DUMMYFUNCTION("IMPORTRANGE(""https://docs.google.com/spreadsheets/d/""&amp;$A149&amp;""/edit#gid=156619080"",AH$3)"),1283.32)</f>
        <v>1283.32</v>
      </c>
      <c r="AI149" s="2">
        <f>IFERROR(__xludf.DUMMYFUNCTION("IMPORTRANGE(""https://docs.google.com/spreadsheets/d/""&amp;$A149&amp;""/edit#gid=156619080"",AI$3)"),1267.41)</f>
        <v>1267.41</v>
      </c>
      <c r="AJ149" s="2">
        <f>IFERROR(__xludf.DUMMYFUNCTION("IMPORTRANGE(""https://docs.google.com/spreadsheets/d/""&amp;$A149&amp;""/edit#gid=156619080"",AJ$3)"),1251.49)</f>
        <v>1251.49</v>
      </c>
      <c r="AK149" s="2" t="str">
        <f>IFERROR(__xludf.DUMMYFUNCTION("IMPORTRANGE(""https://docs.google.com/spreadsheets/d/""&amp;$A149&amp;""/edit#gid=156619080"",AK$3)"),"-1.75σ〜-2σ")</f>
        <v>-1.75σ〜-2σ</v>
      </c>
      <c r="AL149" s="2">
        <f>IFERROR(__xludf.DUMMYFUNCTION("IMPORTRANGE(""https://docs.google.com/spreadsheets/d/""&amp;$A149&amp;""/edit#gid=156619080"",AL$3)"),-1.0)</f>
        <v>-1</v>
      </c>
      <c r="AM149" s="2" t="str">
        <f>IFERROR(__xludf.DUMMYFUNCTION("IMPORTRANGE(""https://docs.google.com/spreadsheets/d/""&amp;$A149&amp;""/edit#gid=156619080"",AM$3)"),"")</f>
        <v/>
      </c>
      <c r="AN149" s="2">
        <f>IFERROR(__xludf.DUMMYFUNCTION("IMPORTRANGE(""https://docs.google.com/spreadsheets/d/""&amp;$A149&amp;""/edit#gid=156619080"",AN$3)"),-1.0)</f>
        <v>-1</v>
      </c>
      <c r="AO149" s="2" t="str">
        <f>IFERROR(__xludf.DUMMYFUNCTION("IMPORTRANGE(""https://docs.google.com/spreadsheets/d/""&amp;$A149&amp;""/edit#gid=156619080"",AO$3)"),"")</f>
        <v/>
      </c>
      <c r="AP149" s="2">
        <f>IFERROR(__xludf.DUMMYFUNCTION("IMPORTRANGE(""https://docs.google.com/spreadsheets/d/""&amp;$A149&amp;""/edit#gid=156619080"",AP$3)"),-1.0)</f>
        <v>-1</v>
      </c>
      <c r="AQ149" s="2" t="str">
        <f>IFERROR(__xludf.DUMMYFUNCTION("IMPORTRANGE(""https://docs.google.com/spreadsheets/d/""&amp;$A149&amp;""/edit#gid=156619080"",AQ$3)"),"")</f>
        <v/>
      </c>
      <c r="AR149" s="18">
        <f>IFERROR(__xludf.DUMMYFUNCTION("IMPORTRANGE(""https://docs.google.com/spreadsheets/d/""&amp;$A149&amp;""/edit#gid=156619080"",AR$3)"),-89.99999999999999)</f>
        <v>-90</v>
      </c>
      <c r="AS149" s="19" t="str">
        <f>IFERROR(__xludf.DUMMYFUNCTION("IMPORTRANGE(""https://docs.google.com/spreadsheets/d/""&amp;$A149&amp;""/edit#gid=156619080"",AS$3)"),"-100
-90
-90
-90
")</f>
        <v>-100
-90
-90
-90
</v>
      </c>
      <c r="AT149" s="18">
        <f>IFERROR(__xludf.DUMMYFUNCTION("IMPORTRANGE(""https://docs.google.com/spreadsheets/d/""&amp;$A149&amp;""/edit#gid=156619080"",AT$3)"),-92.3076923076923)</f>
        <v>-92.30769231</v>
      </c>
      <c r="AU149" s="3" t="str">
        <f>IFERROR(__xludf.DUMMYFUNCTION("IMPORTRANGE(""https://docs.google.com/spreadsheets/d/""&amp;$A149&amp;""/edit#gid=156619080"",AU$3)"),"-45.05
-58.79
-73.08
-84.07
")</f>
        <v>-45.05
-58.79
-73.08
-84.07
</v>
      </c>
      <c r="AV149" s="18">
        <f>IFERROR(__xludf.DUMMYFUNCTION("IMPORTRANGE(""https://docs.google.com/spreadsheets/d/""&amp;$A149&amp;""/edit#gid=156619080"",AV$3)"),-73.11688311688312)</f>
        <v>-73.11688312</v>
      </c>
      <c r="AW149" s="19" t="str">
        <f>IFERROR(__xludf.DUMMYFUNCTION("IMPORTRANGE(""https://docs.google.com/spreadsheets/d/""&amp;$A149&amp;""/edit#gid=156619080"",AW$3)"),"-53.73
-63.51
-67.92
-71.69
")</f>
        <v>-53.73
-63.51
-67.92
-71.69
</v>
      </c>
      <c r="AX149" s="2">
        <f>IFERROR(__xludf.DUMMYFUNCTION("IMPORTRANGE(""https://docs.google.com/spreadsheets/d/""&amp;$A149&amp;""/edit#gid=156619080"",AX$3)"),1.72)</f>
        <v>1.72</v>
      </c>
      <c r="AY149" s="2">
        <f>IFERROR(__xludf.DUMMYFUNCTION("IMPORTRANGE(""https://docs.google.com/spreadsheets/d/""&amp;$A149&amp;""/edit#gid=156619080"",AY$3)"),24.060000000000002)</f>
        <v>24.06</v>
      </c>
      <c r="AZ149" s="2">
        <f>IFERROR(__xludf.DUMMYFUNCTION("IMPORTRANGE(""https://docs.google.com/spreadsheets/d/""&amp;$A149&amp;""/edit#gid=156619080"",AZ$3)"),1288.39)</f>
        <v>1288.39</v>
      </c>
      <c r="BA149" s="2">
        <f>IFERROR(__xludf.DUMMYFUNCTION("IMPORTRANGE(""https://docs.google.com/spreadsheets/d/""&amp;$A149&amp;""/edit#gid=156619080"",BA$3)"),-72.20999999999981)</f>
        <v>-72.21</v>
      </c>
      <c r="BB149" s="2">
        <f>IFERROR(__xludf.DUMMYFUNCTION("IMPORTRANGE(""https://docs.google.com/spreadsheets/d/""&amp;$A149&amp;""/edit#gid=156619080"",BB$3)"),-44.03)</f>
        <v>-44.03</v>
      </c>
      <c r="BC149" s="2" t="str">
        <f>IFERROR(__xludf.DUMMYFUNCTION("IMPORTRANGE(""https://docs.google.com/spreadsheets/d/""&amp;$A149&amp;""/edit#gid=156619080"",BC$3)"),"DC→DC")</f>
        <v>DC→DC</v>
      </c>
    </row>
    <row r="150" ht="51.0" customHeight="1">
      <c r="A150" s="7" t="str">
        <f t="shared" si="5"/>
        <v>1fzaO88RhblN5L22wfIXhIK53jmiIoaPlpTFz14yp3fs</v>
      </c>
      <c r="B150" s="1" t="s">
        <v>177</v>
      </c>
      <c r="C150" s="2">
        <f>IFERROR(__xludf.DUMMYFUNCTION("IMPORTRANGE(""https://docs.google.com/spreadsheets/d/""&amp;$A150&amp;""/edit#gid=156619080"",C$3)"),132.0)</f>
        <v>132</v>
      </c>
      <c r="D150" s="2">
        <f>IFERROR(__xludf.DUMMYFUNCTION("IMPORTRANGE(""https://docs.google.com/spreadsheets/d/""&amp;$A150&amp;""/edit#gid=156619080"",D$3)"),1925.0)</f>
        <v>1925</v>
      </c>
      <c r="E150" s="15">
        <f>IFERROR(__xludf.DUMMYFUNCTION("IMPORTRANGE(""https://docs.google.com/spreadsheets/d/""&amp;$A150&amp;""/edit#gid=156619080"",E$3)"),43882.0)</f>
        <v>43882</v>
      </c>
      <c r="F150" s="2">
        <f>IFERROR(__xludf.DUMMYFUNCTION("IMPORTRANGE(""https://docs.google.com/spreadsheets/d/""&amp;$A150&amp;""/edit#gid=156619080"",F$3)"),37.0)</f>
        <v>37</v>
      </c>
      <c r="G150" s="16">
        <f>IFERROR(__xludf.DUMMYFUNCTION("IMPORTRANGE(""https://docs.google.com/spreadsheets/d/""&amp;$A150&amp;""/edit#gid=156619080"",G$3)"),1.12)</f>
        <v>1.12</v>
      </c>
      <c r="H150" s="16">
        <f>IFERROR(__xludf.DUMMYFUNCTION("IMPORTRANGE(""https://docs.google.com/spreadsheets/d/""&amp;$A150&amp;""/edit#gid=156619080"",H$3)"),3300.0)</f>
        <v>3300</v>
      </c>
      <c r="I150" s="16">
        <f>IFERROR(__xludf.DUMMYFUNCTION("IMPORTRANGE(""https://docs.google.com/spreadsheets/d/""&amp;$A150&amp;""/edit#gid=156619080"",I$3)"),0.0)</f>
        <v>0</v>
      </c>
      <c r="J150" s="16">
        <f>IFERROR(__xludf.DUMMYFUNCTION("IMPORTRANGE(""https://docs.google.com/spreadsheets/d/""&amp;$A150&amp;""/edit#gid=156619080"",J$3)"),3357.0)</f>
        <v>3357</v>
      </c>
      <c r="K150" s="16">
        <f>IFERROR(__xludf.DUMMYFUNCTION("IMPORTRANGE(""https://docs.google.com/spreadsheets/d/""&amp;$A150&amp;""/edit#gid=156619080"",K$3)"),0.4270833333333333)</f>
        <v>0.4270833333</v>
      </c>
      <c r="L150" s="16">
        <f>IFERROR(__xludf.DUMMYFUNCTION("IMPORTRANGE(""https://docs.google.com/spreadsheets/d/""&amp;$A150&amp;""/edit#gid=156619080"",L$3)"),3300.0)</f>
        <v>3300</v>
      </c>
      <c r="M150" s="16">
        <f>IFERROR(__xludf.DUMMYFUNCTION("IMPORTRANGE(""https://docs.google.com/spreadsheets/d/""&amp;$A150&amp;""/edit#gid=156619080"",M$3)"),0.375)</f>
        <v>0.375</v>
      </c>
      <c r="N150" s="16">
        <f>IFERROR(__xludf.DUMMYFUNCTION("IMPORTRANGE(""https://docs.google.com/spreadsheets/d/""&amp;$A150&amp;""/edit#gid=156619080"",N$3)"),3337.0)</f>
        <v>3337</v>
      </c>
      <c r="O150" s="16" t="str">
        <f>IFERROR(__xludf.DUMMYFUNCTION("IMPORTRANGE(""https://docs.google.com/spreadsheets/d/""&amp;$A150&amp;""/edit#gid=156619080"",O$3)"),"1507900株")</f>
        <v>1507900株</v>
      </c>
      <c r="P150" s="16" t="str">
        <f>IFERROR(__xludf.DUMMYFUNCTION("IMPORTRANGE(""https://docs.google.com/spreadsheets/d/""&amp;$A150&amp;""/edit#gid=156619080"",P$3)"),"5030百万円")</f>
        <v>5030百万円</v>
      </c>
      <c r="Q150" s="16" t="str">
        <f>IFERROR(__xludf.DUMMYFUNCTION("IMPORTRANGE(""https://docs.google.com/spreadsheets/d/""&amp;$A150&amp;""/edit#gid=156619080"",Q$3)"),"3573回")</f>
        <v>3573回</v>
      </c>
      <c r="R150" s="16" t="str">
        <f>IFERROR(__xludf.DUMMYFUNCTION("IMPORTRANGE(""https://docs.google.com/spreadsheets/d/""&amp;$A150&amp;""/edit#gid=156619080"",R$3)"),"22232億円")</f>
        <v>22232億円</v>
      </c>
      <c r="S150" s="16" t="str">
        <f>IFERROR(__xludf.DUMMYFUNCTION("IMPORTRANGE(""https://docs.google.com/spreadsheets/d/""&amp;$A150&amp;""/edit#gid=156619080"",S$3)"),"陽線")</f>
        <v>陽線</v>
      </c>
      <c r="T150" s="16" t="str">
        <f>IFERROR(__xludf.DUMMYFUNCTION("IMPORTRANGE(""https://docs.google.com/spreadsheets/d/""&amp;$A150&amp;""/edit#gid=156619080"",T$3)"),"")</f>
        <v/>
      </c>
      <c r="U150" s="16">
        <f>IFERROR(__xludf.DUMMYFUNCTION("IMPORTRANGE(""https://docs.google.com/spreadsheets/d/""&amp;$A150&amp;""/edit#gid=156619080"",U$3)"),3331.8)</f>
        <v>3331.8</v>
      </c>
      <c r="V150" s="16">
        <f>IFERROR(__xludf.DUMMYFUNCTION("IMPORTRANGE(""https://docs.google.com/spreadsheets/d/""&amp;$A150&amp;""/edit#gid=156619080"",V$3)"),3452.2)</f>
        <v>3452.2</v>
      </c>
      <c r="W150" s="16">
        <f>IFERROR(__xludf.DUMMYFUNCTION("IMPORTRANGE(""https://docs.google.com/spreadsheets/d/""&amp;$A150&amp;""/edit#gid=156619080"",W$3)"),3462.3)</f>
        <v>3462.3</v>
      </c>
      <c r="X150" s="2">
        <f>IFERROR(__xludf.DUMMYFUNCTION("IMPORTRANGE(""https://docs.google.com/spreadsheets/d/""&amp;$A150&amp;""/edit#gid=156619080"",X$3)"),3459.6)</f>
        <v>3459.6</v>
      </c>
      <c r="Y150" s="17">
        <f>IFERROR(__xludf.DUMMYFUNCTION("IMPORTRANGE(""https://docs.google.com/spreadsheets/d/""&amp;$A150&amp;""/edit#gid=156619080"",Y$3)"),0.0015607179302478593)</f>
        <v>0.00156071793</v>
      </c>
      <c r="Z150" s="2">
        <f>IFERROR(__xludf.DUMMYFUNCTION("IMPORTRANGE(""https://docs.google.com/spreadsheets/d/""&amp;$A150&amp;""/edit#gid=156619080"",Z$3)"),3658.76)</f>
        <v>3658.76</v>
      </c>
      <c r="AA150" s="2">
        <f>IFERROR(__xludf.DUMMYFUNCTION("IMPORTRANGE(""https://docs.google.com/spreadsheets/d/""&amp;$A150&amp;""/edit#gid=156619080"",AA$3)"),3634.2)</f>
        <v>3634.2</v>
      </c>
      <c r="AB150" s="2">
        <f>IFERROR(__xludf.DUMMYFUNCTION("IMPORTRANGE(""https://docs.google.com/spreadsheets/d/""&amp;$A150&amp;""/edit#gid=156619080"",AB$3)"),3609.64)</f>
        <v>3609.64</v>
      </c>
      <c r="AC150" s="18">
        <f>IFERROR(__xludf.DUMMYFUNCTION("IMPORTRANGE(""https://docs.google.com/spreadsheets/d/""&amp;$A150&amp;""/edit#gid=156619080"",AC$3)"),3585.09)</f>
        <v>3585.09</v>
      </c>
      <c r="AD150" s="18">
        <f>IFERROR(__xludf.DUMMYFUNCTION("IMPORTRANGE(""https://docs.google.com/spreadsheets/d/""&amp;$A150&amp;""/edit#gid=156619080"",AD$3)"),3560.53)</f>
        <v>3560.53</v>
      </c>
      <c r="AE150" s="18">
        <f>IFERROR(__xludf.DUMMYFUNCTION("IMPORTRANGE(""https://docs.google.com/spreadsheets/d/""&amp;$A150&amp;""/edit#gid=156619080"",AE$3)"),3462.3)</f>
        <v>3462.3</v>
      </c>
      <c r="AF150" s="2">
        <f>IFERROR(__xludf.DUMMYFUNCTION("IMPORTRANGE(""https://docs.google.com/spreadsheets/d/""&amp;$A150&amp;""/edit#gid=156619080"",AF$3)"),3364.07)</f>
        <v>3364.07</v>
      </c>
      <c r="AG150" s="2">
        <f>IFERROR(__xludf.DUMMYFUNCTION("IMPORTRANGE(""https://docs.google.com/spreadsheets/d/""&amp;$A150&amp;""/edit#gid=156619080"",AG$3)"),3339.51)</f>
        <v>3339.51</v>
      </c>
      <c r="AH150" s="2">
        <f>IFERROR(__xludf.DUMMYFUNCTION("IMPORTRANGE(""https://docs.google.com/spreadsheets/d/""&amp;$A150&amp;""/edit#gid=156619080"",AH$3)"),3314.96)</f>
        <v>3314.96</v>
      </c>
      <c r="AI150" s="2">
        <f>IFERROR(__xludf.DUMMYFUNCTION("IMPORTRANGE(""https://docs.google.com/spreadsheets/d/""&amp;$A150&amp;""/edit#gid=156619080"",AI$3)"),3290.4)</f>
        <v>3290.4</v>
      </c>
      <c r="AJ150" s="2">
        <f>IFERROR(__xludf.DUMMYFUNCTION("IMPORTRANGE(""https://docs.google.com/spreadsheets/d/""&amp;$A150&amp;""/edit#gid=156619080"",AJ$3)"),3265.84)</f>
        <v>3265.84</v>
      </c>
      <c r="AK150" s="2" t="str">
        <f>IFERROR(__xludf.DUMMYFUNCTION("IMPORTRANGE(""https://docs.google.com/spreadsheets/d/""&amp;$A150&amp;""/edit#gid=156619080"",AK$3)"),"-1.25σ〜-1.5σ")</f>
        <v>-1.25σ〜-1.5σ</v>
      </c>
      <c r="AL150" s="2">
        <f>IFERROR(__xludf.DUMMYFUNCTION("IMPORTRANGE(""https://docs.google.com/spreadsheets/d/""&amp;$A150&amp;""/edit#gid=156619080"",AL$3)"),-1.0)</f>
        <v>-1</v>
      </c>
      <c r="AM150" s="2" t="str">
        <f>IFERROR(__xludf.DUMMYFUNCTION("IMPORTRANGE(""https://docs.google.com/spreadsheets/d/""&amp;$A150&amp;""/edit#gid=156619080"",AM$3)"),"")</f>
        <v/>
      </c>
      <c r="AN150" s="2">
        <f>IFERROR(__xludf.DUMMYFUNCTION("IMPORTRANGE(""https://docs.google.com/spreadsheets/d/""&amp;$A150&amp;""/edit#gid=156619080"",AN$3)"),-1.0)</f>
        <v>-1</v>
      </c>
      <c r="AO150" s="2" t="str">
        <f>IFERROR(__xludf.DUMMYFUNCTION("IMPORTRANGE(""https://docs.google.com/spreadsheets/d/""&amp;$A150&amp;""/edit#gid=156619080"",AO$3)"),"")</f>
        <v/>
      </c>
      <c r="AP150" s="2">
        <f>IFERROR(__xludf.DUMMYFUNCTION("IMPORTRANGE(""https://docs.google.com/spreadsheets/d/""&amp;$A150&amp;""/edit#gid=156619080"",AP$3)"),-1.0)</f>
        <v>-1</v>
      </c>
      <c r="AQ150" s="2" t="str">
        <f>IFERROR(__xludf.DUMMYFUNCTION("IMPORTRANGE(""https://docs.google.com/spreadsheets/d/""&amp;$A150&amp;""/edit#gid=156619080"",AQ$3)"),"")</f>
        <v/>
      </c>
      <c r="AR150" s="18">
        <f>IFERROR(__xludf.DUMMYFUNCTION("IMPORTRANGE(""https://docs.google.com/spreadsheets/d/""&amp;$A150&amp;""/edit#gid=156619080"",AR$3)"),-60.00000000000001)</f>
        <v>-60</v>
      </c>
      <c r="AS150" s="19" t="str">
        <f>IFERROR(__xludf.DUMMYFUNCTION("IMPORTRANGE(""https://docs.google.com/spreadsheets/d/""&amp;$A150&amp;""/edit#gid=156619080"",AS$3)"),"-80
-60
-70
-60
")</f>
        <v>-80
-60
-70
-60
</v>
      </c>
      <c r="AT150" s="18">
        <f>IFERROR(__xludf.DUMMYFUNCTION("IMPORTRANGE(""https://docs.google.com/spreadsheets/d/""&amp;$A150&amp;""/edit#gid=156619080"",AT$3)"),-75.27472527472527)</f>
        <v>-75.27472527</v>
      </c>
      <c r="AU150" s="3" t="str">
        <f>IFERROR(__xludf.DUMMYFUNCTION("IMPORTRANGE(""https://docs.google.com/spreadsheets/d/""&amp;$A150&amp;""/edit#gid=156619080"",AU$3)"),"4.95
-20.88
-45.6
-64.29
")</f>
        <v>4.95
-20.88
-45.6
-64.29
</v>
      </c>
      <c r="AV150" s="18">
        <f>IFERROR(__xludf.DUMMYFUNCTION("IMPORTRANGE(""https://docs.google.com/spreadsheets/d/""&amp;$A150&amp;""/edit#gid=156619080"",AV$3)"),-45.06493506493507)</f>
        <v>-45.06493506</v>
      </c>
      <c r="AW150" s="19" t="str">
        <f>IFERROR(__xludf.DUMMYFUNCTION("IMPORTRANGE(""https://docs.google.com/spreadsheets/d/""&amp;$A150&amp;""/edit#gid=156619080"",AW$3)"),"-5.03
-20.39
-30.26
-41.43
")</f>
        <v>-5.03
-20.39
-30.26
-41.43
</v>
      </c>
      <c r="AX150" s="2">
        <f>IFERROR(__xludf.DUMMYFUNCTION("IMPORTRANGE(""https://docs.google.com/spreadsheets/d/""&amp;$A150&amp;""/edit#gid=156619080"",AX$3)"),50.51)</f>
        <v>50.51</v>
      </c>
      <c r="AY150" s="2">
        <f>IFERROR(__xludf.DUMMYFUNCTION("IMPORTRANGE(""https://docs.google.com/spreadsheets/d/""&amp;$A150&amp;""/edit#gid=156619080"",AY$3)"),39.98)</f>
        <v>39.98</v>
      </c>
      <c r="AZ150" s="2">
        <f>IFERROR(__xludf.DUMMYFUNCTION("IMPORTRANGE(""https://docs.google.com/spreadsheets/d/""&amp;$A150&amp;""/edit#gid=156619080"",AZ$3)"),3342.18)</f>
        <v>3342.18</v>
      </c>
      <c r="BA150" s="2">
        <f>IFERROR(__xludf.DUMMYFUNCTION("IMPORTRANGE(""https://docs.google.com/spreadsheets/d/""&amp;$A150&amp;""/edit#gid=156619080"",BA$3)"),-87.75)</f>
        <v>-87.75</v>
      </c>
      <c r="BB150" s="2">
        <f>IFERROR(__xludf.DUMMYFUNCTION("IMPORTRANGE(""https://docs.google.com/spreadsheets/d/""&amp;$A150&amp;""/edit#gid=156619080"",BB$3)"),-27.63)</f>
        <v>-27.63</v>
      </c>
      <c r="BC150" s="2" t="str">
        <f>IFERROR(__xludf.DUMMYFUNCTION("IMPORTRANGE(""https://docs.google.com/spreadsheets/d/""&amp;$A150&amp;""/edit#gid=156619080"",BC$3)"),"DC→DC")</f>
        <v>DC→DC</v>
      </c>
    </row>
    <row r="151" ht="51.0" customHeight="1">
      <c r="A151" s="7" t="str">
        <f t="shared" si="5"/>
        <v>11CPVazKYItzWk5TR8gaHLXg_E-LgEiGmHr4AZX-Yt1o</v>
      </c>
      <c r="B151" s="1" t="s">
        <v>178</v>
      </c>
      <c r="C151" s="2">
        <f>IFERROR(__xludf.DUMMYFUNCTION("IMPORTRANGE(""https://docs.google.com/spreadsheets/d/""&amp;$A151&amp;""/edit#gid=156619080"",C$3)"),132.0)</f>
        <v>132</v>
      </c>
      <c r="D151" s="2">
        <f>IFERROR(__xludf.DUMMYFUNCTION("IMPORTRANGE(""https://docs.google.com/spreadsheets/d/""&amp;$A151&amp;""/edit#gid=156619080"",D$3)"),1928.0)</f>
        <v>1928</v>
      </c>
      <c r="E151" s="15">
        <f>IFERROR(__xludf.DUMMYFUNCTION("IMPORTRANGE(""https://docs.google.com/spreadsheets/d/""&amp;$A151&amp;""/edit#gid=156619080"",E$3)"),43882.0)</f>
        <v>43882</v>
      </c>
      <c r="F151" s="2">
        <f>IFERROR(__xludf.DUMMYFUNCTION("IMPORTRANGE(""https://docs.google.com/spreadsheets/d/""&amp;$A151&amp;""/edit#gid=156619080"",F$3)"),25.5)</f>
        <v>25.5</v>
      </c>
      <c r="G151" s="16">
        <f>IFERROR(__xludf.DUMMYFUNCTION("IMPORTRANGE(""https://docs.google.com/spreadsheets/d/""&amp;$A151&amp;""/edit#gid=156619080"",G$3)"),1.1)</f>
        <v>1.1</v>
      </c>
      <c r="H151" s="16">
        <f>IFERROR(__xludf.DUMMYFUNCTION("IMPORTRANGE(""https://docs.google.com/spreadsheets/d/""&amp;$A151&amp;""/edit#gid=156619080"",H$3)"),2314.5)</f>
        <v>2314.5</v>
      </c>
      <c r="I151" s="16">
        <f>IFERROR(__xludf.DUMMYFUNCTION("IMPORTRANGE(""https://docs.google.com/spreadsheets/d/""&amp;$A151&amp;""/edit#gid=156619080"",I$3)"),3.0)</f>
        <v>3</v>
      </c>
      <c r="J151" s="16">
        <f>IFERROR(__xludf.DUMMYFUNCTION("IMPORTRANGE(""https://docs.google.com/spreadsheets/d/""&amp;$A151&amp;""/edit#gid=156619080"",J$3)"),2356.5)</f>
        <v>2356.5</v>
      </c>
      <c r="K151" s="16">
        <f>IFERROR(__xludf.DUMMYFUNCTION("IMPORTRANGE(""https://docs.google.com/spreadsheets/d/""&amp;$A151&amp;""/edit#gid=156619080"",K$3)"),0.5208333333333334)</f>
        <v>0.5208333333</v>
      </c>
      <c r="L151" s="16">
        <f>IFERROR(__xludf.DUMMYFUNCTION("IMPORTRANGE(""https://docs.google.com/spreadsheets/d/""&amp;$A151&amp;""/edit#gid=156619080"",L$3)"),2305.0)</f>
        <v>2305</v>
      </c>
      <c r="M151" s="16">
        <f>IFERROR(__xludf.DUMMYFUNCTION("IMPORTRANGE(""https://docs.google.com/spreadsheets/d/""&amp;$A151&amp;""/edit#gid=156619080"",M$3)"),0.375)</f>
        <v>0.375</v>
      </c>
      <c r="N151" s="16">
        <f>IFERROR(__xludf.DUMMYFUNCTION("IMPORTRANGE(""https://docs.google.com/spreadsheets/d/""&amp;$A151&amp;""/edit#gid=156619080"",N$3)"),2343.0)</f>
        <v>2343</v>
      </c>
      <c r="O151" s="16" t="str">
        <f>IFERROR(__xludf.DUMMYFUNCTION("IMPORTRANGE(""https://docs.google.com/spreadsheets/d/""&amp;$A151&amp;""/edit#gid=156619080"",O$3)"),"2291400株")</f>
        <v>2291400株</v>
      </c>
      <c r="P151" s="16" t="str">
        <f>IFERROR(__xludf.DUMMYFUNCTION("IMPORTRANGE(""https://docs.google.com/spreadsheets/d/""&amp;$A151&amp;""/edit#gid=156619080"",P$3)"),"5365百万円")</f>
        <v>5365百万円</v>
      </c>
      <c r="Q151" s="16" t="str">
        <f>IFERROR(__xludf.DUMMYFUNCTION("IMPORTRANGE(""https://docs.google.com/spreadsheets/d/""&amp;$A151&amp;""/edit#gid=156619080"",Q$3)"),"3592回")</f>
        <v>3592回</v>
      </c>
      <c r="R151" s="16" t="str">
        <f>IFERROR(__xludf.DUMMYFUNCTION("IMPORTRANGE(""https://docs.google.com/spreadsheets/d/""&amp;$A151&amp;""/edit#gid=156619080"",R$3)"),"16183億円")</f>
        <v>16183億円</v>
      </c>
      <c r="S151" s="16" t="str">
        <f>IFERROR(__xludf.DUMMYFUNCTION("IMPORTRANGE(""https://docs.google.com/spreadsheets/d/""&amp;$A151&amp;""/edit#gid=156619080"",S$3)"),"陽線")</f>
        <v>陽線</v>
      </c>
      <c r="T151" s="16" t="str">
        <f>IFERROR(__xludf.DUMMYFUNCTION("IMPORTRANGE(""https://docs.google.com/spreadsheets/d/""&amp;$A151&amp;""/edit#gid=156619080"",T$3)"),"")</f>
        <v/>
      </c>
      <c r="U151" s="16">
        <f>IFERROR(__xludf.DUMMYFUNCTION("IMPORTRANGE(""https://docs.google.com/spreadsheets/d/""&amp;$A151&amp;""/edit#gid=156619080"",U$3)"),2348.8)</f>
        <v>2348.8</v>
      </c>
      <c r="V151" s="16">
        <f>IFERROR(__xludf.DUMMYFUNCTION("IMPORTRANGE(""https://docs.google.com/spreadsheets/d/""&amp;$A151&amp;""/edit#gid=156619080"",V$3)"),2392.3)</f>
        <v>2392.3</v>
      </c>
      <c r="W151" s="16">
        <f>IFERROR(__xludf.DUMMYFUNCTION("IMPORTRANGE(""https://docs.google.com/spreadsheets/d/""&amp;$A151&amp;""/edit#gid=156619080"",W$3)"),2396.4)</f>
        <v>2396.4</v>
      </c>
      <c r="X151" s="2">
        <f>IFERROR(__xludf.DUMMYFUNCTION("IMPORTRANGE(""https://docs.google.com/spreadsheets/d/""&amp;$A151&amp;""/edit#gid=156619080"",X$3)"),2306.7)</f>
        <v>2306.7</v>
      </c>
      <c r="Y151" s="17">
        <f>IFERROR(__xludf.DUMMYFUNCTION("IMPORTRANGE(""https://docs.google.com/spreadsheets/d/""&amp;$A151&amp;""/edit#gid=156619080"",Y$3)"),-0.0024693460490463988)</f>
        <v>-0.002469346049</v>
      </c>
      <c r="Z151" s="2">
        <f>IFERROR(__xludf.DUMMYFUNCTION("IMPORTRANGE(""https://docs.google.com/spreadsheets/d/""&amp;$A151&amp;""/edit#gid=156619080"",Z$3)"),2488.37)</f>
        <v>2488.37</v>
      </c>
      <c r="AA151" s="2">
        <f>IFERROR(__xludf.DUMMYFUNCTION("IMPORTRANGE(""https://docs.google.com/spreadsheets/d/""&amp;$A151&amp;""/edit#gid=156619080"",AA$3)"),2476.87)</f>
        <v>2476.87</v>
      </c>
      <c r="AB151" s="2">
        <f>IFERROR(__xludf.DUMMYFUNCTION("IMPORTRANGE(""https://docs.google.com/spreadsheets/d/""&amp;$A151&amp;""/edit#gid=156619080"",AB$3)"),2465.38)</f>
        <v>2465.38</v>
      </c>
      <c r="AC151" s="18">
        <f>IFERROR(__xludf.DUMMYFUNCTION("IMPORTRANGE(""https://docs.google.com/spreadsheets/d/""&amp;$A151&amp;""/edit#gid=156619080"",AC$3)"),2453.88)</f>
        <v>2453.88</v>
      </c>
      <c r="AD151" s="18">
        <f>IFERROR(__xludf.DUMMYFUNCTION("IMPORTRANGE(""https://docs.google.com/spreadsheets/d/""&amp;$A151&amp;""/edit#gid=156619080"",AD$3)"),2442.38)</f>
        <v>2442.38</v>
      </c>
      <c r="AE151" s="18">
        <f>IFERROR(__xludf.DUMMYFUNCTION("IMPORTRANGE(""https://docs.google.com/spreadsheets/d/""&amp;$A151&amp;""/edit#gid=156619080"",AE$3)"),2396.4)</f>
        <v>2396.4</v>
      </c>
      <c r="AF151" s="2">
        <f>IFERROR(__xludf.DUMMYFUNCTION("IMPORTRANGE(""https://docs.google.com/spreadsheets/d/""&amp;$A151&amp;""/edit#gid=156619080"",AF$3)"),2350.42)</f>
        <v>2350.42</v>
      </c>
      <c r="AG151" s="2">
        <f>IFERROR(__xludf.DUMMYFUNCTION("IMPORTRANGE(""https://docs.google.com/spreadsheets/d/""&amp;$A151&amp;""/edit#gid=156619080"",AG$3)"),2338.92)</f>
        <v>2338.92</v>
      </c>
      <c r="AH151" s="2">
        <f>IFERROR(__xludf.DUMMYFUNCTION("IMPORTRANGE(""https://docs.google.com/spreadsheets/d/""&amp;$A151&amp;""/edit#gid=156619080"",AH$3)"),2327.42)</f>
        <v>2327.42</v>
      </c>
      <c r="AI151" s="2">
        <f>IFERROR(__xludf.DUMMYFUNCTION("IMPORTRANGE(""https://docs.google.com/spreadsheets/d/""&amp;$A151&amp;""/edit#gid=156619080"",AI$3)"),2315.93)</f>
        <v>2315.93</v>
      </c>
      <c r="AJ151" s="2">
        <f>IFERROR(__xludf.DUMMYFUNCTION("IMPORTRANGE(""https://docs.google.com/spreadsheets/d/""&amp;$A151&amp;""/edit#gid=156619080"",AJ$3)"),2304.43)</f>
        <v>2304.43</v>
      </c>
      <c r="AK151" s="2" t="str">
        <f>IFERROR(__xludf.DUMMYFUNCTION("IMPORTRANGE(""https://docs.google.com/spreadsheets/d/""&amp;$A151&amp;""/edit#gid=156619080"",AK$3)"),"-1〜-1.25σ")</f>
        <v>-1〜-1.25σ</v>
      </c>
      <c r="AL151" s="2">
        <f>IFERROR(__xludf.DUMMYFUNCTION("IMPORTRANGE(""https://docs.google.com/spreadsheets/d/""&amp;$A151&amp;""/edit#gid=156619080"",AL$3)"),-1.0)</f>
        <v>-1</v>
      </c>
      <c r="AM151" s="2" t="str">
        <f>IFERROR(__xludf.DUMMYFUNCTION("IMPORTRANGE(""https://docs.google.com/spreadsheets/d/""&amp;$A151&amp;""/edit#gid=156619080"",AM$3)"),"")</f>
        <v/>
      </c>
      <c r="AN151" s="2">
        <f>IFERROR(__xludf.DUMMYFUNCTION("IMPORTRANGE(""https://docs.google.com/spreadsheets/d/""&amp;$A151&amp;""/edit#gid=156619080"",AN$3)"),-1.0)</f>
        <v>-1</v>
      </c>
      <c r="AO151" s="2" t="str">
        <f>IFERROR(__xludf.DUMMYFUNCTION("IMPORTRANGE(""https://docs.google.com/spreadsheets/d/""&amp;$A151&amp;""/edit#gid=156619080"",AO$3)"),"")</f>
        <v/>
      </c>
      <c r="AP151" s="2">
        <f>IFERROR(__xludf.DUMMYFUNCTION("IMPORTRANGE(""https://docs.google.com/spreadsheets/d/""&amp;$A151&amp;""/edit#gid=156619080"",AP$3)"),-1.0)</f>
        <v>-1</v>
      </c>
      <c r="AQ151" s="2" t="str">
        <f>IFERROR(__xludf.DUMMYFUNCTION("IMPORTRANGE(""https://docs.google.com/spreadsheets/d/""&amp;$A151&amp;""/edit#gid=156619080"",AQ$3)"),"")</f>
        <v/>
      </c>
      <c r="AR151" s="18">
        <f>IFERROR(__xludf.DUMMYFUNCTION("IMPORTRANGE(""https://docs.google.com/spreadsheets/d/""&amp;$A151&amp;""/edit#gid=156619080"",AR$3)"),-70.0)</f>
        <v>-70</v>
      </c>
      <c r="AS151" s="19" t="str">
        <f>IFERROR(__xludf.DUMMYFUNCTION("IMPORTRANGE(""https://docs.google.com/spreadsheets/d/""&amp;$A151&amp;""/edit#gid=156619080"",AS$3)"),"-52.5
-80
-90
-90
")</f>
        <v>-52.5
-80
-90
-90
</v>
      </c>
      <c r="AT151" s="18">
        <f>IFERROR(__xludf.DUMMYFUNCTION("IMPORTRANGE(""https://docs.google.com/spreadsheets/d/""&amp;$A151&amp;""/edit#gid=156619080"",AT$3)"),-56.730769230769226)</f>
        <v>-56.73076923</v>
      </c>
      <c r="AU151" s="3" t="str">
        <f>IFERROR(__xludf.DUMMYFUNCTION("IMPORTRANGE(""https://docs.google.com/spreadsheets/d/""&amp;$A151&amp;""/edit#gid=156619080"",AU$3)"),"57.69
38.87
-3.98
-33.65
")</f>
        <v>57.69
38.87
-3.98
-33.65
</v>
      </c>
      <c r="AV151" s="18">
        <f>IFERROR(__xludf.DUMMYFUNCTION("IMPORTRANGE(""https://docs.google.com/spreadsheets/d/""&amp;$A151&amp;""/edit#gid=156619080"",AV$3)"),-48.149350649350644)</f>
        <v>-48.14935065</v>
      </c>
      <c r="AW151" s="19" t="str">
        <f>IFERROR(__xludf.DUMMYFUNCTION("IMPORTRANGE(""https://docs.google.com/spreadsheets/d/""&amp;$A151&amp;""/edit#gid=156619080"",AW$3)"),"-16.33
-28.67
-39.45
-50.49
")</f>
        <v>-16.33
-28.67
-39.45
-50.49
</v>
      </c>
      <c r="AX151" s="2">
        <f>IFERROR(__xludf.DUMMYFUNCTION("IMPORTRANGE(""https://docs.google.com/spreadsheets/d/""&amp;$A151&amp;""/edit#gid=156619080"",AX$3)"),22.650000000000002)</f>
        <v>22.65</v>
      </c>
      <c r="AY151" s="2">
        <f>IFERROR(__xludf.DUMMYFUNCTION("IMPORTRANGE(""https://docs.google.com/spreadsheets/d/""&amp;$A151&amp;""/edit#gid=156619080"",AY$3)"),37.66)</f>
        <v>37.66</v>
      </c>
      <c r="AZ151" s="2">
        <f>IFERROR(__xludf.DUMMYFUNCTION("IMPORTRANGE(""https://docs.google.com/spreadsheets/d/""&amp;$A151&amp;""/edit#gid=156619080"",AZ$3)"),2350.63)</f>
        <v>2350.63</v>
      </c>
      <c r="BA151" s="2">
        <f>IFERROR(__xludf.DUMMYFUNCTION("IMPORTRANGE(""https://docs.google.com/spreadsheets/d/""&amp;$A151&amp;""/edit#gid=156619080"",BA$3)"),-33.9699999999998)</f>
        <v>-33.97</v>
      </c>
      <c r="BB151" s="2">
        <f>IFERROR(__xludf.DUMMYFUNCTION("IMPORTRANGE(""https://docs.google.com/spreadsheets/d/""&amp;$A151&amp;""/edit#gid=156619080"",BB$3)"),-5.96)</f>
        <v>-5.96</v>
      </c>
      <c r="BC151" s="2" t="str">
        <f>IFERROR(__xludf.DUMMYFUNCTION("IMPORTRANGE(""https://docs.google.com/spreadsheets/d/""&amp;$A151&amp;""/edit#gid=156619080"",BC$3)"),"DC→DC")</f>
        <v>DC→DC</v>
      </c>
    </row>
    <row r="152" ht="51.0" customHeight="1">
      <c r="A152" s="7" t="str">
        <f t="shared" si="5"/>
        <v>1RuYWVZwW2PFOp1V5V-WJ5lzIhA-bgXAYcIvq4ArxURY</v>
      </c>
      <c r="B152" s="1" t="s">
        <v>179</v>
      </c>
      <c r="C152" s="2">
        <f>IFERROR(__xludf.DUMMYFUNCTION("IMPORTRANGE(""https://docs.google.com/spreadsheets/d/""&amp;$A152&amp;""/edit#gid=156619080"",C$3)"),132.0)</f>
        <v>132</v>
      </c>
      <c r="D152" s="2">
        <f>IFERROR(__xludf.DUMMYFUNCTION("IMPORTRANGE(""https://docs.google.com/spreadsheets/d/""&amp;$A152&amp;""/edit#gid=156619080"",D$3)"),1963.0)</f>
        <v>1963</v>
      </c>
      <c r="E152" s="15">
        <f>IFERROR(__xludf.DUMMYFUNCTION("IMPORTRANGE(""https://docs.google.com/spreadsheets/d/""&amp;$A152&amp;""/edit#gid=156619080"",E$3)"),43882.0)</f>
        <v>43882</v>
      </c>
      <c r="F152" s="2">
        <f>IFERROR(__xludf.DUMMYFUNCTION("IMPORTRANGE(""https://docs.google.com/spreadsheets/d/""&amp;$A152&amp;""/edit#gid=156619080"",F$3)"),15.0)</f>
        <v>15</v>
      </c>
      <c r="G152" s="16">
        <f>IFERROR(__xludf.DUMMYFUNCTION("IMPORTRANGE(""https://docs.google.com/spreadsheets/d/""&amp;$A152&amp;""/edit#gid=156619080"",G$3)"),0.97)</f>
        <v>0.97</v>
      </c>
      <c r="H152" s="16">
        <f>IFERROR(__xludf.DUMMYFUNCTION("IMPORTRANGE(""https://docs.google.com/spreadsheets/d/""&amp;$A152&amp;""/edit#gid=156619080"",H$3)"),1541.0)</f>
        <v>1541</v>
      </c>
      <c r="I152" s="16">
        <f>IFERROR(__xludf.DUMMYFUNCTION("IMPORTRANGE(""https://docs.google.com/spreadsheets/d/""&amp;$A152&amp;""/edit#gid=156619080"",I$3)"),10.0)</f>
        <v>10</v>
      </c>
      <c r="J152" s="16">
        <f>IFERROR(__xludf.DUMMYFUNCTION("IMPORTRANGE(""https://docs.google.com/spreadsheets/d/""&amp;$A152&amp;""/edit#gid=156619080"",J$3)"),1584.0)</f>
        <v>1584</v>
      </c>
      <c r="K152" s="16">
        <f>IFERROR(__xludf.DUMMYFUNCTION("IMPORTRANGE(""https://docs.google.com/spreadsheets/d/""&amp;$A152&amp;""/edit#gid=156619080"",K$3)"),0.5520833333333334)</f>
        <v>0.5520833333</v>
      </c>
      <c r="L152" s="16">
        <f>IFERROR(__xludf.DUMMYFUNCTION("IMPORTRANGE(""https://docs.google.com/spreadsheets/d/""&amp;$A152&amp;""/edit#gid=156619080"",L$3)"),1530.0)</f>
        <v>1530</v>
      </c>
      <c r="M152" s="16">
        <f>IFERROR(__xludf.DUMMYFUNCTION("IMPORTRANGE(""https://docs.google.com/spreadsheets/d/""&amp;$A152&amp;""/edit#gid=156619080"",M$3)"),0.375)</f>
        <v>0.375</v>
      </c>
      <c r="N152" s="16">
        <f>IFERROR(__xludf.DUMMYFUNCTION("IMPORTRANGE(""https://docs.google.com/spreadsheets/d/""&amp;$A152&amp;""/edit#gid=156619080"",N$3)"),1566.0)</f>
        <v>1566</v>
      </c>
      <c r="O152" s="16" t="str">
        <f>IFERROR(__xludf.DUMMYFUNCTION("IMPORTRANGE(""https://docs.google.com/spreadsheets/d/""&amp;$A152&amp;""/edit#gid=156619080"",O$3)"),"1403100株")</f>
        <v>1403100株</v>
      </c>
      <c r="P152" s="16" t="str">
        <f>IFERROR(__xludf.DUMMYFUNCTION("IMPORTRANGE(""https://docs.google.com/spreadsheets/d/""&amp;$A152&amp;""/edit#gid=156619080"",P$3)"),"2196百万円")</f>
        <v>2196百万円</v>
      </c>
      <c r="Q152" s="16" t="str">
        <f>IFERROR(__xludf.DUMMYFUNCTION("IMPORTRANGE(""https://docs.google.com/spreadsheets/d/""&amp;$A152&amp;""/edit#gid=156619080"",Q$3)"),"2665回")</f>
        <v>2665回</v>
      </c>
      <c r="R152" s="16" t="str">
        <f>IFERROR(__xludf.DUMMYFUNCTION("IMPORTRANGE(""https://docs.google.com/spreadsheets/d/""&amp;$A152&amp;""/edit#gid=156619080"",R$3)"),"4058億円")</f>
        <v>4058億円</v>
      </c>
      <c r="S152" s="16" t="str">
        <f>IFERROR(__xludf.DUMMYFUNCTION("IMPORTRANGE(""https://docs.google.com/spreadsheets/d/""&amp;$A152&amp;""/edit#gid=156619080"",S$3)"),"陽線")</f>
        <v>陽線</v>
      </c>
      <c r="T152" s="16" t="str">
        <f>IFERROR(__xludf.DUMMYFUNCTION("IMPORTRANGE(""https://docs.google.com/spreadsheets/d/""&amp;$A152&amp;""/edit#gid=156619080"",T$3)"),"")</f>
        <v/>
      </c>
      <c r="U152" s="16">
        <f>IFERROR(__xludf.DUMMYFUNCTION("IMPORTRANGE(""https://docs.google.com/spreadsheets/d/""&amp;$A152&amp;""/edit#gid=156619080"",U$3)"),1554.2)</f>
        <v>1554.2</v>
      </c>
      <c r="V152" s="16">
        <f>IFERROR(__xludf.DUMMYFUNCTION("IMPORTRANGE(""https://docs.google.com/spreadsheets/d/""&amp;$A152&amp;""/edit#gid=156619080"",V$3)"),1548.9)</f>
        <v>1548.9</v>
      </c>
      <c r="W152" s="16">
        <f>IFERROR(__xludf.DUMMYFUNCTION("IMPORTRANGE(""https://docs.google.com/spreadsheets/d/""&amp;$A152&amp;""/edit#gid=156619080"",W$3)"),1574.5)</f>
        <v>1574.5</v>
      </c>
      <c r="X152" s="2">
        <f>IFERROR(__xludf.DUMMYFUNCTION("IMPORTRANGE(""https://docs.google.com/spreadsheets/d/""&amp;$A152&amp;""/edit#gid=156619080"",X$3)"),1584.6)</f>
        <v>1584.6</v>
      </c>
      <c r="Y152" s="17">
        <f>IFERROR(__xludf.DUMMYFUNCTION("IMPORTRANGE(""https://docs.google.com/spreadsheets/d/""&amp;$A152&amp;""/edit#gid=156619080"",Y$3)"),0.007592330459400305)</f>
        <v>0.007592330459</v>
      </c>
      <c r="Z152" s="2">
        <f>IFERROR(__xludf.DUMMYFUNCTION("IMPORTRANGE(""https://docs.google.com/spreadsheets/d/""&amp;$A152&amp;""/edit#gid=156619080"",Z$3)"),1657.24)</f>
        <v>1657.24</v>
      </c>
      <c r="AA152" s="2">
        <f>IFERROR(__xludf.DUMMYFUNCTION("IMPORTRANGE(""https://docs.google.com/spreadsheets/d/""&amp;$A152&amp;""/edit#gid=156619080"",AA$3)"),1646.89)</f>
        <v>1646.89</v>
      </c>
      <c r="AB152" s="2">
        <f>IFERROR(__xludf.DUMMYFUNCTION("IMPORTRANGE(""https://docs.google.com/spreadsheets/d/""&amp;$A152&amp;""/edit#gid=156619080"",AB$3)"),1636.55)</f>
        <v>1636.55</v>
      </c>
      <c r="AC152" s="18">
        <f>IFERROR(__xludf.DUMMYFUNCTION("IMPORTRANGE(""https://docs.google.com/spreadsheets/d/""&amp;$A152&amp;""/edit#gid=156619080"",AC$3)"),1626.21)</f>
        <v>1626.21</v>
      </c>
      <c r="AD152" s="18">
        <f>IFERROR(__xludf.DUMMYFUNCTION("IMPORTRANGE(""https://docs.google.com/spreadsheets/d/""&amp;$A152&amp;""/edit#gid=156619080"",AD$3)"),1615.87)</f>
        <v>1615.87</v>
      </c>
      <c r="AE152" s="18">
        <f>IFERROR(__xludf.DUMMYFUNCTION("IMPORTRANGE(""https://docs.google.com/spreadsheets/d/""&amp;$A152&amp;""/edit#gid=156619080"",AE$3)"),1574.5)</f>
        <v>1574.5</v>
      </c>
      <c r="AF152" s="2">
        <f>IFERROR(__xludf.DUMMYFUNCTION("IMPORTRANGE(""https://docs.google.com/spreadsheets/d/""&amp;$A152&amp;""/edit#gid=156619080"",AF$3)"),1533.13)</f>
        <v>1533.13</v>
      </c>
      <c r="AG152" s="2">
        <f>IFERROR(__xludf.DUMMYFUNCTION("IMPORTRANGE(""https://docs.google.com/spreadsheets/d/""&amp;$A152&amp;""/edit#gid=156619080"",AG$3)"),1522.79)</f>
        <v>1522.79</v>
      </c>
      <c r="AH152" s="2">
        <f>IFERROR(__xludf.DUMMYFUNCTION("IMPORTRANGE(""https://docs.google.com/spreadsheets/d/""&amp;$A152&amp;""/edit#gid=156619080"",AH$3)"),1512.45)</f>
        <v>1512.45</v>
      </c>
      <c r="AI152" s="2">
        <f>IFERROR(__xludf.DUMMYFUNCTION("IMPORTRANGE(""https://docs.google.com/spreadsheets/d/""&amp;$A152&amp;""/edit#gid=156619080"",AI$3)"),1502.11)</f>
        <v>1502.11</v>
      </c>
      <c r="AJ152" s="2">
        <f>IFERROR(__xludf.DUMMYFUNCTION("IMPORTRANGE(""https://docs.google.com/spreadsheets/d/""&amp;$A152&amp;""/edit#gid=156619080"",AJ$3)"),1491.76)</f>
        <v>1491.76</v>
      </c>
      <c r="AK152" s="2" t="str">
        <f>IFERROR(__xludf.DUMMYFUNCTION("IMPORTRANGE(""https://docs.google.com/spreadsheets/d/""&amp;$A152&amp;""/edit#gid=156619080"",AK$3)"),"")</f>
        <v/>
      </c>
      <c r="AL152" s="2">
        <f>IFERROR(__xludf.DUMMYFUNCTION("IMPORTRANGE(""https://docs.google.com/spreadsheets/d/""&amp;$A152&amp;""/edit#gid=156619080"",AL$3)"),1.0)</f>
        <v>1</v>
      </c>
      <c r="AM152" s="2" t="str">
        <f>IFERROR(__xludf.DUMMYFUNCTION("IMPORTRANGE(""https://docs.google.com/spreadsheets/d/""&amp;$A152&amp;""/edit#gid=156619080"",AM$3)"),"")</f>
        <v/>
      </c>
      <c r="AN152" s="2">
        <f>IFERROR(__xludf.DUMMYFUNCTION("IMPORTRANGE(""https://docs.google.com/spreadsheets/d/""&amp;$A152&amp;""/edit#gid=156619080"",AN$3)"),-1.0)</f>
        <v>-1</v>
      </c>
      <c r="AO152" s="2" t="str">
        <f>IFERROR(__xludf.DUMMYFUNCTION("IMPORTRANGE(""https://docs.google.com/spreadsheets/d/""&amp;$A152&amp;""/edit#gid=156619080"",AO$3)"),"")</f>
        <v/>
      </c>
      <c r="AP152" s="2">
        <f>IFERROR(__xludf.DUMMYFUNCTION("IMPORTRANGE(""https://docs.google.com/spreadsheets/d/""&amp;$A152&amp;""/edit#gid=156619080"",AP$3)"),-1.0)</f>
        <v>-1</v>
      </c>
      <c r="AQ152" s="2" t="str">
        <f>IFERROR(__xludf.DUMMYFUNCTION("IMPORTRANGE(""https://docs.google.com/spreadsheets/d/""&amp;$A152&amp;""/edit#gid=156619080"",AQ$3)"),"")</f>
        <v/>
      </c>
      <c r="AR152" s="18">
        <f>IFERROR(__xludf.DUMMYFUNCTION("IMPORTRANGE(""https://docs.google.com/spreadsheets/d/""&amp;$A152&amp;""/edit#gid=156619080"",AR$3)"),50.0)</f>
        <v>50</v>
      </c>
      <c r="AS152" s="19" t="str">
        <f>IFERROR(__xludf.DUMMYFUNCTION("IMPORTRANGE(""https://docs.google.com/spreadsheets/d/""&amp;$A152&amp;""/edit#gid=156619080"",AS$3)"),"57.5
50
30
-50
")</f>
        <v>57.5
50
30
-50
</v>
      </c>
      <c r="AT152" s="18">
        <f>IFERROR(__xludf.DUMMYFUNCTION("IMPORTRANGE(""https://docs.google.com/spreadsheets/d/""&amp;$A152&amp;""/edit#gid=156619080"",AT$3)"),35.57692307692307)</f>
        <v>35.57692308</v>
      </c>
      <c r="AU152" s="3" t="str">
        <f>IFERROR(__xludf.DUMMYFUNCTION("IMPORTRANGE(""https://docs.google.com/spreadsheets/d/""&amp;$A152&amp;""/edit#gid=156619080"",AU$3)"),"-44.09
-28.16
-2.34
26.79
")</f>
        <v>-44.09
-28.16
-2.34
26.79
</v>
      </c>
      <c r="AV152" s="18">
        <f>IFERROR(__xludf.DUMMYFUNCTION("IMPORTRANGE(""https://docs.google.com/spreadsheets/d/""&amp;$A152&amp;""/edit#gid=156619080"",AV$3)"),-58.733766233766225)</f>
        <v>-58.73376623</v>
      </c>
      <c r="AW152" s="19" t="str">
        <f>IFERROR(__xludf.DUMMYFUNCTION("IMPORTRANGE(""https://docs.google.com/spreadsheets/d/""&amp;$A152&amp;""/edit#gid=156619080"",AW$3)"),"-84.71
-81.72
-75.49
-68.6
")</f>
        <v>-84.71
-81.72
-75.49
-68.6
</v>
      </c>
      <c r="AX152" s="2">
        <f>IFERROR(__xludf.DUMMYFUNCTION("IMPORTRANGE(""https://docs.google.com/spreadsheets/d/""&amp;$A152&amp;""/edit#gid=156619080"",AX$3)"),36.36)</f>
        <v>36.36</v>
      </c>
      <c r="AY152" s="2">
        <f>IFERROR(__xludf.DUMMYFUNCTION("IMPORTRANGE(""https://docs.google.com/spreadsheets/d/""&amp;$A152&amp;""/edit#gid=156619080"",AY$3)"),39.33)</f>
        <v>39.33</v>
      </c>
      <c r="AZ152" s="2">
        <f>IFERROR(__xludf.DUMMYFUNCTION("IMPORTRANGE(""https://docs.google.com/spreadsheets/d/""&amp;$A152&amp;""/edit#gid=156619080"",AZ$3)"),1557.01)</f>
        <v>1557.01</v>
      </c>
      <c r="BA152" s="2">
        <f>IFERROR(__xludf.DUMMYFUNCTION("IMPORTRANGE(""https://docs.google.com/spreadsheets/d/""&amp;$A152&amp;""/edit#gid=156619080"",BA$3)"),-24.00999999999999)</f>
        <v>-24.01</v>
      </c>
      <c r="BB152" s="2">
        <f>IFERROR(__xludf.DUMMYFUNCTION("IMPORTRANGE(""https://docs.google.com/spreadsheets/d/""&amp;$A152&amp;""/edit#gid=156619080"",BB$3)"),-40.12)</f>
        <v>-40.12</v>
      </c>
      <c r="BC152" s="2" t="str">
        <f>IFERROR(__xludf.DUMMYFUNCTION("IMPORTRANGE(""https://docs.google.com/spreadsheets/d/""&amp;$A152&amp;""/edit#gid=156619080"",BC$3)"),"GC→GC")</f>
        <v>GC→GC</v>
      </c>
    </row>
    <row r="153" ht="51.0" customHeight="1">
      <c r="A153" s="7" t="str">
        <f t="shared" si="5"/>
        <v>1kMW_Z2C6if6TATK5PuUYLe0VmHep8i6-rPE_qlkAzaI</v>
      </c>
      <c r="B153" s="1" t="s">
        <v>180</v>
      </c>
      <c r="C153" s="2">
        <f>IFERROR(__xludf.DUMMYFUNCTION("IMPORTRANGE(""https://docs.google.com/spreadsheets/d/""&amp;$A153&amp;""/edit#gid=156619080"",C$3)"),132.0)</f>
        <v>132</v>
      </c>
      <c r="D153" s="2">
        <f>IFERROR(__xludf.DUMMYFUNCTION("IMPORTRANGE(""https://docs.google.com/spreadsheets/d/""&amp;$A153&amp;""/edit#gid=156619080"",D$3)"),2768.0)</f>
        <v>2768</v>
      </c>
      <c r="E153" s="15">
        <f>IFERROR(__xludf.DUMMYFUNCTION("IMPORTRANGE(""https://docs.google.com/spreadsheets/d/""&amp;$A153&amp;""/edit#gid=156619080"",E$3)"),43882.0)</f>
        <v>43882</v>
      </c>
      <c r="F153" s="2">
        <f>IFERROR(__xludf.DUMMYFUNCTION("IMPORTRANGE(""https://docs.google.com/spreadsheets/d/""&amp;$A153&amp;""/edit#gid=156619080"",F$3)"),0.0)</f>
        <v>0</v>
      </c>
      <c r="G153" s="16">
        <f>IFERROR(__xludf.DUMMYFUNCTION("IMPORTRANGE(""https://docs.google.com/spreadsheets/d/""&amp;$A153&amp;""/edit#gid=156619080"",G$3)"),0.0)</f>
        <v>0</v>
      </c>
      <c r="H153" s="16">
        <f>IFERROR(__xludf.DUMMYFUNCTION("IMPORTRANGE(""https://docs.google.com/spreadsheets/d/""&amp;$A153&amp;""/edit#gid=156619080"",H$3)"),342.0)</f>
        <v>342</v>
      </c>
      <c r="I153" s="16">
        <f>IFERROR(__xludf.DUMMYFUNCTION("IMPORTRANGE(""https://docs.google.com/spreadsheets/d/""&amp;$A153&amp;""/edit#gid=156619080"",I$3)"),0.0)</f>
        <v>0</v>
      </c>
      <c r="J153" s="16">
        <f>IFERROR(__xludf.DUMMYFUNCTION("IMPORTRANGE(""https://docs.google.com/spreadsheets/d/""&amp;$A153&amp;""/edit#gid=156619080"",J$3)"),345.0)</f>
        <v>345</v>
      </c>
      <c r="K153" s="16">
        <f>IFERROR(__xludf.DUMMYFUNCTION("IMPORTRANGE(""https://docs.google.com/spreadsheets/d/""&amp;$A153&amp;""/edit#gid=156619080"",K$3)"),0.3861111111111111)</f>
        <v>0.3861111111</v>
      </c>
      <c r="L153" s="16">
        <f>IFERROR(__xludf.DUMMYFUNCTION("IMPORTRANGE(""https://docs.google.com/spreadsheets/d/""&amp;$A153&amp;""/edit#gid=156619080"",L$3)"),341.0)</f>
        <v>341</v>
      </c>
      <c r="M153" s="16">
        <f>IFERROR(__xludf.DUMMYFUNCTION("IMPORTRANGE(""https://docs.google.com/spreadsheets/d/""&amp;$A153&amp;""/edit#gid=156619080"",M$3)"),0.6069444444444444)</f>
        <v>0.6069444444</v>
      </c>
      <c r="N153" s="16">
        <f>IFERROR(__xludf.DUMMYFUNCTION("IMPORTRANGE(""https://docs.google.com/spreadsheets/d/""&amp;$A153&amp;""/edit#gid=156619080"",N$3)"),342.0)</f>
        <v>342</v>
      </c>
      <c r="O153" s="16" t="str">
        <f>IFERROR(__xludf.DUMMYFUNCTION("IMPORTRANGE(""https://docs.google.com/spreadsheets/d/""&amp;$A153&amp;""/edit#gid=156619080"",O$3)"),"6291400株")</f>
        <v>6291400株</v>
      </c>
      <c r="P153" s="16" t="str">
        <f>IFERROR(__xludf.DUMMYFUNCTION("IMPORTRANGE(""https://docs.google.com/spreadsheets/d/""&amp;$A153&amp;""/edit#gid=156619080"",P$3)"),"2159百万円")</f>
        <v>2159百万円</v>
      </c>
      <c r="Q153" s="16" t="str">
        <f>IFERROR(__xludf.DUMMYFUNCTION("IMPORTRANGE(""https://docs.google.com/spreadsheets/d/""&amp;$A153&amp;""/edit#gid=156619080"",Q$3)"),"1288回")</f>
        <v>1288回</v>
      </c>
      <c r="R153" s="16" t="str">
        <f>IFERROR(__xludf.DUMMYFUNCTION("IMPORTRANGE(""https://docs.google.com/spreadsheets/d/""&amp;$A153&amp;""/edit#gid=156619080"",R$3)"),"4280億円")</f>
        <v>4280億円</v>
      </c>
      <c r="S153" s="16" t="str">
        <f>IFERROR(__xludf.DUMMYFUNCTION("IMPORTRANGE(""https://docs.google.com/spreadsheets/d/""&amp;$A153&amp;""/edit#gid=156619080"",S$3)"),"一本線")</f>
        <v>一本線</v>
      </c>
      <c r="T153" s="16" t="str">
        <f>IFERROR(__xludf.DUMMYFUNCTION("IMPORTRANGE(""https://docs.google.com/spreadsheets/d/""&amp;$A153&amp;""/edit#gid=156619080"",T$3)"),"")</f>
        <v/>
      </c>
      <c r="U153" s="16">
        <f>IFERROR(__xludf.DUMMYFUNCTION("IMPORTRANGE(""https://docs.google.com/spreadsheets/d/""&amp;$A153&amp;""/edit#gid=156619080"",U$3)"),344.2)</f>
        <v>344.2</v>
      </c>
      <c r="V153" s="16">
        <f>IFERROR(__xludf.DUMMYFUNCTION("IMPORTRANGE(""https://docs.google.com/spreadsheets/d/""&amp;$A153&amp;""/edit#gid=156619080"",V$3)"),348.2)</f>
        <v>348.2</v>
      </c>
      <c r="W153" s="16">
        <f>IFERROR(__xludf.DUMMYFUNCTION("IMPORTRANGE(""https://docs.google.com/spreadsheets/d/""&amp;$A153&amp;""/edit#gid=156619080"",W$3)"),348.0)</f>
        <v>348</v>
      </c>
      <c r="X153" s="2">
        <f>IFERROR(__xludf.DUMMYFUNCTION("IMPORTRANGE(""https://docs.google.com/spreadsheets/d/""&amp;$A153&amp;""/edit#gid=156619080"",X$3)"),342.6)</f>
        <v>342.6</v>
      </c>
      <c r="Y153" s="17">
        <f>IFERROR(__xludf.DUMMYFUNCTION("IMPORTRANGE(""https://docs.google.com/spreadsheets/d/""&amp;$A153&amp;""/edit#gid=156619080"",Y$3)"),-0.00639163277164436)</f>
        <v>-0.006391632772</v>
      </c>
      <c r="Z153" s="2">
        <f>IFERROR(__xludf.DUMMYFUNCTION("IMPORTRANGE(""https://docs.google.com/spreadsheets/d/""&amp;$A153&amp;""/edit#gid=156619080"",Z$3)"),356.44)</f>
        <v>356.44</v>
      </c>
      <c r="AA153" s="2">
        <f>IFERROR(__xludf.DUMMYFUNCTION("IMPORTRANGE(""https://docs.google.com/spreadsheets/d/""&amp;$A153&amp;""/edit#gid=156619080"",AA$3)"),355.39)</f>
        <v>355.39</v>
      </c>
      <c r="AB153" s="2">
        <f>IFERROR(__xludf.DUMMYFUNCTION("IMPORTRANGE(""https://docs.google.com/spreadsheets/d/""&amp;$A153&amp;""/edit#gid=156619080"",AB$3)"),354.33)</f>
        <v>354.33</v>
      </c>
      <c r="AC153" s="18">
        <f>IFERROR(__xludf.DUMMYFUNCTION("IMPORTRANGE(""https://docs.google.com/spreadsheets/d/""&amp;$A153&amp;""/edit#gid=156619080"",AC$3)"),353.28)</f>
        <v>353.28</v>
      </c>
      <c r="AD153" s="18">
        <f>IFERROR(__xludf.DUMMYFUNCTION("IMPORTRANGE(""https://docs.google.com/spreadsheets/d/""&amp;$A153&amp;""/edit#gid=156619080"",AD$3)"),352.22)</f>
        <v>352.22</v>
      </c>
      <c r="AE153" s="18">
        <f>IFERROR(__xludf.DUMMYFUNCTION("IMPORTRANGE(""https://docs.google.com/spreadsheets/d/""&amp;$A153&amp;""/edit#gid=156619080"",AE$3)"),348.0)</f>
        <v>348</v>
      </c>
      <c r="AF153" s="2">
        <f>IFERROR(__xludf.DUMMYFUNCTION("IMPORTRANGE(""https://docs.google.com/spreadsheets/d/""&amp;$A153&amp;""/edit#gid=156619080"",AF$3)"),343.78)</f>
        <v>343.78</v>
      </c>
      <c r="AG153" s="2">
        <f>IFERROR(__xludf.DUMMYFUNCTION("IMPORTRANGE(""https://docs.google.com/spreadsheets/d/""&amp;$A153&amp;""/edit#gid=156619080"",AG$3)"),342.72)</f>
        <v>342.72</v>
      </c>
      <c r="AH153" s="2">
        <f>IFERROR(__xludf.DUMMYFUNCTION("IMPORTRANGE(""https://docs.google.com/spreadsheets/d/""&amp;$A153&amp;""/edit#gid=156619080"",AH$3)"),341.67)</f>
        <v>341.67</v>
      </c>
      <c r="AI153" s="2">
        <f>IFERROR(__xludf.DUMMYFUNCTION("IMPORTRANGE(""https://docs.google.com/spreadsheets/d/""&amp;$A153&amp;""/edit#gid=156619080"",AI$3)"),340.61)</f>
        <v>340.61</v>
      </c>
      <c r="AJ153" s="2">
        <f>IFERROR(__xludf.DUMMYFUNCTION("IMPORTRANGE(""https://docs.google.com/spreadsheets/d/""&amp;$A153&amp;""/edit#gid=156619080"",AJ$3)"),339.56)</f>
        <v>339.56</v>
      </c>
      <c r="AK153" s="2" t="str">
        <f>IFERROR(__xludf.DUMMYFUNCTION("IMPORTRANGE(""https://docs.google.com/spreadsheets/d/""&amp;$A153&amp;""/edit#gid=156619080"",AK$3)"),"-1.25σ〜-1.5σ")</f>
        <v>-1.25σ〜-1.5σ</v>
      </c>
      <c r="AL153" s="2">
        <f>IFERROR(__xludf.DUMMYFUNCTION("IMPORTRANGE(""https://docs.google.com/spreadsheets/d/""&amp;$A153&amp;""/edit#gid=156619080"",AL$3)"),-1.0)</f>
        <v>-1</v>
      </c>
      <c r="AM153" s="2" t="str">
        <f>IFERROR(__xludf.DUMMYFUNCTION("IMPORTRANGE(""https://docs.google.com/spreadsheets/d/""&amp;$A153&amp;""/edit#gid=156619080"",AM$3)"),"")</f>
        <v/>
      </c>
      <c r="AN153" s="2">
        <f>IFERROR(__xludf.DUMMYFUNCTION("IMPORTRANGE(""https://docs.google.com/spreadsheets/d/""&amp;$A153&amp;""/edit#gid=156619080"",AN$3)"),-1.0)</f>
        <v>-1</v>
      </c>
      <c r="AO153" s="2" t="str">
        <f>IFERROR(__xludf.DUMMYFUNCTION("IMPORTRANGE(""https://docs.google.com/spreadsheets/d/""&amp;$A153&amp;""/edit#gid=156619080"",AO$3)"),"")</f>
        <v/>
      </c>
      <c r="AP153" s="2">
        <f>IFERROR(__xludf.DUMMYFUNCTION("IMPORTRANGE(""https://docs.google.com/spreadsheets/d/""&amp;$A153&amp;""/edit#gid=156619080"",AP$3)"),1.0)</f>
        <v>1</v>
      </c>
      <c r="AQ153" s="2" t="str">
        <f>IFERROR(__xludf.DUMMYFUNCTION("IMPORTRANGE(""https://docs.google.com/spreadsheets/d/""&amp;$A153&amp;""/edit#gid=156619080"",AQ$3)"),"ws3")</f>
        <v>ws3</v>
      </c>
      <c r="AR153" s="18">
        <f>IFERROR(__xludf.DUMMYFUNCTION("IMPORTRANGE(""https://docs.google.com/spreadsheets/d/""&amp;$A153&amp;""/edit#gid=156619080"",AR$3)"),-62.5)</f>
        <v>-62.5</v>
      </c>
      <c r="AS153" s="19" t="str">
        <f>IFERROR(__xludf.DUMMYFUNCTION("IMPORTRANGE(""https://docs.google.com/spreadsheets/d/""&amp;$A153&amp;""/edit#gid=156619080"",AS$3)"),"50
-10
-70
-82.5
")</f>
        <v>50
-10
-70
-82.5
</v>
      </c>
      <c r="AT153" s="18">
        <f>IFERROR(__xludf.DUMMYFUNCTION("IMPORTRANGE(""https://docs.google.com/spreadsheets/d/""&amp;$A153&amp;""/edit#gid=156619080"",AT$3)"),-49.03846153846154)</f>
        <v>-49.03846154</v>
      </c>
      <c r="AU153" s="3" t="str">
        <f>IFERROR(__xludf.DUMMYFUNCTION("IMPORTRANGE(""https://docs.google.com/spreadsheets/d/""&amp;$A153&amp;""/edit#gid=156619080"",AU$3)"),"62.77
50.14
7.69
-20.33
")</f>
        <v>62.77
50.14
7.69
-20.33
</v>
      </c>
      <c r="AV153" s="18">
        <f>IFERROR(__xludf.DUMMYFUNCTION("IMPORTRANGE(""https://docs.google.com/spreadsheets/d/""&amp;$A153&amp;""/edit#gid=156619080"",AV$3)"),-24.837662337662337)</f>
        <v>-24.83766234</v>
      </c>
      <c r="AW153" s="19" t="str">
        <f>IFERROR(__xludf.DUMMYFUNCTION("IMPORTRANGE(""https://docs.google.com/spreadsheets/d/""&amp;$A153&amp;""/edit#gid=156619080"",AW$3)"),"-12.11
-18.64
-21.46
-22.21
")</f>
        <v>-12.11
-18.64
-21.46
-22.21
</v>
      </c>
      <c r="AX153" s="2">
        <f>IFERROR(__xludf.DUMMYFUNCTION("IMPORTRANGE(""https://docs.google.com/spreadsheets/d/""&amp;$A153&amp;""/edit#gid=156619080"",AX$3)"),9.09)</f>
        <v>9.09</v>
      </c>
      <c r="AY153" s="2">
        <f>IFERROR(__xludf.DUMMYFUNCTION("IMPORTRANGE(""https://docs.google.com/spreadsheets/d/""&amp;$A153&amp;""/edit#gid=156619080"",AY$3)"),39.660000000000004)</f>
        <v>39.66</v>
      </c>
      <c r="AZ153" s="2">
        <f>IFERROR(__xludf.DUMMYFUNCTION("IMPORTRANGE(""https://docs.google.com/spreadsheets/d/""&amp;$A153&amp;""/edit#gid=156619080"",AZ$3)"),343.9)</f>
        <v>343.9</v>
      </c>
      <c r="BA153" s="2">
        <f>IFERROR(__xludf.DUMMYFUNCTION("IMPORTRANGE(""https://docs.google.com/spreadsheets/d/""&amp;$A153&amp;""/edit#gid=156619080"",BA$3)"),-3.7900000000000205)</f>
        <v>-3.79</v>
      </c>
      <c r="BB153" s="2">
        <f>IFERROR(__xludf.DUMMYFUNCTION("IMPORTRANGE(""https://docs.google.com/spreadsheets/d/""&amp;$A153&amp;""/edit#gid=156619080"",BB$3)"),-1.32)</f>
        <v>-1.32</v>
      </c>
      <c r="BC153" s="2" t="str">
        <f>IFERROR(__xludf.DUMMYFUNCTION("IMPORTRANGE(""https://docs.google.com/spreadsheets/d/""&amp;$A153&amp;""/edit#gid=156619080"",BC$3)"),"DC→DC")</f>
        <v>DC→DC</v>
      </c>
    </row>
    <row r="154" ht="51.0" customHeight="1">
      <c r="A154" s="7" t="str">
        <f t="shared" si="5"/>
        <v>1zPYQvx_vdQtfEC8sjFtgndw_bpGgnR58rjSb2caR3SY</v>
      </c>
      <c r="B154" s="1" t="s">
        <v>181</v>
      </c>
      <c r="C154" s="2">
        <f>IFERROR(__xludf.DUMMYFUNCTION("IMPORTRANGE(""https://docs.google.com/spreadsheets/d/""&amp;$A154&amp;""/edit#gid=156619080"",C$3)"),132.0)</f>
        <v>132</v>
      </c>
      <c r="D154" s="2">
        <f>IFERROR(__xludf.DUMMYFUNCTION("IMPORTRANGE(""https://docs.google.com/spreadsheets/d/""&amp;$A154&amp;""/edit#gid=156619080"",D$3)"),8001.0)</f>
        <v>8001</v>
      </c>
      <c r="E154" s="15">
        <f>IFERROR(__xludf.DUMMYFUNCTION("IMPORTRANGE(""https://docs.google.com/spreadsheets/d/""&amp;$A154&amp;""/edit#gid=156619080"",E$3)"),43882.0)</f>
        <v>43882</v>
      </c>
      <c r="F154" s="2">
        <f>IFERROR(__xludf.DUMMYFUNCTION("IMPORTRANGE(""https://docs.google.com/spreadsheets/d/""&amp;$A154&amp;""/edit#gid=156619080"",F$3)"),47.0)</f>
        <v>47</v>
      </c>
      <c r="G154" s="16">
        <f>IFERROR(__xludf.DUMMYFUNCTION("IMPORTRANGE(""https://docs.google.com/spreadsheets/d/""&amp;$A154&amp;""/edit#gid=156619080"",G$3)"),1.8)</f>
        <v>1.8</v>
      </c>
      <c r="H154" s="16">
        <f>IFERROR(__xludf.DUMMYFUNCTION("IMPORTRANGE(""https://docs.google.com/spreadsheets/d/""&amp;$A154&amp;""/edit#gid=156619080"",H$3)"),2644.5)</f>
        <v>2644.5</v>
      </c>
      <c r="I154" s="16">
        <f>IFERROR(__xludf.DUMMYFUNCTION("IMPORTRANGE(""https://docs.google.com/spreadsheets/d/""&amp;$A154&amp;""/edit#gid=156619080"",I$3)"),-40.0)</f>
        <v>-40</v>
      </c>
      <c r="J154" s="16">
        <f>IFERROR(__xludf.DUMMYFUNCTION("IMPORTRANGE(""https://docs.google.com/spreadsheets/d/""&amp;$A154&amp;""/edit#gid=156619080"",J$3)"),2690.0)</f>
        <v>2690</v>
      </c>
      <c r="K154" s="16">
        <f>IFERROR(__xludf.DUMMYFUNCTION("IMPORTRANGE(""https://docs.google.com/spreadsheets/d/""&amp;$A154&amp;""/edit#gid=156619080"",K$3)"),0.37916666666666665)</f>
        <v>0.3791666667</v>
      </c>
      <c r="L154" s="16">
        <f>IFERROR(__xludf.DUMMYFUNCTION("IMPORTRANGE(""https://docs.google.com/spreadsheets/d/""&amp;$A154&amp;""/edit#gid=156619080"",L$3)"),2630.0)</f>
        <v>2630</v>
      </c>
      <c r="M154" s="16">
        <f>IFERROR(__xludf.DUMMYFUNCTION("IMPORTRANGE(""https://docs.google.com/spreadsheets/d/""&amp;$A154&amp;""/edit#gid=156619080"",M$3)"),0.375)</f>
        <v>0.375</v>
      </c>
      <c r="N154" s="16">
        <f>IFERROR(__xludf.DUMMYFUNCTION("IMPORTRANGE(""https://docs.google.com/spreadsheets/d/""&amp;$A154&amp;""/edit#gid=156619080"",N$3)"),2651.5)</f>
        <v>2651.5</v>
      </c>
      <c r="O154" s="16" t="str">
        <f>IFERROR(__xludf.DUMMYFUNCTION("IMPORTRANGE(""https://docs.google.com/spreadsheets/d/""&amp;$A154&amp;""/edit#gid=156619080"",O$3)"),"6032900株")</f>
        <v>6032900株</v>
      </c>
      <c r="P154" s="16" t="str">
        <f>IFERROR(__xludf.DUMMYFUNCTION("IMPORTRANGE(""https://docs.google.com/spreadsheets/d/""&amp;$A154&amp;""/edit#gid=156619080"",P$3)"),"16048百万円")</f>
        <v>16048百万円</v>
      </c>
      <c r="Q154" s="16" t="str">
        <f>IFERROR(__xludf.DUMMYFUNCTION("IMPORTRANGE(""https://docs.google.com/spreadsheets/d/""&amp;$A154&amp;""/edit#gid=156619080"",Q$3)"),"8833回")</f>
        <v>8833回</v>
      </c>
      <c r="R154" s="16" t="str">
        <f>IFERROR(__xludf.DUMMYFUNCTION("IMPORTRANGE(""https://docs.google.com/spreadsheets/d/""&amp;$A154&amp;""/edit#gid=156619080"",R$3)"),"42023億円")</f>
        <v>42023億円</v>
      </c>
      <c r="S154" s="16" t="str">
        <f>IFERROR(__xludf.DUMMYFUNCTION("IMPORTRANGE(""https://docs.google.com/spreadsheets/d/""&amp;$A154&amp;""/edit#gid=156619080"",S$3)"),"陽線")</f>
        <v>陽線</v>
      </c>
      <c r="T154" s="16" t="str">
        <f>IFERROR(__xludf.DUMMYFUNCTION("IMPORTRANGE(""https://docs.google.com/spreadsheets/d/""&amp;$A154&amp;""/edit#gid=156619080"",T$3)"),"")</f>
        <v/>
      </c>
      <c r="U154" s="16">
        <f>IFERROR(__xludf.DUMMYFUNCTION("IMPORTRANGE(""https://docs.google.com/spreadsheets/d/""&amp;$A154&amp;""/edit#gid=156619080"",U$3)"),2613.9)</f>
        <v>2613.9</v>
      </c>
      <c r="V154" s="16">
        <f>IFERROR(__xludf.DUMMYFUNCTION("IMPORTRANGE(""https://docs.google.com/spreadsheets/d/""&amp;$A154&amp;""/edit#gid=156619080"",V$3)"),2622.3)</f>
        <v>2622.3</v>
      </c>
      <c r="W154" s="16">
        <f>IFERROR(__xludf.DUMMYFUNCTION("IMPORTRANGE(""https://docs.google.com/spreadsheets/d/""&amp;$A154&amp;""/edit#gid=156619080"",W$3)"),2605.6)</f>
        <v>2605.6</v>
      </c>
      <c r="X154" s="2">
        <f>IFERROR(__xludf.DUMMYFUNCTION("IMPORTRANGE(""https://docs.google.com/spreadsheets/d/""&amp;$A154&amp;""/edit#gid=156619080"",X$3)"),2412.7)</f>
        <v>2412.7</v>
      </c>
      <c r="Y154" s="17">
        <f>IFERROR(__xludf.DUMMYFUNCTION("IMPORTRANGE(""https://docs.google.com/spreadsheets/d/""&amp;$A154&amp;""/edit#gid=156619080"",Y$3)"),0.014384635984544132)</f>
        <v>0.01438463598</v>
      </c>
      <c r="Z154" s="2">
        <f>IFERROR(__xludf.DUMMYFUNCTION("IMPORTRANGE(""https://docs.google.com/spreadsheets/d/""&amp;$A154&amp;""/edit#gid=156619080"",Z$3)"),2684.73)</f>
        <v>2684.73</v>
      </c>
      <c r="AA154" s="2">
        <f>IFERROR(__xludf.DUMMYFUNCTION("IMPORTRANGE(""https://docs.google.com/spreadsheets/d/""&amp;$A154&amp;""/edit#gid=156619080"",AA$3)"),2674.84)</f>
        <v>2674.84</v>
      </c>
      <c r="AB154" s="2">
        <f>IFERROR(__xludf.DUMMYFUNCTION("IMPORTRANGE(""https://docs.google.com/spreadsheets/d/""&amp;$A154&amp;""/edit#gid=156619080"",AB$3)"),2664.95)</f>
        <v>2664.95</v>
      </c>
      <c r="AC154" s="18">
        <f>IFERROR(__xludf.DUMMYFUNCTION("IMPORTRANGE(""https://docs.google.com/spreadsheets/d/""&amp;$A154&amp;""/edit#gid=156619080"",AC$3)"),2655.06)</f>
        <v>2655.06</v>
      </c>
      <c r="AD154" s="18">
        <f>IFERROR(__xludf.DUMMYFUNCTION("IMPORTRANGE(""https://docs.google.com/spreadsheets/d/""&amp;$A154&amp;""/edit#gid=156619080"",AD$3)"),2645.16)</f>
        <v>2645.16</v>
      </c>
      <c r="AE154" s="18">
        <f>IFERROR(__xludf.DUMMYFUNCTION("IMPORTRANGE(""https://docs.google.com/spreadsheets/d/""&amp;$A154&amp;""/edit#gid=156619080"",AE$3)"),2605.6)</f>
        <v>2605.6</v>
      </c>
      <c r="AF154" s="2">
        <f>IFERROR(__xludf.DUMMYFUNCTION("IMPORTRANGE(""https://docs.google.com/spreadsheets/d/""&amp;$A154&amp;""/edit#gid=156619080"",AF$3)"),2566.04)</f>
        <v>2566.04</v>
      </c>
      <c r="AG154" s="2">
        <f>IFERROR(__xludf.DUMMYFUNCTION("IMPORTRANGE(""https://docs.google.com/spreadsheets/d/""&amp;$A154&amp;""/edit#gid=156619080"",AG$3)"),2556.14)</f>
        <v>2556.14</v>
      </c>
      <c r="AH154" s="2">
        <f>IFERROR(__xludf.DUMMYFUNCTION("IMPORTRANGE(""https://docs.google.com/spreadsheets/d/""&amp;$A154&amp;""/edit#gid=156619080"",AH$3)"),2546.25)</f>
        <v>2546.25</v>
      </c>
      <c r="AI154" s="2">
        <f>IFERROR(__xludf.DUMMYFUNCTION("IMPORTRANGE(""https://docs.google.com/spreadsheets/d/""&amp;$A154&amp;""/edit#gid=156619080"",AI$3)"),2536.36)</f>
        <v>2536.36</v>
      </c>
      <c r="AJ154" s="2">
        <f>IFERROR(__xludf.DUMMYFUNCTION("IMPORTRANGE(""https://docs.google.com/spreadsheets/d/""&amp;$A154&amp;""/edit#gid=156619080"",AJ$3)"),2526.47)</f>
        <v>2526.47</v>
      </c>
      <c r="AK154" s="2" t="str">
        <f>IFERROR(__xludf.DUMMYFUNCTION("IMPORTRANGE(""https://docs.google.com/spreadsheets/d/""&amp;$A154&amp;""/edit#gid=156619080"",AK$3)"),"1〜1.25σ")</f>
        <v>1〜1.25σ</v>
      </c>
      <c r="AL154" s="2">
        <f>IFERROR(__xludf.DUMMYFUNCTION("IMPORTRANGE(""https://docs.google.com/spreadsheets/d/""&amp;$A154&amp;""/edit#gid=156619080"",AL$3)"),-1.0)</f>
        <v>-1</v>
      </c>
      <c r="AM154" s="2" t="str">
        <f>IFERROR(__xludf.DUMMYFUNCTION("IMPORTRANGE(""https://docs.google.com/spreadsheets/d/""&amp;$A154&amp;""/edit#gid=156619080"",AM$3)"),"")</f>
        <v/>
      </c>
      <c r="AN154" s="2">
        <f>IFERROR(__xludf.DUMMYFUNCTION("IMPORTRANGE(""https://docs.google.com/spreadsheets/d/""&amp;$A154&amp;""/edit#gid=156619080"",AN$3)"),1.0)</f>
        <v>1</v>
      </c>
      <c r="AO154" s="2" t="str">
        <f>IFERROR(__xludf.DUMMYFUNCTION("IMPORTRANGE(""https://docs.google.com/spreadsheets/d/""&amp;$A154&amp;""/edit#gid=156619080"",AO$3)"),"")</f>
        <v/>
      </c>
      <c r="AP154" s="2">
        <f>IFERROR(__xludf.DUMMYFUNCTION("IMPORTRANGE(""https://docs.google.com/spreadsheets/d/""&amp;$A154&amp;""/edit#gid=156619080"",AP$3)"),1.0)</f>
        <v>1</v>
      </c>
      <c r="AQ154" s="2" t="str">
        <f>IFERROR(__xludf.DUMMYFUNCTION("IMPORTRANGE(""https://docs.google.com/spreadsheets/d/""&amp;$A154&amp;""/edit#gid=156619080"",AQ$3)"),"")</f>
        <v/>
      </c>
      <c r="AR154" s="18">
        <f>IFERROR(__xludf.DUMMYFUNCTION("IMPORTRANGE(""https://docs.google.com/spreadsheets/d/""&amp;$A154&amp;""/edit#gid=156619080"",AR$3)"),40.0)</f>
        <v>40</v>
      </c>
      <c r="AS154" s="19" t="str">
        <f>IFERROR(__xludf.DUMMYFUNCTION("IMPORTRANGE(""https://docs.google.com/spreadsheets/d/""&amp;$A154&amp;""/edit#gid=156619080"",AS$3)"),"-30
-30
-50
-50
")</f>
        <v>-30
-30
-50
-50
</v>
      </c>
      <c r="AT154" s="18">
        <f>IFERROR(__xludf.DUMMYFUNCTION("IMPORTRANGE(""https://docs.google.com/spreadsheets/d/""&amp;$A154&amp;""/edit#gid=156619080"",AT$3)"),-6.456043956043955)</f>
        <v>-6.456043956</v>
      </c>
      <c r="AU154" s="3" t="str">
        <f>IFERROR(__xludf.DUMMYFUNCTION("IMPORTRANGE(""https://docs.google.com/spreadsheets/d/""&amp;$A154&amp;""/edit#gid=156619080"",AU$3)"),"65.38
51.1
28.02
3.98
")</f>
        <v>65.38
51.1
28.02
3.98
</v>
      </c>
      <c r="AV154" s="18">
        <f>IFERROR(__xludf.DUMMYFUNCTION("IMPORTRANGE(""https://docs.google.com/spreadsheets/d/""&amp;$A154&amp;""/edit#gid=156619080"",AV$3)"),31.461038961038955)</f>
        <v>31.46103896</v>
      </c>
      <c r="AW154" s="19" t="str">
        <f>IFERROR(__xludf.DUMMYFUNCTION("IMPORTRANGE(""https://docs.google.com/spreadsheets/d/""&amp;$A154&amp;""/edit#gid=156619080"",AW$3)"),"44.94
36.49
33.77
26.53
")</f>
        <v>44.94
36.49
33.77
26.53
</v>
      </c>
      <c r="AX154" s="2">
        <f>IFERROR(__xludf.DUMMYFUNCTION("IMPORTRANGE(""https://docs.google.com/spreadsheets/d/""&amp;$A154&amp;""/edit#gid=156619080"",AX$3)"),67.16)</f>
        <v>67.16</v>
      </c>
      <c r="AY154" s="2">
        <f>IFERROR(__xludf.DUMMYFUNCTION("IMPORTRANGE(""https://docs.google.com/spreadsheets/d/""&amp;$A154&amp;""/edit#gid=156619080"",AY$3)"),55.059999999999995)</f>
        <v>55.06</v>
      </c>
      <c r="AZ154" s="2">
        <f>IFERROR(__xludf.DUMMYFUNCTION("IMPORTRANGE(""https://docs.google.com/spreadsheets/d/""&amp;$A154&amp;""/edit#gid=156619080"",AZ$3)"),2621.72)</f>
        <v>2621.72</v>
      </c>
      <c r="BA154" s="2">
        <f>IFERROR(__xludf.DUMMYFUNCTION("IMPORTRANGE(""https://docs.google.com/spreadsheets/d/""&amp;$A154&amp;""/edit#gid=156619080"",BA$3)"),17.779999999999745)</f>
        <v>17.78</v>
      </c>
      <c r="BB154" s="2">
        <f>IFERROR(__xludf.DUMMYFUNCTION("IMPORTRANGE(""https://docs.google.com/spreadsheets/d/""&amp;$A154&amp;""/edit#gid=156619080"",BB$3)"),20.64)</f>
        <v>20.64</v>
      </c>
      <c r="BC154" s="2" t="str">
        <f>IFERROR(__xludf.DUMMYFUNCTION("IMPORTRANGE(""https://docs.google.com/spreadsheets/d/""&amp;$A154&amp;""/edit#gid=156619080"",BC$3)"),"DC→DC")</f>
        <v>DC→DC</v>
      </c>
    </row>
    <row r="155" ht="51.0" customHeight="1">
      <c r="A155" s="7" t="str">
        <f t="shared" si="5"/>
        <v>1zypcHh2a2WFHylQwYd5lzhh2psERwk9KxaTsELV1ggg</v>
      </c>
      <c r="B155" s="1" t="s">
        <v>182</v>
      </c>
      <c r="C155" s="2">
        <f>IFERROR(__xludf.DUMMYFUNCTION("IMPORTRANGE(""https://docs.google.com/spreadsheets/d/""&amp;$A155&amp;""/edit#gid=156619080"",C$3)"),132.0)</f>
        <v>132</v>
      </c>
      <c r="D155" s="2">
        <f>IFERROR(__xludf.DUMMYFUNCTION("IMPORTRANGE(""https://docs.google.com/spreadsheets/d/""&amp;$A155&amp;""/edit#gid=156619080"",D$3)"),8002.0)</f>
        <v>8002</v>
      </c>
      <c r="E155" s="15">
        <f>IFERROR(__xludf.DUMMYFUNCTION("IMPORTRANGE(""https://docs.google.com/spreadsheets/d/""&amp;$A155&amp;""/edit#gid=156619080"",E$3)"),43882.0)</f>
        <v>43882</v>
      </c>
      <c r="F155" s="2">
        <f>IFERROR(__xludf.DUMMYFUNCTION("IMPORTRANGE(""https://docs.google.com/spreadsheets/d/""&amp;$A155&amp;""/edit#gid=156619080"",F$3)"),-0.7)</f>
        <v>-0.7</v>
      </c>
      <c r="G155" s="16">
        <f>IFERROR(__xludf.DUMMYFUNCTION("IMPORTRANGE(""https://docs.google.com/spreadsheets/d/""&amp;$A155&amp;""/edit#gid=156619080"",G$3)"),-0.09)</f>
        <v>-0.09</v>
      </c>
      <c r="H155" s="16">
        <f>IFERROR(__xludf.DUMMYFUNCTION("IMPORTRANGE(""https://docs.google.com/spreadsheets/d/""&amp;$A155&amp;""/edit#gid=156619080"",H$3)"),787.8)</f>
        <v>787.8</v>
      </c>
      <c r="I155" s="16">
        <f>IFERROR(__xludf.DUMMYFUNCTION("IMPORTRANGE(""https://docs.google.com/spreadsheets/d/""&amp;$A155&amp;""/edit#gid=156619080"",I$3)"),1.7000000000000455)</f>
        <v>1.7</v>
      </c>
      <c r="J155" s="16">
        <f>IFERROR(__xludf.DUMMYFUNCTION("IMPORTRANGE(""https://docs.google.com/spreadsheets/d/""&amp;$A155&amp;""/edit#gid=156619080"",J$3)"),798.8)</f>
        <v>798.8</v>
      </c>
      <c r="K155" s="16">
        <f>IFERROR(__xludf.DUMMYFUNCTION("IMPORTRANGE(""https://docs.google.com/spreadsheets/d/""&amp;$A155&amp;""/edit#gid=156619080"",K$3)"),0.3958333333333333)</f>
        <v>0.3958333333</v>
      </c>
      <c r="L155" s="16">
        <f>IFERROR(__xludf.DUMMYFUNCTION("IMPORTRANGE(""https://docs.google.com/spreadsheets/d/""&amp;$A155&amp;""/edit#gid=156619080"",L$3)"),786.2)</f>
        <v>786.2</v>
      </c>
      <c r="M155" s="16">
        <f>IFERROR(__xludf.DUMMYFUNCTION("IMPORTRANGE(""https://docs.google.com/spreadsheets/d/""&amp;$A155&amp;""/edit#gid=156619080"",M$3)"),0.375)</f>
        <v>0.375</v>
      </c>
      <c r="N155" s="16">
        <f>IFERROR(__xludf.DUMMYFUNCTION("IMPORTRANGE(""https://docs.google.com/spreadsheets/d/""&amp;$A155&amp;""/edit#gid=156619080"",N$3)"),788.8)</f>
        <v>788.8</v>
      </c>
      <c r="O155" s="16" t="str">
        <f>IFERROR(__xludf.DUMMYFUNCTION("IMPORTRANGE(""https://docs.google.com/spreadsheets/d/""&amp;$A155&amp;""/edit#gid=156619080"",O$3)"),"4217600株")</f>
        <v>4217600株</v>
      </c>
      <c r="P155" s="16" t="str">
        <f>IFERROR(__xludf.DUMMYFUNCTION("IMPORTRANGE(""https://docs.google.com/spreadsheets/d/""&amp;$A155&amp;""/edit#gid=156619080"",P$3)"),"3336百万円")</f>
        <v>3336百万円</v>
      </c>
      <c r="Q155" s="16" t="str">
        <f>IFERROR(__xludf.DUMMYFUNCTION("IMPORTRANGE(""https://docs.google.com/spreadsheets/d/""&amp;$A155&amp;""/edit#gid=156619080"",Q$3)"),"5438回")</f>
        <v>5438回</v>
      </c>
      <c r="R155" s="16" t="str">
        <f>IFERROR(__xludf.DUMMYFUNCTION("IMPORTRANGE(""https://docs.google.com/spreadsheets/d/""&amp;$A155&amp;""/edit#gid=156619080"",R$3)"),"13709億円")</f>
        <v>13709億円</v>
      </c>
      <c r="S155" s="16" t="str">
        <f>IFERROR(__xludf.DUMMYFUNCTION("IMPORTRANGE(""https://docs.google.com/spreadsheets/d/""&amp;$A155&amp;""/edit#gid=156619080"",S$3)"),"陽線")</f>
        <v>陽線</v>
      </c>
      <c r="T155" s="16" t="str">
        <f>IFERROR(__xludf.DUMMYFUNCTION("IMPORTRANGE(""https://docs.google.com/spreadsheets/d/""&amp;$A155&amp;""/edit#gid=156619080"",T$3)"),"")</f>
        <v/>
      </c>
      <c r="U155" s="16">
        <f>IFERROR(__xludf.DUMMYFUNCTION("IMPORTRANGE(""https://docs.google.com/spreadsheets/d/""&amp;$A155&amp;""/edit#gid=156619080"",U$3)"),788.0)</f>
        <v>788</v>
      </c>
      <c r="V155" s="16">
        <f>IFERROR(__xludf.DUMMYFUNCTION("IMPORTRANGE(""https://docs.google.com/spreadsheets/d/""&amp;$A155&amp;""/edit#gid=156619080"",V$3)"),794.8)</f>
        <v>794.8</v>
      </c>
      <c r="W155" s="16">
        <f>IFERROR(__xludf.DUMMYFUNCTION("IMPORTRANGE(""https://docs.google.com/spreadsheets/d/""&amp;$A155&amp;""/edit#gid=156619080"",W$3)"),796.1)</f>
        <v>796.1</v>
      </c>
      <c r="X155" s="2">
        <f>IFERROR(__xludf.DUMMYFUNCTION("IMPORTRANGE(""https://docs.google.com/spreadsheets/d/""&amp;$A155&amp;""/edit#gid=156619080"",X$3)"),778.8)</f>
        <v>778.8</v>
      </c>
      <c r="Y155" s="17">
        <f>IFERROR(__xludf.DUMMYFUNCTION("IMPORTRANGE(""https://docs.google.com/spreadsheets/d/""&amp;$A155&amp;""/edit#gid=156619080"",Y$3)"),0.0010152284263958815)</f>
        <v>0.001015228426</v>
      </c>
      <c r="Z155" s="2">
        <f>IFERROR(__xludf.DUMMYFUNCTION("IMPORTRANGE(""https://docs.google.com/spreadsheets/d/""&amp;$A155&amp;""/edit#gid=156619080"",Z$3)"),814.03)</f>
        <v>814.03</v>
      </c>
      <c r="AA155" s="2">
        <f>IFERROR(__xludf.DUMMYFUNCTION("IMPORTRANGE(""https://docs.google.com/spreadsheets/d/""&amp;$A155&amp;""/edit#gid=156619080"",AA$3)"),811.79)</f>
        <v>811.79</v>
      </c>
      <c r="AB155" s="2">
        <f>IFERROR(__xludf.DUMMYFUNCTION("IMPORTRANGE(""https://docs.google.com/spreadsheets/d/""&amp;$A155&amp;""/edit#gid=156619080"",AB$3)"),809.55)</f>
        <v>809.55</v>
      </c>
      <c r="AC155" s="18">
        <f>IFERROR(__xludf.DUMMYFUNCTION("IMPORTRANGE(""https://docs.google.com/spreadsheets/d/""&amp;$A155&amp;""/edit#gid=156619080"",AC$3)"),807.31)</f>
        <v>807.31</v>
      </c>
      <c r="AD155" s="18">
        <f>IFERROR(__xludf.DUMMYFUNCTION("IMPORTRANGE(""https://docs.google.com/spreadsheets/d/""&amp;$A155&amp;""/edit#gid=156619080"",AD$3)"),805.06)</f>
        <v>805.06</v>
      </c>
      <c r="AE155" s="18">
        <f>IFERROR(__xludf.DUMMYFUNCTION("IMPORTRANGE(""https://docs.google.com/spreadsheets/d/""&amp;$A155&amp;""/edit#gid=156619080"",AE$3)"),796.1)</f>
        <v>796.1</v>
      </c>
      <c r="AF155" s="2">
        <f>IFERROR(__xludf.DUMMYFUNCTION("IMPORTRANGE(""https://docs.google.com/spreadsheets/d/""&amp;$A155&amp;""/edit#gid=156619080"",AF$3)"),787.14)</f>
        <v>787.14</v>
      </c>
      <c r="AG155" s="2">
        <f>IFERROR(__xludf.DUMMYFUNCTION("IMPORTRANGE(""https://docs.google.com/spreadsheets/d/""&amp;$A155&amp;""/edit#gid=156619080"",AG$3)"),784.89)</f>
        <v>784.89</v>
      </c>
      <c r="AH155" s="2">
        <f>IFERROR(__xludf.DUMMYFUNCTION("IMPORTRANGE(""https://docs.google.com/spreadsheets/d/""&amp;$A155&amp;""/edit#gid=156619080"",AH$3)"),782.65)</f>
        <v>782.65</v>
      </c>
      <c r="AI155" s="2">
        <f>IFERROR(__xludf.DUMMYFUNCTION("IMPORTRANGE(""https://docs.google.com/spreadsheets/d/""&amp;$A155&amp;""/edit#gid=156619080"",AI$3)"),780.41)</f>
        <v>780.41</v>
      </c>
      <c r="AJ155" s="2">
        <f>IFERROR(__xludf.DUMMYFUNCTION("IMPORTRANGE(""https://docs.google.com/spreadsheets/d/""&amp;$A155&amp;""/edit#gid=156619080"",AJ$3)"),778.17)</f>
        <v>778.17</v>
      </c>
      <c r="AK155" s="2" t="str">
        <f>IFERROR(__xludf.DUMMYFUNCTION("IMPORTRANGE(""https://docs.google.com/spreadsheets/d/""&amp;$A155&amp;""/edit#gid=156619080"",AK$3)"),"")</f>
        <v/>
      </c>
      <c r="AL155" s="2">
        <f>IFERROR(__xludf.DUMMYFUNCTION("IMPORTRANGE(""https://docs.google.com/spreadsheets/d/""&amp;$A155&amp;""/edit#gid=156619080"",AL$3)"),-1.0)</f>
        <v>-1</v>
      </c>
      <c r="AM155" s="2" t="str">
        <f>IFERROR(__xludf.DUMMYFUNCTION("IMPORTRANGE(""https://docs.google.com/spreadsheets/d/""&amp;$A155&amp;""/edit#gid=156619080"",AM$3)"),"")</f>
        <v/>
      </c>
      <c r="AN155" s="2">
        <f>IFERROR(__xludf.DUMMYFUNCTION("IMPORTRANGE(""https://docs.google.com/spreadsheets/d/""&amp;$A155&amp;""/edit#gid=156619080"",AN$3)"),-1.0)</f>
        <v>-1</v>
      </c>
      <c r="AO155" s="2" t="str">
        <f>IFERROR(__xludf.DUMMYFUNCTION("IMPORTRANGE(""https://docs.google.com/spreadsheets/d/""&amp;$A155&amp;""/edit#gid=156619080"",AO$3)"),"")</f>
        <v/>
      </c>
      <c r="AP155" s="2">
        <f>IFERROR(__xludf.DUMMYFUNCTION("IMPORTRANGE(""https://docs.google.com/spreadsheets/d/""&amp;$A155&amp;""/edit#gid=156619080"",AP$3)"),-1.0)</f>
        <v>-1</v>
      </c>
      <c r="AQ155" s="2" t="str">
        <f>IFERROR(__xludf.DUMMYFUNCTION("IMPORTRANGE(""https://docs.google.com/spreadsheets/d/""&amp;$A155&amp;""/edit#gid=156619080"",AQ$3)"),"")</f>
        <v/>
      </c>
      <c r="AR155" s="18">
        <f>IFERROR(__xludf.DUMMYFUNCTION("IMPORTRANGE(""https://docs.google.com/spreadsheets/d/""&amp;$A155&amp;""/edit#gid=156619080"",AR$3)"),-10.000000000000009)</f>
        <v>-10</v>
      </c>
      <c r="AS155" s="19" t="str">
        <f>IFERROR(__xludf.DUMMYFUNCTION("IMPORTRANGE(""https://docs.google.com/spreadsheets/d/""&amp;$A155&amp;""/edit#gid=156619080"",AS$3)"),"-90
-90
-90
-60
")</f>
        <v>-90
-90
-90
-60
</v>
      </c>
      <c r="AT155" s="18">
        <f>IFERROR(__xludf.DUMMYFUNCTION("IMPORTRANGE(""https://docs.google.com/spreadsheets/d/""&amp;$A155&amp;""/edit#gid=156619080"",AT$3)"),-85.71428571428572)</f>
        <v>-85.71428571</v>
      </c>
      <c r="AU155" s="3" t="str">
        <f>IFERROR(__xludf.DUMMYFUNCTION("IMPORTRANGE(""https://docs.google.com/spreadsheets/d/""&amp;$A155&amp;""/edit#gid=156619080"",AU$3)"),"-7.14
-12.09
-48.35
-51.1
")</f>
        <v>-7.14
-12.09
-48.35
-51.1
</v>
      </c>
      <c r="AV155" s="18">
        <f>IFERROR(__xludf.DUMMYFUNCTION("IMPORTRANGE(""https://docs.google.com/spreadsheets/d/""&amp;$A155&amp;""/edit#gid=156619080"",AV$3)"),-55.064935064935064)</f>
        <v>-55.06493506</v>
      </c>
      <c r="AW155" s="19" t="str">
        <f>IFERROR(__xludf.DUMMYFUNCTION("IMPORTRANGE(""https://docs.google.com/spreadsheets/d/""&amp;$A155&amp;""/edit#gid=156619080"",AW$3)"),"-67.14
-66.36
-63.12
-59.35
")</f>
        <v>-67.14
-66.36
-63.12
-59.35
</v>
      </c>
      <c r="AX155" s="2">
        <f>IFERROR(__xludf.DUMMYFUNCTION("IMPORTRANGE(""https://docs.google.com/spreadsheets/d/""&amp;$A155&amp;""/edit#gid=156619080"",AX$3)"),40.57)</f>
        <v>40.57</v>
      </c>
      <c r="AY155" s="2">
        <f>IFERROR(__xludf.DUMMYFUNCTION("IMPORTRANGE(""https://docs.google.com/spreadsheets/d/""&amp;$A155&amp;""/edit#gid=156619080"",AY$3)"),37.04)</f>
        <v>37.04</v>
      </c>
      <c r="AZ155" s="2">
        <f>IFERROR(__xludf.DUMMYFUNCTION("IMPORTRANGE(""https://docs.google.com/spreadsheets/d/""&amp;$A155&amp;""/edit#gid=156619080"",AZ$3)"),789.21)</f>
        <v>789.21</v>
      </c>
      <c r="BA155" s="2">
        <f>IFERROR(__xludf.DUMMYFUNCTION("IMPORTRANGE(""https://docs.google.com/spreadsheets/d/""&amp;$A155&amp;""/edit#gid=156619080"",BA$3)"),-7.569999999999936)</f>
        <v>-7.57</v>
      </c>
      <c r="BB155" s="2">
        <f>IFERROR(__xludf.DUMMYFUNCTION("IMPORTRANGE(""https://docs.google.com/spreadsheets/d/""&amp;$A155&amp;""/edit#gid=156619080"",BB$3)"),-7.0)</f>
        <v>-7</v>
      </c>
      <c r="BC155" s="2" t="str">
        <f>IFERROR(__xludf.DUMMYFUNCTION("IMPORTRANGE(""https://docs.google.com/spreadsheets/d/""&amp;$A155&amp;""/edit#gid=156619080"",BC$3)"),"DC→DC")</f>
        <v>DC→DC</v>
      </c>
    </row>
    <row r="156" ht="51.0" customHeight="1">
      <c r="A156" s="7" t="str">
        <f t="shared" si="5"/>
        <v>1BqBffCkqSKtDpdvvfEgP6B5i7d51we9anT2FwNlYU84</v>
      </c>
      <c r="B156" s="1" t="s">
        <v>183</v>
      </c>
      <c r="C156" s="2">
        <f>IFERROR(__xludf.DUMMYFUNCTION("IMPORTRANGE(""https://docs.google.com/spreadsheets/d/""&amp;$A156&amp;""/edit#gid=156619080"",C$3)"),132.0)</f>
        <v>132</v>
      </c>
      <c r="D156" s="2">
        <f>IFERROR(__xludf.DUMMYFUNCTION("IMPORTRANGE(""https://docs.google.com/spreadsheets/d/""&amp;$A156&amp;""/edit#gid=156619080"",D$3)"),8015.0)</f>
        <v>8015</v>
      </c>
      <c r="E156" s="15">
        <f>IFERROR(__xludf.DUMMYFUNCTION("IMPORTRANGE(""https://docs.google.com/spreadsheets/d/""&amp;$A156&amp;""/edit#gid=156619080"",E$3)"),43882.0)</f>
        <v>43882</v>
      </c>
      <c r="F156" s="2">
        <f>IFERROR(__xludf.DUMMYFUNCTION("IMPORTRANGE(""https://docs.google.com/spreadsheets/d/""&amp;$A156&amp;""/edit#gid=156619080"",F$3)"),-50.0)</f>
        <v>-50</v>
      </c>
      <c r="G156" s="16">
        <f>IFERROR(__xludf.DUMMYFUNCTION("IMPORTRANGE(""https://docs.google.com/spreadsheets/d/""&amp;$A156&amp;""/edit#gid=156619080"",G$3)"),-1.36)</f>
        <v>-1.36</v>
      </c>
      <c r="H156" s="16">
        <f>IFERROR(__xludf.DUMMYFUNCTION("IMPORTRANGE(""https://docs.google.com/spreadsheets/d/""&amp;$A156&amp;""/edit#gid=156619080"",H$3)"),3670.0)</f>
        <v>3670</v>
      </c>
      <c r="I156" s="16">
        <f>IFERROR(__xludf.DUMMYFUNCTION("IMPORTRANGE(""https://docs.google.com/spreadsheets/d/""&amp;$A156&amp;""/edit#gid=156619080"",I$3)"),20.0)</f>
        <v>20</v>
      </c>
      <c r="J156" s="16">
        <f>IFERROR(__xludf.DUMMYFUNCTION("IMPORTRANGE(""https://docs.google.com/spreadsheets/d/""&amp;$A156&amp;""/edit#gid=156619080"",J$3)"),3720.0)</f>
        <v>3720</v>
      </c>
      <c r="K156" s="16">
        <f>IFERROR(__xludf.DUMMYFUNCTION("IMPORTRANGE(""https://docs.google.com/spreadsheets/d/""&amp;$A156&amp;""/edit#gid=156619080"",K$3)"),0.38055555555555554)</f>
        <v>0.3805555556</v>
      </c>
      <c r="L156" s="16">
        <f>IFERROR(__xludf.DUMMYFUNCTION("IMPORTRANGE(""https://docs.google.com/spreadsheets/d/""&amp;$A156&amp;""/edit#gid=156619080"",L$3)"),3640.0)</f>
        <v>3640</v>
      </c>
      <c r="M156" s="16">
        <f>IFERROR(__xludf.DUMMYFUNCTION("IMPORTRANGE(""https://docs.google.com/spreadsheets/d/""&amp;$A156&amp;""/edit#gid=156619080"",M$3)"),0.6166666666666667)</f>
        <v>0.6166666667</v>
      </c>
      <c r="N156" s="16">
        <f>IFERROR(__xludf.DUMMYFUNCTION("IMPORTRANGE(""https://docs.google.com/spreadsheets/d/""&amp;$A156&amp;""/edit#gid=156619080"",N$3)"),3640.0)</f>
        <v>3640</v>
      </c>
      <c r="O156" s="16" t="str">
        <f>IFERROR(__xludf.DUMMYFUNCTION("IMPORTRANGE(""https://docs.google.com/spreadsheets/d/""&amp;$A156&amp;""/edit#gid=156619080"",O$3)"),"409300株")</f>
        <v>409300株</v>
      </c>
      <c r="P156" s="16" t="str">
        <f>IFERROR(__xludf.DUMMYFUNCTION("IMPORTRANGE(""https://docs.google.com/spreadsheets/d/""&amp;$A156&amp;""/edit#gid=156619080"",P$3)"),"1501百万円")</f>
        <v>1501百万円</v>
      </c>
      <c r="Q156" s="16" t="str">
        <f>IFERROR(__xludf.DUMMYFUNCTION("IMPORTRANGE(""https://docs.google.com/spreadsheets/d/""&amp;$A156&amp;""/edit#gid=156619080"",Q$3)"),"740回")</f>
        <v>740回</v>
      </c>
      <c r="R156" s="16" t="str">
        <f>IFERROR(__xludf.DUMMYFUNCTION("IMPORTRANGE(""https://docs.google.com/spreadsheets/d/""&amp;$A156&amp;""/edit#gid=156619080"",R$3)"),"12888億円")</f>
        <v>12888億円</v>
      </c>
      <c r="S156" s="16" t="str">
        <f>IFERROR(__xludf.DUMMYFUNCTION("IMPORTRANGE(""https://docs.google.com/spreadsheets/d/""&amp;$A156&amp;""/edit#gid=156619080"",S$3)"),"陰線")</f>
        <v>陰線</v>
      </c>
      <c r="T156" s="16" t="str">
        <f>IFERROR(__xludf.DUMMYFUNCTION("IMPORTRANGE(""https://docs.google.com/spreadsheets/d/""&amp;$A156&amp;""/edit#gid=156619080"",T$3)"),"")</f>
        <v/>
      </c>
      <c r="U156" s="16">
        <f>IFERROR(__xludf.DUMMYFUNCTION("IMPORTRANGE(""https://docs.google.com/spreadsheets/d/""&amp;$A156&amp;""/edit#gid=156619080"",U$3)"),3673.0)</f>
        <v>3673</v>
      </c>
      <c r="V156" s="16">
        <f>IFERROR(__xludf.DUMMYFUNCTION("IMPORTRANGE(""https://docs.google.com/spreadsheets/d/""&amp;$A156&amp;""/edit#gid=156619080"",V$3)"),3720.8)</f>
        <v>3720.8</v>
      </c>
      <c r="W156" s="16">
        <f>IFERROR(__xludf.DUMMYFUNCTION("IMPORTRANGE(""https://docs.google.com/spreadsheets/d/""&amp;$A156&amp;""/edit#gid=156619080"",W$3)"),3753.3)</f>
        <v>3753.3</v>
      </c>
      <c r="X156" s="2">
        <f>IFERROR(__xludf.DUMMYFUNCTION("IMPORTRANGE(""https://docs.google.com/spreadsheets/d/""&amp;$A156&amp;""/edit#gid=156619080"",X$3)"),3710.4)</f>
        <v>3710.4</v>
      </c>
      <c r="Y156" s="17">
        <f>IFERROR(__xludf.DUMMYFUNCTION("IMPORTRANGE(""https://docs.google.com/spreadsheets/d/""&amp;$A156&amp;""/edit#gid=156619080"",Y$3)"),-0.008984481350394773)</f>
        <v>-0.00898448135</v>
      </c>
      <c r="Z156" s="2">
        <f>IFERROR(__xludf.DUMMYFUNCTION("IMPORTRANGE(""https://docs.google.com/spreadsheets/d/""&amp;$A156&amp;""/edit#gid=156619080"",Z$3)"),3934.1)</f>
        <v>3934.1</v>
      </c>
      <c r="AA156" s="2">
        <f>IFERROR(__xludf.DUMMYFUNCTION("IMPORTRANGE(""https://docs.google.com/spreadsheets/d/""&amp;$A156&amp;""/edit#gid=156619080"",AA$3)"),3911.5)</f>
        <v>3911.5</v>
      </c>
      <c r="AB156" s="2">
        <f>IFERROR(__xludf.DUMMYFUNCTION("IMPORTRANGE(""https://docs.google.com/spreadsheets/d/""&amp;$A156&amp;""/edit#gid=156619080"",AB$3)"),3888.9)</f>
        <v>3888.9</v>
      </c>
      <c r="AC156" s="18">
        <f>IFERROR(__xludf.DUMMYFUNCTION("IMPORTRANGE(""https://docs.google.com/spreadsheets/d/""&amp;$A156&amp;""/edit#gid=156619080"",AC$3)"),3866.3)</f>
        <v>3866.3</v>
      </c>
      <c r="AD156" s="18">
        <f>IFERROR(__xludf.DUMMYFUNCTION("IMPORTRANGE(""https://docs.google.com/spreadsheets/d/""&amp;$A156&amp;""/edit#gid=156619080"",AD$3)"),3843.7)</f>
        <v>3843.7</v>
      </c>
      <c r="AE156" s="18">
        <f>IFERROR(__xludf.DUMMYFUNCTION("IMPORTRANGE(""https://docs.google.com/spreadsheets/d/""&amp;$A156&amp;""/edit#gid=156619080"",AE$3)"),3753.3)</f>
        <v>3753.3</v>
      </c>
      <c r="AF156" s="2">
        <f>IFERROR(__xludf.DUMMYFUNCTION("IMPORTRANGE(""https://docs.google.com/spreadsheets/d/""&amp;$A156&amp;""/edit#gid=156619080"",AF$3)"),3662.9)</f>
        <v>3662.9</v>
      </c>
      <c r="AG156" s="2">
        <f>IFERROR(__xludf.DUMMYFUNCTION("IMPORTRANGE(""https://docs.google.com/spreadsheets/d/""&amp;$A156&amp;""/edit#gid=156619080"",AG$3)"),3640.3)</f>
        <v>3640.3</v>
      </c>
      <c r="AH156" s="2">
        <f>IFERROR(__xludf.DUMMYFUNCTION("IMPORTRANGE(""https://docs.google.com/spreadsheets/d/""&amp;$A156&amp;""/edit#gid=156619080"",AH$3)"),3617.7)</f>
        <v>3617.7</v>
      </c>
      <c r="AI156" s="2">
        <f>IFERROR(__xludf.DUMMYFUNCTION("IMPORTRANGE(""https://docs.google.com/spreadsheets/d/""&amp;$A156&amp;""/edit#gid=156619080"",AI$3)"),3595.1)</f>
        <v>3595.1</v>
      </c>
      <c r="AJ156" s="2">
        <f>IFERROR(__xludf.DUMMYFUNCTION("IMPORTRANGE(""https://docs.google.com/spreadsheets/d/""&amp;$A156&amp;""/edit#gid=156619080"",AJ$3)"),3572.5)</f>
        <v>3572.5</v>
      </c>
      <c r="AK156" s="2" t="str">
        <f>IFERROR(__xludf.DUMMYFUNCTION("IMPORTRANGE(""https://docs.google.com/spreadsheets/d/""&amp;$A156&amp;""/edit#gid=156619080"",AK$3)"),"-1.25σ〜-1.5σ")</f>
        <v>-1.25σ〜-1.5σ</v>
      </c>
      <c r="AL156" s="2">
        <f>IFERROR(__xludf.DUMMYFUNCTION("IMPORTRANGE(""https://docs.google.com/spreadsheets/d/""&amp;$A156&amp;""/edit#gid=156619080"",AL$3)"),-1.0)</f>
        <v>-1</v>
      </c>
      <c r="AM156" s="2" t="str">
        <f>IFERROR(__xludf.DUMMYFUNCTION("IMPORTRANGE(""https://docs.google.com/spreadsheets/d/""&amp;$A156&amp;""/edit#gid=156619080"",AM$3)"),"")</f>
        <v/>
      </c>
      <c r="AN156" s="2">
        <f>IFERROR(__xludf.DUMMYFUNCTION("IMPORTRANGE(""https://docs.google.com/spreadsheets/d/""&amp;$A156&amp;""/edit#gid=156619080"",AN$3)"),-1.0)</f>
        <v>-1</v>
      </c>
      <c r="AO156" s="2" t="str">
        <f>IFERROR(__xludf.DUMMYFUNCTION("IMPORTRANGE(""https://docs.google.com/spreadsheets/d/""&amp;$A156&amp;""/edit#gid=156619080"",AO$3)"),"")</f>
        <v/>
      </c>
      <c r="AP156" s="2">
        <f>IFERROR(__xludf.DUMMYFUNCTION("IMPORTRANGE(""https://docs.google.com/spreadsheets/d/""&amp;$A156&amp;""/edit#gid=156619080"",AP$3)"),-1.0)</f>
        <v>-1</v>
      </c>
      <c r="AQ156" s="2" t="str">
        <f>IFERROR(__xludf.DUMMYFUNCTION("IMPORTRANGE(""https://docs.google.com/spreadsheets/d/""&amp;$A156&amp;""/edit#gid=156619080"",AQ$3)"),"")</f>
        <v/>
      </c>
      <c r="AR156" s="18">
        <f>IFERROR(__xludf.DUMMYFUNCTION("IMPORTRANGE(""https://docs.google.com/spreadsheets/d/""&amp;$A156&amp;""/edit#gid=156619080"",AR$3)"),-70.0)</f>
        <v>-70</v>
      </c>
      <c r="AS156" s="19" t="str">
        <f>IFERROR(__xludf.DUMMYFUNCTION("IMPORTRANGE(""https://docs.google.com/spreadsheets/d/""&amp;$A156&amp;""/edit#gid=156619080"",AS$3)"),"-100
-100
-100
-70
")</f>
        <v>-100
-100
-100
-70
</v>
      </c>
      <c r="AT156" s="18">
        <f>IFERROR(__xludf.DUMMYFUNCTION("IMPORTRANGE(""https://docs.google.com/spreadsheets/d/""&amp;$A156&amp;""/edit#gid=156619080"",AT$3)"),-43.956043956043956)</f>
        <v>-43.95604396</v>
      </c>
      <c r="AU156" s="3" t="str">
        <f>IFERROR(__xludf.DUMMYFUNCTION("IMPORTRANGE(""https://docs.google.com/spreadsheets/d/""&amp;$A156&amp;""/edit#gid=156619080"",AU$3)"),"-18.13
-12.09
-20.33
-8.24
")</f>
        <v>-18.13
-12.09
-20.33
-8.24
</v>
      </c>
      <c r="AV156" s="18">
        <f>IFERROR(__xludf.DUMMYFUNCTION("IMPORTRANGE(""https://docs.google.com/spreadsheets/d/""&amp;$A156&amp;""/edit#gid=156619080"",AV$3)"),-66.26623376623377)</f>
        <v>-66.26623377</v>
      </c>
      <c r="AW156" s="19" t="str">
        <f>IFERROR(__xludf.DUMMYFUNCTION("IMPORTRANGE(""https://docs.google.com/spreadsheets/d/""&amp;$A156&amp;""/edit#gid=156619080"",AW$3)"),"-74.51
-74.94
-72.89
-69.51
")</f>
        <v>-74.51
-74.94
-72.89
-69.51
</v>
      </c>
      <c r="AX156" s="2">
        <f>IFERROR(__xludf.DUMMYFUNCTION("IMPORTRANGE(""https://docs.google.com/spreadsheets/d/""&amp;$A156&amp;""/edit#gid=156619080"",AX$3)"),23.53)</f>
        <v>23.53</v>
      </c>
      <c r="AY156" s="2">
        <f>IFERROR(__xludf.DUMMYFUNCTION("IMPORTRANGE(""https://docs.google.com/spreadsheets/d/""&amp;$A156&amp;""/edit#gid=156619080"",AY$3)"),37.71)</f>
        <v>37.71</v>
      </c>
      <c r="AZ156" s="2">
        <f>IFERROR(__xludf.DUMMYFUNCTION("IMPORTRANGE(""https://docs.google.com/spreadsheets/d/""&amp;$A156&amp;""/edit#gid=156619080"",AZ$3)"),3675.26)</f>
        <v>3675.26</v>
      </c>
      <c r="BA156" s="2">
        <f>IFERROR(__xludf.DUMMYFUNCTION("IMPORTRANGE(""https://docs.google.com/spreadsheets/d/""&amp;$A156&amp;""/edit#gid=156619080"",BA$3)"),-67.55999999999995)</f>
        <v>-67.56</v>
      </c>
      <c r="BB156" s="2">
        <f>IFERROR(__xludf.DUMMYFUNCTION("IMPORTRANGE(""https://docs.google.com/spreadsheets/d/""&amp;$A156&amp;""/edit#gid=156619080"",BB$3)"),-47.67)</f>
        <v>-47.67</v>
      </c>
      <c r="BC156" s="2" t="str">
        <f>IFERROR(__xludf.DUMMYFUNCTION("IMPORTRANGE(""https://docs.google.com/spreadsheets/d/""&amp;$A156&amp;""/edit#gid=156619080"",BC$3)"),"DC→DC")</f>
        <v>DC→DC</v>
      </c>
    </row>
    <row r="157" ht="51.0" customHeight="1">
      <c r="A157" s="7" t="str">
        <f t="shared" si="5"/>
        <v>1YDbQoPpORQD4X_p59LhEj0NaV9LRFq3WdGWvg72eg_c</v>
      </c>
      <c r="B157" s="1" t="s">
        <v>184</v>
      </c>
      <c r="C157" s="2">
        <f>IFERROR(__xludf.DUMMYFUNCTION("IMPORTRANGE(""https://docs.google.com/spreadsheets/d/""&amp;$A157&amp;""/edit#gid=156619080"",C$3)"),132.0)</f>
        <v>132</v>
      </c>
      <c r="D157" s="2">
        <f>IFERROR(__xludf.DUMMYFUNCTION("IMPORTRANGE(""https://docs.google.com/spreadsheets/d/""&amp;$A157&amp;""/edit#gid=156619080"",D$3)"),8031.0)</f>
        <v>8031</v>
      </c>
      <c r="E157" s="15">
        <f>IFERROR(__xludf.DUMMYFUNCTION("IMPORTRANGE(""https://docs.google.com/spreadsheets/d/""&amp;$A157&amp;""/edit#gid=156619080"",E$3)"),43882.0)</f>
        <v>43882</v>
      </c>
      <c r="F157" s="2">
        <f>IFERROR(__xludf.DUMMYFUNCTION("IMPORTRANGE(""https://docs.google.com/spreadsheets/d/""&amp;$A157&amp;""/edit#gid=156619080"",F$3)"),12.5)</f>
        <v>12.5</v>
      </c>
      <c r="G157" s="16">
        <f>IFERROR(__xludf.DUMMYFUNCTION("IMPORTRANGE(""https://docs.google.com/spreadsheets/d/""&amp;$A157&amp;""/edit#gid=156619080"",G$3)"),0.65)</f>
        <v>0.65</v>
      </c>
      <c r="H157" s="16">
        <f>IFERROR(__xludf.DUMMYFUNCTION("IMPORTRANGE(""https://docs.google.com/spreadsheets/d/""&amp;$A157&amp;""/edit#gid=156619080"",H$3)"),1938.0)</f>
        <v>1938</v>
      </c>
      <c r="I157" s="16">
        <f>IFERROR(__xludf.DUMMYFUNCTION("IMPORTRANGE(""https://docs.google.com/spreadsheets/d/""&amp;$A157&amp;""/edit#gid=156619080"",I$3)"),-8.5)</f>
        <v>-8.5</v>
      </c>
      <c r="J157" s="16">
        <f>IFERROR(__xludf.DUMMYFUNCTION("IMPORTRANGE(""https://docs.google.com/spreadsheets/d/""&amp;$A157&amp;""/edit#gid=156619080"",J$3)"),1956.0)</f>
        <v>1956</v>
      </c>
      <c r="K157" s="16">
        <f>IFERROR(__xludf.DUMMYFUNCTION("IMPORTRANGE(""https://docs.google.com/spreadsheets/d/""&amp;$A157&amp;""/edit#gid=156619080"",K$3)"),0.40069444444444446)</f>
        <v>0.4006944444</v>
      </c>
      <c r="L157" s="16">
        <f>IFERROR(__xludf.DUMMYFUNCTION("IMPORTRANGE(""https://docs.google.com/spreadsheets/d/""&amp;$A157&amp;""/edit#gid=156619080"",L$3)"),1935.0)</f>
        <v>1935</v>
      </c>
      <c r="M157" s="16">
        <f>IFERROR(__xludf.DUMMYFUNCTION("IMPORTRANGE(""https://docs.google.com/spreadsheets/d/""&amp;$A157&amp;""/edit#gid=156619080"",M$3)"),0.375)</f>
        <v>0.375</v>
      </c>
      <c r="N157" s="16">
        <f>IFERROR(__xludf.DUMMYFUNCTION("IMPORTRANGE(""https://docs.google.com/spreadsheets/d/""&amp;$A157&amp;""/edit#gid=156619080"",N$3)"),1942.0)</f>
        <v>1942</v>
      </c>
      <c r="O157" s="16" t="str">
        <f>IFERROR(__xludf.DUMMYFUNCTION("IMPORTRANGE(""https://docs.google.com/spreadsheets/d/""&amp;$A157&amp;""/edit#gid=156619080"",O$3)"),"6029700株")</f>
        <v>6029700株</v>
      </c>
      <c r="P157" s="16" t="str">
        <f>IFERROR(__xludf.DUMMYFUNCTION("IMPORTRANGE(""https://docs.google.com/spreadsheets/d/""&amp;$A157&amp;""/edit#gid=156619080"",P$3)"),"11736百万円")</f>
        <v>11736百万円</v>
      </c>
      <c r="Q157" s="16" t="str">
        <f>IFERROR(__xludf.DUMMYFUNCTION("IMPORTRANGE(""https://docs.google.com/spreadsheets/d/""&amp;$A157&amp;""/edit#gid=156619080"",Q$3)"),"6002回")</f>
        <v>6002回</v>
      </c>
      <c r="R157" s="16" t="str">
        <f>IFERROR(__xludf.DUMMYFUNCTION("IMPORTRANGE(""https://docs.google.com/spreadsheets/d/""&amp;$A157&amp;""/edit#gid=156619080"",R$3)"),"33843億円")</f>
        <v>33843億円</v>
      </c>
      <c r="S157" s="16" t="str">
        <f>IFERROR(__xludf.DUMMYFUNCTION("IMPORTRANGE(""https://docs.google.com/spreadsheets/d/""&amp;$A157&amp;""/edit#gid=156619080"",S$3)"),"陽線")</f>
        <v>陽線</v>
      </c>
      <c r="T157" s="16" t="str">
        <f>IFERROR(__xludf.DUMMYFUNCTION("IMPORTRANGE(""https://docs.google.com/spreadsheets/d/""&amp;$A157&amp;""/edit#gid=156619080"",T$3)"),"")</f>
        <v/>
      </c>
      <c r="U157" s="16">
        <f>IFERROR(__xludf.DUMMYFUNCTION("IMPORTRANGE(""https://docs.google.com/spreadsheets/d/""&amp;$A157&amp;""/edit#gid=156619080"",U$3)"),1934.5)</f>
        <v>1934.5</v>
      </c>
      <c r="V157" s="16">
        <f>IFERROR(__xludf.DUMMYFUNCTION("IMPORTRANGE(""https://docs.google.com/spreadsheets/d/""&amp;$A157&amp;""/edit#gid=156619080"",V$3)"),1949.6)</f>
        <v>1949.6</v>
      </c>
      <c r="W157" s="16">
        <f>IFERROR(__xludf.DUMMYFUNCTION("IMPORTRANGE(""https://docs.google.com/spreadsheets/d/""&amp;$A157&amp;""/edit#gid=156619080"",W$3)"),1952.1)</f>
        <v>1952.1</v>
      </c>
      <c r="X157" s="2">
        <f>IFERROR(__xludf.DUMMYFUNCTION("IMPORTRANGE(""https://docs.google.com/spreadsheets/d/""&amp;$A157&amp;""/edit#gid=156619080"",X$3)"),1885.4)</f>
        <v>1885.4</v>
      </c>
      <c r="Y157" s="17">
        <f>IFERROR(__xludf.DUMMYFUNCTION("IMPORTRANGE(""https://docs.google.com/spreadsheets/d/""&amp;$A157&amp;""/edit#gid=156619080"",Y$3)"),0.003876970793486689)</f>
        <v>0.003876970793</v>
      </c>
      <c r="Z157" s="2">
        <f>IFERROR(__xludf.DUMMYFUNCTION("IMPORTRANGE(""https://docs.google.com/spreadsheets/d/""&amp;$A157&amp;""/edit#gid=156619080"",Z$3)"),1986.21)</f>
        <v>1986.21</v>
      </c>
      <c r="AA157" s="2">
        <f>IFERROR(__xludf.DUMMYFUNCTION("IMPORTRANGE(""https://docs.google.com/spreadsheets/d/""&amp;$A157&amp;""/edit#gid=156619080"",AA$3)"),1981.94)</f>
        <v>1981.94</v>
      </c>
      <c r="AB157" s="2">
        <f>IFERROR(__xludf.DUMMYFUNCTION("IMPORTRANGE(""https://docs.google.com/spreadsheets/d/""&amp;$A157&amp;""/edit#gid=156619080"",AB$3)"),1977.68)</f>
        <v>1977.68</v>
      </c>
      <c r="AC157" s="18">
        <f>IFERROR(__xludf.DUMMYFUNCTION("IMPORTRANGE(""https://docs.google.com/spreadsheets/d/""&amp;$A157&amp;""/edit#gid=156619080"",AC$3)"),1973.42)</f>
        <v>1973.42</v>
      </c>
      <c r="AD157" s="18">
        <f>IFERROR(__xludf.DUMMYFUNCTION("IMPORTRANGE(""https://docs.google.com/spreadsheets/d/""&amp;$A157&amp;""/edit#gid=156619080"",AD$3)"),1969.15)</f>
        <v>1969.15</v>
      </c>
      <c r="AE157" s="18">
        <f>IFERROR(__xludf.DUMMYFUNCTION("IMPORTRANGE(""https://docs.google.com/spreadsheets/d/""&amp;$A157&amp;""/edit#gid=156619080"",AE$3)"),1952.1)</f>
        <v>1952.1</v>
      </c>
      <c r="AF157" s="2">
        <f>IFERROR(__xludf.DUMMYFUNCTION("IMPORTRANGE(""https://docs.google.com/spreadsheets/d/""&amp;$A157&amp;""/edit#gid=156619080"",AF$3)"),1935.05)</f>
        <v>1935.05</v>
      </c>
      <c r="AG157" s="2">
        <f>IFERROR(__xludf.DUMMYFUNCTION("IMPORTRANGE(""https://docs.google.com/spreadsheets/d/""&amp;$A157&amp;""/edit#gid=156619080"",AG$3)"),1930.78)</f>
        <v>1930.78</v>
      </c>
      <c r="AH157" s="2">
        <f>IFERROR(__xludf.DUMMYFUNCTION("IMPORTRANGE(""https://docs.google.com/spreadsheets/d/""&amp;$A157&amp;""/edit#gid=156619080"",AH$3)"),1926.52)</f>
        <v>1926.52</v>
      </c>
      <c r="AI157" s="2">
        <f>IFERROR(__xludf.DUMMYFUNCTION("IMPORTRANGE(""https://docs.google.com/spreadsheets/d/""&amp;$A157&amp;""/edit#gid=156619080"",AI$3)"),1922.26)</f>
        <v>1922.26</v>
      </c>
      <c r="AJ157" s="2">
        <f>IFERROR(__xludf.DUMMYFUNCTION("IMPORTRANGE(""https://docs.google.com/spreadsheets/d/""&amp;$A157&amp;""/edit#gid=156619080"",AJ$3)"),1917.99)</f>
        <v>1917.99</v>
      </c>
      <c r="AK157" s="2" t="str">
        <f>IFERROR(__xludf.DUMMYFUNCTION("IMPORTRANGE(""https://docs.google.com/spreadsheets/d/""&amp;$A157&amp;""/edit#gid=156619080"",AK$3)"),"")</f>
        <v/>
      </c>
      <c r="AL157" s="2">
        <f>IFERROR(__xludf.DUMMYFUNCTION("IMPORTRANGE(""https://docs.google.com/spreadsheets/d/""&amp;$A157&amp;""/edit#gid=156619080"",AL$3)"),-1.0)</f>
        <v>-1</v>
      </c>
      <c r="AM157" s="2" t="str">
        <f>IFERROR(__xludf.DUMMYFUNCTION("IMPORTRANGE(""https://docs.google.com/spreadsheets/d/""&amp;$A157&amp;""/edit#gid=156619080"",AM$3)"),"")</f>
        <v/>
      </c>
      <c r="AN157" s="2">
        <f>IFERROR(__xludf.DUMMYFUNCTION("IMPORTRANGE(""https://docs.google.com/spreadsheets/d/""&amp;$A157&amp;""/edit#gid=156619080"",AN$3)"),-1.0)</f>
        <v>-1</v>
      </c>
      <c r="AO157" s="2" t="str">
        <f>IFERROR(__xludf.DUMMYFUNCTION("IMPORTRANGE(""https://docs.google.com/spreadsheets/d/""&amp;$A157&amp;""/edit#gid=156619080"",AO$3)"),"")</f>
        <v/>
      </c>
      <c r="AP157" s="2">
        <f>IFERROR(__xludf.DUMMYFUNCTION("IMPORTRANGE(""https://docs.google.com/spreadsheets/d/""&amp;$A157&amp;""/edit#gid=156619080"",AP$3)"),-1.0)</f>
        <v>-1</v>
      </c>
      <c r="AQ157" s="2" t="str">
        <f>IFERROR(__xludf.DUMMYFUNCTION("IMPORTRANGE(""https://docs.google.com/spreadsheets/d/""&amp;$A157&amp;""/edit#gid=156619080"",AQ$3)"),"")</f>
        <v/>
      </c>
      <c r="AR157" s="18">
        <f>IFERROR(__xludf.DUMMYFUNCTION("IMPORTRANGE(""https://docs.google.com/spreadsheets/d/""&amp;$A157&amp;""/edit#gid=156619080"",AR$3)"),9.999999999999998)</f>
        <v>10</v>
      </c>
      <c r="AS157" s="19" t="str">
        <f>IFERROR(__xludf.DUMMYFUNCTION("IMPORTRANGE(""https://docs.google.com/spreadsheets/d/""&amp;$A157&amp;""/edit#gid=156619080"",AS$3)"),"-70
-90
-90
-90
")</f>
        <v>-70
-90
-90
-90
</v>
      </c>
      <c r="AT157" s="18">
        <f>IFERROR(__xludf.DUMMYFUNCTION("IMPORTRANGE(""https://docs.google.com/spreadsheets/d/""&amp;$A157&amp;""/edit#gid=156619080"",AT$3)"),-62.08791208791209)</f>
        <v>-62.08791209</v>
      </c>
      <c r="AU157" s="3" t="str">
        <f>IFERROR(__xludf.DUMMYFUNCTION("IMPORTRANGE(""https://docs.google.com/spreadsheets/d/""&amp;$A157&amp;""/edit#gid=156619080"",AU$3)"),"-3.85
-13.87
-42.45
-51.79
")</f>
        <v>-3.85
-13.87
-42.45
-51.79
</v>
      </c>
      <c r="AV157" s="18">
        <f>IFERROR(__xludf.DUMMYFUNCTION("IMPORTRANGE(""https://docs.google.com/spreadsheets/d/""&amp;$A157&amp;""/edit#gid=156619080"",AV$3)"),-52.33766233766233)</f>
        <v>-52.33766234</v>
      </c>
      <c r="AW157" s="19" t="str">
        <f>IFERROR(__xludf.DUMMYFUNCTION("IMPORTRANGE(""https://docs.google.com/spreadsheets/d/""&amp;$A157&amp;""/edit#gid=156619080"",AW$3)"),"-48.44
-54.16
-55.71
-57.4
")</f>
        <v>-48.44
-54.16
-55.71
-57.4
</v>
      </c>
      <c r="AX157" s="2">
        <f>IFERROR(__xludf.DUMMYFUNCTION("IMPORTRANGE(""https://docs.google.com/spreadsheets/d/""&amp;$A157&amp;""/edit#gid=156619080"",AX$3)"),48.53)</f>
        <v>48.53</v>
      </c>
      <c r="AY157" s="2">
        <f>IFERROR(__xludf.DUMMYFUNCTION("IMPORTRANGE(""https://docs.google.com/spreadsheets/d/""&amp;$A157&amp;""/edit#gid=156619080"",AY$3)"),42.47)</f>
        <v>42.47</v>
      </c>
      <c r="AZ157" s="2">
        <f>IFERROR(__xludf.DUMMYFUNCTION("IMPORTRANGE(""https://docs.google.com/spreadsheets/d/""&amp;$A157&amp;""/edit#gid=156619080"",AZ$3)"),1938.24)</f>
        <v>1938.24</v>
      </c>
      <c r="BA157" s="2">
        <f>IFERROR(__xludf.DUMMYFUNCTION("IMPORTRANGE(""https://docs.google.com/spreadsheets/d/""&amp;$A157&amp;""/edit#gid=156619080"",BA$3)"),-11.710000000000036)</f>
        <v>-11.71</v>
      </c>
      <c r="BB157" s="2">
        <f>IFERROR(__xludf.DUMMYFUNCTION("IMPORTRANGE(""https://docs.google.com/spreadsheets/d/""&amp;$A157&amp;""/edit#gid=156619080"",BB$3)"),-7.05)</f>
        <v>-7.05</v>
      </c>
      <c r="BC157" s="2" t="str">
        <f>IFERROR(__xludf.DUMMYFUNCTION("IMPORTRANGE(""https://docs.google.com/spreadsheets/d/""&amp;$A157&amp;""/edit#gid=156619080"",BC$3)"),"DC→DC")</f>
        <v>DC→DC</v>
      </c>
    </row>
    <row r="158" ht="51.0" customHeight="1">
      <c r="A158" s="7" t="str">
        <f t="shared" si="5"/>
        <v>1W1qDV06ZtrZrPneaoYEqc9MxU2DaU4B6xvdmccRou-I</v>
      </c>
      <c r="B158" s="1" t="s">
        <v>185</v>
      </c>
      <c r="C158" s="2">
        <f>IFERROR(__xludf.DUMMYFUNCTION("IMPORTRANGE(""https://docs.google.com/spreadsheets/d/""&amp;$A158&amp;""/edit#gid=156619080"",C$3)"),132.0)</f>
        <v>132</v>
      </c>
      <c r="D158" s="2">
        <f>IFERROR(__xludf.DUMMYFUNCTION("IMPORTRANGE(""https://docs.google.com/spreadsheets/d/""&amp;$A158&amp;""/edit#gid=156619080"",D$3)"),8053.0)</f>
        <v>8053</v>
      </c>
      <c r="E158" s="15">
        <f>IFERROR(__xludf.DUMMYFUNCTION("IMPORTRANGE(""https://docs.google.com/spreadsheets/d/""&amp;$A158&amp;""/edit#gid=156619080"",E$3)"),43882.0)</f>
        <v>43882</v>
      </c>
      <c r="F158" s="2">
        <f>IFERROR(__xludf.DUMMYFUNCTION("IMPORTRANGE(""https://docs.google.com/spreadsheets/d/""&amp;$A158&amp;""/edit#gid=156619080"",F$3)"),-1.5)</f>
        <v>-1.5</v>
      </c>
      <c r="G158" s="16">
        <f>IFERROR(__xludf.DUMMYFUNCTION("IMPORTRANGE(""https://docs.google.com/spreadsheets/d/""&amp;$A158&amp;""/edit#gid=156619080"",G$3)"),-0.09)</f>
        <v>-0.09</v>
      </c>
      <c r="H158" s="16">
        <f>IFERROR(__xludf.DUMMYFUNCTION("IMPORTRANGE(""https://docs.google.com/spreadsheets/d/""&amp;$A158&amp;""/edit#gid=156619080"",H$3)"),1651.0)</f>
        <v>1651</v>
      </c>
      <c r="I158" s="16">
        <f>IFERROR(__xludf.DUMMYFUNCTION("IMPORTRANGE(""https://docs.google.com/spreadsheets/d/""&amp;$A158&amp;""/edit#gid=156619080"",I$3)"),-1.5)</f>
        <v>-1.5</v>
      </c>
      <c r="J158" s="16">
        <f>IFERROR(__xludf.DUMMYFUNCTION("IMPORTRANGE(""https://docs.google.com/spreadsheets/d/""&amp;$A158&amp;""/edit#gid=156619080"",J$3)"),1662.0)</f>
        <v>1662</v>
      </c>
      <c r="K158" s="16">
        <f>IFERROR(__xludf.DUMMYFUNCTION("IMPORTRANGE(""https://docs.google.com/spreadsheets/d/""&amp;$A158&amp;""/edit#gid=156619080"",K$3)"),0.38125)</f>
        <v>0.38125</v>
      </c>
      <c r="L158" s="16">
        <f>IFERROR(__xludf.DUMMYFUNCTION("IMPORTRANGE(""https://docs.google.com/spreadsheets/d/""&amp;$A158&amp;""/edit#gid=156619080"",L$3)"),1645.0)</f>
        <v>1645</v>
      </c>
      <c r="M158" s="16">
        <f>IFERROR(__xludf.DUMMYFUNCTION("IMPORTRANGE(""https://docs.google.com/spreadsheets/d/""&amp;$A158&amp;""/edit#gid=156619080"",M$3)"),0.6236111111111111)</f>
        <v>0.6236111111</v>
      </c>
      <c r="N158" s="16">
        <f>IFERROR(__xludf.DUMMYFUNCTION("IMPORTRANGE(""https://docs.google.com/spreadsheets/d/""&amp;$A158&amp;""/edit#gid=156619080"",N$3)"),1648.0)</f>
        <v>1648</v>
      </c>
      <c r="O158" s="16" t="str">
        <f>IFERROR(__xludf.DUMMYFUNCTION("IMPORTRANGE(""https://docs.google.com/spreadsheets/d/""&amp;$A158&amp;""/edit#gid=156619080"",O$3)"),"2588800株")</f>
        <v>2588800株</v>
      </c>
      <c r="P158" s="16" t="str">
        <f>IFERROR(__xludf.DUMMYFUNCTION("IMPORTRANGE(""https://docs.google.com/spreadsheets/d/""&amp;$A158&amp;""/edit#gid=156619080"",P$3)"),"4277百万円")</f>
        <v>4277百万円</v>
      </c>
      <c r="Q158" s="16" t="str">
        <f>IFERROR(__xludf.DUMMYFUNCTION("IMPORTRANGE(""https://docs.google.com/spreadsheets/d/""&amp;$A158&amp;""/edit#gid=156619080"",Q$3)"),"2950回")</f>
        <v>2950回</v>
      </c>
      <c r="R158" s="16" t="str">
        <f>IFERROR(__xludf.DUMMYFUNCTION("IMPORTRANGE(""https://docs.google.com/spreadsheets/d/""&amp;$A158&amp;""/edit#gid=156619080"",R$3)"),"20616億円")</f>
        <v>20616億円</v>
      </c>
      <c r="S158" s="16" t="str">
        <f>IFERROR(__xludf.DUMMYFUNCTION("IMPORTRANGE(""https://docs.google.com/spreadsheets/d/""&amp;$A158&amp;""/edit#gid=156619080"",S$3)"),"陰線")</f>
        <v>陰線</v>
      </c>
      <c r="T158" s="16" t="str">
        <f>IFERROR(__xludf.DUMMYFUNCTION("IMPORTRANGE(""https://docs.google.com/spreadsheets/d/""&amp;$A158&amp;""/edit#gid=156619080"",T$3)"),"")</f>
        <v/>
      </c>
      <c r="U158" s="16">
        <f>IFERROR(__xludf.DUMMYFUNCTION("IMPORTRANGE(""https://docs.google.com/spreadsheets/d/""&amp;$A158&amp;""/edit#gid=156619080"",U$3)"),1653.6)</f>
        <v>1653.6</v>
      </c>
      <c r="V158" s="16">
        <f>IFERROR(__xludf.DUMMYFUNCTION("IMPORTRANGE(""https://docs.google.com/spreadsheets/d/""&amp;$A158&amp;""/edit#gid=156619080"",V$3)"),1672.0)</f>
        <v>1672</v>
      </c>
      <c r="W158" s="16">
        <f>IFERROR(__xludf.DUMMYFUNCTION("IMPORTRANGE(""https://docs.google.com/spreadsheets/d/""&amp;$A158&amp;""/edit#gid=156619080"",W$3)"),1661.5)</f>
        <v>1661.5</v>
      </c>
      <c r="X158" s="2">
        <f>IFERROR(__xludf.DUMMYFUNCTION("IMPORTRANGE(""https://docs.google.com/spreadsheets/d/""&amp;$A158&amp;""/edit#gid=156619080"",X$3)"),1654.6)</f>
        <v>1654.6</v>
      </c>
      <c r="Y158" s="17">
        <f>IFERROR(__xludf.DUMMYFUNCTION("IMPORTRANGE(""https://docs.google.com/spreadsheets/d/""&amp;$A158&amp;""/edit#gid=156619080"",Y$3)"),-0.0033865505563618224)</f>
        <v>-0.003386550556</v>
      </c>
      <c r="Z158" s="2">
        <f>IFERROR(__xludf.DUMMYFUNCTION("IMPORTRANGE(""https://docs.google.com/spreadsheets/d/""&amp;$A158&amp;""/edit#gid=156619080"",Z$3)"),1705.66)</f>
        <v>1705.66</v>
      </c>
      <c r="AA158" s="2">
        <f>IFERROR(__xludf.DUMMYFUNCTION("IMPORTRANGE(""https://docs.google.com/spreadsheets/d/""&amp;$A158&amp;""/edit#gid=156619080"",AA$3)"),1700.14)</f>
        <v>1700.14</v>
      </c>
      <c r="AB158" s="2">
        <f>IFERROR(__xludf.DUMMYFUNCTION("IMPORTRANGE(""https://docs.google.com/spreadsheets/d/""&amp;$A158&amp;""/edit#gid=156619080"",AB$3)"),1694.62)</f>
        <v>1694.62</v>
      </c>
      <c r="AC158" s="18">
        <f>IFERROR(__xludf.DUMMYFUNCTION("IMPORTRANGE(""https://docs.google.com/spreadsheets/d/""&amp;$A158&amp;""/edit#gid=156619080"",AC$3)"),1689.1)</f>
        <v>1689.1</v>
      </c>
      <c r="AD158" s="18">
        <f>IFERROR(__xludf.DUMMYFUNCTION("IMPORTRANGE(""https://docs.google.com/spreadsheets/d/""&amp;$A158&amp;""/edit#gid=156619080"",AD$3)"),1683.58)</f>
        <v>1683.58</v>
      </c>
      <c r="AE158" s="18">
        <f>IFERROR(__xludf.DUMMYFUNCTION("IMPORTRANGE(""https://docs.google.com/spreadsheets/d/""&amp;$A158&amp;""/edit#gid=156619080"",AE$3)"),1661.5)</f>
        <v>1661.5</v>
      </c>
      <c r="AF158" s="2">
        <f>IFERROR(__xludf.DUMMYFUNCTION("IMPORTRANGE(""https://docs.google.com/spreadsheets/d/""&amp;$A158&amp;""/edit#gid=156619080"",AF$3)"),1639.42)</f>
        <v>1639.42</v>
      </c>
      <c r="AG158" s="2">
        <f>IFERROR(__xludf.DUMMYFUNCTION("IMPORTRANGE(""https://docs.google.com/spreadsheets/d/""&amp;$A158&amp;""/edit#gid=156619080"",AG$3)"),1633.9)</f>
        <v>1633.9</v>
      </c>
      <c r="AH158" s="2">
        <f>IFERROR(__xludf.DUMMYFUNCTION("IMPORTRANGE(""https://docs.google.com/spreadsheets/d/""&amp;$A158&amp;""/edit#gid=156619080"",AH$3)"),1628.38)</f>
        <v>1628.38</v>
      </c>
      <c r="AI158" s="2">
        <f>IFERROR(__xludf.DUMMYFUNCTION("IMPORTRANGE(""https://docs.google.com/spreadsheets/d/""&amp;$A158&amp;""/edit#gid=156619080"",AI$3)"),1622.86)</f>
        <v>1622.86</v>
      </c>
      <c r="AJ158" s="2">
        <f>IFERROR(__xludf.DUMMYFUNCTION("IMPORTRANGE(""https://docs.google.com/spreadsheets/d/""&amp;$A158&amp;""/edit#gid=156619080"",AJ$3)"),1617.34)</f>
        <v>1617.34</v>
      </c>
      <c r="AK158" s="2" t="str">
        <f>IFERROR(__xludf.DUMMYFUNCTION("IMPORTRANGE(""https://docs.google.com/spreadsheets/d/""&amp;$A158&amp;""/edit#gid=156619080"",AK$3)"),"")</f>
        <v/>
      </c>
      <c r="AL158" s="2">
        <f>IFERROR(__xludf.DUMMYFUNCTION("IMPORTRANGE(""https://docs.google.com/spreadsheets/d/""&amp;$A158&amp;""/edit#gid=156619080"",AL$3)"),-1.0)</f>
        <v>-1</v>
      </c>
      <c r="AM158" s="2" t="str">
        <f>IFERROR(__xludf.DUMMYFUNCTION("IMPORTRANGE(""https://docs.google.com/spreadsheets/d/""&amp;$A158&amp;""/edit#gid=156619080"",AM$3)"),"")</f>
        <v/>
      </c>
      <c r="AN158" s="2">
        <f>IFERROR(__xludf.DUMMYFUNCTION("IMPORTRANGE(""https://docs.google.com/spreadsheets/d/""&amp;$A158&amp;""/edit#gid=156619080"",AN$3)"),-1.0)</f>
        <v>-1</v>
      </c>
      <c r="AO158" s="2" t="str">
        <f>IFERROR(__xludf.DUMMYFUNCTION("IMPORTRANGE(""https://docs.google.com/spreadsheets/d/""&amp;$A158&amp;""/edit#gid=156619080"",AO$3)"),"")</f>
        <v/>
      </c>
      <c r="AP158" s="2">
        <f>IFERROR(__xludf.DUMMYFUNCTION("IMPORTRANGE(""https://docs.google.com/spreadsheets/d/""&amp;$A158&amp;""/edit#gid=156619080"",AP$3)"),1.0)</f>
        <v>1</v>
      </c>
      <c r="AQ158" s="2" t="str">
        <f>IFERROR(__xludf.DUMMYFUNCTION("IMPORTRANGE(""https://docs.google.com/spreadsheets/d/""&amp;$A158&amp;""/edit#gid=156619080"",AQ$3)"),"")</f>
        <v/>
      </c>
      <c r="AR158" s="18">
        <f>IFERROR(__xludf.DUMMYFUNCTION("IMPORTRANGE(""https://docs.google.com/spreadsheets/d/""&amp;$A158&amp;""/edit#gid=156619080"",AR$3)"),-32.49999999999999)</f>
        <v>-32.5</v>
      </c>
      <c r="AS158" s="19" t="str">
        <f>IFERROR(__xludf.DUMMYFUNCTION("IMPORTRANGE(""https://docs.google.com/spreadsheets/d/""&amp;$A158&amp;""/edit#gid=156619080"",AS$3)"),"-90
-90
-100
-70
")</f>
        <v>-90
-90
-100
-70
</v>
      </c>
      <c r="AT158" s="18">
        <f>IFERROR(__xludf.DUMMYFUNCTION("IMPORTRANGE(""https://docs.google.com/spreadsheets/d/""&amp;$A158&amp;""/edit#gid=156619080"",AT$3)"),-56.730769230769226)</f>
        <v>-56.73076923</v>
      </c>
      <c r="AU158" s="3" t="str">
        <f>IFERROR(__xludf.DUMMYFUNCTION("IMPORTRANGE(""https://docs.google.com/spreadsheets/d/""&amp;$A158&amp;""/edit#gid=156619080"",AU$3)"),"68.13
48.9
18.68
-15.93
")</f>
        <v>68.13
48.9
18.68
-15.93
</v>
      </c>
      <c r="AV158" s="18">
        <f>IFERROR(__xludf.DUMMYFUNCTION("IMPORTRANGE(""https://docs.google.com/spreadsheets/d/""&amp;$A158&amp;""/edit#gid=156619080"",AV$3)"),22.305194805194805)</f>
        <v>22.30519481</v>
      </c>
      <c r="AW158" s="19" t="str">
        <f>IFERROR(__xludf.DUMMYFUNCTION("IMPORTRANGE(""https://docs.google.com/spreadsheets/d/""&amp;$A158&amp;""/edit#gid=156619080"",AW$3)"),"55.19
40.78
30.39
24.55
")</f>
        <v>55.19
40.78
30.39
24.55
</v>
      </c>
      <c r="AX158" s="2">
        <f>IFERROR(__xludf.DUMMYFUNCTION("IMPORTRANGE(""https://docs.google.com/spreadsheets/d/""&amp;$A158&amp;""/edit#gid=156619080"",AX$3)"),8.89)</f>
        <v>8.89</v>
      </c>
      <c r="AY158" s="2">
        <f>IFERROR(__xludf.DUMMYFUNCTION("IMPORTRANGE(""https://docs.google.com/spreadsheets/d/""&amp;$A158&amp;""/edit#gid=156619080"",AY$3)"),45.83)</f>
        <v>45.83</v>
      </c>
      <c r="AZ158" s="2">
        <f>IFERROR(__xludf.DUMMYFUNCTION("IMPORTRANGE(""https://docs.google.com/spreadsheets/d/""&amp;$A158&amp;""/edit#gid=156619080"",AZ$3)"),1654.93)</f>
        <v>1654.93</v>
      </c>
      <c r="BA158" s="2">
        <f>IFERROR(__xludf.DUMMYFUNCTION("IMPORTRANGE(""https://docs.google.com/spreadsheets/d/""&amp;$A158&amp;""/edit#gid=156619080"",BA$3)"),-5.389999999999873)</f>
        <v>-5.39</v>
      </c>
      <c r="BB158" s="2">
        <f>IFERROR(__xludf.DUMMYFUNCTION("IMPORTRANGE(""https://docs.google.com/spreadsheets/d/""&amp;$A158&amp;""/edit#gid=156619080"",BB$3)"),7.26)</f>
        <v>7.26</v>
      </c>
      <c r="BC158" s="2" t="str">
        <f>IFERROR(__xludf.DUMMYFUNCTION("IMPORTRANGE(""https://docs.google.com/spreadsheets/d/""&amp;$A158&amp;""/edit#gid=156619080"",BC$3)"),"DC→DC")</f>
        <v>DC→DC</v>
      </c>
    </row>
    <row r="159" ht="51.0" customHeight="1">
      <c r="A159" s="7" t="str">
        <f t="shared" si="5"/>
        <v>1O9l6Xd4yn-bMG5qiOCZZNVm80n48ifETCfzIsmMrNEU</v>
      </c>
      <c r="B159" s="1" t="s">
        <v>186</v>
      </c>
      <c r="C159" s="2">
        <f>IFERROR(__xludf.DUMMYFUNCTION("IMPORTRANGE(""https://docs.google.com/spreadsheets/d/""&amp;$A159&amp;""/edit#gid=156619080"",C$3)"),132.0)</f>
        <v>132</v>
      </c>
      <c r="D159" s="2">
        <f>IFERROR(__xludf.DUMMYFUNCTION("IMPORTRANGE(""https://docs.google.com/spreadsheets/d/""&amp;$A159&amp;""/edit#gid=156619080"",D$3)"),8058.0)</f>
        <v>8058</v>
      </c>
      <c r="E159" s="15">
        <f>IFERROR(__xludf.DUMMYFUNCTION("IMPORTRANGE(""https://docs.google.com/spreadsheets/d/""&amp;$A159&amp;""/edit#gid=156619080"",E$3)"),43882.0)</f>
        <v>43882</v>
      </c>
      <c r="F159" s="2">
        <f>IFERROR(__xludf.DUMMYFUNCTION("IMPORTRANGE(""https://docs.google.com/spreadsheets/d/""&amp;$A159&amp;""/edit#gid=156619080"",F$3)"),13.0)</f>
        <v>13</v>
      </c>
      <c r="G159" s="16">
        <f>IFERROR(__xludf.DUMMYFUNCTION("IMPORTRANGE(""https://docs.google.com/spreadsheets/d/""&amp;$A159&amp;""/edit#gid=156619080"",G$3)"),0.46)</f>
        <v>0.46</v>
      </c>
      <c r="H159" s="16">
        <f>IFERROR(__xludf.DUMMYFUNCTION("IMPORTRANGE(""https://docs.google.com/spreadsheets/d/""&amp;$A159&amp;""/edit#gid=156619080"",H$3)"),2855.5)</f>
        <v>2855.5</v>
      </c>
      <c r="I159" s="16">
        <f>IFERROR(__xludf.DUMMYFUNCTION("IMPORTRANGE(""https://docs.google.com/spreadsheets/d/""&amp;$A159&amp;""/edit#gid=156619080"",I$3)"),-3.5)</f>
        <v>-3.5</v>
      </c>
      <c r="J159" s="16">
        <f>IFERROR(__xludf.DUMMYFUNCTION("IMPORTRANGE(""https://docs.google.com/spreadsheets/d/""&amp;$A159&amp;""/edit#gid=156619080"",J$3)"),2881.0)</f>
        <v>2881</v>
      </c>
      <c r="K159" s="16">
        <f>IFERROR(__xludf.DUMMYFUNCTION("IMPORTRANGE(""https://docs.google.com/spreadsheets/d/""&amp;$A159&amp;""/edit#gid=156619080"",K$3)"),0.3972222222222222)</f>
        <v>0.3972222222</v>
      </c>
      <c r="L159" s="16">
        <f>IFERROR(__xludf.DUMMYFUNCTION("IMPORTRANGE(""https://docs.google.com/spreadsheets/d/""&amp;$A159&amp;""/edit#gid=156619080"",L$3)"),2854.0)</f>
        <v>2854</v>
      </c>
      <c r="M159" s="16">
        <f>IFERROR(__xludf.DUMMYFUNCTION("IMPORTRANGE(""https://docs.google.com/spreadsheets/d/""&amp;$A159&amp;""/edit#gid=156619080"",M$3)"),0.375)</f>
        <v>0.375</v>
      </c>
      <c r="N159" s="16">
        <f>IFERROR(__xludf.DUMMYFUNCTION("IMPORTRANGE(""https://docs.google.com/spreadsheets/d/""&amp;$A159&amp;""/edit#gid=156619080"",N$3)"),2865.0)</f>
        <v>2865</v>
      </c>
      <c r="O159" s="16" t="str">
        <f>IFERROR(__xludf.DUMMYFUNCTION("IMPORTRANGE(""https://docs.google.com/spreadsheets/d/""&amp;$A159&amp;""/edit#gid=156619080"",O$3)"),"3167600株")</f>
        <v>3167600株</v>
      </c>
      <c r="P159" s="16" t="str">
        <f>IFERROR(__xludf.DUMMYFUNCTION("IMPORTRANGE(""https://docs.google.com/spreadsheets/d/""&amp;$A159&amp;""/edit#gid=156619080"",P$3)"),"9089百万円")</f>
        <v>9089百万円</v>
      </c>
      <c r="Q159" s="16" t="str">
        <f>IFERROR(__xludf.DUMMYFUNCTION("IMPORTRANGE(""https://docs.google.com/spreadsheets/d/""&amp;$A159&amp;""/edit#gid=156619080"",Q$3)"),"4793回")</f>
        <v>4793回</v>
      </c>
      <c r="R159" s="16" t="str">
        <f>IFERROR(__xludf.DUMMYFUNCTION("IMPORTRANGE(""https://docs.google.com/spreadsheets/d/""&amp;$A159&amp;""/edit#gid=156619080"",R$3)"),"45556億円")</f>
        <v>45556億円</v>
      </c>
      <c r="S159" s="16" t="str">
        <f>IFERROR(__xludf.DUMMYFUNCTION("IMPORTRANGE(""https://docs.google.com/spreadsheets/d/""&amp;$A159&amp;""/edit#gid=156619080"",S$3)"),"陽線")</f>
        <v>陽線</v>
      </c>
      <c r="T159" s="16" t="str">
        <f>IFERROR(__xludf.DUMMYFUNCTION("IMPORTRANGE(""https://docs.google.com/spreadsheets/d/""&amp;$A159&amp;""/edit#gid=156619080"",T$3)"),"")</f>
        <v/>
      </c>
      <c r="U159" s="16">
        <f>IFERROR(__xludf.DUMMYFUNCTION("IMPORTRANGE(""https://docs.google.com/spreadsheets/d/""&amp;$A159&amp;""/edit#gid=156619080"",U$3)"),2852.9)</f>
        <v>2852.9</v>
      </c>
      <c r="V159" s="16">
        <f>IFERROR(__xludf.DUMMYFUNCTION("IMPORTRANGE(""https://docs.google.com/spreadsheets/d/""&amp;$A159&amp;""/edit#gid=156619080"",V$3)"),2873.9)</f>
        <v>2873.9</v>
      </c>
      <c r="W159" s="16">
        <f>IFERROR(__xludf.DUMMYFUNCTION("IMPORTRANGE(""https://docs.google.com/spreadsheets/d/""&amp;$A159&amp;""/edit#gid=156619080"",W$3)"),2859.4)</f>
        <v>2859.4</v>
      </c>
      <c r="X159" s="2">
        <f>IFERROR(__xludf.DUMMYFUNCTION("IMPORTRANGE(""https://docs.google.com/spreadsheets/d/""&amp;$A159&amp;""/edit#gid=156619080"",X$3)"),2796.6)</f>
        <v>2796.6</v>
      </c>
      <c r="Y159" s="17">
        <f>IFERROR(__xludf.DUMMYFUNCTION("IMPORTRANGE(""https://docs.google.com/spreadsheets/d/""&amp;$A159&amp;""/edit#gid=156619080"",Y$3)"),0.004241298328017074)</f>
        <v>0.004241298328</v>
      </c>
      <c r="Z159" s="2">
        <f>IFERROR(__xludf.DUMMYFUNCTION("IMPORTRANGE(""https://docs.google.com/spreadsheets/d/""&amp;$A159&amp;""/edit#gid=156619080"",Z$3)"),2930.33)</f>
        <v>2930.33</v>
      </c>
      <c r="AA159" s="2">
        <f>IFERROR(__xludf.DUMMYFUNCTION("IMPORTRANGE(""https://docs.google.com/spreadsheets/d/""&amp;$A159&amp;""/edit#gid=156619080"",AA$3)"),2921.46)</f>
        <v>2921.46</v>
      </c>
      <c r="AB159" s="2">
        <f>IFERROR(__xludf.DUMMYFUNCTION("IMPORTRANGE(""https://docs.google.com/spreadsheets/d/""&amp;$A159&amp;""/edit#gid=156619080"",AB$3)"),2912.59)</f>
        <v>2912.59</v>
      </c>
      <c r="AC159" s="18">
        <f>IFERROR(__xludf.DUMMYFUNCTION("IMPORTRANGE(""https://docs.google.com/spreadsheets/d/""&amp;$A159&amp;""/edit#gid=156619080"",AC$3)"),2903.73)</f>
        <v>2903.73</v>
      </c>
      <c r="AD159" s="18">
        <f>IFERROR(__xludf.DUMMYFUNCTION("IMPORTRANGE(""https://docs.google.com/spreadsheets/d/""&amp;$A159&amp;""/edit#gid=156619080"",AD$3)"),2894.86)</f>
        <v>2894.86</v>
      </c>
      <c r="AE159" s="18">
        <f>IFERROR(__xludf.DUMMYFUNCTION("IMPORTRANGE(""https://docs.google.com/spreadsheets/d/""&amp;$A159&amp;""/edit#gid=156619080"",AE$3)"),2859.4)</f>
        <v>2859.4</v>
      </c>
      <c r="AF159" s="2">
        <f>IFERROR(__xludf.DUMMYFUNCTION("IMPORTRANGE(""https://docs.google.com/spreadsheets/d/""&amp;$A159&amp;""/edit#gid=156619080"",AF$3)"),2823.94)</f>
        <v>2823.94</v>
      </c>
      <c r="AG159" s="2">
        <f>IFERROR(__xludf.DUMMYFUNCTION("IMPORTRANGE(""https://docs.google.com/spreadsheets/d/""&amp;$A159&amp;""/edit#gid=156619080"",AG$3)"),2815.07)</f>
        <v>2815.07</v>
      </c>
      <c r="AH159" s="2">
        <f>IFERROR(__xludf.DUMMYFUNCTION("IMPORTRANGE(""https://docs.google.com/spreadsheets/d/""&amp;$A159&amp;""/edit#gid=156619080"",AH$3)"),2806.21)</f>
        <v>2806.21</v>
      </c>
      <c r="AI159" s="2">
        <f>IFERROR(__xludf.DUMMYFUNCTION("IMPORTRANGE(""https://docs.google.com/spreadsheets/d/""&amp;$A159&amp;""/edit#gid=156619080"",AI$3)"),2797.34)</f>
        <v>2797.34</v>
      </c>
      <c r="AJ159" s="2">
        <f>IFERROR(__xludf.DUMMYFUNCTION("IMPORTRANGE(""https://docs.google.com/spreadsheets/d/""&amp;$A159&amp;""/edit#gid=156619080"",AJ$3)"),2788.47)</f>
        <v>2788.47</v>
      </c>
      <c r="AK159" s="2" t="str">
        <f>IFERROR(__xludf.DUMMYFUNCTION("IMPORTRANGE(""https://docs.google.com/spreadsheets/d/""&amp;$A159&amp;""/edit#gid=156619080"",AK$3)"),"")</f>
        <v/>
      </c>
      <c r="AL159" s="2">
        <f>IFERROR(__xludf.DUMMYFUNCTION("IMPORTRANGE(""https://docs.google.com/spreadsheets/d/""&amp;$A159&amp;""/edit#gid=156619080"",AL$3)"),-1.0)</f>
        <v>-1</v>
      </c>
      <c r="AM159" s="2" t="str">
        <f>IFERROR(__xludf.DUMMYFUNCTION("IMPORTRANGE(""https://docs.google.com/spreadsheets/d/""&amp;$A159&amp;""/edit#gid=156619080"",AM$3)"),"")</f>
        <v/>
      </c>
      <c r="AN159" s="2">
        <f>IFERROR(__xludf.DUMMYFUNCTION("IMPORTRANGE(""https://docs.google.com/spreadsheets/d/""&amp;$A159&amp;""/edit#gid=156619080"",AN$3)"),-1.0)</f>
        <v>-1</v>
      </c>
      <c r="AO159" s="2" t="str">
        <f>IFERROR(__xludf.DUMMYFUNCTION("IMPORTRANGE(""https://docs.google.com/spreadsheets/d/""&amp;$A159&amp;""/edit#gid=156619080"",AO$3)"),"")</f>
        <v/>
      </c>
      <c r="AP159" s="2">
        <f>IFERROR(__xludf.DUMMYFUNCTION("IMPORTRANGE(""https://docs.google.com/spreadsheets/d/""&amp;$A159&amp;""/edit#gid=156619080"",AP$3)"),1.0)</f>
        <v>1</v>
      </c>
      <c r="AQ159" s="2" t="str">
        <f>IFERROR(__xludf.DUMMYFUNCTION("IMPORTRANGE(""https://docs.google.com/spreadsheets/d/""&amp;$A159&amp;""/edit#gid=156619080"",AQ$3)"),"")</f>
        <v/>
      </c>
      <c r="AR159" s="18">
        <f>IFERROR(__xludf.DUMMYFUNCTION("IMPORTRANGE(""https://docs.google.com/spreadsheets/d/""&amp;$A159&amp;""/edit#gid=156619080"",AR$3)"),30.000000000000004)</f>
        <v>30</v>
      </c>
      <c r="AS159" s="19" t="str">
        <f>IFERROR(__xludf.DUMMYFUNCTION("IMPORTRANGE(""https://docs.google.com/spreadsheets/d/""&amp;$A159&amp;""/edit#gid=156619080"",AS$3)"),"-100
-100
-100
-70
")</f>
        <v>-100
-100
-100
-70
</v>
      </c>
      <c r="AT159" s="18">
        <f>IFERROR(__xludf.DUMMYFUNCTION("IMPORTRANGE(""https://docs.google.com/spreadsheets/d/""&amp;$A159&amp;""/edit#gid=156619080"",AT$3)"),-41.758241758241766)</f>
        <v>-41.75824176</v>
      </c>
      <c r="AU159" s="3" t="str">
        <f>IFERROR(__xludf.DUMMYFUNCTION("IMPORTRANGE(""https://docs.google.com/spreadsheets/d/""&amp;$A159&amp;""/edit#gid=156619080"",AU$3)"),"53.85
39.56
15.93
-10.99
")</f>
        <v>53.85
39.56
15.93
-10.99
</v>
      </c>
      <c r="AV159" s="18">
        <f>IFERROR(__xludf.DUMMYFUNCTION("IMPORTRANGE(""https://docs.google.com/spreadsheets/d/""&amp;$A159&amp;""/edit#gid=156619080"",AV$3)"),26.006493506493513)</f>
        <v>26.00649351</v>
      </c>
      <c r="AW159" s="19" t="str">
        <f>IFERROR(__xludf.DUMMYFUNCTION("IMPORTRANGE(""https://docs.google.com/spreadsheets/d/""&amp;$A159&amp;""/edit#gid=156619080"",AW$3)"),"-2.99
-0.26
5.1
13.15
")</f>
        <v>-2.99
-0.26
5.1
13.15
</v>
      </c>
      <c r="AX159" s="2">
        <f>IFERROR(__xludf.DUMMYFUNCTION("IMPORTRANGE(""https://docs.google.com/spreadsheets/d/""&amp;$A159&amp;""/edit#gid=156619080"",AX$3)"),46.400000000000006)</f>
        <v>46.4</v>
      </c>
      <c r="AY159" s="2">
        <f>IFERROR(__xludf.DUMMYFUNCTION("IMPORTRANGE(""https://docs.google.com/spreadsheets/d/""&amp;$A159&amp;""/edit#gid=156619080"",AY$3)"),47.11)</f>
        <v>47.11</v>
      </c>
      <c r="AZ159" s="2">
        <f>IFERROR(__xludf.DUMMYFUNCTION("IMPORTRANGE(""https://docs.google.com/spreadsheets/d/""&amp;$A159&amp;""/edit#gid=156619080"",AZ$3)"),2858.45)</f>
        <v>2858.45</v>
      </c>
      <c r="BA159" s="2">
        <f>IFERROR(__xludf.DUMMYFUNCTION("IMPORTRANGE(""https://docs.google.com/spreadsheets/d/""&amp;$A159&amp;""/edit#gid=156619080"",BA$3)"),-8.850000000000364)</f>
        <v>-8.85</v>
      </c>
      <c r="BB159" s="2">
        <f>IFERROR(__xludf.DUMMYFUNCTION("IMPORTRANGE(""https://docs.google.com/spreadsheets/d/""&amp;$A159&amp;""/edit#gid=156619080"",BB$3)"),-5.01)</f>
        <v>-5.01</v>
      </c>
      <c r="BC159" s="2" t="str">
        <f>IFERROR(__xludf.DUMMYFUNCTION("IMPORTRANGE(""https://docs.google.com/spreadsheets/d/""&amp;$A159&amp;""/edit#gid=156619080"",BC$3)"),"DC→DC")</f>
        <v>DC→DC</v>
      </c>
    </row>
    <row r="160" ht="51.0" customHeight="1">
      <c r="A160" s="7" t="str">
        <f t="shared" si="5"/>
        <v>1-E95ZSCN9kXuvGCS1rpCqOnirwEok0Bl-hv5pbcmWlE</v>
      </c>
      <c r="B160" s="1" t="s">
        <v>187</v>
      </c>
      <c r="C160" s="2">
        <f>IFERROR(__xludf.DUMMYFUNCTION("IMPORTRANGE(""https://docs.google.com/spreadsheets/d/""&amp;$A160&amp;""/edit#gid=156619080"",C$3)"),132.0)</f>
        <v>132</v>
      </c>
      <c r="D160" s="2">
        <f>IFERROR(__xludf.DUMMYFUNCTION("IMPORTRANGE(""https://docs.google.com/spreadsheets/d/""&amp;$A160&amp;""/edit#gid=156619080"",D$3)"),3086.0)</f>
        <v>3086</v>
      </c>
      <c r="E160" s="15">
        <f>IFERROR(__xludf.DUMMYFUNCTION("IMPORTRANGE(""https://docs.google.com/spreadsheets/d/""&amp;$A160&amp;""/edit#gid=156619080"",E$3)"),43882.0)</f>
        <v>43882</v>
      </c>
      <c r="F160" s="2">
        <f>IFERROR(__xludf.DUMMYFUNCTION("IMPORTRANGE(""https://docs.google.com/spreadsheets/d/""&amp;$A160&amp;""/edit#gid=156619080"",F$3)"),2.0)</f>
        <v>2</v>
      </c>
      <c r="G160" s="16">
        <f>IFERROR(__xludf.DUMMYFUNCTION("IMPORTRANGE(""https://docs.google.com/spreadsheets/d/""&amp;$A160&amp;""/edit#gid=156619080"",G$3)"),0.16)</f>
        <v>0.16</v>
      </c>
      <c r="H160" s="16">
        <f>IFERROR(__xludf.DUMMYFUNCTION("IMPORTRANGE(""https://docs.google.com/spreadsheets/d/""&amp;$A160&amp;""/edit#gid=156619080"",H$3)"),1290.0)</f>
        <v>1290</v>
      </c>
      <c r="I160" s="16">
        <f>IFERROR(__xludf.DUMMYFUNCTION("IMPORTRANGE(""https://docs.google.com/spreadsheets/d/""&amp;$A160&amp;""/edit#gid=156619080"",I$3)"),-5.0)</f>
        <v>-5</v>
      </c>
      <c r="J160" s="16">
        <f>IFERROR(__xludf.DUMMYFUNCTION("IMPORTRANGE(""https://docs.google.com/spreadsheets/d/""&amp;$A160&amp;""/edit#gid=156619080"",J$3)"),1300.0)</f>
        <v>1300</v>
      </c>
      <c r="K160" s="16">
        <f>IFERROR(__xludf.DUMMYFUNCTION("IMPORTRANGE(""https://docs.google.com/spreadsheets/d/""&amp;$A160&amp;""/edit#gid=156619080"",K$3)"),0.39305555555555555)</f>
        <v>0.3930555556</v>
      </c>
      <c r="L160" s="16">
        <f>IFERROR(__xludf.DUMMYFUNCTION("IMPORTRANGE(""https://docs.google.com/spreadsheets/d/""&amp;$A160&amp;""/edit#gid=156619080"",L$3)"),1284.0)</f>
        <v>1284</v>
      </c>
      <c r="M160" s="16">
        <f>IFERROR(__xludf.DUMMYFUNCTION("IMPORTRANGE(""https://docs.google.com/spreadsheets/d/""&amp;$A160&amp;""/edit#gid=156619080"",M$3)"),0.375)</f>
        <v>0.375</v>
      </c>
      <c r="N160" s="16">
        <f>IFERROR(__xludf.DUMMYFUNCTION("IMPORTRANGE(""https://docs.google.com/spreadsheets/d/""&amp;$A160&amp;""/edit#gid=156619080"",N$3)"),1287.0)</f>
        <v>1287</v>
      </c>
      <c r="O160" s="16" t="str">
        <f>IFERROR(__xludf.DUMMYFUNCTION("IMPORTRANGE(""https://docs.google.com/spreadsheets/d/""&amp;$A160&amp;""/edit#gid=156619080"",O$3)"),"905600株")</f>
        <v>905600株</v>
      </c>
      <c r="P160" s="16" t="str">
        <f>IFERROR(__xludf.DUMMYFUNCTION("IMPORTRANGE(""https://docs.google.com/spreadsheets/d/""&amp;$A160&amp;""/edit#gid=156619080"",P$3)"),"1168百万円")</f>
        <v>1168百万円</v>
      </c>
      <c r="Q160" s="16" t="str">
        <f>IFERROR(__xludf.DUMMYFUNCTION("IMPORTRANGE(""https://docs.google.com/spreadsheets/d/""&amp;$A160&amp;""/edit#gid=156619080"",Q$3)"),"1510回")</f>
        <v>1510回</v>
      </c>
      <c r="R160" s="16" t="str">
        <f>IFERROR(__xludf.DUMMYFUNCTION("IMPORTRANGE(""https://docs.google.com/spreadsheets/d/""&amp;$A160&amp;""/edit#gid=156619080"",R$3)"),"3482億円")</f>
        <v>3482億円</v>
      </c>
      <c r="S160" s="16" t="str">
        <f>IFERROR(__xludf.DUMMYFUNCTION("IMPORTRANGE(""https://docs.google.com/spreadsheets/d/""&amp;$A160&amp;""/edit#gid=156619080"",S$3)"),"陰線")</f>
        <v>陰線</v>
      </c>
      <c r="T160" s="16" t="str">
        <f>IFERROR(__xludf.DUMMYFUNCTION("IMPORTRANGE(""https://docs.google.com/spreadsheets/d/""&amp;$A160&amp;""/edit#gid=156619080"",T$3)"),"")</f>
        <v/>
      </c>
      <c r="U160" s="16">
        <f>IFERROR(__xludf.DUMMYFUNCTION("IMPORTRANGE(""https://docs.google.com/spreadsheets/d/""&amp;$A160&amp;""/edit#gid=156619080"",U$3)"),1300.8)</f>
        <v>1300.8</v>
      </c>
      <c r="V160" s="16">
        <f>IFERROR(__xludf.DUMMYFUNCTION("IMPORTRANGE(""https://docs.google.com/spreadsheets/d/""&amp;$A160&amp;""/edit#gid=156619080"",V$3)"),1327.5)</f>
        <v>1327.5</v>
      </c>
      <c r="W160" s="16">
        <f>IFERROR(__xludf.DUMMYFUNCTION("IMPORTRANGE(""https://docs.google.com/spreadsheets/d/""&amp;$A160&amp;""/edit#gid=156619080"",W$3)"),1337.0)</f>
        <v>1337</v>
      </c>
      <c r="X160" s="2">
        <f>IFERROR(__xludf.DUMMYFUNCTION("IMPORTRANGE(""https://docs.google.com/spreadsheets/d/""&amp;$A160&amp;""/edit#gid=156619080"",X$3)"),1388.8)</f>
        <v>1388.8</v>
      </c>
      <c r="Y160" s="17">
        <f>IFERROR(__xludf.DUMMYFUNCTION("IMPORTRANGE(""https://docs.google.com/spreadsheets/d/""&amp;$A160&amp;""/edit#gid=156619080"",Y$3)"),-0.010608856088560851)</f>
        <v>-0.01060885609</v>
      </c>
      <c r="Z160" s="2">
        <f>IFERROR(__xludf.DUMMYFUNCTION("IMPORTRANGE(""https://docs.google.com/spreadsheets/d/""&amp;$A160&amp;""/edit#gid=156619080"",Z$3)"),1411.52)</f>
        <v>1411.52</v>
      </c>
      <c r="AA160" s="2">
        <f>IFERROR(__xludf.DUMMYFUNCTION("IMPORTRANGE(""https://docs.google.com/spreadsheets/d/""&amp;$A160&amp;""/edit#gid=156619080"",AA$3)"),1402.2)</f>
        <v>1402.2</v>
      </c>
      <c r="AB160" s="2">
        <f>IFERROR(__xludf.DUMMYFUNCTION("IMPORTRANGE(""https://docs.google.com/spreadsheets/d/""&amp;$A160&amp;""/edit#gid=156619080"",AB$3)"),1392.89)</f>
        <v>1392.89</v>
      </c>
      <c r="AC160" s="18">
        <f>IFERROR(__xludf.DUMMYFUNCTION("IMPORTRANGE(""https://docs.google.com/spreadsheets/d/""&amp;$A160&amp;""/edit#gid=156619080"",AC$3)"),1383.57)</f>
        <v>1383.57</v>
      </c>
      <c r="AD160" s="18">
        <f>IFERROR(__xludf.DUMMYFUNCTION("IMPORTRANGE(""https://docs.google.com/spreadsheets/d/""&amp;$A160&amp;""/edit#gid=156619080"",AD$3)"),1374.26)</f>
        <v>1374.26</v>
      </c>
      <c r="AE160" s="18">
        <f>IFERROR(__xludf.DUMMYFUNCTION("IMPORTRANGE(""https://docs.google.com/spreadsheets/d/""&amp;$A160&amp;""/edit#gid=156619080"",AE$3)"),1337.0)</f>
        <v>1337</v>
      </c>
      <c r="AF160" s="2">
        <f>IFERROR(__xludf.DUMMYFUNCTION("IMPORTRANGE(""https://docs.google.com/spreadsheets/d/""&amp;$A160&amp;""/edit#gid=156619080"",AF$3)"),1299.74)</f>
        <v>1299.74</v>
      </c>
      <c r="AG160" s="2">
        <f>IFERROR(__xludf.DUMMYFUNCTION("IMPORTRANGE(""https://docs.google.com/spreadsheets/d/""&amp;$A160&amp;""/edit#gid=156619080"",AG$3)"),1290.43)</f>
        <v>1290.43</v>
      </c>
      <c r="AH160" s="2">
        <f>IFERROR(__xludf.DUMMYFUNCTION("IMPORTRANGE(""https://docs.google.com/spreadsheets/d/""&amp;$A160&amp;""/edit#gid=156619080"",AH$3)"),1281.11)</f>
        <v>1281.11</v>
      </c>
      <c r="AI160" s="2">
        <f>IFERROR(__xludf.DUMMYFUNCTION("IMPORTRANGE(""https://docs.google.com/spreadsheets/d/""&amp;$A160&amp;""/edit#gid=156619080"",AI$3)"),1271.8)</f>
        <v>1271.8</v>
      </c>
      <c r="AJ160" s="2">
        <f>IFERROR(__xludf.DUMMYFUNCTION("IMPORTRANGE(""https://docs.google.com/spreadsheets/d/""&amp;$A160&amp;""/edit#gid=156619080"",AJ$3)"),1262.48)</f>
        <v>1262.48</v>
      </c>
      <c r="AK160" s="2" t="str">
        <f>IFERROR(__xludf.DUMMYFUNCTION("IMPORTRANGE(""https://docs.google.com/spreadsheets/d/""&amp;$A160&amp;""/edit#gid=156619080"",AK$3)"),"-1.25σ〜-1.5σ")</f>
        <v>-1.25σ〜-1.5σ</v>
      </c>
      <c r="AL160" s="2">
        <f>IFERROR(__xludf.DUMMYFUNCTION("IMPORTRANGE(""https://docs.google.com/spreadsheets/d/""&amp;$A160&amp;""/edit#gid=156619080"",AL$3)"),-1.0)</f>
        <v>-1</v>
      </c>
      <c r="AM160" s="2" t="str">
        <f>IFERROR(__xludf.DUMMYFUNCTION("IMPORTRANGE(""https://docs.google.com/spreadsheets/d/""&amp;$A160&amp;""/edit#gid=156619080"",AM$3)"),"")</f>
        <v/>
      </c>
      <c r="AN160" s="2">
        <f>IFERROR(__xludf.DUMMYFUNCTION("IMPORTRANGE(""https://docs.google.com/spreadsheets/d/""&amp;$A160&amp;""/edit#gid=156619080"",AN$3)"),-1.0)</f>
        <v>-1</v>
      </c>
      <c r="AO160" s="2" t="str">
        <f>IFERROR(__xludf.DUMMYFUNCTION("IMPORTRANGE(""https://docs.google.com/spreadsheets/d/""&amp;$A160&amp;""/edit#gid=156619080"",AO$3)"),"")</f>
        <v/>
      </c>
      <c r="AP160" s="2">
        <f>IFERROR(__xludf.DUMMYFUNCTION("IMPORTRANGE(""https://docs.google.com/spreadsheets/d/""&amp;$A160&amp;""/edit#gid=156619080"",AP$3)"),-1.0)</f>
        <v>-1</v>
      </c>
      <c r="AQ160" s="2" t="str">
        <f>IFERROR(__xludf.DUMMYFUNCTION("IMPORTRANGE(""https://docs.google.com/spreadsheets/d/""&amp;$A160&amp;""/edit#gid=156619080"",AQ$3)"),"")</f>
        <v/>
      </c>
      <c r="AR160" s="18">
        <f>IFERROR(__xludf.DUMMYFUNCTION("IMPORTRANGE(""https://docs.google.com/spreadsheets/d/""&amp;$A160&amp;""/edit#gid=156619080"",AR$3)"),-89.99999999999999)</f>
        <v>-90</v>
      </c>
      <c r="AS160" s="19" t="str">
        <f>IFERROR(__xludf.DUMMYFUNCTION("IMPORTRANGE(""https://docs.google.com/spreadsheets/d/""&amp;$A160&amp;""/edit#gid=156619080"",AS$3)"),"-30
-90
-100
-100
")</f>
        <v>-30
-90
-100
-100
</v>
      </c>
      <c r="AT160" s="18">
        <f>IFERROR(__xludf.DUMMYFUNCTION("IMPORTRANGE(""https://docs.google.com/spreadsheets/d/""&amp;$A160&amp;""/edit#gid=156619080"",AT$3)"),-42.307692307692314)</f>
        <v>-42.30769231</v>
      </c>
      <c r="AU160" s="3" t="str">
        <f>IFERROR(__xludf.DUMMYFUNCTION("IMPORTRANGE(""https://docs.google.com/spreadsheets/d/""&amp;$A160&amp;""/edit#gid=156619080"",AU$3)"),"44.37
31.18
14.84
-3.16
")</f>
        <v>44.37
31.18
14.84
-3.16
</v>
      </c>
      <c r="AV160" s="18">
        <f>IFERROR(__xludf.DUMMYFUNCTION("IMPORTRANGE(""https://docs.google.com/spreadsheets/d/""&amp;$A160&amp;""/edit#gid=156619080"",AV$3)"),-49.38311688311687)</f>
        <v>-49.38311688</v>
      </c>
      <c r="AW160" s="19" t="str">
        <f>IFERROR(__xludf.DUMMYFUNCTION("IMPORTRANGE(""https://docs.google.com/spreadsheets/d/""&amp;$A160&amp;""/edit#gid=156619080"",AW$3)"),"-56.59
-54.12
-52.01
-51.2
")</f>
        <v>-56.59
-54.12
-52.01
-51.2
</v>
      </c>
      <c r="AX160" s="2">
        <f>IFERROR(__xludf.DUMMYFUNCTION("IMPORTRANGE(""https://docs.google.com/spreadsheets/d/""&amp;$A160&amp;""/edit#gid=156619080"",AX$3)"),2.7)</f>
        <v>2.7</v>
      </c>
      <c r="AY160" s="2">
        <f>IFERROR(__xludf.DUMMYFUNCTION("IMPORTRANGE(""https://docs.google.com/spreadsheets/d/""&amp;$A160&amp;""/edit#gid=156619080"",AY$3)"),29.12)</f>
        <v>29.12</v>
      </c>
      <c r="AZ160" s="2">
        <f>IFERROR(__xludf.DUMMYFUNCTION("IMPORTRANGE(""https://docs.google.com/spreadsheets/d/""&amp;$A160&amp;""/edit#gid=156619080"",AZ$3)"),1302.01)</f>
        <v>1302.01</v>
      </c>
      <c r="BA160" s="2">
        <f>IFERROR(__xludf.DUMMYFUNCTION("IMPORTRANGE(""https://docs.google.com/spreadsheets/d/""&amp;$A160&amp;""/edit#gid=156619080"",BA$3)"),-48.16000000000008)</f>
        <v>-48.16</v>
      </c>
      <c r="BB160" s="2">
        <f>IFERROR(__xludf.DUMMYFUNCTION("IMPORTRANGE(""https://docs.google.com/spreadsheets/d/""&amp;$A160&amp;""/edit#gid=156619080"",BB$3)"),-44.35)</f>
        <v>-44.35</v>
      </c>
      <c r="BC160" s="2" t="str">
        <f>IFERROR(__xludf.DUMMYFUNCTION("IMPORTRANGE(""https://docs.google.com/spreadsheets/d/""&amp;$A160&amp;""/edit#gid=156619080"",BC$3)"),"DC→DC")</f>
        <v>DC→DC</v>
      </c>
    </row>
    <row r="161" ht="51.0" customHeight="1">
      <c r="A161" s="7" t="str">
        <f t="shared" si="5"/>
        <v>1KhNO7ABYna6Xzob_5nHD-6DwIBk-LPnFVCYUAFBDIT8</v>
      </c>
      <c r="B161" s="1" t="s">
        <v>188</v>
      </c>
      <c r="C161" s="2">
        <f>IFERROR(__xludf.DUMMYFUNCTION("IMPORTRANGE(""https://docs.google.com/spreadsheets/d/""&amp;$A161&amp;""/edit#gid=156619080"",C$3)"),132.0)</f>
        <v>132</v>
      </c>
      <c r="D161" s="2">
        <f>IFERROR(__xludf.DUMMYFUNCTION("IMPORTRANGE(""https://docs.google.com/spreadsheets/d/""&amp;$A161&amp;""/edit#gid=156619080"",D$3)"),3099.0)</f>
        <v>3099</v>
      </c>
      <c r="E161" s="15">
        <f>IFERROR(__xludf.DUMMYFUNCTION("IMPORTRANGE(""https://docs.google.com/spreadsheets/d/""&amp;$A161&amp;""/edit#gid=156619080"",E$3)"),43882.0)</f>
        <v>43882</v>
      </c>
      <c r="F161" s="2">
        <f>IFERROR(__xludf.DUMMYFUNCTION("IMPORTRANGE(""https://docs.google.com/spreadsheets/d/""&amp;$A161&amp;""/edit#gid=156619080"",F$3)"),-4.0)</f>
        <v>-4</v>
      </c>
      <c r="G161" s="16">
        <f>IFERROR(__xludf.DUMMYFUNCTION("IMPORTRANGE(""https://docs.google.com/spreadsheets/d/""&amp;$A161&amp;""/edit#gid=156619080"",G$3)"),-0.5)</f>
        <v>-0.5</v>
      </c>
      <c r="H161" s="16">
        <f>IFERROR(__xludf.DUMMYFUNCTION("IMPORTRANGE(""https://docs.google.com/spreadsheets/d/""&amp;$A161&amp;""/edit#gid=156619080"",H$3)"),805.0)</f>
        <v>805</v>
      </c>
      <c r="I161" s="16">
        <f>IFERROR(__xludf.DUMMYFUNCTION("IMPORTRANGE(""https://docs.google.com/spreadsheets/d/""&amp;$A161&amp;""/edit#gid=156619080"",I$3)"),-4.0)</f>
        <v>-4</v>
      </c>
      <c r="J161" s="16">
        <f>IFERROR(__xludf.DUMMYFUNCTION("IMPORTRANGE(""https://docs.google.com/spreadsheets/d/""&amp;$A161&amp;""/edit#gid=156619080"",J$3)"),808.0)</f>
        <v>808</v>
      </c>
      <c r="K161" s="16">
        <f>IFERROR(__xludf.DUMMYFUNCTION("IMPORTRANGE(""https://docs.google.com/spreadsheets/d/""&amp;$A161&amp;""/edit#gid=156619080"",K$3)"),0.375)</f>
        <v>0.375</v>
      </c>
      <c r="L161" s="16">
        <f>IFERROR(__xludf.DUMMYFUNCTION("IMPORTRANGE(""https://docs.google.com/spreadsheets/d/""&amp;$A161&amp;""/edit#gid=156619080"",L$3)"),797.0)</f>
        <v>797</v>
      </c>
      <c r="M161" s="16">
        <f>IFERROR(__xludf.DUMMYFUNCTION("IMPORTRANGE(""https://docs.google.com/spreadsheets/d/""&amp;$A161&amp;""/edit#gid=156619080"",M$3)"),0.6180555555555556)</f>
        <v>0.6180555556</v>
      </c>
      <c r="N161" s="16">
        <f>IFERROR(__xludf.DUMMYFUNCTION("IMPORTRANGE(""https://docs.google.com/spreadsheets/d/""&amp;$A161&amp;""/edit#gid=156619080"",N$3)"),797.0)</f>
        <v>797</v>
      </c>
      <c r="O161" s="16" t="str">
        <f>IFERROR(__xludf.DUMMYFUNCTION("IMPORTRANGE(""https://docs.google.com/spreadsheets/d/""&amp;$A161&amp;""/edit#gid=156619080"",O$3)"),"1502800株")</f>
        <v>1502800株</v>
      </c>
      <c r="P161" s="16" t="str">
        <f>IFERROR(__xludf.DUMMYFUNCTION("IMPORTRANGE(""https://docs.google.com/spreadsheets/d/""&amp;$A161&amp;""/edit#gid=156619080"",P$3)"),"1204百万円")</f>
        <v>1204百万円</v>
      </c>
      <c r="Q161" s="16" t="str">
        <f>IFERROR(__xludf.DUMMYFUNCTION("IMPORTRANGE(""https://docs.google.com/spreadsheets/d/""&amp;$A161&amp;""/edit#gid=156619080"",Q$3)"),"1828回")</f>
        <v>1828回</v>
      </c>
      <c r="R161" s="16" t="str">
        <f>IFERROR(__xludf.DUMMYFUNCTION("IMPORTRANGE(""https://docs.google.com/spreadsheets/d/""&amp;$A161&amp;""/edit#gid=156619080"",R$3)"),"3156億円")</f>
        <v>3156億円</v>
      </c>
      <c r="S161" s="16" t="str">
        <f>IFERROR(__xludf.DUMMYFUNCTION("IMPORTRANGE(""https://docs.google.com/spreadsheets/d/""&amp;$A161&amp;""/edit#gid=156619080"",S$3)"),"陰線")</f>
        <v>陰線</v>
      </c>
      <c r="T161" s="16" t="str">
        <f>IFERROR(__xludf.DUMMYFUNCTION("IMPORTRANGE(""https://docs.google.com/spreadsheets/d/""&amp;$A161&amp;""/edit#gid=156619080"",T$3)"),"")</f>
        <v/>
      </c>
      <c r="U161" s="16">
        <f>IFERROR(__xludf.DUMMYFUNCTION("IMPORTRANGE(""https://docs.google.com/spreadsheets/d/""&amp;$A161&amp;""/edit#gid=156619080"",U$3)"),806.6)</f>
        <v>806.6</v>
      </c>
      <c r="V161" s="16">
        <f>IFERROR(__xludf.DUMMYFUNCTION("IMPORTRANGE(""https://docs.google.com/spreadsheets/d/""&amp;$A161&amp;""/edit#gid=156619080"",V$3)"),830.2)</f>
        <v>830.2</v>
      </c>
      <c r="W161" s="16">
        <f>IFERROR(__xludf.DUMMYFUNCTION("IMPORTRANGE(""https://docs.google.com/spreadsheets/d/""&amp;$A161&amp;""/edit#gid=156619080"",W$3)"),849.9)</f>
        <v>849.9</v>
      </c>
      <c r="X161" s="2">
        <f>IFERROR(__xludf.DUMMYFUNCTION("IMPORTRANGE(""https://docs.google.com/spreadsheets/d/""&amp;$A161&amp;""/edit#gid=156619080"",X$3)"),918.0)</f>
        <v>918</v>
      </c>
      <c r="Y161" s="17">
        <f>IFERROR(__xludf.DUMMYFUNCTION("IMPORTRANGE(""https://docs.google.com/spreadsheets/d/""&amp;$A161&amp;""/edit#gid=156619080"",Y$3)"),-0.01190181006694771)</f>
        <v>-0.01190181007</v>
      </c>
      <c r="Z161" s="2">
        <f>IFERROR(__xludf.DUMMYFUNCTION("IMPORTRANGE(""https://docs.google.com/spreadsheets/d/""&amp;$A161&amp;""/edit#gid=156619080"",Z$3)"),927.34)</f>
        <v>927.34</v>
      </c>
      <c r="AA161" s="2">
        <f>IFERROR(__xludf.DUMMYFUNCTION("IMPORTRANGE(""https://docs.google.com/spreadsheets/d/""&amp;$A161&amp;""/edit#gid=156619080"",AA$3)"),917.66)</f>
        <v>917.66</v>
      </c>
      <c r="AB161" s="2">
        <f>IFERROR(__xludf.DUMMYFUNCTION("IMPORTRANGE(""https://docs.google.com/spreadsheets/d/""&amp;$A161&amp;""/edit#gid=156619080"",AB$3)"),907.98)</f>
        <v>907.98</v>
      </c>
      <c r="AC161" s="18">
        <f>IFERROR(__xludf.DUMMYFUNCTION("IMPORTRANGE(""https://docs.google.com/spreadsheets/d/""&amp;$A161&amp;""/edit#gid=156619080"",AC$3)"),898.3)</f>
        <v>898.3</v>
      </c>
      <c r="AD161" s="18">
        <f>IFERROR(__xludf.DUMMYFUNCTION("IMPORTRANGE(""https://docs.google.com/spreadsheets/d/""&amp;$A161&amp;""/edit#gid=156619080"",AD$3)"),888.62)</f>
        <v>888.62</v>
      </c>
      <c r="AE161" s="18">
        <f>IFERROR(__xludf.DUMMYFUNCTION("IMPORTRANGE(""https://docs.google.com/spreadsheets/d/""&amp;$A161&amp;""/edit#gid=156619080"",AE$3)"),849.9)</f>
        <v>849.9</v>
      </c>
      <c r="AF161" s="2">
        <f>IFERROR(__xludf.DUMMYFUNCTION("IMPORTRANGE(""https://docs.google.com/spreadsheets/d/""&amp;$A161&amp;""/edit#gid=156619080"",AF$3)"),811.18)</f>
        <v>811.18</v>
      </c>
      <c r="AG161" s="2">
        <f>IFERROR(__xludf.DUMMYFUNCTION("IMPORTRANGE(""https://docs.google.com/spreadsheets/d/""&amp;$A161&amp;""/edit#gid=156619080"",AG$3)"),801.5)</f>
        <v>801.5</v>
      </c>
      <c r="AH161" s="2">
        <f>IFERROR(__xludf.DUMMYFUNCTION("IMPORTRANGE(""https://docs.google.com/spreadsheets/d/""&amp;$A161&amp;""/edit#gid=156619080"",AH$3)"),791.82)</f>
        <v>791.82</v>
      </c>
      <c r="AI161" s="2">
        <f>IFERROR(__xludf.DUMMYFUNCTION("IMPORTRANGE(""https://docs.google.com/spreadsheets/d/""&amp;$A161&amp;""/edit#gid=156619080"",AI$3)"),782.14)</f>
        <v>782.14</v>
      </c>
      <c r="AJ161" s="2">
        <f>IFERROR(__xludf.DUMMYFUNCTION("IMPORTRANGE(""https://docs.google.com/spreadsheets/d/""&amp;$A161&amp;""/edit#gid=156619080"",AJ$3)"),772.46)</f>
        <v>772.46</v>
      </c>
      <c r="AK161" s="2" t="str">
        <f>IFERROR(__xludf.DUMMYFUNCTION("IMPORTRANGE(""https://docs.google.com/spreadsheets/d/""&amp;$A161&amp;""/edit#gid=156619080"",AK$3)"),"-1.25σ〜-1.5σ")</f>
        <v>-1.25σ〜-1.5σ</v>
      </c>
      <c r="AL161" s="2">
        <f>IFERROR(__xludf.DUMMYFUNCTION("IMPORTRANGE(""https://docs.google.com/spreadsheets/d/""&amp;$A161&amp;""/edit#gid=156619080"",AL$3)"),-1.0)</f>
        <v>-1</v>
      </c>
      <c r="AM161" s="2" t="str">
        <f>IFERROR(__xludf.DUMMYFUNCTION("IMPORTRANGE(""https://docs.google.com/spreadsheets/d/""&amp;$A161&amp;""/edit#gid=156619080"",AM$3)"),"")</f>
        <v/>
      </c>
      <c r="AN161" s="2">
        <f>IFERROR(__xludf.DUMMYFUNCTION("IMPORTRANGE(""https://docs.google.com/spreadsheets/d/""&amp;$A161&amp;""/edit#gid=156619080"",AN$3)"),-1.0)</f>
        <v>-1</v>
      </c>
      <c r="AO161" s="2" t="str">
        <f>IFERROR(__xludf.DUMMYFUNCTION("IMPORTRANGE(""https://docs.google.com/spreadsheets/d/""&amp;$A161&amp;""/edit#gid=156619080"",AO$3)"),"")</f>
        <v/>
      </c>
      <c r="AP161" s="2">
        <f>IFERROR(__xludf.DUMMYFUNCTION("IMPORTRANGE(""https://docs.google.com/spreadsheets/d/""&amp;$A161&amp;""/edit#gid=156619080"",AP$3)"),-1.0)</f>
        <v>-1</v>
      </c>
      <c r="AQ161" s="2" t="str">
        <f>IFERROR(__xludf.DUMMYFUNCTION("IMPORTRANGE(""https://docs.google.com/spreadsheets/d/""&amp;$A161&amp;""/edit#gid=156619080"",AQ$3)"),"")</f>
        <v/>
      </c>
      <c r="AR161" s="18">
        <f>IFERROR(__xludf.DUMMYFUNCTION("IMPORTRANGE(""https://docs.google.com/spreadsheets/d/""&amp;$A161&amp;""/edit#gid=156619080"",AR$3)"),-100.0)</f>
        <v>-100</v>
      </c>
      <c r="AS161" s="19" t="str">
        <f>IFERROR(__xludf.DUMMYFUNCTION("IMPORTRANGE(""https://docs.google.com/spreadsheets/d/""&amp;$A161&amp;""/edit#gid=156619080"",AS$3)"),"-60
-90
-100
-100
")</f>
        <v>-60
-90
-100
-100
</v>
      </c>
      <c r="AT161" s="18">
        <f>IFERROR(__xludf.DUMMYFUNCTION("IMPORTRANGE(""https://docs.google.com/spreadsheets/d/""&amp;$A161&amp;""/edit#gid=156619080"",AT$3)"),-64.97252747252746)</f>
        <v>-64.97252747</v>
      </c>
      <c r="AU161" s="3" t="str">
        <f>IFERROR(__xludf.DUMMYFUNCTION("IMPORTRANGE(""https://docs.google.com/spreadsheets/d/""&amp;$A161&amp;""/edit#gid=156619080"",AU$3)"),"-33.24
-27.75
-24.31
-28.71
")</f>
        <v>-33.24
-27.75
-24.31
-28.71
</v>
      </c>
      <c r="AV161" s="18">
        <f>IFERROR(__xludf.DUMMYFUNCTION("IMPORTRANGE(""https://docs.google.com/spreadsheets/d/""&amp;$A161&amp;""/edit#gid=156619080"",AV$3)"),-81.23376623376623)</f>
        <v>-81.23376623</v>
      </c>
      <c r="AW161" s="19" t="str">
        <f>IFERROR(__xludf.DUMMYFUNCTION("IMPORTRANGE(""https://docs.google.com/spreadsheets/d/""&amp;$A161&amp;""/edit#gid=156619080"",AW$3)"),"-83.96
-82.66
-81.23
-81.23
")</f>
        <v>-83.96
-82.66
-81.23
-81.23
</v>
      </c>
      <c r="AX161" s="2">
        <f>IFERROR(__xludf.DUMMYFUNCTION("IMPORTRANGE(""https://docs.google.com/spreadsheets/d/""&amp;$A161&amp;""/edit#gid=156619080"",AX$3)"),0.0)</f>
        <v>0</v>
      </c>
      <c r="AY161" s="2">
        <f>IFERROR(__xludf.DUMMYFUNCTION("IMPORTRANGE(""https://docs.google.com/spreadsheets/d/""&amp;$A161&amp;""/edit#gid=156619080"",AY$3)"),26.69)</f>
        <v>26.69</v>
      </c>
      <c r="AZ161" s="2">
        <f>IFERROR(__xludf.DUMMYFUNCTION("IMPORTRANGE(""https://docs.google.com/spreadsheets/d/""&amp;$A161&amp;""/edit#gid=156619080"",AZ$3)"),808.77)</f>
        <v>808.77</v>
      </c>
      <c r="BA161" s="2">
        <f>IFERROR(__xludf.DUMMYFUNCTION("IMPORTRANGE(""https://docs.google.com/spreadsheets/d/""&amp;$A161&amp;""/edit#gid=156619080"",BA$3)"),-44.90999999999997)</f>
        <v>-44.91</v>
      </c>
      <c r="BB161" s="2">
        <f>IFERROR(__xludf.DUMMYFUNCTION("IMPORTRANGE(""https://docs.google.com/spreadsheets/d/""&amp;$A161&amp;""/edit#gid=156619080"",BB$3)"),-43.59)</f>
        <v>-43.59</v>
      </c>
      <c r="BC161" s="2" t="str">
        <f>IFERROR(__xludf.DUMMYFUNCTION("IMPORTRANGE(""https://docs.google.com/spreadsheets/d/""&amp;$A161&amp;""/edit#gid=156619080"",BC$3)"),"DC→DC")</f>
        <v>DC→DC</v>
      </c>
    </row>
    <row r="162" ht="51.0" customHeight="1">
      <c r="A162" s="7" t="str">
        <f t="shared" si="5"/>
        <v>1kbRCazD8Fgtm9L39HpxMAU5MIyLQ-2SSUDHiG6cf84s</v>
      </c>
      <c r="B162" s="1" t="s">
        <v>189</v>
      </c>
      <c r="C162" s="2">
        <f>IFERROR(__xludf.DUMMYFUNCTION("IMPORTRANGE(""https://docs.google.com/spreadsheets/d/""&amp;$A162&amp;""/edit#gid=156619080"",C$3)"),132.0)</f>
        <v>132</v>
      </c>
      <c r="D162" s="2">
        <f>IFERROR(__xludf.DUMMYFUNCTION("IMPORTRANGE(""https://docs.google.com/spreadsheets/d/""&amp;$A162&amp;""/edit#gid=156619080"",D$3)"),3382.0)</f>
        <v>3382</v>
      </c>
      <c r="E162" s="15">
        <f>IFERROR(__xludf.DUMMYFUNCTION("IMPORTRANGE(""https://docs.google.com/spreadsheets/d/""&amp;$A162&amp;""/edit#gid=156619080"",E$3)"),43882.0)</f>
        <v>43882</v>
      </c>
      <c r="F162" s="2">
        <f>IFERROR(__xludf.DUMMYFUNCTION("IMPORTRANGE(""https://docs.google.com/spreadsheets/d/""&amp;$A162&amp;""/edit#gid=156619080"",F$3)"),17.0)</f>
        <v>17</v>
      </c>
      <c r="G162" s="16">
        <f>IFERROR(__xludf.DUMMYFUNCTION("IMPORTRANGE(""https://docs.google.com/spreadsheets/d/""&amp;$A162&amp;""/edit#gid=156619080"",G$3)"),0.43)</f>
        <v>0.43</v>
      </c>
      <c r="H162" s="16">
        <f>IFERROR(__xludf.DUMMYFUNCTION("IMPORTRANGE(""https://docs.google.com/spreadsheets/d/""&amp;$A162&amp;""/edit#gid=156619080"",H$3)"),3951.0)</f>
        <v>3951</v>
      </c>
      <c r="I162" s="16">
        <f>IFERROR(__xludf.DUMMYFUNCTION("IMPORTRANGE(""https://docs.google.com/spreadsheets/d/""&amp;$A162&amp;""/edit#gid=156619080"",I$3)"),-31.0)</f>
        <v>-31</v>
      </c>
      <c r="J162" s="16">
        <f>IFERROR(__xludf.DUMMYFUNCTION("IMPORTRANGE(""https://docs.google.com/spreadsheets/d/""&amp;$A162&amp;""/edit#gid=156619080"",J$3)"),3969.0)</f>
        <v>3969</v>
      </c>
      <c r="K162" s="16">
        <f>IFERROR(__xludf.DUMMYFUNCTION("IMPORTRANGE(""https://docs.google.com/spreadsheets/d/""&amp;$A162&amp;""/edit#gid=156619080"",K$3)"),0.37569444444444444)</f>
        <v>0.3756944444</v>
      </c>
      <c r="L162" s="16">
        <f>IFERROR(__xludf.DUMMYFUNCTION("IMPORTRANGE(""https://docs.google.com/spreadsheets/d/""&amp;$A162&amp;""/edit#gid=156619080"",L$3)"),3837.0)</f>
        <v>3837</v>
      </c>
      <c r="M162" s="16">
        <f>IFERROR(__xludf.DUMMYFUNCTION("IMPORTRANGE(""https://docs.google.com/spreadsheets/d/""&amp;$A162&amp;""/edit#gid=156619080"",M$3)"),0.3902777777777778)</f>
        <v>0.3902777778</v>
      </c>
      <c r="N162" s="16">
        <f>IFERROR(__xludf.DUMMYFUNCTION("IMPORTRANGE(""https://docs.google.com/spreadsheets/d/""&amp;$A162&amp;""/edit#gid=156619080"",N$3)"),3937.0)</f>
        <v>3937</v>
      </c>
      <c r="O162" s="16" t="str">
        <f>IFERROR(__xludf.DUMMYFUNCTION("IMPORTRANGE(""https://docs.google.com/spreadsheets/d/""&amp;$A162&amp;""/edit#gid=156619080"",O$3)"),"5115600株")</f>
        <v>5115600株</v>
      </c>
      <c r="P162" s="16" t="str">
        <f>IFERROR(__xludf.DUMMYFUNCTION("IMPORTRANGE(""https://docs.google.com/spreadsheets/d/""&amp;$A162&amp;""/edit#gid=156619080"",P$3)"),"20009百万円")</f>
        <v>20009百万円</v>
      </c>
      <c r="Q162" s="16" t="str">
        <f>IFERROR(__xludf.DUMMYFUNCTION("IMPORTRANGE(""https://docs.google.com/spreadsheets/d/""&amp;$A162&amp;""/edit#gid=156619080"",Q$3)"),"9889回")</f>
        <v>9889回</v>
      </c>
      <c r="R162" s="16" t="str">
        <f>IFERROR(__xludf.DUMMYFUNCTION("IMPORTRANGE(""https://docs.google.com/spreadsheets/d/""&amp;$A162&amp;""/edit#gid=156619080"",R$3)"),"34899億円")</f>
        <v>34899億円</v>
      </c>
      <c r="S162" s="16" t="str">
        <f>IFERROR(__xludf.DUMMYFUNCTION("IMPORTRANGE(""https://docs.google.com/spreadsheets/d/""&amp;$A162&amp;""/edit#gid=156619080"",S$3)"),"陰線")</f>
        <v>陰線</v>
      </c>
      <c r="T162" s="16" t="str">
        <f>IFERROR(__xludf.DUMMYFUNCTION("IMPORTRANGE(""https://docs.google.com/spreadsheets/d/""&amp;$A162&amp;""/edit#gid=156619080"",T$3)"),"")</f>
        <v/>
      </c>
      <c r="U162" s="16">
        <f>IFERROR(__xludf.DUMMYFUNCTION("IMPORTRANGE(""https://docs.google.com/spreadsheets/d/""&amp;$A162&amp;""/edit#gid=156619080"",U$3)"),4149.8)</f>
        <v>4149.8</v>
      </c>
      <c r="V162" s="16">
        <f>IFERROR(__xludf.DUMMYFUNCTION("IMPORTRANGE(""https://docs.google.com/spreadsheets/d/""&amp;$A162&amp;""/edit#gid=156619080"",V$3)"),4251.5)</f>
        <v>4251.5</v>
      </c>
      <c r="W162" s="16">
        <f>IFERROR(__xludf.DUMMYFUNCTION("IMPORTRANGE(""https://docs.google.com/spreadsheets/d/""&amp;$A162&amp;""/edit#gid=156619080"",W$3)"),4235.9)</f>
        <v>4235.9</v>
      </c>
      <c r="X162" s="2">
        <f>IFERROR(__xludf.DUMMYFUNCTION("IMPORTRANGE(""https://docs.google.com/spreadsheets/d/""&amp;$A162&amp;""/edit#gid=156619080"",X$3)"),4128.5)</f>
        <v>4128.5</v>
      </c>
      <c r="Y162" s="17">
        <f>IFERROR(__xludf.DUMMYFUNCTION("IMPORTRANGE(""https://docs.google.com/spreadsheets/d/""&amp;$A162&amp;""/edit#gid=156619080"",Y$3)"),-0.05127957973878263)</f>
        <v>-0.05127957974</v>
      </c>
      <c r="Z162" s="2">
        <f>IFERROR(__xludf.DUMMYFUNCTION("IMPORTRANGE(""https://docs.google.com/spreadsheets/d/""&amp;$A162&amp;""/edit#gid=156619080"",Z$3)"),4464.71)</f>
        <v>4464.71</v>
      </c>
      <c r="AA162" s="2">
        <f>IFERROR(__xludf.DUMMYFUNCTION("IMPORTRANGE(""https://docs.google.com/spreadsheets/d/""&amp;$A162&amp;""/edit#gid=156619080"",AA$3)"),4436.1)</f>
        <v>4436.1</v>
      </c>
      <c r="AB162" s="2">
        <f>IFERROR(__xludf.DUMMYFUNCTION("IMPORTRANGE(""https://docs.google.com/spreadsheets/d/""&amp;$A162&amp;""/edit#gid=156619080"",AB$3)"),4407.5)</f>
        <v>4407.5</v>
      </c>
      <c r="AC162" s="18">
        <f>IFERROR(__xludf.DUMMYFUNCTION("IMPORTRANGE(""https://docs.google.com/spreadsheets/d/""&amp;$A162&amp;""/edit#gid=156619080"",AC$3)"),4378.9)</f>
        <v>4378.9</v>
      </c>
      <c r="AD162" s="18">
        <f>IFERROR(__xludf.DUMMYFUNCTION("IMPORTRANGE(""https://docs.google.com/spreadsheets/d/""&amp;$A162&amp;""/edit#gid=156619080"",AD$3)"),4350.3)</f>
        <v>4350.3</v>
      </c>
      <c r="AE162" s="18">
        <f>IFERROR(__xludf.DUMMYFUNCTION("IMPORTRANGE(""https://docs.google.com/spreadsheets/d/""&amp;$A162&amp;""/edit#gid=156619080"",AE$3)"),4235.9)</f>
        <v>4235.9</v>
      </c>
      <c r="AF162" s="2">
        <f>IFERROR(__xludf.DUMMYFUNCTION("IMPORTRANGE(""https://docs.google.com/spreadsheets/d/""&amp;$A162&amp;""/edit#gid=156619080"",AF$3)"),4121.5)</f>
        <v>4121.5</v>
      </c>
      <c r="AG162" s="2">
        <f>IFERROR(__xludf.DUMMYFUNCTION("IMPORTRANGE(""https://docs.google.com/spreadsheets/d/""&amp;$A162&amp;""/edit#gid=156619080"",AG$3)"),4092.9)</f>
        <v>4092.9</v>
      </c>
      <c r="AH162" s="2">
        <f>IFERROR(__xludf.DUMMYFUNCTION("IMPORTRANGE(""https://docs.google.com/spreadsheets/d/""&amp;$A162&amp;""/edit#gid=156619080"",AH$3)"),4064.3)</f>
        <v>4064.3</v>
      </c>
      <c r="AI162" s="2">
        <f>IFERROR(__xludf.DUMMYFUNCTION("IMPORTRANGE(""https://docs.google.com/spreadsheets/d/""&amp;$A162&amp;""/edit#gid=156619080"",AI$3)"),4035.7)</f>
        <v>4035.7</v>
      </c>
      <c r="AJ162" s="2">
        <f>IFERROR(__xludf.DUMMYFUNCTION("IMPORTRANGE(""https://docs.google.com/spreadsheets/d/""&amp;$A162&amp;""/edit#gid=156619080"",AJ$3)"),4007.09)</f>
        <v>4007.09</v>
      </c>
      <c r="AK162" s="2" t="str">
        <f>IFERROR(__xludf.DUMMYFUNCTION("IMPORTRANGE(""https://docs.google.com/spreadsheets/d/""&amp;$A162&amp;""/edit#gid=156619080"",AK$3)"),"-2σ以下")</f>
        <v>-2σ以下</v>
      </c>
      <c r="AL162" s="2">
        <f>IFERROR(__xludf.DUMMYFUNCTION("IMPORTRANGE(""https://docs.google.com/spreadsheets/d/""&amp;$A162&amp;""/edit#gid=156619080"",AL$3)"),-1.0)</f>
        <v>-1</v>
      </c>
      <c r="AM162" s="2" t="str">
        <f>IFERROR(__xludf.DUMMYFUNCTION("IMPORTRANGE(""https://docs.google.com/spreadsheets/d/""&amp;$A162&amp;""/edit#gid=156619080"",AM$3)"),"")</f>
        <v/>
      </c>
      <c r="AN162" s="2">
        <f>IFERROR(__xludf.DUMMYFUNCTION("IMPORTRANGE(""https://docs.google.com/spreadsheets/d/""&amp;$A162&amp;""/edit#gid=156619080"",AN$3)"),-1.0)</f>
        <v>-1</v>
      </c>
      <c r="AO162" s="2" t="str">
        <f>IFERROR(__xludf.DUMMYFUNCTION("IMPORTRANGE(""https://docs.google.com/spreadsheets/d/""&amp;$A162&amp;""/edit#gid=156619080"",AO$3)"),"")</f>
        <v/>
      </c>
      <c r="AP162" s="2">
        <f>IFERROR(__xludf.DUMMYFUNCTION("IMPORTRANGE(""https://docs.google.com/spreadsheets/d/""&amp;$A162&amp;""/edit#gid=156619080"",AP$3)"),1.0)</f>
        <v>1</v>
      </c>
      <c r="AQ162" s="2" t="str">
        <f>IFERROR(__xludf.DUMMYFUNCTION("IMPORTRANGE(""https://docs.google.com/spreadsheets/d/""&amp;$A162&amp;""/edit#gid=156619080"",AQ$3)"),"")</f>
        <v/>
      </c>
      <c r="AR162" s="18">
        <f>IFERROR(__xludf.DUMMYFUNCTION("IMPORTRANGE(""https://docs.google.com/spreadsheets/d/""&amp;$A162&amp;""/edit#gid=156619080"",AR$3)"),-89.99999999999999)</f>
        <v>-90</v>
      </c>
      <c r="AS162" s="19" t="str">
        <f>IFERROR(__xludf.DUMMYFUNCTION("IMPORTRANGE(""https://docs.google.com/spreadsheets/d/""&amp;$A162&amp;""/edit#gid=156619080"",AS$3)"),"-60
-17.5
22.5
-77.5
")</f>
        <v>-60
-17.5
22.5
-77.5
</v>
      </c>
      <c r="AT162" s="18">
        <f>IFERROR(__xludf.DUMMYFUNCTION("IMPORTRANGE(""https://docs.google.com/spreadsheets/d/""&amp;$A162&amp;""/edit#gid=156619080"",AT$3)"),-43.81868131868132)</f>
        <v>-43.81868132</v>
      </c>
      <c r="AU162" s="3" t="str">
        <f>IFERROR(__xludf.DUMMYFUNCTION("IMPORTRANGE(""https://docs.google.com/spreadsheets/d/""&amp;$A162&amp;""/edit#gid=156619080"",AU$3)"),"65.38
52.34
34.75
-8.1
")</f>
        <v>65.38
52.34
34.75
-8.1
</v>
      </c>
      <c r="AV162" s="18">
        <f>IFERROR(__xludf.DUMMYFUNCTION("IMPORTRANGE(""https://docs.google.com/spreadsheets/d/""&amp;$A162&amp;""/edit#gid=156619080"",AV$3)"),30.292207792207794)</f>
        <v>30.29220779</v>
      </c>
      <c r="AW162" s="19" t="str">
        <f>IFERROR(__xludf.DUMMYFUNCTION("IMPORTRANGE(""https://docs.google.com/spreadsheets/d/""&amp;$A162&amp;""/edit#gid=156619080"",AW$3)"),"54.55
65.62
73.8
51.2
")</f>
        <v>54.55
65.62
73.8
51.2
</v>
      </c>
      <c r="AX162" s="2">
        <f>IFERROR(__xludf.DUMMYFUNCTION("IMPORTRANGE(""https://docs.google.com/spreadsheets/d/""&amp;$A162&amp;""/edit#gid=156619080"",AX$3)"),4.77)</f>
        <v>4.77</v>
      </c>
      <c r="AY162" s="2">
        <f>IFERROR(__xludf.DUMMYFUNCTION("IMPORTRANGE(""https://docs.google.com/spreadsheets/d/""&amp;$A162&amp;""/edit#gid=156619080"",AY$3)"),31.819999999999997)</f>
        <v>31.82</v>
      </c>
      <c r="AZ162" s="2">
        <f>IFERROR(__xludf.DUMMYFUNCTION("IMPORTRANGE(""https://docs.google.com/spreadsheets/d/""&amp;$A162&amp;""/edit#gid=156619080"",AZ$3)"),4094.01)</f>
        <v>4094.01</v>
      </c>
      <c r="BA162" s="2">
        <f>IFERROR(__xludf.DUMMYFUNCTION("IMPORTRANGE(""https://docs.google.com/spreadsheets/d/""&amp;$A162&amp;""/edit#gid=156619080"",BA$3)"),-112.05000000000018)</f>
        <v>-112.05</v>
      </c>
      <c r="BB162" s="2">
        <f>IFERROR(__xludf.DUMMYFUNCTION("IMPORTRANGE(""https://docs.google.com/spreadsheets/d/""&amp;$A162&amp;""/edit#gid=156619080"",BB$3)"),15.32)</f>
        <v>15.32</v>
      </c>
      <c r="BC162" s="2" t="str">
        <f>IFERROR(__xludf.DUMMYFUNCTION("IMPORTRANGE(""https://docs.google.com/spreadsheets/d/""&amp;$A162&amp;""/edit#gid=156619080"",BC$3)"),"DC→DC")</f>
        <v>DC→DC</v>
      </c>
    </row>
    <row r="163" ht="51.0" customHeight="1">
      <c r="A163" s="7" t="str">
        <f t="shared" si="5"/>
        <v>12g2jp4KQa_rf5mdc65ZALaY6b06OxRzHg-RjI-o3Fsc</v>
      </c>
      <c r="B163" s="1" t="s">
        <v>190</v>
      </c>
      <c r="C163" s="2">
        <f>IFERROR(__xludf.DUMMYFUNCTION("IMPORTRANGE(""https://docs.google.com/spreadsheets/d/""&amp;$A163&amp;""/edit#gid=156619080"",C$3)"),132.0)</f>
        <v>132</v>
      </c>
      <c r="D163" s="2">
        <f>IFERROR(__xludf.DUMMYFUNCTION("IMPORTRANGE(""https://docs.google.com/spreadsheets/d/""&amp;$A163&amp;""/edit#gid=156619080"",D$3)"),8028.0)</f>
        <v>8028</v>
      </c>
      <c r="E163" s="15">
        <f>IFERROR(__xludf.DUMMYFUNCTION("IMPORTRANGE(""https://docs.google.com/spreadsheets/d/""&amp;$A163&amp;""/edit#gid=156619080"",E$3)"),43882.0)</f>
        <v>43882</v>
      </c>
      <c r="F163" s="2">
        <f>IFERROR(__xludf.DUMMYFUNCTION("IMPORTRANGE(""https://docs.google.com/spreadsheets/d/""&amp;$A163&amp;""/edit#gid=156619080"",F$3)"),34.0)</f>
        <v>34</v>
      </c>
      <c r="G163" s="16">
        <f>IFERROR(__xludf.DUMMYFUNCTION("IMPORTRANGE(""https://docs.google.com/spreadsheets/d/""&amp;$A163&amp;""/edit#gid=156619080"",G$3)"),1.36)</f>
        <v>1.36</v>
      </c>
      <c r="H163" s="16">
        <f>IFERROR(__xludf.DUMMYFUNCTION("IMPORTRANGE(""https://docs.google.com/spreadsheets/d/""&amp;$A163&amp;""/edit#gid=156619080"",H$3)"),2536.0)</f>
        <v>2536</v>
      </c>
      <c r="I163" s="16">
        <f>IFERROR(__xludf.DUMMYFUNCTION("IMPORTRANGE(""https://docs.google.com/spreadsheets/d/""&amp;$A163&amp;""/edit#gid=156619080"",I$3)"),-28.0)</f>
        <v>-28</v>
      </c>
      <c r="J163" s="16">
        <f>IFERROR(__xludf.DUMMYFUNCTION("IMPORTRANGE(""https://docs.google.com/spreadsheets/d/""&amp;$A163&amp;""/edit#gid=156619080"",J$3)"),2554.0)</f>
        <v>2554</v>
      </c>
      <c r="K163" s="16">
        <f>IFERROR(__xludf.DUMMYFUNCTION("IMPORTRANGE(""https://docs.google.com/spreadsheets/d/""&amp;$A163&amp;""/edit#gid=156619080"",K$3)"),0.38055555555555554)</f>
        <v>0.3805555556</v>
      </c>
      <c r="L163" s="16">
        <f>IFERROR(__xludf.DUMMYFUNCTION("IMPORTRANGE(""https://docs.google.com/spreadsheets/d/""&amp;$A163&amp;""/edit#gid=156619080"",L$3)"),2511.0)</f>
        <v>2511</v>
      </c>
      <c r="M163" s="16">
        <f>IFERROR(__xludf.DUMMYFUNCTION("IMPORTRANGE(""https://docs.google.com/spreadsheets/d/""&amp;$A163&amp;""/edit#gid=156619080"",M$3)"),0.37569444444444444)</f>
        <v>0.3756944444</v>
      </c>
      <c r="N163" s="16">
        <f>IFERROR(__xludf.DUMMYFUNCTION("IMPORTRANGE(""https://docs.google.com/spreadsheets/d/""&amp;$A163&amp;""/edit#gid=156619080"",N$3)"),2542.0)</f>
        <v>2542</v>
      </c>
      <c r="O163" s="16" t="str">
        <f>IFERROR(__xludf.DUMMYFUNCTION("IMPORTRANGE(""https://docs.google.com/spreadsheets/d/""&amp;$A163&amp;""/edit#gid=156619080"",O$3)"),"1323700株")</f>
        <v>1323700株</v>
      </c>
      <c r="P163" s="16" t="str">
        <f>IFERROR(__xludf.DUMMYFUNCTION("IMPORTRANGE(""https://docs.google.com/spreadsheets/d/""&amp;$A163&amp;""/edit#gid=156619080"",P$3)"),"3361百万円")</f>
        <v>3361百万円</v>
      </c>
      <c r="Q163" s="16" t="str">
        <f>IFERROR(__xludf.DUMMYFUNCTION("IMPORTRANGE(""https://docs.google.com/spreadsheets/d/""&amp;$A163&amp;""/edit#gid=156619080"",Q$3)"),"2066回")</f>
        <v>2066回</v>
      </c>
      <c r="R163" s="16" t="str">
        <f>IFERROR(__xludf.DUMMYFUNCTION("IMPORTRANGE(""https://docs.google.com/spreadsheets/d/""&amp;$A163&amp;""/edit#gid=156619080"",R$3)"),"12884億円")</f>
        <v>12884億円</v>
      </c>
      <c r="S163" s="16" t="str">
        <f>IFERROR(__xludf.DUMMYFUNCTION("IMPORTRANGE(""https://docs.google.com/spreadsheets/d/""&amp;$A163&amp;""/edit#gid=156619080"",S$3)"),"陽線")</f>
        <v>陽線</v>
      </c>
      <c r="T163" s="16" t="str">
        <f>IFERROR(__xludf.DUMMYFUNCTION("IMPORTRANGE(""https://docs.google.com/spreadsheets/d/""&amp;$A163&amp;""/edit#gid=156619080"",T$3)"),"")</f>
        <v/>
      </c>
      <c r="U163" s="16">
        <f>IFERROR(__xludf.DUMMYFUNCTION("IMPORTRANGE(""https://docs.google.com/spreadsheets/d/""&amp;$A163&amp;""/edit#gid=156619080"",U$3)"),2518.4)</f>
        <v>2518.4</v>
      </c>
      <c r="V163" s="16">
        <f>IFERROR(__xludf.DUMMYFUNCTION("IMPORTRANGE(""https://docs.google.com/spreadsheets/d/""&amp;$A163&amp;""/edit#gid=156619080"",V$3)"),2489.5)</f>
        <v>2489.5</v>
      </c>
      <c r="W163" s="16">
        <f>IFERROR(__xludf.DUMMYFUNCTION("IMPORTRANGE(""https://docs.google.com/spreadsheets/d/""&amp;$A163&amp;""/edit#gid=156619080"",W$3)"),2457.3)</f>
        <v>2457.3</v>
      </c>
      <c r="X163" s="2">
        <f>IFERROR(__xludf.DUMMYFUNCTION("IMPORTRANGE(""https://docs.google.com/spreadsheets/d/""&amp;$A163&amp;""/edit#gid=156619080"",X$3)"),2594.9)</f>
        <v>2594.9</v>
      </c>
      <c r="Y163" s="17">
        <f>IFERROR(__xludf.DUMMYFUNCTION("IMPORTRANGE(""https://docs.google.com/spreadsheets/d/""&amp;$A163&amp;""/edit#gid=156619080"",Y$3)"),0.009371029224904666)</f>
        <v>0.009371029225</v>
      </c>
      <c r="Z163" s="2">
        <f>IFERROR(__xludf.DUMMYFUNCTION("IMPORTRANGE(""https://docs.google.com/spreadsheets/d/""&amp;$A163&amp;""/edit#gid=156619080"",Z$3)"),2593.04)</f>
        <v>2593.04</v>
      </c>
      <c r="AA163" s="2">
        <f>IFERROR(__xludf.DUMMYFUNCTION("IMPORTRANGE(""https://docs.google.com/spreadsheets/d/""&amp;$A163&amp;""/edit#gid=156619080"",AA$3)"),2576.07)</f>
        <v>2576.07</v>
      </c>
      <c r="AB163" s="2">
        <f>IFERROR(__xludf.DUMMYFUNCTION("IMPORTRANGE(""https://docs.google.com/spreadsheets/d/""&amp;$A163&amp;""/edit#gid=156619080"",AB$3)"),2559.1)</f>
        <v>2559.1</v>
      </c>
      <c r="AC163" s="18">
        <f>IFERROR(__xludf.DUMMYFUNCTION("IMPORTRANGE(""https://docs.google.com/spreadsheets/d/""&amp;$A163&amp;""/edit#gid=156619080"",AC$3)"),2542.14)</f>
        <v>2542.14</v>
      </c>
      <c r="AD163" s="18">
        <f>IFERROR(__xludf.DUMMYFUNCTION("IMPORTRANGE(""https://docs.google.com/spreadsheets/d/""&amp;$A163&amp;""/edit#gid=156619080"",AD$3)"),2525.17)</f>
        <v>2525.17</v>
      </c>
      <c r="AE163" s="18">
        <f>IFERROR(__xludf.DUMMYFUNCTION("IMPORTRANGE(""https://docs.google.com/spreadsheets/d/""&amp;$A163&amp;""/edit#gid=156619080"",AE$3)"),2457.3)</f>
        <v>2457.3</v>
      </c>
      <c r="AF163" s="2">
        <f>IFERROR(__xludf.DUMMYFUNCTION("IMPORTRANGE(""https://docs.google.com/spreadsheets/d/""&amp;$A163&amp;""/edit#gid=156619080"",AF$3)"),2389.43)</f>
        <v>2389.43</v>
      </c>
      <c r="AG163" s="2">
        <f>IFERROR(__xludf.DUMMYFUNCTION("IMPORTRANGE(""https://docs.google.com/spreadsheets/d/""&amp;$A163&amp;""/edit#gid=156619080"",AG$3)"),2372.46)</f>
        <v>2372.46</v>
      </c>
      <c r="AH163" s="2">
        <f>IFERROR(__xludf.DUMMYFUNCTION("IMPORTRANGE(""https://docs.google.com/spreadsheets/d/""&amp;$A163&amp;""/edit#gid=156619080"",AH$3)"),2355.5)</f>
        <v>2355.5</v>
      </c>
      <c r="AI163" s="2">
        <f>IFERROR(__xludf.DUMMYFUNCTION("IMPORTRANGE(""https://docs.google.com/spreadsheets/d/""&amp;$A163&amp;""/edit#gid=156619080"",AI$3)"),2338.53)</f>
        <v>2338.53</v>
      </c>
      <c r="AJ163" s="2">
        <f>IFERROR(__xludf.DUMMYFUNCTION("IMPORTRANGE(""https://docs.google.com/spreadsheets/d/""&amp;$A163&amp;""/edit#gid=156619080"",AJ$3)"),2321.56)</f>
        <v>2321.56</v>
      </c>
      <c r="AK163" s="2" t="str">
        <f>IFERROR(__xludf.DUMMYFUNCTION("IMPORTRANGE(""https://docs.google.com/spreadsheets/d/""&amp;$A163&amp;""/edit#gid=156619080"",AK$3)"),"1〜1.25σ")</f>
        <v>1〜1.25σ</v>
      </c>
      <c r="AL163" s="2">
        <f>IFERROR(__xludf.DUMMYFUNCTION("IMPORTRANGE(""https://docs.google.com/spreadsheets/d/""&amp;$A163&amp;""/edit#gid=156619080"",AL$3)"),1.0)</f>
        <v>1</v>
      </c>
      <c r="AM163" s="2" t="str">
        <f>IFERROR(__xludf.DUMMYFUNCTION("IMPORTRANGE(""https://docs.google.com/spreadsheets/d/""&amp;$A163&amp;""/edit#gid=156619080"",AM$3)"),"")</f>
        <v/>
      </c>
      <c r="AN163" s="2">
        <f>IFERROR(__xludf.DUMMYFUNCTION("IMPORTRANGE(""https://docs.google.com/spreadsheets/d/""&amp;$A163&amp;""/edit#gid=156619080"",AN$3)"),1.0)</f>
        <v>1</v>
      </c>
      <c r="AO163" s="2" t="str">
        <f>IFERROR(__xludf.DUMMYFUNCTION("IMPORTRANGE(""https://docs.google.com/spreadsheets/d/""&amp;$A163&amp;""/edit#gid=156619080"",AO$3)"),"")</f>
        <v/>
      </c>
      <c r="AP163" s="2">
        <f>IFERROR(__xludf.DUMMYFUNCTION("IMPORTRANGE(""https://docs.google.com/spreadsheets/d/""&amp;$A163&amp;""/edit#gid=156619080"",AP$3)"),1.0)</f>
        <v>1</v>
      </c>
      <c r="AQ163" s="2" t="str">
        <f>IFERROR(__xludf.DUMMYFUNCTION("IMPORTRANGE(""https://docs.google.com/spreadsheets/d/""&amp;$A163&amp;""/edit#gid=156619080"",AQ$3)"),"")</f>
        <v/>
      </c>
      <c r="AR163" s="18">
        <f>IFERROR(__xludf.DUMMYFUNCTION("IMPORTRANGE(""https://docs.google.com/spreadsheets/d/""&amp;$A163&amp;""/edit#gid=156619080"",AR$3)"),37.5)</f>
        <v>37.5</v>
      </c>
      <c r="AS163" s="19" t="str">
        <f>IFERROR(__xludf.DUMMYFUNCTION("IMPORTRANGE(""https://docs.google.com/spreadsheets/d/""&amp;$A163&amp;""/edit#gid=156619080"",AS$3)"),"-30
67.5
87.5
37.5
")</f>
        <v>-30
67.5
87.5
37.5
</v>
      </c>
      <c r="AT163" s="18">
        <f>IFERROR(__xludf.DUMMYFUNCTION("IMPORTRANGE(""https://docs.google.com/spreadsheets/d/""&amp;$A163&amp;""/edit#gid=156619080"",AT$3)"),56.456043956043956)</f>
        <v>56.45604396</v>
      </c>
      <c r="AU163" s="3" t="str">
        <f>IFERROR(__xludf.DUMMYFUNCTION("IMPORTRANGE(""https://docs.google.com/spreadsheets/d/""&amp;$A163&amp;""/edit#gid=156619080"",AU$3)"),"66.07
66.48
65.93
55.91
")</f>
        <v>66.07
66.48
65.93
55.91
</v>
      </c>
      <c r="AV163" s="18">
        <f>IFERROR(__xludf.DUMMYFUNCTION("IMPORTRANGE(""https://docs.google.com/spreadsheets/d/""&amp;$A163&amp;""/edit#gid=156619080"",AV$3)"),71.00649350649351)</f>
        <v>71.00649351</v>
      </c>
      <c r="AW163" s="19" t="str">
        <f>IFERROR(__xludf.DUMMYFUNCTION("IMPORTRANGE(""https://docs.google.com/spreadsheets/d/""&amp;$A163&amp;""/edit#gid=156619080"",AW$3)"),"-3.73
17.01
41.04
43.73
")</f>
        <v>-3.73
17.01
41.04
43.73
</v>
      </c>
      <c r="AX163" s="2">
        <f>IFERROR(__xludf.DUMMYFUNCTION("IMPORTRANGE(""https://docs.google.com/spreadsheets/d/""&amp;$A163&amp;""/edit#gid=156619080"",AX$3)"),86.44)</f>
        <v>86.44</v>
      </c>
      <c r="AY163" s="2">
        <f>IFERROR(__xludf.DUMMYFUNCTION("IMPORTRANGE(""https://docs.google.com/spreadsheets/d/""&amp;$A163&amp;""/edit#gid=156619080"",AY$3)"),49.85)</f>
        <v>49.85</v>
      </c>
      <c r="AZ163" s="2">
        <f>IFERROR(__xludf.DUMMYFUNCTION("IMPORTRANGE(""https://docs.google.com/spreadsheets/d/""&amp;$A163&amp;""/edit#gid=156619080"",AZ$3)"),2519.53)</f>
        <v>2519.53</v>
      </c>
      <c r="BA163" s="2">
        <f>IFERROR(__xludf.DUMMYFUNCTION("IMPORTRANGE(""https://docs.google.com/spreadsheets/d/""&amp;$A163&amp;""/edit#gid=156619080"",BA$3)"),19.620000000000346)</f>
        <v>19.62</v>
      </c>
      <c r="BB163" s="2">
        <f>IFERROR(__xludf.DUMMYFUNCTION("IMPORTRANGE(""https://docs.google.com/spreadsheets/d/""&amp;$A163&amp;""/edit#gid=156619080"",BB$3)"),-10.27)</f>
        <v>-10.27</v>
      </c>
      <c r="BC163" s="2" t="str">
        <f>IFERROR(__xludf.DUMMYFUNCTION("IMPORTRANGE(""https://docs.google.com/spreadsheets/d/""&amp;$A163&amp;""/edit#gid=156619080"",BC$3)"),"GC→GC")</f>
        <v>GC→GC</v>
      </c>
    </row>
    <row r="164" ht="51.0" customHeight="1">
      <c r="A164" s="7" t="str">
        <f t="shared" si="5"/>
        <v>1LCcEh4ZTnu0SoTEoTJcdSB32UW809ghb60J1-z_sErM</v>
      </c>
      <c r="B164" s="1" t="s">
        <v>191</v>
      </c>
      <c r="C164" s="2">
        <f>IFERROR(__xludf.DUMMYFUNCTION("IMPORTRANGE(""https://docs.google.com/spreadsheets/d/""&amp;$A164&amp;""/edit#gid=156619080"",C$3)"),132.0)</f>
        <v>132</v>
      </c>
      <c r="D164" s="2">
        <f>IFERROR(__xludf.DUMMYFUNCTION("IMPORTRANGE(""https://docs.google.com/spreadsheets/d/""&amp;$A164&amp;""/edit#gid=156619080"",D$3)"),8233.0)</f>
        <v>8233</v>
      </c>
      <c r="E164" s="15">
        <f>IFERROR(__xludf.DUMMYFUNCTION("IMPORTRANGE(""https://docs.google.com/spreadsheets/d/""&amp;$A164&amp;""/edit#gid=156619080"",E$3)"),43882.0)</f>
        <v>43882</v>
      </c>
      <c r="F164" s="2">
        <f>IFERROR(__xludf.DUMMYFUNCTION("IMPORTRANGE(""https://docs.google.com/spreadsheets/d/""&amp;$A164&amp;""/edit#gid=156619080"",F$3)"),-18.0)</f>
        <v>-18</v>
      </c>
      <c r="G164" s="16">
        <f>IFERROR(__xludf.DUMMYFUNCTION("IMPORTRANGE(""https://docs.google.com/spreadsheets/d/""&amp;$A164&amp;""/edit#gid=156619080"",G$3)"),-1.61)</f>
        <v>-1.61</v>
      </c>
      <c r="H164" s="16">
        <f>IFERROR(__xludf.DUMMYFUNCTION("IMPORTRANGE(""https://docs.google.com/spreadsheets/d/""&amp;$A164&amp;""/edit#gid=156619080"",H$3)"),1111.0)</f>
        <v>1111</v>
      </c>
      <c r="I164" s="16">
        <f>IFERROR(__xludf.DUMMYFUNCTION("IMPORTRANGE(""https://docs.google.com/spreadsheets/d/""&amp;$A164&amp;""/edit#gid=156619080"",I$3)"),5.0)</f>
        <v>5</v>
      </c>
      <c r="J164" s="16">
        <f>IFERROR(__xludf.DUMMYFUNCTION("IMPORTRANGE(""https://docs.google.com/spreadsheets/d/""&amp;$A164&amp;""/edit#gid=156619080"",J$3)"),1113.0)</f>
        <v>1113</v>
      </c>
      <c r="K164" s="16">
        <f>IFERROR(__xludf.DUMMYFUNCTION("IMPORTRANGE(""https://docs.google.com/spreadsheets/d/""&amp;$A164&amp;""/edit#gid=156619080"",K$3)"),0.38055555555555554)</f>
        <v>0.3805555556</v>
      </c>
      <c r="L164" s="16">
        <f>IFERROR(__xludf.DUMMYFUNCTION("IMPORTRANGE(""https://docs.google.com/spreadsheets/d/""&amp;$A164&amp;""/edit#gid=156619080"",L$3)"),1096.0)</f>
        <v>1096</v>
      </c>
      <c r="M164" s="16">
        <f>IFERROR(__xludf.DUMMYFUNCTION("IMPORTRANGE(""https://docs.google.com/spreadsheets/d/""&amp;$A164&amp;""/edit#gid=156619080"",M$3)"),0.5722222222222222)</f>
        <v>0.5722222222</v>
      </c>
      <c r="N164" s="16">
        <f>IFERROR(__xludf.DUMMYFUNCTION("IMPORTRANGE(""https://docs.google.com/spreadsheets/d/""&amp;$A164&amp;""/edit#gid=156619080"",N$3)"),1098.0)</f>
        <v>1098</v>
      </c>
      <c r="O164" s="16" t="str">
        <f>IFERROR(__xludf.DUMMYFUNCTION("IMPORTRANGE(""https://docs.google.com/spreadsheets/d/""&amp;$A164&amp;""/edit#gid=156619080"",O$3)"),"1188100株")</f>
        <v>1188100株</v>
      </c>
      <c r="P164" s="16" t="str">
        <f>IFERROR(__xludf.DUMMYFUNCTION("IMPORTRANGE(""https://docs.google.com/spreadsheets/d/""&amp;$A164&amp;""/edit#gid=156619080"",P$3)"),"1310百万円")</f>
        <v>1310百万円</v>
      </c>
      <c r="Q164" s="16" t="str">
        <f>IFERROR(__xludf.DUMMYFUNCTION("IMPORTRANGE(""https://docs.google.com/spreadsheets/d/""&amp;$A164&amp;""/edit#gid=156619080"",Q$3)"),"1824回")</f>
        <v>1824回</v>
      </c>
      <c r="R164" s="16" t="str">
        <f>IFERROR(__xludf.DUMMYFUNCTION("IMPORTRANGE(""https://docs.google.com/spreadsheets/d/""&amp;$A164&amp;""/edit#gid=156619080"",R$3)"),"1952億円")</f>
        <v>1952億円</v>
      </c>
      <c r="S164" s="16" t="str">
        <f>IFERROR(__xludf.DUMMYFUNCTION("IMPORTRANGE(""https://docs.google.com/spreadsheets/d/""&amp;$A164&amp;""/edit#gid=156619080"",S$3)"),"陰線")</f>
        <v>陰線</v>
      </c>
      <c r="T164" s="16" t="str">
        <f>IFERROR(__xludf.DUMMYFUNCTION("IMPORTRANGE(""https://docs.google.com/spreadsheets/d/""&amp;$A164&amp;""/edit#gid=156619080"",T$3)"),"")</f>
        <v/>
      </c>
      <c r="U164" s="16">
        <f>IFERROR(__xludf.DUMMYFUNCTION("IMPORTRANGE(""https://docs.google.com/spreadsheets/d/""&amp;$A164&amp;""/edit#gid=156619080"",U$3)"),1127.2)</f>
        <v>1127.2</v>
      </c>
      <c r="V164" s="16">
        <f>IFERROR(__xludf.DUMMYFUNCTION("IMPORTRANGE(""https://docs.google.com/spreadsheets/d/""&amp;$A164&amp;""/edit#gid=156619080"",V$3)"),1170.0)</f>
        <v>1170</v>
      </c>
      <c r="W164" s="16">
        <f>IFERROR(__xludf.DUMMYFUNCTION("IMPORTRANGE(""https://docs.google.com/spreadsheets/d/""&amp;$A164&amp;""/edit#gid=156619080"",W$3)"),1178.2)</f>
        <v>1178.2</v>
      </c>
      <c r="X164" s="2">
        <f>IFERROR(__xludf.DUMMYFUNCTION("IMPORTRANGE(""https://docs.google.com/spreadsheets/d/""&amp;$A164&amp;""/edit#gid=156619080"",X$3)"),1235.9)</f>
        <v>1235.9</v>
      </c>
      <c r="Y164" s="17">
        <f>IFERROR(__xludf.DUMMYFUNCTION("IMPORTRANGE(""https://docs.google.com/spreadsheets/d/""&amp;$A164&amp;""/edit#gid=156619080"",Y$3)"),-0.025904897090134885)</f>
        <v>-0.02590489709</v>
      </c>
      <c r="Z164" s="2">
        <f>IFERROR(__xludf.DUMMYFUNCTION("IMPORTRANGE(""https://docs.google.com/spreadsheets/d/""&amp;$A164&amp;""/edit#gid=156619080"",Z$3)"),1251.96)</f>
        <v>1251.96</v>
      </c>
      <c r="AA164" s="2">
        <f>IFERROR(__xludf.DUMMYFUNCTION("IMPORTRANGE(""https://docs.google.com/spreadsheets/d/""&amp;$A164&amp;""/edit#gid=156619080"",AA$3)"),1242.74)</f>
        <v>1242.74</v>
      </c>
      <c r="AB164" s="2">
        <f>IFERROR(__xludf.DUMMYFUNCTION("IMPORTRANGE(""https://docs.google.com/spreadsheets/d/""&amp;$A164&amp;""/edit#gid=156619080"",AB$3)"),1233.52)</f>
        <v>1233.52</v>
      </c>
      <c r="AC164" s="18">
        <f>IFERROR(__xludf.DUMMYFUNCTION("IMPORTRANGE(""https://docs.google.com/spreadsheets/d/""&amp;$A164&amp;""/edit#gid=156619080"",AC$3)"),1224.3)</f>
        <v>1224.3</v>
      </c>
      <c r="AD164" s="18">
        <f>IFERROR(__xludf.DUMMYFUNCTION("IMPORTRANGE(""https://docs.google.com/spreadsheets/d/""&amp;$A164&amp;""/edit#gid=156619080"",AD$3)"),1215.08)</f>
        <v>1215.08</v>
      </c>
      <c r="AE164" s="18">
        <f>IFERROR(__xludf.DUMMYFUNCTION("IMPORTRANGE(""https://docs.google.com/spreadsheets/d/""&amp;$A164&amp;""/edit#gid=156619080"",AE$3)"),1178.2)</f>
        <v>1178.2</v>
      </c>
      <c r="AF164" s="2">
        <f>IFERROR(__xludf.DUMMYFUNCTION("IMPORTRANGE(""https://docs.google.com/spreadsheets/d/""&amp;$A164&amp;""/edit#gid=156619080"",AF$3)"),1141.32)</f>
        <v>1141.32</v>
      </c>
      <c r="AG164" s="2">
        <f>IFERROR(__xludf.DUMMYFUNCTION("IMPORTRANGE(""https://docs.google.com/spreadsheets/d/""&amp;$A164&amp;""/edit#gid=156619080"",AG$3)"),1132.1)</f>
        <v>1132.1</v>
      </c>
      <c r="AH164" s="2">
        <f>IFERROR(__xludf.DUMMYFUNCTION("IMPORTRANGE(""https://docs.google.com/spreadsheets/d/""&amp;$A164&amp;""/edit#gid=156619080"",AH$3)"),1122.88)</f>
        <v>1122.88</v>
      </c>
      <c r="AI164" s="2">
        <f>IFERROR(__xludf.DUMMYFUNCTION("IMPORTRANGE(""https://docs.google.com/spreadsheets/d/""&amp;$A164&amp;""/edit#gid=156619080"",AI$3)"),1113.66)</f>
        <v>1113.66</v>
      </c>
      <c r="AJ164" s="2">
        <f>IFERROR(__xludf.DUMMYFUNCTION("IMPORTRANGE(""https://docs.google.com/spreadsheets/d/""&amp;$A164&amp;""/edit#gid=156619080"",AJ$3)"),1104.44)</f>
        <v>1104.44</v>
      </c>
      <c r="AK164" s="2" t="str">
        <f>IFERROR(__xludf.DUMMYFUNCTION("IMPORTRANGE(""https://docs.google.com/spreadsheets/d/""&amp;$A164&amp;""/edit#gid=156619080"",AK$3)"),"-2σ以下")</f>
        <v>-2σ以下</v>
      </c>
      <c r="AL164" s="2">
        <f>IFERROR(__xludf.DUMMYFUNCTION("IMPORTRANGE(""https://docs.google.com/spreadsheets/d/""&amp;$A164&amp;""/edit#gid=156619080"",AL$3)"),-1.0)</f>
        <v>-1</v>
      </c>
      <c r="AM164" s="2" t="str">
        <f>IFERROR(__xludf.DUMMYFUNCTION("IMPORTRANGE(""https://docs.google.com/spreadsheets/d/""&amp;$A164&amp;""/edit#gid=156619080"",AM$3)"),"")</f>
        <v/>
      </c>
      <c r="AN164" s="2">
        <f>IFERROR(__xludf.DUMMYFUNCTION("IMPORTRANGE(""https://docs.google.com/spreadsheets/d/""&amp;$A164&amp;""/edit#gid=156619080"",AN$3)"),-1.0)</f>
        <v>-1</v>
      </c>
      <c r="AO164" s="2" t="str">
        <f>IFERROR(__xludf.DUMMYFUNCTION("IMPORTRANGE(""https://docs.google.com/spreadsheets/d/""&amp;$A164&amp;""/edit#gid=156619080"",AO$3)"),"")</f>
        <v/>
      </c>
      <c r="AP164" s="2">
        <f>IFERROR(__xludf.DUMMYFUNCTION("IMPORTRANGE(""https://docs.google.com/spreadsheets/d/""&amp;$A164&amp;""/edit#gid=156619080"",AP$3)"),-1.0)</f>
        <v>-1</v>
      </c>
      <c r="AQ164" s="2" t="str">
        <f>IFERROR(__xludf.DUMMYFUNCTION("IMPORTRANGE(""https://docs.google.com/spreadsheets/d/""&amp;$A164&amp;""/edit#gid=156619080"",AQ$3)"),"")</f>
        <v/>
      </c>
      <c r="AR164" s="18">
        <f>IFERROR(__xludf.DUMMYFUNCTION("IMPORTRANGE(""https://docs.google.com/spreadsheets/d/""&amp;$A164&amp;""/edit#gid=156619080"",AR$3)"),-92.5)</f>
        <v>-92.5</v>
      </c>
      <c r="AS164" s="19" t="str">
        <f>IFERROR(__xludf.DUMMYFUNCTION("IMPORTRANGE(""https://docs.google.com/spreadsheets/d/""&amp;$A164&amp;""/edit#gid=156619080"",AS$3)"),"-70
-90
-100
-92.5
")</f>
        <v>-70
-90
-100
-92.5
</v>
      </c>
      <c r="AT164" s="18">
        <f>IFERROR(__xludf.DUMMYFUNCTION("IMPORTRANGE(""https://docs.google.com/spreadsheets/d/""&amp;$A164&amp;""/edit#gid=156619080"",AT$3)"),-76.51098901098901)</f>
        <v>-76.51098901</v>
      </c>
      <c r="AU164" s="3" t="str">
        <f>IFERROR(__xludf.DUMMYFUNCTION("IMPORTRANGE(""https://docs.google.com/spreadsheets/d/""&amp;$A164&amp;""/edit#gid=156619080"",AU$3)"),"24.73
0
-29.12
-51.79
")</f>
        <v>24.73
0
-29.12
-51.79
</v>
      </c>
      <c r="AV164" s="18">
        <f>IFERROR(__xludf.DUMMYFUNCTION("IMPORTRANGE(""https://docs.google.com/spreadsheets/d/""&amp;$A164&amp;""/edit#gid=156619080"",AV$3)"),-60.55194805194806)</f>
        <v>-60.55194805</v>
      </c>
      <c r="AW164" s="19" t="str">
        <f>IFERROR(__xludf.DUMMYFUNCTION("IMPORTRANGE(""https://docs.google.com/spreadsheets/d/""&amp;$A164&amp;""/edit#gid=156619080"",AW$3)"),"-54.55
-54.55
-55.71
-60.16
")</f>
        <v>-54.55
-54.55
-55.71
-60.16
</v>
      </c>
      <c r="AX164" s="2">
        <f>IFERROR(__xludf.DUMMYFUNCTION("IMPORTRANGE(""https://docs.google.com/spreadsheets/d/""&amp;$A164&amp;""/edit#gid=156619080"",AX$3)"),0.0)</f>
        <v>0</v>
      </c>
      <c r="AY164" s="2">
        <f>IFERROR(__xludf.DUMMYFUNCTION("IMPORTRANGE(""https://docs.google.com/spreadsheets/d/""&amp;$A164&amp;""/edit#gid=156619080"",AY$3)"),32.129999999999995)</f>
        <v>32.13</v>
      </c>
      <c r="AZ164" s="2">
        <f>IFERROR(__xludf.DUMMYFUNCTION("IMPORTRANGE(""https://docs.google.com/spreadsheets/d/""&amp;$A164&amp;""/edit#gid=156619080"",AZ$3)"),1125.86)</f>
        <v>1125.86</v>
      </c>
      <c r="BA164" s="2">
        <f>IFERROR(__xludf.DUMMYFUNCTION("IMPORTRANGE(""https://docs.google.com/spreadsheets/d/""&amp;$A164&amp;""/edit#gid=156619080"",BA$3)"),-47.41000000000008)</f>
        <v>-47.41</v>
      </c>
      <c r="BB164" s="2">
        <f>IFERROR(__xludf.DUMMYFUNCTION("IMPORTRANGE(""https://docs.google.com/spreadsheets/d/""&amp;$A164&amp;""/edit#gid=156619080"",BB$3)"),-26.21)</f>
        <v>-26.21</v>
      </c>
      <c r="BC164" s="2" t="str">
        <f>IFERROR(__xludf.DUMMYFUNCTION("IMPORTRANGE(""https://docs.google.com/spreadsheets/d/""&amp;$A164&amp;""/edit#gid=156619080"",BC$3)"),"DC→DC")</f>
        <v>DC→DC</v>
      </c>
    </row>
    <row r="165" ht="51.0" customHeight="1">
      <c r="A165" s="7" t="str">
        <f t="shared" si="5"/>
        <v>1KM3yGAmsrnzOrtVXD6T3Nhg-Weh5VCYbj7VPQLKt8f8</v>
      </c>
      <c r="B165" s="1" t="s">
        <v>192</v>
      </c>
      <c r="C165" s="2">
        <f>IFERROR(__xludf.DUMMYFUNCTION("IMPORTRANGE(""https://docs.google.com/spreadsheets/d/""&amp;$A165&amp;""/edit#gid=156619080"",C$3)"),132.0)</f>
        <v>132</v>
      </c>
      <c r="D165" s="2">
        <f>IFERROR(__xludf.DUMMYFUNCTION("IMPORTRANGE(""https://docs.google.com/spreadsheets/d/""&amp;$A165&amp;""/edit#gid=156619080"",D$3)"),8252.0)</f>
        <v>8252</v>
      </c>
      <c r="E165" s="15">
        <f>IFERROR(__xludf.DUMMYFUNCTION("IMPORTRANGE(""https://docs.google.com/spreadsheets/d/""&amp;$A165&amp;""/edit#gid=156619080"",E$3)"),43882.0)</f>
        <v>43882</v>
      </c>
      <c r="F165" s="2">
        <f>IFERROR(__xludf.DUMMYFUNCTION("IMPORTRANGE(""https://docs.google.com/spreadsheets/d/""&amp;$A165&amp;""/edit#gid=156619080"",F$3)"),-26.0)</f>
        <v>-26</v>
      </c>
      <c r="G165" s="16">
        <f>IFERROR(__xludf.DUMMYFUNCTION("IMPORTRANGE(""https://docs.google.com/spreadsheets/d/""&amp;$A165&amp;""/edit#gid=156619080"",G$3)"),-1.1)</f>
        <v>-1.1</v>
      </c>
      <c r="H165" s="16">
        <f>IFERROR(__xludf.DUMMYFUNCTION("IMPORTRANGE(""https://docs.google.com/spreadsheets/d/""&amp;$A165&amp;""/edit#gid=156619080"",H$3)"),2371.0)</f>
        <v>2371</v>
      </c>
      <c r="I165" s="16">
        <f>IFERROR(__xludf.DUMMYFUNCTION("IMPORTRANGE(""https://docs.google.com/spreadsheets/d/""&amp;$A165&amp;""/edit#gid=156619080"",I$3)"),0.0)</f>
        <v>0</v>
      </c>
      <c r="J165" s="16">
        <f>IFERROR(__xludf.DUMMYFUNCTION("IMPORTRANGE(""https://docs.google.com/spreadsheets/d/""&amp;$A165&amp;""/edit#gid=156619080"",J$3)"),2379.0)</f>
        <v>2379</v>
      </c>
      <c r="K165" s="16">
        <f>IFERROR(__xludf.DUMMYFUNCTION("IMPORTRANGE(""https://docs.google.com/spreadsheets/d/""&amp;$A165&amp;""/edit#gid=156619080"",K$3)"),0.375)</f>
        <v>0.375</v>
      </c>
      <c r="L165" s="16">
        <f>IFERROR(__xludf.DUMMYFUNCTION("IMPORTRANGE(""https://docs.google.com/spreadsheets/d/""&amp;$A165&amp;""/edit#gid=156619080"",L$3)"),2337.0)</f>
        <v>2337</v>
      </c>
      <c r="M165" s="16">
        <f>IFERROR(__xludf.DUMMYFUNCTION("IMPORTRANGE(""https://docs.google.com/spreadsheets/d/""&amp;$A165&amp;""/edit#gid=156619080"",M$3)"),0.47638888888888886)</f>
        <v>0.4763888889</v>
      </c>
      <c r="N165" s="16">
        <f>IFERROR(__xludf.DUMMYFUNCTION("IMPORTRANGE(""https://docs.google.com/spreadsheets/d/""&amp;$A165&amp;""/edit#gid=156619080"",N$3)"),2345.0)</f>
        <v>2345</v>
      </c>
      <c r="O165" s="16" t="str">
        <f>IFERROR(__xludf.DUMMYFUNCTION("IMPORTRANGE(""https://docs.google.com/spreadsheets/d/""&amp;$A165&amp;""/edit#gid=156619080"",O$3)"),"778100株")</f>
        <v>778100株</v>
      </c>
      <c r="P165" s="16" t="str">
        <f>IFERROR(__xludf.DUMMYFUNCTION("IMPORTRANGE(""https://docs.google.com/spreadsheets/d/""&amp;$A165&amp;""/edit#gid=156619080"",P$3)"),"1832百万円")</f>
        <v>1832百万円</v>
      </c>
      <c r="Q165" s="16" t="str">
        <f>IFERROR(__xludf.DUMMYFUNCTION("IMPORTRANGE(""https://docs.google.com/spreadsheets/d/""&amp;$A165&amp;""/edit#gid=156619080"",Q$3)"),"2096回")</f>
        <v>2096回</v>
      </c>
      <c r="R165" s="16" t="str">
        <f>IFERROR(__xludf.DUMMYFUNCTION("IMPORTRANGE(""https://docs.google.com/spreadsheets/d/""&amp;$A165&amp;""/edit#gid=156619080"",R$3)"),"5245億円")</f>
        <v>5245億円</v>
      </c>
      <c r="S165" s="16" t="str">
        <f>IFERROR(__xludf.DUMMYFUNCTION("IMPORTRANGE(""https://docs.google.com/spreadsheets/d/""&amp;$A165&amp;""/edit#gid=156619080"",S$3)"),"陰線")</f>
        <v>陰線</v>
      </c>
      <c r="T165" s="16" t="str">
        <f>IFERROR(__xludf.DUMMYFUNCTION("IMPORTRANGE(""https://docs.google.com/spreadsheets/d/""&amp;$A165&amp;""/edit#gid=156619080"",T$3)"),"")</f>
        <v/>
      </c>
      <c r="U165" s="16">
        <f>IFERROR(__xludf.DUMMYFUNCTION("IMPORTRANGE(""https://docs.google.com/spreadsheets/d/""&amp;$A165&amp;""/edit#gid=156619080"",U$3)"),2386.0)</f>
        <v>2386</v>
      </c>
      <c r="V165" s="16">
        <f>IFERROR(__xludf.DUMMYFUNCTION("IMPORTRANGE(""https://docs.google.com/spreadsheets/d/""&amp;$A165&amp;""/edit#gid=156619080"",V$3)"),2440.9)</f>
        <v>2440.9</v>
      </c>
      <c r="W165" s="16">
        <f>IFERROR(__xludf.DUMMYFUNCTION("IMPORTRANGE(""https://docs.google.com/spreadsheets/d/""&amp;$A165&amp;""/edit#gid=156619080"",W$3)"),2484.7)</f>
        <v>2484.7</v>
      </c>
      <c r="X165" s="2">
        <f>IFERROR(__xludf.DUMMYFUNCTION("IMPORTRANGE(""https://docs.google.com/spreadsheets/d/""&amp;$A165&amp;""/edit#gid=156619080"",X$3)"),2501.0)</f>
        <v>2501</v>
      </c>
      <c r="Y165" s="17">
        <f>IFERROR(__xludf.DUMMYFUNCTION("IMPORTRANGE(""https://docs.google.com/spreadsheets/d/""&amp;$A165&amp;""/edit#gid=156619080"",Y$3)"),-0.017183570829840736)</f>
        <v>-0.01718357083</v>
      </c>
      <c r="Z165" s="2">
        <f>IFERROR(__xludf.DUMMYFUNCTION("IMPORTRANGE(""https://docs.google.com/spreadsheets/d/""&amp;$A165&amp;""/edit#gid=156619080"",Z$3)"),2636.91)</f>
        <v>2636.91</v>
      </c>
      <c r="AA165" s="2">
        <f>IFERROR(__xludf.DUMMYFUNCTION("IMPORTRANGE(""https://docs.google.com/spreadsheets/d/""&amp;$A165&amp;""/edit#gid=156619080"",AA$3)"),2617.88)</f>
        <v>2617.88</v>
      </c>
      <c r="AB165" s="2">
        <f>IFERROR(__xludf.DUMMYFUNCTION("IMPORTRANGE(""https://docs.google.com/spreadsheets/d/""&amp;$A165&amp;""/edit#gid=156619080"",AB$3)"),2598.86)</f>
        <v>2598.86</v>
      </c>
      <c r="AC165" s="18">
        <f>IFERROR(__xludf.DUMMYFUNCTION("IMPORTRANGE(""https://docs.google.com/spreadsheets/d/""&amp;$A165&amp;""/edit#gid=156619080"",AC$3)"),2579.83)</f>
        <v>2579.83</v>
      </c>
      <c r="AD165" s="18">
        <f>IFERROR(__xludf.DUMMYFUNCTION("IMPORTRANGE(""https://docs.google.com/spreadsheets/d/""&amp;$A165&amp;""/edit#gid=156619080"",AD$3)"),2560.8)</f>
        <v>2560.8</v>
      </c>
      <c r="AE165" s="18">
        <f>IFERROR(__xludf.DUMMYFUNCTION("IMPORTRANGE(""https://docs.google.com/spreadsheets/d/""&amp;$A165&amp;""/edit#gid=156619080"",AE$3)"),2484.7)</f>
        <v>2484.7</v>
      </c>
      <c r="AF165" s="2">
        <f>IFERROR(__xludf.DUMMYFUNCTION("IMPORTRANGE(""https://docs.google.com/spreadsheets/d/""&amp;$A165&amp;""/edit#gid=156619080"",AF$3)"),2408.6)</f>
        <v>2408.6</v>
      </c>
      <c r="AG165" s="2">
        <f>IFERROR(__xludf.DUMMYFUNCTION("IMPORTRANGE(""https://docs.google.com/spreadsheets/d/""&amp;$A165&amp;""/edit#gid=156619080"",AG$3)"),2389.57)</f>
        <v>2389.57</v>
      </c>
      <c r="AH165" s="2">
        <f>IFERROR(__xludf.DUMMYFUNCTION("IMPORTRANGE(""https://docs.google.com/spreadsheets/d/""&amp;$A165&amp;""/edit#gid=156619080"",AH$3)"),2370.54)</f>
        <v>2370.54</v>
      </c>
      <c r="AI165" s="2">
        <f>IFERROR(__xludf.DUMMYFUNCTION("IMPORTRANGE(""https://docs.google.com/spreadsheets/d/""&amp;$A165&amp;""/edit#gid=156619080"",AI$3)"),2351.52)</f>
        <v>2351.52</v>
      </c>
      <c r="AJ165" s="2">
        <f>IFERROR(__xludf.DUMMYFUNCTION("IMPORTRANGE(""https://docs.google.com/spreadsheets/d/""&amp;$A165&amp;""/edit#gid=156619080"",AJ$3)"),2332.49)</f>
        <v>2332.49</v>
      </c>
      <c r="AK165" s="2" t="str">
        <f>IFERROR(__xludf.DUMMYFUNCTION("IMPORTRANGE(""https://docs.google.com/spreadsheets/d/""&amp;$A165&amp;""/edit#gid=156619080"",AK$3)"),"-1.75σ〜-2σ")</f>
        <v>-1.75σ〜-2σ</v>
      </c>
      <c r="AL165" s="2">
        <f>IFERROR(__xludf.DUMMYFUNCTION("IMPORTRANGE(""https://docs.google.com/spreadsheets/d/""&amp;$A165&amp;""/edit#gid=156619080"",AL$3)"),-1.0)</f>
        <v>-1</v>
      </c>
      <c r="AM165" s="2" t="str">
        <f>IFERROR(__xludf.DUMMYFUNCTION("IMPORTRANGE(""https://docs.google.com/spreadsheets/d/""&amp;$A165&amp;""/edit#gid=156619080"",AM$3)"),"")</f>
        <v/>
      </c>
      <c r="AN165" s="2">
        <f>IFERROR(__xludf.DUMMYFUNCTION("IMPORTRANGE(""https://docs.google.com/spreadsheets/d/""&amp;$A165&amp;""/edit#gid=156619080"",AN$3)"),-1.0)</f>
        <v>-1</v>
      </c>
      <c r="AO165" s="2" t="str">
        <f>IFERROR(__xludf.DUMMYFUNCTION("IMPORTRANGE(""https://docs.google.com/spreadsheets/d/""&amp;$A165&amp;""/edit#gid=156619080"",AO$3)"),"")</f>
        <v/>
      </c>
      <c r="AP165" s="2">
        <f>IFERROR(__xludf.DUMMYFUNCTION("IMPORTRANGE(""https://docs.google.com/spreadsheets/d/""&amp;$A165&amp;""/edit#gid=156619080"",AP$3)"),-1.0)</f>
        <v>-1</v>
      </c>
      <c r="AQ165" s="2" t="str">
        <f>IFERROR(__xludf.DUMMYFUNCTION("IMPORTRANGE(""https://docs.google.com/spreadsheets/d/""&amp;$A165&amp;""/edit#gid=156619080"",AQ$3)"),"")</f>
        <v/>
      </c>
      <c r="AR165" s="18">
        <f>IFERROR(__xludf.DUMMYFUNCTION("IMPORTRANGE(""https://docs.google.com/spreadsheets/d/""&amp;$A165&amp;""/edit#gid=156619080"",AR$3)"),-89.99999999999999)</f>
        <v>-90</v>
      </c>
      <c r="AS165" s="19" t="str">
        <f>IFERROR(__xludf.DUMMYFUNCTION("IMPORTRANGE(""https://docs.google.com/spreadsheets/d/""&amp;$A165&amp;""/edit#gid=156619080"",AS$3)"),"-10
-70
-90
-90
")</f>
        <v>-10
-70
-90
-90
</v>
      </c>
      <c r="AT165" s="18">
        <f>IFERROR(__xludf.DUMMYFUNCTION("IMPORTRANGE(""https://docs.google.com/spreadsheets/d/""&amp;$A165&amp;""/edit#gid=156619080"",AT$3)"),-72.52747252747254)</f>
        <v>-72.52747253</v>
      </c>
      <c r="AU165" s="3" t="str">
        <f>IFERROR(__xludf.DUMMYFUNCTION("IMPORTRANGE(""https://docs.google.com/spreadsheets/d/""&amp;$A165&amp;""/edit#gid=156619080"",AU$3)"),"-58.38
-58.38
-60.99
-60.99
")</f>
        <v>-58.38
-58.38
-60.99
-60.99
</v>
      </c>
      <c r="AV165" s="18">
        <f>IFERROR(__xludf.DUMMYFUNCTION("IMPORTRANGE(""https://docs.google.com/spreadsheets/d/""&amp;$A165&amp;""/edit#gid=156619080"",AV$3)"),-88.47402597402598)</f>
        <v>-88.47402597</v>
      </c>
      <c r="AW165" s="19" t="str">
        <f>IFERROR(__xludf.DUMMYFUNCTION("IMPORTRANGE(""https://docs.google.com/spreadsheets/d/""&amp;$A165&amp;""/edit#gid=156619080"",AW$3)"),"-89.51
-89.51
-88.47
-88.47
")</f>
        <v>-89.51
-89.51
-88.47
-88.47
</v>
      </c>
      <c r="AX165" s="2">
        <f>IFERROR(__xludf.DUMMYFUNCTION("IMPORTRANGE(""https://docs.google.com/spreadsheets/d/""&amp;$A165&amp;""/edit#gid=156619080"",AX$3)"),12.370000000000001)</f>
        <v>12.37</v>
      </c>
      <c r="AY165" s="2">
        <f>IFERROR(__xludf.DUMMYFUNCTION("IMPORTRANGE(""https://docs.google.com/spreadsheets/d/""&amp;$A165&amp;""/edit#gid=156619080"",AY$3)"),31.380000000000003)</f>
        <v>31.38</v>
      </c>
      <c r="AZ165" s="2">
        <f>IFERROR(__xludf.DUMMYFUNCTION("IMPORTRANGE(""https://docs.google.com/spreadsheets/d/""&amp;$A165&amp;""/edit#gid=156619080"",AZ$3)"),2387.11)</f>
        <v>2387.11</v>
      </c>
      <c r="BA165" s="2">
        <f>IFERROR(__xludf.DUMMYFUNCTION("IMPORTRANGE(""https://docs.google.com/spreadsheets/d/""&amp;$A165&amp;""/edit#gid=156619080"",BA$3)"),-92.60999999999967)</f>
        <v>-92.61</v>
      </c>
      <c r="BB165" s="2">
        <f>IFERROR(__xludf.DUMMYFUNCTION("IMPORTRANGE(""https://docs.google.com/spreadsheets/d/""&amp;$A165&amp;""/edit#gid=156619080"",BB$3)"),-73.31)</f>
        <v>-73.31</v>
      </c>
      <c r="BC165" s="2" t="str">
        <f>IFERROR(__xludf.DUMMYFUNCTION("IMPORTRANGE(""https://docs.google.com/spreadsheets/d/""&amp;$A165&amp;""/edit#gid=156619080"",BC$3)"),"DC→DC")</f>
        <v>DC→DC</v>
      </c>
    </row>
    <row r="166" ht="51.0" customHeight="1">
      <c r="A166" s="7" t="str">
        <f t="shared" si="5"/>
        <v>1kmuNCTU4Jqma-rK-z8xrHEM_5n7ZIInRlzV3iGRqXgE</v>
      </c>
      <c r="B166" s="1" t="s">
        <v>193</v>
      </c>
      <c r="C166" s="2">
        <f>IFERROR(__xludf.DUMMYFUNCTION("IMPORTRANGE(""https://docs.google.com/spreadsheets/d/""&amp;$A166&amp;""/edit#gid=156619080"",C$3)"),132.0)</f>
        <v>132</v>
      </c>
      <c r="D166" s="2">
        <f>IFERROR(__xludf.DUMMYFUNCTION("IMPORTRANGE(""https://docs.google.com/spreadsheets/d/""&amp;$A166&amp;""/edit#gid=156619080"",D$3)"),8267.0)</f>
        <v>8267</v>
      </c>
      <c r="E166" s="15">
        <f>IFERROR(__xludf.DUMMYFUNCTION("IMPORTRANGE(""https://docs.google.com/spreadsheets/d/""&amp;$A166&amp;""/edit#gid=156619080"",E$3)"),43882.0)</f>
        <v>43882</v>
      </c>
      <c r="F166" s="2">
        <f>IFERROR(__xludf.DUMMYFUNCTION("IMPORTRANGE(""https://docs.google.com/spreadsheets/d/""&amp;$A166&amp;""/edit#gid=156619080"",F$3)"),-3.5)</f>
        <v>-3.5</v>
      </c>
      <c r="G166" s="16">
        <f>IFERROR(__xludf.DUMMYFUNCTION("IMPORTRANGE(""https://docs.google.com/spreadsheets/d/""&amp;$A166&amp;""/edit#gid=156619080"",G$3)"),-0.15)</f>
        <v>-0.15</v>
      </c>
      <c r="H166" s="16">
        <f>IFERROR(__xludf.DUMMYFUNCTION("IMPORTRANGE(""https://docs.google.com/spreadsheets/d/""&amp;$A166&amp;""/edit#gid=156619080"",H$3)"),2303.0)</f>
        <v>2303</v>
      </c>
      <c r="I166" s="16">
        <f>IFERROR(__xludf.DUMMYFUNCTION("IMPORTRANGE(""https://docs.google.com/spreadsheets/d/""&amp;$A166&amp;""/edit#gid=156619080"",I$3)"),-3.0)</f>
        <v>-3</v>
      </c>
      <c r="J166" s="16">
        <f>IFERROR(__xludf.DUMMYFUNCTION("IMPORTRANGE(""https://docs.google.com/spreadsheets/d/""&amp;$A166&amp;""/edit#gid=156619080"",J$3)"),2313.0)</f>
        <v>2313</v>
      </c>
      <c r="K166" s="16">
        <f>IFERROR(__xludf.DUMMYFUNCTION("IMPORTRANGE(""https://docs.google.com/spreadsheets/d/""&amp;$A166&amp;""/edit#gid=156619080"",K$3)"),0.375)</f>
        <v>0.375</v>
      </c>
      <c r="L166" s="16">
        <f>IFERROR(__xludf.DUMMYFUNCTION("IMPORTRANGE(""https://docs.google.com/spreadsheets/d/""&amp;$A166&amp;""/edit#gid=156619080"",L$3)"),2281.0)</f>
        <v>2281</v>
      </c>
      <c r="M166" s="16">
        <f>IFERROR(__xludf.DUMMYFUNCTION("IMPORTRANGE(""https://docs.google.com/spreadsheets/d/""&amp;$A166&amp;""/edit#gid=156619080"",M$3)"),0.42986111111111114)</f>
        <v>0.4298611111</v>
      </c>
      <c r="N166" s="16">
        <f>IFERROR(__xludf.DUMMYFUNCTION("IMPORTRANGE(""https://docs.google.com/spreadsheets/d/""&amp;$A166&amp;""/edit#gid=156619080"",N$3)"),2296.5)</f>
        <v>2296.5</v>
      </c>
      <c r="O166" s="16" t="str">
        <f>IFERROR(__xludf.DUMMYFUNCTION("IMPORTRANGE(""https://docs.google.com/spreadsheets/d/""&amp;$A166&amp;""/edit#gid=156619080"",O$3)"),"2349700株")</f>
        <v>2349700株</v>
      </c>
      <c r="P166" s="16" t="str">
        <f>IFERROR(__xludf.DUMMYFUNCTION("IMPORTRANGE(""https://docs.google.com/spreadsheets/d/""&amp;$A166&amp;""/edit#gid=156619080"",P$3)"),"5395百万円")</f>
        <v>5395百万円</v>
      </c>
      <c r="Q166" s="16" t="str">
        <f>IFERROR(__xludf.DUMMYFUNCTION("IMPORTRANGE(""https://docs.google.com/spreadsheets/d/""&amp;$A166&amp;""/edit#gid=156619080"",Q$3)"),"3815回")</f>
        <v>3815回</v>
      </c>
      <c r="R166" s="16" t="str">
        <f>IFERROR(__xludf.DUMMYFUNCTION("IMPORTRANGE(""https://docs.google.com/spreadsheets/d/""&amp;$A166&amp;""/edit#gid=156619080"",R$3)"),"20024億円")</f>
        <v>20024億円</v>
      </c>
      <c r="S166" s="16" t="str">
        <f>IFERROR(__xludf.DUMMYFUNCTION("IMPORTRANGE(""https://docs.google.com/spreadsheets/d/""&amp;$A166&amp;""/edit#gid=156619080"",S$3)"),"陰線")</f>
        <v>陰線</v>
      </c>
      <c r="T166" s="16" t="str">
        <f>IFERROR(__xludf.DUMMYFUNCTION("IMPORTRANGE(""https://docs.google.com/spreadsheets/d/""&amp;$A166&amp;""/edit#gid=156619080"",T$3)"),"")</f>
        <v/>
      </c>
      <c r="U166" s="16">
        <f>IFERROR(__xludf.DUMMYFUNCTION("IMPORTRANGE(""https://docs.google.com/spreadsheets/d/""&amp;$A166&amp;""/edit#gid=156619080"",U$3)"),2311.2)</f>
        <v>2311.2</v>
      </c>
      <c r="V166" s="16">
        <f>IFERROR(__xludf.DUMMYFUNCTION("IMPORTRANGE(""https://docs.google.com/spreadsheets/d/""&amp;$A166&amp;""/edit#gid=156619080"",V$3)"),2312.8)</f>
        <v>2312.8</v>
      </c>
      <c r="W166" s="16">
        <f>IFERROR(__xludf.DUMMYFUNCTION("IMPORTRANGE(""https://docs.google.com/spreadsheets/d/""&amp;$A166&amp;""/edit#gid=156619080"",W$3)"),2291.0)</f>
        <v>2291</v>
      </c>
      <c r="X166" s="2">
        <f>IFERROR(__xludf.DUMMYFUNCTION("IMPORTRANGE(""https://docs.google.com/spreadsheets/d/""&amp;$A166&amp;""/edit#gid=156619080"",X$3)"),2200.4)</f>
        <v>2200.4</v>
      </c>
      <c r="Y166" s="17">
        <f>IFERROR(__xludf.DUMMYFUNCTION("IMPORTRANGE(""https://docs.google.com/spreadsheets/d/""&amp;$A166&amp;""/edit#gid=156619080"",Y$3)"),-0.006360332294911656)</f>
        <v>-0.006360332295</v>
      </c>
      <c r="Z166" s="2">
        <f>IFERROR(__xludf.DUMMYFUNCTION("IMPORTRANGE(""https://docs.google.com/spreadsheets/d/""&amp;$A166&amp;""/edit#gid=156619080"",Z$3)"),2366.84)</f>
        <v>2366.84</v>
      </c>
      <c r="AA166" s="2">
        <f>IFERROR(__xludf.DUMMYFUNCTION("IMPORTRANGE(""https://docs.google.com/spreadsheets/d/""&amp;$A166&amp;""/edit#gid=156619080"",AA$3)"),2357.36)</f>
        <v>2357.36</v>
      </c>
      <c r="AB166" s="2">
        <f>IFERROR(__xludf.DUMMYFUNCTION("IMPORTRANGE(""https://docs.google.com/spreadsheets/d/""&amp;$A166&amp;""/edit#gid=156619080"",AB$3)"),2347.88)</f>
        <v>2347.88</v>
      </c>
      <c r="AC166" s="18">
        <f>IFERROR(__xludf.DUMMYFUNCTION("IMPORTRANGE(""https://docs.google.com/spreadsheets/d/""&amp;$A166&amp;""/edit#gid=156619080"",AC$3)"),2338.4)</f>
        <v>2338.4</v>
      </c>
      <c r="AD166" s="18">
        <f>IFERROR(__xludf.DUMMYFUNCTION("IMPORTRANGE(""https://docs.google.com/spreadsheets/d/""&amp;$A166&amp;""/edit#gid=156619080"",AD$3)"),2328.92)</f>
        <v>2328.92</v>
      </c>
      <c r="AE166" s="18">
        <f>IFERROR(__xludf.DUMMYFUNCTION("IMPORTRANGE(""https://docs.google.com/spreadsheets/d/""&amp;$A166&amp;""/edit#gid=156619080"",AE$3)"),2291.0)</f>
        <v>2291</v>
      </c>
      <c r="AF166" s="2">
        <f>IFERROR(__xludf.DUMMYFUNCTION("IMPORTRANGE(""https://docs.google.com/spreadsheets/d/""&amp;$A166&amp;""/edit#gid=156619080"",AF$3)"),2253.08)</f>
        <v>2253.08</v>
      </c>
      <c r="AG166" s="2">
        <f>IFERROR(__xludf.DUMMYFUNCTION("IMPORTRANGE(""https://docs.google.com/spreadsheets/d/""&amp;$A166&amp;""/edit#gid=156619080"",AG$3)"),2243.6)</f>
        <v>2243.6</v>
      </c>
      <c r="AH166" s="2">
        <f>IFERROR(__xludf.DUMMYFUNCTION("IMPORTRANGE(""https://docs.google.com/spreadsheets/d/""&amp;$A166&amp;""/edit#gid=156619080"",AH$3)"),2234.12)</f>
        <v>2234.12</v>
      </c>
      <c r="AI166" s="2">
        <f>IFERROR(__xludf.DUMMYFUNCTION("IMPORTRANGE(""https://docs.google.com/spreadsheets/d/""&amp;$A166&amp;""/edit#gid=156619080"",AI$3)"),2224.64)</f>
        <v>2224.64</v>
      </c>
      <c r="AJ166" s="2">
        <f>IFERROR(__xludf.DUMMYFUNCTION("IMPORTRANGE(""https://docs.google.com/spreadsheets/d/""&amp;$A166&amp;""/edit#gid=156619080"",AJ$3)"),2215.16)</f>
        <v>2215.16</v>
      </c>
      <c r="AK166" s="2" t="str">
        <f>IFERROR(__xludf.DUMMYFUNCTION("IMPORTRANGE(""https://docs.google.com/spreadsheets/d/""&amp;$A166&amp;""/edit#gid=156619080"",AK$3)"),"")</f>
        <v/>
      </c>
      <c r="AL166" s="2">
        <f>IFERROR(__xludf.DUMMYFUNCTION("IMPORTRANGE(""https://docs.google.com/spreadsheets/d/""&amp;$A166&amp;""/edit#gid=156619080"",AL$3)"),-1.0)</f>
        <v>-1</v>
      </c>
      <c r="AM166" s="2" t="str">
        <f>IFERROR(__xludf.DUMMYFUNCTION("IMPORTRANGE(""https://docs.google.com/spreadsheets/d/""&amp;$A166&amp;""/edit#gid=156619080"",AM$3)"),"bs1")</f>
        <v>bs1</v>
      </c>
      <c r="AN166" s="2">
        <f>IFERROR(__xludf.DUMMYFUNCTION("IMPORTRANGE(""https://docs.google.com/spreadsheets/d/""&amp;$A166&amp;""/edit#gid=156619080"",AN$3)"),1.0)</f>
        <v>1</v>
      </c>
      <c r="AO166" s="2" t="str">
        <f>IFERROR(__xludf.DUMMYFUNCTION("IMPORTRANGE(""https://docs.google.com/spreadsheets/d/""&amp;$A166&amp;""/edit#gid=156619080"",AO$3)"),"")</f>
        <v/>
      </c>
      <c r="AP166" s="2">
        <f>IFERROR(__xludf.DUMMYFUNCTION("IMPORTRANGE(""https://docs.google.com/spreadsheets/d/""&amp;$A166&amp;""/edit#gid=156619080"",AP$3)"),1.0)</f>
        <v>1</v>
      </c>
      <c r="AQ166" s="2" t="str">
        <f>IFERROR(__xludf.DUMMYFUNCTION("IMPORTRANGE(""https://docs.google.com/spreadsheets/d/""&amp;$A166&amp;""/edit#gid=156619080"",AQ$3)"),"")</f>
        <v/>
      </c>
      <c r="AR166" s="18">
        <f>IFERROR(__xludf.DUMMYFUNCTION("IMPORTRANGE(""https://docs.google.com/spreadsheets/d/""&amp;$A166&amp;""/edit#gid=156619080"",AR$3)"),-70.0)</f>
        <v>-70</v>
      </c>
      <c r="AS166" s="19" t="str">
        <f>IFERROR(__xludf.DUMMYFUNCTION("IMPORTRANGE(""https://docs.google.com/spreadsheets/d/""&amp;$A166&amp;""/edit#gid=156619080"",AS$3)"),"0
40
40
-30
")</f>
        <v>0
40
40
-30
</v>
      </c>
      <c r="AT166" s="18">
        <f>IFERROR(__xludf.DUMMYFUNCTION("IMPORTRANGE(""https://docs.google.com/spreadsheets/d/""&amp;$A166&amp;""/edit#gid=156619080"",AT$3)"),-13.598901098901095)</f>
        <v>-13.5989011</v>
      </c>
      <c r="AU166" s="3" t="str">
        <f>IFERROR(__xludf.DUMMYFUNCTION("IMPORTRANGE(""https://docs.google.com/spreadsheets/d/""&amp;$A166&amp;""/edit#gid=156619080"",AU$3)"),"70.88
59.89
48.35
22.66
")</f>
        <v>70.88
59.89
48.35
22.66
</v>
      </c>
      <c r="AV166" s="18">
        <f>IFERROR(__xludf.DUMMYFUNCTION("IMPORTRANGE(""https://docs.google.com/spreadsheets/d/""&amp;$A166&amp;""/edit#gid=156619080"",AV$3)"),50.81168831168832)</f>
        <v>50.81168831</v>
      </c>
      <c r="AW166" s="19" t="str">
        <f>IFERROR(__xludf.DUMMYFUNCTION("IMPORTRANGE(""https://docs.google.com/spreadsheets/d/""&amp;$A166&amp;""/edit#gid=156619080"",AW$3)"),"5.55
16.33
34.9
39.38
")</f>
        <v>5.55
16.33
34.9
39.38
</v>
      </c>
      <c r="AX166" s="2">
        <f>IFERROR(__xludf.DUMMYFUNCTION("IMPORTRANGE(""https://docs.google.com/spreadsheets/d/""&amp;$A166&amp;""/edit#gid=156619080"",AX$3)"),37.68)</f>
        <v>37.68</v>
      </c>
      <c r="AY166" s="2">
        <f>IFERROR(__xludf.DUMMYFUNCTION("IMPORTRANGE(""https://docs.google.com/spreadsheets/d/""&amp;$A166&amp;""/edit#gid=156619080"",AY$3)"),45.64)</f>
        <v>45.64</v>
      </c>
      <c r="AZ166" s="2">
        <f>IFERROR(__xludf.DUMMYFUNCTION("IMPORTRANGE(""https://docs.google.com/spreadsheets/d/""&amp;$A166&amp;""/edit#gid=156619080"",AZ$3)"),2307.16)</f>
        <v>2307.16</v>
      </c>
      <c r="BA166" s="2">
        <f>IFERROR(__xludf.DUMMYFUNCTION("IMPORTRANGE(""https://docs.google.com/spreadsheets/d/""&amp;$A166&amp;""/edit#gid=156619080"",BA$3)"),5.609999999999673)</f>
        <v>5.61</v>
      </c>
      <c r="BB166" s="2">
        <f>IFERROR(__xludf.DUMMYFUNCTION("IMPORTRANGE(""https://docs.google.com/spreadsheets/d/""&amp;$A166&amp;""/edit#gid=156619080"",BB$3)"),10.59)</f>
        <v>10.59</v>
      </c>
      <c r="BC166" s="2" t="str">
        <f>IFERROR(__xludf.DUMMYFUNCTION("IMPORTRANGE(""https://docs.google.com/spreadsheets/d/""&amp;$A166&amp;""/edit#gid=156619080"",BC$3)"),"DC→DC")</f>
        <v>DC→DC</v>
      </c>
    </row>
    <row r="167" ht="51.0" customHeight="1">
      <c r="A167" s="7" t="str">
        <f t="shared" si="5"/>
        <v>14FHtbAkB-wkhG5EYtmS3UylUKmSpmzsX3TeFXZnVmic</v>
      </c>
      <c r="B167" s="1" t="s">
        <v>194</v>
      </c>
      <c r="C167" s="2">
        <f>IFERROR(__xludf.DUMMYFUNCTION("IMPORTRANGE(""https://docs.google.com/spreadsheets/d/""&amp;$A167&amp;""/edit#gid=156619080"",C$3)"),132.0)</f>
        <v>132</v>
      </c>
      <c r="D167" s="2">
        <f>IFERROR(__xludf.DUMMYFUNCTION("IMPORTRANGE(""https://docs.google.com/spreadsheets/d/""&amp;$A167&amp;""/edit#gid=156619080"",D$3)"),9983.0)</f>
        <v>9983</v>
      </c>
      <c r="E167" s="15">
        <f>IFERROR(__xludf.DUMMYFUNCTION("IMPORTRANGE(""https://docs.google.com/spreadsheets/d/""&amp;$A167&amp;""/edit#gid=156619080"",E$3)"),43882.0)</f>
        <v>43882</v>
      </c>
      <c r="F167" s="2">
        <f>IFERROR(__xludf.DUMMYFUNCTION("IMPORTRANGE(""https://docs.google.com/spreadsheets/d/""&amp;$A167&amp;""/edit#gid=156619080"",F$3)"),-780.0)</f>
        <v>-780</v>
      </c>
      <c r="G167" s="16">
        <f>IFERROR(__xludf.DUMMYFUNCTION("IMPORTRANGE(""https://docs.google.com/spreadsheets/d/""&amp;$A167&amp;""/edit#gid=156619080"",G$3)"),-1.31)</f>
        <v>-1.31</v>
      </c>
      <c r="H167" s="16">
        <f>IFERROR(__xludf.DUMMYFUNCTION("IMPORTRANGE(""https://docs.google.com/spreadsheets/d/""&amp;$A167&amp;""/edit#gid=156619080"",H$3)"),58800.0)</f>
        <v>58800</v>
      </c>
      <c r="I167" s="16">
        <f>IFERROR(__xludf.DUMMYFUNCTION("IMPORTRANGE(""https://docs.google.com/spreadsheets/d/""&amp;$A167&amp;""/edit#gid=156619080"",I$3)"),840.0)</f>
        <v>840</v>
      </c>
      <c r="J167" s="16">
        <f>IFERROR(__xludf.DUMMYFUNCTION("IMPORTRANGE(""https://docs.google.com/spreadsheets/d/""&amp;$A167&amp;""/edit#gid=156619080"",J$3)"),59530.0)</f>
        <v>59530</v>
      </c>
      <c r="K167" s="16">
        <f>IFERROR(__xludf.DUMMYFUNCTION("IMPORTRANGE(""https://docs.google.com/spreadsheets/d/""&amp;$A167&amp;""/edit#gid=156619080"",K$3)"),0.39861111111111114)</f>
        <v>0.3986111111</v>
      </c>
      <c r="L167" s="16">
        <f>IFERROR(__xludf.DUMMYFUNCTION("IMPORTRANGE(""https://docs.google.com/spreadsheets/d/""&amp;$A167&amp;""/edit#gid=156619080"",L$3)"),58510.0)</f>
        <v>58510</v>
      </c>
      <c r="M167" s="16">
        <f>IFERROR(__xludf.DUMMYFUNCTION("IMPORTRANGE(""https://docs.google.com/spreadsheets/d/""&amp;$A167&amp;""/edit#gid=156619080"",M$3)"),0.3763888888888889)</f>
        <v>0.3763888889</v>
      </c>
      <c r="N167" s="16">
        <f>IFERROR(__xludf.DUMMYFUNCTION("IMPORTRANGE(""https://docs.google.com/spreadsheets/d/""&amp;$A167&amp;""/edit#gid=156619080"",N$3)"),58860.0)</f>
        <v>58860</v>
      </c>
      <c r="O167" s="16" t="str">
        <f>IFERROR(__xludf.DUMMYFUNCTION("IMPORTRANGE(""https://docs.google.com/spreadsheets/d/""&amp;$A167&amp;""/edit#gid=156619080"",O$3)"),"486100株")</f>
        <v>486100株</v>
      </c>
      <c r="P167" s="16" t="str">
        <f>IFERROR(__xludf.DUMMYFUNCTION("IMPORTRANGE(""https://docs.google.com/spreadsheets/d/""&amp;$A167&amp;""/edit#gid=156619080"",P$3)"),"28680百万円")</f>
        <v>28680百万円</v>
      </c>
      <c r="Q167" s="16" t="str">
        <f>IFERROR(__xludf.DUMMYFUNCTION("IMPORTRANGE(""https://docs.google.com/spreadsheets/d/""&amp;$A167&amp;""/edit#gid=156619080"",Q$3)"),"2904回")</f>
        <v>2904回</v>
      </c>
      <c r="R167" s="16" t="str">
        <f>IFERROR(__xludf.DUMMYFUNCTION("IMPORTRANGE(""https://docs.google.com/spreadsheets/d/""&amp;$A167&amp;""/edit#gid=156619080"",R$3)"),"62435億円")</f>
        <v>62435億円</v>
      </c>
      <c r="S167" s="16" t="str">
        <f>IFERROR(__xludf.DUMMYFUNCTION("IMPORTRANGE(""https://docs.google.com/spreadsheets/d/""&amp;$A167&amp;""/edit#gid=156619080"",S$3)"),"陽線")</f>
        <v>陽線</v>
      </c>
      <c r="T167" s="16" t="str">
        <f>IFERROR(__xludf.DUMMYFUNCTION("IMPORTRANGE(""https://docs.google.com/spreadsheets/d/""&amp;$A167&amp;""/edit#gid=156619080"",T$3)"),"")</f>
        <v/>
      </c>
      <c r="U167" s="16">
        <f>IFERROR(__xludf.DUMMYFUNCTION("IMPORTRANGE(""https://docs.google.com/spreadsheets/d/""&amp;$A167&amp;""/edit#gid=156619080"",U$3)"),59192.0)</f>
        <v>59192</v>
      </c>
      <c r="V167" s="16">
        <f>IFERROR(__xludf.DUMMYFUNCTION("IMPORTRANGE(""https://docs.google.com/spreadsheets/d/""&amp;$A167&amp;""/edit#gid=156619080"",V$3)"),59016.2)</f>
        <v>59016.2</v>
      </c>
      <c r="W167" s="16">
        <f>IFERROR(__xludf.DUMMYFUNCTION("IMPORTRANGE(""https://docs.google.com/spreadsheets/d/""&amp;$A167&amp;""/edit#gid=156619080"",W$3)"),59214.3)</f>
        <v>59214.3</v>
      </c>
      <c r="X167" s="2">
        <f>IFERROR(__xludf.DUMMYFUNCTION("IMPORTRANGE(""https://docs.google.com/spreadsheets/d/""&amp;$A167&amp;""/edit#gid=156619080"",X$3)"),63763.4)</f>
        <v>63763.4</v>
      </c>
      <c r="Y167" s="17">
        <f>IFERROR(__xludf.DUMMYFUNCTION("IMPORTRANGE(""https://docs.google.com/spreadsheets/d/""&amp;$A167&amp;""/edit#gid=156619080"",Y$3)"),-0.005608866062981484)</f>
        <v>-0.005608866063</v>
      </c>
      <c r="Z167" s="2">
        <f>IFERROR(__xludf.DUMMYFUNCTION("IMPORTRANGE(""https://docs.google.com/spreadsheets/d/""&amp;$A167&amp;""/edit#gid=156619080"",Z$3)"),61569.22)</f>
        <v>61569.22</v>
      </c>
      <c r="AA167" s="2">
        <f>IFERROR(__xludf.DUMMYFUNCTION("IMPORTRANGE(""https://docs.google.com/spreadsheets/d/""&amp;$A167&amp;""/edit#gid=156619080"",AA$3)"),61274.86)</f>
        <v>61274.86</v>
      </c>
      <c r="AB167" s="2">
        <f>IFERROR(__xludf.DUMMYFUNCTION("IMPORTRANGE(""https://docs.google.com/spreadsheets/d/""&amp;$A167&amp;""/edit#gid=156619080"",AB$3)"),60980.49)</f>
        <v>60980.49</v>
      </c>
      <c r="AC167" s="18">
        <f>IFERROR(__xludf.DUMMYFUNCTION("IMPORTRANGE(""https://docs.google.com/spreadsheets/d/""&amp;$A167&amp;""/edit#gid=156619080"",AC$3)"),60686.13)</f>
        <v>60686.13</v>
      </c>
      <c r="AD167" s="18">
        <f>IFERROR(__xludf.DUMMYFUNCTION("IMPORTRANGE(""https://docs.google.com/spreadsheets/d/""&amp;$A167&amp;""/edit#gid=156619080"",AD$3)"),60391.76)</f>
        <v>60391.76</v>
      </c>
      <c r="AE167" s="18">
        <f>IFERROR(__xludf.DUMMYFUNCTION("IMPORTRANGE(""https://docs.google.com/spreadsheets/d/""&amp;$A167&amp;""/edit#gid=156619080"",AE$3)"),59214.3)</f>
        <v>59214.3</v>
      </c>
      <c r="AF167" s="2">
        <f>IFERROR(__xludf.DUMMYFUNCTION("IMPORTRANGE(""https://docs.google.com/spreadsheets/d/""&amp;$A167&amp;""/edit#gid=156619080"",AF$3)"),58036.84)</f>
        <v>58036.84</v>
      </c>
      <c r="AG167" s="2">
        <f>IFERROR(__xludf.DUMMYFUNCTION("IMPORTRANGE(""https://docs.google.com/spreadsheets/d/""&amp;$A167&amp;""/edit#gid=156619080"",AG$3)"),57742.47)</f>
        <v>57742.47</v>
      </c>
      <c r="AH167" s="2">
        <f>IFERROR(__xludf.DUMMYFUNCTION("IMPORTRANGE(""https://docs.google.com/spreadsheets/d/""&amp;$A167&amp;""/edit#gid=156619080"",AH$3)"),57448.11)</f>
        <v>57448.11</v>
      </c>
      <c r="AI167" s="2">
        <f>IFERROR(__xludf.DUMMYFUNCTION("IMPORTRANGE(""https://docs.google.com/spreadsheets/d/""&amp;$A167&amp;""/edit#gid=156619080"",AI$3)"),57153.74)</f>
        <v>57153.74</v>
      </c>
      <c r="AJ167" s="2">
        <f>IFERROR(__xludf.DUMMYFUNCTION("IMPORTRANGE(""https://docs.google.com/spreadsheets/d/""&amp;$A167&amp;""/edit#gid=156619080"",AJ$3)"),56859.38)</f>
        <v>56859.38</v>
      </c>
      <c r="AK167" s="2" t="str">
        <f>IFERROR(__xludf.DUMMYFUNCTION("IMPORTRANGE(""https://docs.google.com/spreadsheets/d/""&amp;$A167&amp;""/edit#gid=156619080"",AK$3)"),"")</f>
        <v/>
      </c>
      <c r="AL167" s="2">
        <f>IFERROR(__xludf.DUMMYFUNCTION("IMPORTRANGE(""https://docs.google.com/spreadsheets/d/""&amp;$A167&amp;""/edit#gid=156619080"",AL$3)"),1.0)</f>
        <v>1</v>
      </c>
      <c r="AM167" s="2" t="str">
        <f>IFERROR(__xludf.DUMMYFUNCTION("IMPORTRANGE(""https://docs.google.com/spreadsheets/d/""&amp;$A167&amp;""/edit#gid=156619080"",AM$3)"),"")</f>
        <v/>
      </c>
      <c r="AN167" s="2">
        <f>IFERROR(__xludf.DUMMYFUNCTION("IMPORTRANGE(""https://docs.google.com/spreadsheets/d/""&amp;$A167&amp;""/edit#gid=156619080"",AN$3)"),-1.0)</f>
        <v>-1</v>
      </c>
      <c r="AO167" s="2" t="str">
        <f>IFERROR(__xludf.DUMMYFUNCTION("IMPORTRANGE(""https://docs.google.com/spreadsheets/d/""&amp;$A167&amp;""/edit#gid=156619080"",AO$3)"),"")</f>
        <v/>
      </c>
      <c r="AP167" s="2">
        <f>IFERROR(__xludf.DUMMYFUNCTION("IMPORTRANGE(""https://docs.google.com/spreadsheets/d/""&amp;$A167&amp;""/edit#gid=156619080"",AP$3)"),-1.0)</f>
        <v>-1</v>
      </c>
      <c r="AQ167" s="2" t="str">
        <f>IFERROR(__xludf.DUMMYFUNCTION("IMPORTRANGE(""https://docs.google.com/spreadsheets/d/""&amp;$A167&amp;""/edit#gid=156619080"",AQ$3)"),"")</f>
        <v/>
      </c>
      <c r="AR167" s="18">
        <f>IFERROR(__xludf.DUMMYFUNCTION("IMPORTRANGE(""https://docs.google.com/spreadsheets/d/""&amp;$A167&amp;""/edit#gid=156619080"",AR$3)"),30.000000000000004)</f>
        <v>30</v>
      </c>
      <c r="AS167" s="19" t="str">
        <f>IFERROR(__xludf.DUMMYFUNCTION("IMPORTRANGE(""https://docs.google.com/spreadsheets/d/""&amp;$A167&amp;""/edit#gid=156619080"",AS$3)"),"-10
-60
-30
60
")</f>
        <v>-10
-60
-30
60
</v>
      </c>
      <c r="AT167" s="18">
        <f>IFERROR(__xludf.DUMMYFUNCTION("IMPORTRANGE(""https://docs.google.com/spreadsheets/d/""&amp;$A167&amp;""/edit#gid=156619080"",AT$3)"),51.098901098901095)</f>
        <v>51.0989011</v>
      </c>
      <c r="AU167" s="3" t="str">
        <f>IFERROR(__xludf.DUMMYFUNCTION("IMPORTRANGE(""https://docs.google.com/spreadsheets/d/""&amp;$A167&amp;""/edit#gid=156619080"",AU$3)"),"22.66
35.85
47.94
69.37
")</f>
        <v>22.66
35.85
47.94
69.37
</v>
      </c>
      <c r="AV167" s="18">
        <f>IFERROR(__xludf.DUMMYFUNCTION("IMPORTRANGE(""https://docs.google.com/spreadsheets/d/""&amp;$A167&amp;""/edit#gid=156619080"",AV$3)"),6.525974025974024)</f>
        <v>6.525974026</v>
      </c>
      <c r="AW167" s="19" t="str">
        <f>IFERROR(__xludf.DUMMYFUNCTION("IMPORTRANGE(""https://docs.google.com/spreadsheets/d/""&amp;$A167&amp;""/edit#gid=156619080"",AW$3)"),"-53.99
-43.6
-26.46
-7.37
")</f>
        <v>-53.99
-43.6
-26.46
-7.37
</v>
      </c>
      <c r="AX167" s="2">
        <f>IFERROR(__xludf.DUMMYFUNCTION("IMPORTRANGE(""https://docs.google.com/spreadsheets/d/""&amp;$A167&amp;""/edit#gid=156619080"",AX$3)"),41.160000000000004)</f>
        <v>41.16</v>
      </c>
      <c r="AY167" s="2">
        <f>IFERROR(__xludf.DUMMYFUNCTION("IMPORTRANGE(""https://docs.google.com/spreadsheets/d/""&amp;$A167&amp;""/edit#gid=156619080"",AY$3)"),38.42)</f>
        <v>38.42</v>
      </c>
      <c r="AZ167" s="2">
        <f>IFERROR(__xludf.DUMMYFUNCTION("IMPORTRANGE(""https://docs.google.com/spreadsheets/d/""&amp;$A167&amp;""/edit#gid=156619080"",AZ$3)"),59258.97)</f>
        <v>59258.97</v>
      </c>
      <c r="BA167" s="2">
        <f>IFERROR(__xludf.DUMMYFUNCTION("IMPORTRANGE(""https://docs.google.com/spreadsheets/d/""&amp;$A167&amp;""/edit#gid=156619080"",BA$3)"),-635.8199999999997)</f>
        <v>-635.82</v>
      </c>
      <c r="BB167" s="2">
        <f>IFERROR(__xludf.DUMMYFUNCTION("IMPORTRANGE(""https://docs.google.com/spreadsheets/d/""&amp;$A167&amp;""/edit#gid=156619080"",BB$3)"),-1214.52)</f>
        <v>-1214.52</v>
      </c>
      <c r="BC167" s="2" t="str">
        <f>IFERROR(__xludf.DUMMYFUNCTION("IMPORTRANGE(""https://docs.google.com/spreadsheets/d/""&amp;$A167&amp;""/edit#gid=156619080"",BC$3)"),"GC→GC")</f>
        <v>GC→GC</v>
      </c>
    </row>
    <row r="168" ht="51.0" customHeight="1">
      <c r="A168" s="7" t="str">
        <f t="shared" si="5"/>
        <v>1zZw7NgUk0-ilW_hkqN4VAK4QewFd6yTE3G6pCqNlg5o</v>
      </c>
      <c r="B168" s="1" t="s">
        <v>195</v>
      </c>
      <c r="C168" s="2">
        <f>IFERROR(__xludf.DUMMYFUNCTION("IMPORTRANGE(""https://docs.google.com/spreadsheets/d/""&amp;$A168&amp;""/edit#gid=156619080"",C$3)"),132.0)</f>
        <v>132</v>
      </c>
      <c r="D168" s="2">
        <f>IFERROR(__xludf.DUMMYFUNCTION("IMPORTRANGE(""https://docs.google.com/spreadsheets/d/""&amp;$A168&amp;""/edit#gid=156619080"",D$3)"),7186.0)</f>
        <v>7186</v>
      </c>
      <c r="E168" s="15">
        <f>IFERROR(__xludf.DUMMYFUNCTION("IMPORTRANGE(""https://docs.google.com/spreadsheets/d/""&amp;$A168&amp;""/edit#gid=156619080"",E$3)"),43882.0)</f>
        <v>43882</v>
      </c>
      <c r="F168" s="2">
        <f>IFERROR(__xludf.DUMMYFUNCTION("IMPORTRANGE(""https://docs.google.com/spreadsheets/d/""&amp;$A168&amp;""/edit#gid=156619080"",F$3)"),0.0)</f>
        <v>0</v>
      </c>
      <c r="G168" s="16">
        <f>IFERROR(__xludf.DUMMYFUNCTION("IMPORTRANGE(""https://docs.google.com/spreadsheets/d/""&amp;$A168&amp;""/edit#gid=156619080"",G$3)"),0.0)</f>
        <v>0</v>
      </c>
      <c r="H168" s="16">
        <f>IFERROR(__xludf.DUMMYFUNCTION("IMPORTRANGE(""https://docs.google.com/spreadsheets/d/""&amp;$A168&amp;""/edit#gid=156619080"",H$3)"),419.0)</f>
        <v>419</v>
      </c>
      <c r="I168" s="16">
        <f>IFERROR(__xludf.DUMMYFUNCTION("IMPORTRANGE(""https://docs.google.com/spreadsheets/d/""&amp;$A168&amp;""/edit#gid=156619080"",I$3)"),1.0)</f>
        <v>1</v>
      </c>
      <c r="J168" s="16">
        <f>IFERROR(__xludf.DUMMYFUNCTION("IMPORTRANGE(""https://docs.google.com/spreadsheets/d/""&amp;$A168&amp;""/edit#gid=156619080"",J$3)"),424.0)</f>
        <v>424</v>
      </c>
      <c r="K168" s="16">
        <f>IFERROR(__xludf.DUMMYFUNCTION("IMPORTRANGE(""https://docs.google.com/spreadsheets/d/""&amp;$A168&amp;""/edit#gid=156619080"",K$3)"),0.4340277777777778)</f>
        <v>0.4340277778</v>
      </c>
      <c r="L168" s="16">
        <f>IFERROR(__xludf.DUMMYFUNCTION("IMPORTRANGE(""https://docs.google.com/spreadsheets/d/""&amp;$A168&amp;""/edit#gid=156619080"",L$3)"),419.0)</f>
        <v>419</v>
      </c>
      <c r="M168" s="16">
        <f>IFERROR(__xludf.DUMMYFUNCTION("IMPORTRANGE(""https://docs.google.com/spreadsheets/d/""&amp;$A168&amp;""/edit#gid=156619080"",M$3)"),0.375)</f>
        <v>0.375</v>
      </c>
      <c r="N168" s="16">
        <f>IFERROR(__xludf.DUMMYFUNCTION("IMPORTRANGE(""https://docs.google.com/spreadsheets/d/""&amp;$A168&amp;""/edit#gid=156619080"",N$3)"),420.0)</f>
        <v>420</v>
      </c>
      <c r="O168" s="16" t="str">
        <f>IFERROR(__xludf.DUMMYFUNCTION("IMPORTRANGE(""https://docs.google.com/spreadsheets/d/""&amp;$A168&amp;""/edit#gid=156619080"",O$3)"),"1658500株")</f>
        <v>1658500株</v>
      </c>
      <c r="P168" s="16" t="str">
        <f>IFERROR(__xludf.DUMMYFUNCTION("IMPORTRANGE(""https://docs.google.com/spreadsheets/d/""&amp;$A168&amp;""/edit#gid=156619080"",P$3)"),"698百万円")</f>
        <v>698百万円</v>
      </c>
      <c r="Q168" s="16" t="str">
        <f>IFERROR(__xludf.DUMMYFUNCTION("IMPORTRANGE(""https://docs.google.com/spreadsheets/d/""&amp;$A168&amp;""/edit#gid=156619080"",Q$3)"),"754回")</f>
        <v>754回</v>
      </c>
      <c r="R168" s="16" t="str">
        <f>IFERROR(__xludf.DUMMYFUNCTION("IMPORTRANGE(""https://docs.google.com/spreadsheets/d/""&amp;$A168&amp;""/edit#gid=156619080"",R$3)"),"5232億円")</f>
        <v>5232億円</v>
      </c>
      <c r="S168" s="16" t="str">
        <f>IFERROR(__xludf.DUMMYFUNCTION("IMPORTRANGE(""https://docs.google.com/spreadsheets/d/""&amp;$A168&amp;""/edit#gid=156619080"",S$3)"),"陽線")</f>
        <v>陽線</v>
      </c>
      <c r="T168" s="16" t="str">
        <f>IFERROR(__xludf.DUMMYFUNCTION("IMPORTRANGE(""https://docs.google.com/spreadsheets/d/""&amp;$A168&amp;""/edit#gid=156619080"",T$3)"),"")</f>
        <v/>
      </c>
      <c r="U168" s="16">
        <f>IFERROR(__xludf.DUMMYFUNCTION("IMPORTRANGE(""https://docs.google.com/spreadsheets/d/""&amp;$A168&amp;""/edit#gid=156619080"",U$3)"),422.6)</f>
        <v>422.6</v>
      </c>
      <c r="V168" s="16">
        <f>IFERROR(__xludf.DUMMYFUNCTION("IMPORTRANGE(""https://docs.google.com/spreadsheets/d/""&amp;$A168&amp;""/edit#gid=156619080"",V$3)"),428.8)</f>
        <v>428.8</v>
      </c>
      <c r="W168" s="16">
        <f>IFERROR(__xludf.DUMMYFUNCTION("IMPORTRANGE(""https://docs.google.com/spreadsheets/d/""&amp;$A168&amp;""/edit#gid=156619080"",W$3)"),425.9)</f>
        <v>425.9</v>
      </c>
      <c r="X168" s="2">
        <f>IFERROR(__xludf.DUMMYFUNCTION("IMPORTRANGE(""https://docs.google.com/spreadsheets/d/""&amp;$A168&amp;""/edit#gid=156619080"",X$3)"),431.9)</f>
        <v>431.9</v>
      </c>
      <c r="Y168" s="17">
        <f>IFERROR(__xludf.DUMMYFUNCTION("IMPORTRANGE(""https://docs.google.com/spreadsheets/d/""&amp;$A168&amp;""/edit#gid=156619080"",Y$3)"),-0.0061523899668718)</f>
        <v>-0.006152389967</v>
      </c>
      <c r="Z168" s="2">
        <f>IFERROR(__xludf.DUMMYFUNCTION("IMPORTRANGE(""https://docs.google.com/spreadsheets/d/""&amp;$A168&amp;""/edit#gid=156619080"",Z$3)"),439.88)</f>
        <v>439.88</v>
      </c>
      <c r="AA168" s="2">
        <f>IFERROR(__xludf.DUMMYFUNCTION("IMPORTRANGE(""https://docs.google.com/spreadsheets/d/""&amp;$A168&amp;""/edit#gid=156619080"",AA$3)"),438.13)</f>
        <v>438.13</v>
      </c>
      <c r="AB168" s="2">
        <f>IFERROR(__xludf.DUMMYFUNCTION("IMPORTRANGE(""https://docs.google.com/spreadsheets/d/""&amp;$A168&amp;""/edit#gid=156619080"",AB$3)"),436.38)</f>
        <v>436.38</v>
      </c>
      <c r="AC168" s="18">
        <f>IFERROR(__xludf.DUMMYFUNCTION("IMPORTRANGE(""https://docs.google.com/spreadsheets/d/""&amp;$A168&amp;""/edit#gid=156619080"",AC$3)"),434.64)</f>
        <v>434.64</v>
      </c>
      <c r="AD168" s="18">
        <f>IFERROR(__xludf.DUMMYFUNCTION("IMPORTRANGE(""https://docs.google.com/spreadsheets/d/""&amp;$A168&amp;""/edit#gid=156619080"",AD$3)"),432.89)</f>
        <v>432.89</v>
      </c>
      <c r="AE168" s="18">
        <f>IFERROR(__xludf.DUMMYFUNCTION("IMPORTRANGE(""https://docs.google.com/spreadsheets/d/""&amp;$A168&amp;""/edit#gid=156619080"",AE$3)"),425.9)</f>
        <v>425.9</v>
      </c>
      <c r="AF168" s="2">
        <f>IFERROR(__xludf.DUMMYFUNCTION("IMPORTRANGE(""https://docs.google.com/spreadsheets/d/""&amp;$A168&amp;""/edit#gid=156619080"",AF$3)"),418.91)</f>
        <v>418.91</v>
      </c>
      <c r="AG168" s="2">
        <f>IFERROR(__xludf.DUMMYFUNCTION("IMPORTRANGE(""https://docs.google.com/spreadsheets/d/""&amp;$A168&amp;""/edit#gid=156619080"",AG$3)"),417.16)</f>
        <v>417.16</v>
      </c>
      <c r="AH168" s="2">
        <f>IFERROR(__xludf.DUMMYFUNCTION("IMPORTRANGE(""https://docs.google.com/spreadsheets/d/""&amp;$A168&amp;""/edit#gid=156619080"",AH$3)"),415.42)</f>
        <v>415.42</v>
      </c>
      <c r="AI168" s="2">
        <f>IFERROR(__xludf.DUMMYFUNCTION("IMPORTRANGE(""https://docs.google.com/spreadsheets/d/""&amp;$A168&amp;""/edit#gid=156619080"",AI$3)"),413.67)</f>
        <v>413.67</v>
      </c>
      <c r="AJ168" s="2">
        <f>IFERROR(__xludf.DUMMYFUNCTION("IMPORTRANGE(""https://docs.google.com/spreadsheets/d/""&amp;$A168&amp;""/edit#gid=156619080"",AJ$3)"),411.92)</f>
        <v>411.92</v>
      </c>
      <c r="AK168" s="2" t="str">
        <f>IFERROR(__xludf.DUMMYFUNCTION("IMPORTRANGE(""https://docs.google.com/spreadsheets/d/""&amp;$A168&amp;""/edit#gid=156619080"",AK$3)"),"")</f>
        <v/>
      </c>
      <c r="AL168" s="2">
        <f>IFERROR(__xludf.DUMMYFUNCTION("IMPORTRANGE(""https://docs.google.com/spreadsheets/d/""&amp;$A168&amp;""/edit#gid=156619080"",AL$3)"),-1.0)</f>
        <v>-1</v>
      </c>
      <c r="AM168" s="2" t="str">
        <f>IFERROR(__xludf.DUMMYFUNCTION("IMPORTRANGE(""https://docs.google.com/spreadsheets/d/""&amp;$A168&amp;""/edit#gid=156619080"",AM$3)"),"")</f>
        <v/>
      </c>
      <c r="AN168" s="2">
        <f>IFERROR(__xludf.DUMMYFUNCTION("IMPORTRANGE(""https://docs.google.com/spreadsheets/d/""&amp;$A168&amp;""/edit#gid=156619080"",AN$3)"),-1.0)</f>
        <v>-1</v>
      </c>
      <c r="AO168" s="2" t="str">
        <f>IFERROR(__xludf.DUMMYFUNCTION("IMPORTRANGE(""https://docs.google.com/spreadsheets/d/""&amp;$A168&amp;""/edit#gid=156619080"",AO$3)"),"")</f>
        <v/>
      </c>
      <c r="AP168" s="2">
        <f>IFERROR(__xludf.DUMMYFUNCTION("IMPORTRANGE(""https://docs.google.com/spreadsheets/d/""&amp;$A168&amp;""/edit#gid=156619080"",AP$3)"),1.0)</f>
        <v>1</v>
      </c>
      <c r="AQ168" s="2" t="str">
        <f>IFERROR(__xludf.DUMMYFUNCTION("IMPORTRANGE(""https://docs.google.com/spreadsheets/d/""&amp;$A168&amp;""/edit#gid=156619080"",AQ$3)"),"")</f>
        <v/>
      </c>
      <c r="AR168" s="18">
        <f>IFERROR(__xludf.DUMMYFUNCTION("IMPORTRANGE(""https://docs.google.com/spreadsheets/d/""&amp;$A168&amp;""/edit#gid=156619080"",AR$3)"),-62.5)</f>
        <v>-62.5</v>
      </c>
      <c r="AS168" s="19" t="str">
        <f>IFERROR(__xludf.DUMMYFUNCTION("IMPORTRANGE(""https://docs.google.com/spreadsheets/d/""&amp;$A168&amp;""/edit#gid=156619080"",AS$3)"),"-77.5
-77.5
-90
-90
")</f>
        <v>-77.5
-77.5
-90
-90
</v>
      </c>
      <c r="AT168" s="18">
        <f>IFERROR(__xludf.DUMMYFUNCTION("IMPORTRANGE(""https://docs.google.com/spreadsheets/d/""&amp;$A168&amp;""/edit#gid=156619080"",AT$3)"),-56.59340659340659)</f>
        <v>-56.59340659</v>
      </c>
      <c r="AU168" s="3" t="str">
        <f>IFERROR(__xludf.DUMMYFUNCTION("IMPORTRANGE(""https://docs.google.com/spreadsheets/d/""&amp;$A168&amp;""/edit#gid=156619080"",AU$3)"),"68.82
50.55
14.42
-18.13
")</f>
        <v>68.82
50.55
14.42
-18.13
</v>
      </c>
      <c r="AV168" s="18">
        <f>IFERROR(__xludf.DUMMYFUNCTION("IMPORTRANGE(""https://docs.google.com/spreadsheets/d/""&amp;$A168&amp;""/edit#gid=156619080"",AV$3)"),24.902597402597404)</f>
        <v>24.9025974</v>
      </c>
      <c r="AW168" s="19" t="str">
        <f>IFERROR(__xludf.DUMMYFUNCTION("IMPORTRANGE(""https://docs.google.com/spreadsheets/d/""&amp;$A168&amp;""/edit#gid=156619080"",AW$3)"),"14.25
20.32
21.1
22.14
")</f>
        <v>14.25
20.32
21.1
22.14
</v>
      </c>
      <c r="AX168" s="2">
        <f>IFERROR(__xludf.DUMMYFUNCTION("IMPORTRANGE(""https://docs.google.com/spreadsheets/d/""&amp;$A168&amp;""/edit#gid=156619080"",AX$3)"),6.25)</f>
        <v>6.25</v>
      </c>
      <c r="AY168" s="2">
        <f>IFERROR(__xludf.DUMMYFUNCTION("IMPORTRANGE(""https://docs.google.com/spreadsheets/d/""&amp;$A168&amp;""/edit#gid=156619080"",AY$3)"),39.68)</f>
        <v>39.68</v>
      </c>
      <c r="AZ168" s="2">
        <f>IFERROR(__xludf.DUMMYFUNCTION("IMPORTRANGE(""https://docs.google.com/spreadsheets/d/""&amp;$A168&amp;""/edit#gid=156619080"",AZ$3)"),422.68)</f>
        <v>422.68</v>
      </c>
      <c r="BA168" s="2">
        <f>IFERROR(__xludf.DUMMYFUNCTION("IMPORTRANGE(""https://docs.google.com/spreadsheets/d/""&amp;$A168&amp;""/edit#gid=156619080"",BA$3)"),-5.46999999999997)</f>
        <v>-5.47</v>
      </c>
      <c r="BB168" s="2">
        <f>IFERROR(__xludf.DUMMYFUNCTION("IMPORTRANGE(""https://docs.google.com/spreadsheets/d/""&amp;$A168&amp;""/edit#gid=156619080"",BB$3)"),-3.23)</f>
        <v>-3.23</v>
      </c>
      <c r="BC168" s="2" t="str">
        <f>IFERROR(__xludf.DUMMYFUNCTION("IMPORTRANGE(""https://docs.google.com/spreadsheets/d/""&amp;$A168&amp;""/edit#gid=156619080"",BC$3)"),"DC→DC")</f>
        <v>DC→DC</v>
      </c>
    </row>
    <row r="169" ht="51.0" customHeight="1">
      <c r="A169" s="7" t="str">
        <f t="shared" si="5"/>
        <v>1CEOSPbCBol0ssXTixfe86dWlcxqB2J77k8CpTpT1_zk</v>
      </c>
      <c r="B169" s="1" t="s">
        <v>196</v>
      </c>
      <c r="C169" s="2">
        <f>IFERROR(__xludf.DUMMYFUNCTION("IMPORTRANGE(""https://docs.google.com/spreadsheets/d/""&amp;$A169&amp;""/edit#gid=156619080"",C$3)"),132.0)</f>
        <v>132</v>
      </c>
      <c r="D169" s="2">
        <f>IFERROR(__xludf.DUMMYFUNCTION("IMPORTRANGE(""https://docs.google.com/spreadsheets/d/""&amp;$A169&amp;""/edit#gid=156619080"",D$3)"),8303.0)</f>
        <v>8303</v>
      </c>
      <c r="E169" s="15">
        <f>IFERROR(__xludf.DUMMYFUNCTION("IMPORTRANGE(""https://docs.google.com/spreadsheets/d/""&amp;$A169&amp;""/edit#gid=156619080"",E$3)"),43882.0)</f>
        <v>43882</v>
      </c>
      <c r="F169" s="2">
        <f>IFERROR(__xludf.DUMMYFUNCTION("IMPORTRANGE(""https://docs.google.com/spreadsheets/d/""&amp;$A169&amp;""/edit#gid=156619080"",F$3)"),-22.0)</f>
        <v>-22</v>
      </c>
      <c r="G169" s="16">
        <f>IFERROR(__xludf.DUMMYFUNCTION("IMPORTRANGE(""https://docs.google.com/spreadsheets/d/""&amp;$A169&amp;""/edit#gid=156619080"",G$3)"),-1.3)</f>
        <v>-1.3</v>
      </c>
      <c r="H169" s="16">
        <f>IFERROR(__xludf.DUMMYFUNCTION("IMPORTRANGE(""https://docs.google.com/spreadsheets/d/""&amp;$A169&amp;""/edit#gid=156619080"",H$3)"),1690.0)</f>
        <v>1690</v>
      </c>
      <c r="I169" s="16">
        <f>IFERROR(__xludf.DUMMYFUNCTION("IMPORTRANGE(""https://docs.google.com/spreadsheets/d/""&amp;$A169&amp;""/edit#gid=156619080"",I$3)"),0.0)</f>
        <v>0</v>
      </c>
      <c r="J169" s="16">
        <f>IFERROR(__xludf.DUMMYFUNCTION("IMPORTRANGE(""https://docs.google.com/spreadsheets/d/""&amp;$A169&amp;""/edit#gid=156619080"",J$3)"),1703.0)</f>
        <v>1703</v>
      </c>
      <c r="K169" s="16">
        <f>IFERROR(__xludf.DUMMYFUNCTION("IMPORTRANGE(""https://docs.google.com/spreadsheets/d/""&amp;$A169&amp;""/edit#gid=156619080"",K$3)"),0.38125)</f>
        <v>0.38125</v>
      </c>
      <c r="L169" s="16">
        <f>IFERROR(__xludf.DUMMYFUNCTION("IMPORTRANGE(""https://docs.google.com/spreadsheets/d/""&amp;$A169&amp;""/edit#gid=156619080"",L$3)"),1668.0)</f>
        <v>1668</v>
      </c>
      <c r="M169" s="16">
        <f>IFERROR(__xludf.DUMMYFUNCTION("IMPORTRANGE(""https://docs.google.com/spreadsheets/d/""&amp;$A169&amp;""/edit#gid=156619080"",M$3)"),0.6243055555555556)</f>
        <v>0.6243055556</v>
      </c>
      <c r="N169" s="16">
        <f>IFERROR(__xludf.DUMMYFUNCTION("IMPORTRANGE(""https://docs.google.com/spreadsheets/d/""&amp;$A169&amp;""/edit#gid=156619080"",N$3)"),1668.0)</f>
        <v>1668</v>
      </c>
      <c r="O169" s="16" t="str">
        <f>IFERROR(__xludf.DUMMYFUNCTION("IMPORTRANGE(""https://docs.google.com/spreadsheets/d/""&amp;$A169&amp;""/edit#gid=156619080"",O$3)"),"806000株")</f>
        <v>806000株</v>
      </c>
      <c r="P169" s="16" t="str">
        <f>IFERROR(__xludf.DUMMYFUNCTION("IMPORTRANGE(""https://docs.google.com/spreadsheets/d/""&amp;$A169&amp;""/edit#gid=156619080"",P$3)"),"1354百万円")</f>
        <v>1354百万円</v>
      </c>
      <c r="Q169" s="16" t="str">
        <f>IFERROR(__xludf.DUMMYFUNCTION("IMPORTRANGE(""https://docs.google.com/spreadsheets/d/""&amp;$A169&amp;""/edit#gid=156619080"",Q$3)"),"1535回")</f>
        <v>1535回</v>
      </c>
      <c r="R169" s="16" t="str">
        <f>IFERROR(__xludf.DUMMYFUNCTION("IMPORTRANGE(""https://docs.google.com/spreadsheets/d/""&amp;$A169&amp;""/edit#gid=156619080"",R$3)"),"4321億円")</f>
        <v>4321億円</v>
      </c>
      <c r="S169" s="16" t="str">
        <f>IFERROR(__xludf.DUMMYFUNCTION("IMPORTRANGE(""https://docs.google.com/spreadsheets/d/""&amp;$A169&amp;""/edit#gid=156619080"",S$3)"),"陰線")</f>
        <v>陰線</v>
      </c>
      <c r="T169" s="16" t="str">
        <f>IFERROR(__xludf.DUMMYFUNCTION("IMPORTRANGE(""https://docs.google.com/spreadsheets/d/""&amp;$A169&amp;""/edit#gid=156619080"",T$3)"),"")</f>
        <v/>
      </c>
      <c r="U169" s="16">
        <f>IFERROR(__xludf.DUMMYFUNCTION("IMPORTRANGE(""https://docs.google.com/spreadsheets/d/""&amp;$A169&amp;""/edit#gid=156619080"",U$3)"),1680.4)</f>
        <v>1680.4</v>
      </c>
      <c r="V169" s="16">
        <f>IFERROR(__xludf.DUMMYFUNCTION("IMPORTRANGE(""https://docs.google.com/spreadsheets/d/""&amp;$A169&amp;""/edit#gid=156619080"",V$3)"),1705.2)</f>
        <v>1705.2</v>
      </c>
      <c r="W169" s="16">
        <f>IFERROR(__xludf.DUMMYFUNCTION("IMPORTRANGE(""https://docs.google.com/spreadsheets/d/""&amp;$A169&amp;""/edit#gid=156619080"",W$3)"),1697.5)</f>
        <v>1697.5</v>
      </c>
      <c r="X169" s="2">
        <f>IFERROR(__xludf.DUMMYFUNCTION("IMPORTRANGE(""https://docs.google.com/spreadsheets/d/""&amp;$A169&amp;""/edit#gid=156619080"",X$3)"),1654.4)</f>
        <v>1654.4</v>
      </c>
      <c r="Y169" s="17">
        <f>IFERROR(__xludf.DUMMYFUNCTION("IMPORTRANGE(""https://docs.google.com/spreadsheets/d/""&amp;$A169&amp;""/edit#gid=156619080"",Y$3)"),-0.007379195429659658)</f>
        <v>-0.00737919543</v>
      </c>
      <c r="Z169" s="2">
        <f>IFERROR(__xludf.DUMMYFUNCTION("IMPORTRANGE(""https://docs.google.com/spreadsheets/d/""&amp;$A169&amp;""/edit#gid=156619080"",Z$3)"),1753.15)</f>
        <v>1753.15</v>
      </c>
      <c r="AA169" s="2">
        <f>IFERROR(__xludf.DUMMYFUNCTION("IMPORTRANGE(""https://docs.google.com/spreadsheets/d/""&amp;$A169&amp;""/edit#gid=156619080"",AA$3)"),1746.2)</f>
        <v>1746.2</v>
      </c>
      <c r="AB169" s="2">
        <f>IFERROR(__xludf.DUMMYFUNCTION("IMPORTRANGE(""https://docs.google.com/spreadsheets/d/""&amp;$A169&amp;""/edit#gid=156619080"",AB$3)"),1739.24)</f>
        <v>1739.24</v>
      </c>
      <c r="AC169" s="18">
        <f>IFERROR(__xludf.DUMMYFUNCTION("IMPORTRANGE(""https://docs.google.com/spreadsheets/d/""&amp;$A169&amp;""/edit#gid=156619080"",AC$3)"),1732.28)</f>
        <v>1732.28</v>
      </c>
      <c r="AD169" s="18">
        <f>IFERROR(__xludf.DUMMYFUNCTION("IMPORTRANGE(""https://docs.google.com/spreadsheets/d/""&amp;$A169&amp;""/edit#gid=156619080"",AD$3)"),1725.33)</f>
        <v>1725.33</v>
      </c>
      <c r="AE169" s="18">
        <f>IFERROR(__xludf.DUMMYFUNCTION("IMPORTRANGE(""https://docs.google.com/spreadsheets/d/""&amp;$A169&amp;""/edit#gid=156619080"",AE$3)"),1697.5)</f>
        <v>1697.5</v>
      </c>
      <c r="AF169" s="2">
        <f>IFERROR(__xludf.DUMMYFUNCTION("IMPORTRANGE(""https://docs.google.com/spreadsheets/d/""&amp;$A169&amp;""/edit#gid=156619080"",AF$3)"),1669.67)</f>
        <v>1669.67</v>
      </c>
      <c r="AG169" s="2">
        <f>IFERROR(__xludf.DUMMYFUNCTION("IMPORTRANGE(""https://docs.google.com/spreadsheets/d/""&amp;$A169&amp;""/edit#gid=156619080"",AG$3)"),1662.72)</f>
        <v>1662.72</v>
      </c>
      <c r="AH169" s="2">
        <f>IFERROR(__xludf.DUMMYFUNCTION("IMPORTRANGE(""https://docs.google.com/spreadsheets/d/""&amp;$A169&amp;""/edit#gid=156619080"",AH$3)"),1655.76)</f>
        <v>1655.76</v>
      </c>
      <c r="AI169" s="2">
        <f>IFERROR(__xludf.DUMMYFUNCTION("IMPORTRANGE(""https://docs.google.com/spreadsheets/d/""&amp;$A169&amp;""/edit#gid=156619080"",AI$3)"),1648.8)</f>
        <v>1648.8</v>
      </c>
      <c r="AJ169" s="2">
        <f>IFERROR(__xludf.DUMMYFUNCTION("IMPORTRANGE(""https://docs.google.com/spreadsheets/d/""&amp;$A169&amp;""/edit#gid=156619080"",AJ$3)"),1641.85)</f>
        <v>1641.85</v>
      </c>
      <c r="AK169" s="2" t="str">
        <f>IFERROR(__xludf.DUMMYFUNCTION("IMPORTRANGE(""https://docs.google.com/spreadsheets/d/""&amp;$A169&amp;""/edit#gid=156619080"",AK$3)"),"-1〜-1.25σ")</f>
        <v>-1〜-1.25σ</v>
      </c>
      <c r="AL169" s="2">
        <f>IFERROR(__xludf.DUMMYFUNCTION("IMPORTRANGE(""https://docs.google.com/spreadsheets/d/""&amp;$A169&amp;""/edit#gid=156619080"",AL$3)"),-1.0)</f>
        <v>-1</v>
      </c>
      <c r="AM169" s="2" t="str">
        <f>IFERROR(__xludf.DUMMYFUNCTION("IMPORTRANGE(""https://docs.google.com/spreadsheets/d/""&amp;$A169&amp;""/edit#gid=156619080"",AM$3)"),"")</f>
        <v/>
      </c>
      <c r="AN169" s="2">
        <f>IFERROR(__xludf.DUMMYFUNCTION("IMPORTRANGE(""https://docs.google.com/spreadsheets/d/""&amp;$A169&amp;""/edit#gid=156619080"",AN$3)"),-1.0)</f>
        <v>-1</v>
      </c>
      <c r="AO169" s="2" t="str">
        <f>IFERROR(__xludf.DUMMYFUNCTION("IMPORTRANGE(""https://docs.google.com/spreadsheets/d/""&amp;$A169&amp;""/edit#gid=156619080"",AO$3)"),"")</f>
        <v/>
      </c>
      <c r="AP169" s="2">
        <f>IFERROR(__xludf.DUMMYFUNCTION("IMPORTRANGE(""https://docs.google.com/spreadsheets/d/""&amp;$A169&amp;""/edit#gid=156619080"",AP$3)"),1.0)</f>
        <v>1</v>
      </c>
      <c r="AQ169" s="2" t="str">
        <f>IFERROR(__xludf.DUMMYFUNCTION("IMPORTRANGE(""https://docs.google.com/spreadsheets/d/""&amp;$A169&amp;""/edit#gid=156619080"",AQ$3)"),"")</f>
        <v/>
      </c>
      <c r="AR169" s="18">
        <f>IFERROR(__xludf.DUMMYFUNCTION("IMPORTRANGE(""https://docs.google.com/spreadsheets/d/""&amp;$A169&amp;""/edit#gid=156619080"",AR$3)"),-62.5)</f>
        <v>-62.5</v>
      </c>
      <c r="AS169" s="19" t="str">
        <f>IFERROR(__xludf.DUMMYFUNCTION("IMPORTRANGE(""https://docs.google.com/spreadsheets/d/""&amp;$A169&amp;""/edit#gid=156619080"",AS$3)"),"-50
-90
-82.5
-62.5
")</f>
        <v>-50
-90
-82.5
-62.5
</v>
      </c>
      <c r="AT169" s="18">
        <f>IFERROR(__xludf.DUMMYFUNCTION("IMPORTRANGE(""https://docs.google.com/spreadsheets/d/""&amp;$A169&amp;""/edit#gid=156619080"",AT$3)"),-84.75274725274727)</f>
        <v>-84.75274725</v>
      </c>
      <c r="AU169" s="3" t="str">
        <f>IFERROR(__xludf.DUMMYFUNCTION("IMPORTRANGE(""https://docs.google.com/spreadsheets/d/""&amp;$A169&amp;""/edit#gid=156619080"",AU$3)"),"46.57
10.85
-31.59
-56.59
")</f>
        <v>46.57
10.85
-31.59
-56.59
</v>
      </c>
      <c r="AV169" s="18">
        <f>IFERROR(__xludf.DUMMYFUNCTION("IMPORTRANGE(""https://docs.google.com/spreadsheets/d/""&amp;$A169&amp;""/edit#gid=156619080"",AV$3)"),-11.590909090909097)</f>
        <v>-11.59090909</v>
      </c>
      <c r="AW169" s="19" t="str">
        <f>IFERROR(__xludf.DUMMYFUNCTION("IMPORTRANGE(""https://docs.google.com/spreadsheets/d/""&amp;$A169&amp;""/edit#gid=156619080"",AW$3)"),"38.15
16.33
4.09
4.25
")</f>
        <v>38.15
16.33
4.09
4.25
</v>
      </c>
      <c r="AX169" s="2">
        <f>IFERROR(__xludf.DUMMYFUNCTION("IMPORTRANGE(""https://docs.google.com/spreadsheets/d/""&amp;$A169&amp;""/edit#gid=156619080"",AX$3)"),19.18)</f>
        <v>19.18</v>
      </c>
      <c r="AY169" s="2">
        <f>IFERROR(__xludf.DUMMYFUNCTION("IMPORTRANGE(""https://docs.google.com/spreadsheets/d/""&amp;$A169&amp;""/edit#gid=156619080"",AY$3)"),48.199999999999996)</f>
        <v>48.2</v>
      </c>
      <c r="AZ169" s="2">
        <f>IFERROR(__xludf.DUMMYFUNCTION("IMPORTRANGE(""https://docs.google.com/spreadsheets/d/""&amp;$A169&amp;""/edit#gid=156619080"",AZ$3)"),1682.39)</f>
        <v>1682.39</v>
      </c>
      <c r="BA169" s="2">
        <f>IFERROR(__xludf.DUMMYFUNCTION("IMPORTRANGE(""https://docs.google.com/spreadsheets/d/""&amp;$A169&amp;""/edit#gid=156619080"",BA$3)"),-9.9699999999998)</f>
        <v>-9.97</v>
      </c>
      <c r="BB169" s="2">
        <f>IFERROR(__xludf.DUMMYFUNCTION("IMPORTRANGE(""https://docs.google.com/spreadsheets/d/""&amp;$A169&amp;""/edit#gid=156619080"",BB$3)"),3.95)</f>
        <v>3.95</v>
      </c>
      <c r="BC169" s="2" t="str">
        <f>IFERROR(__xludf.DUMMYFUNCTION("IMPORTRANGE(""https://docs.google.com/spreadsheets/d/""&amp;$A169&amp;""/edit#gid=156619080"",BC$3)"),"DC→DC")</f>
        <v>DC→DC</v>
      </c>
    </row>
    <row r="170" ht="51.0" customHeight="1">
      <c r="A170" s="7" t="str">
        <f t="shared" si="5"/>
        <v>1sF3Ot2xRuGLGxq7B1OhSK2Bup80tuzSLUiVx8v4MbFk</v>
      </c>
      <c r="B170" s="1" t="s">
        <v>197</v>
      </c>
      <c r="C170" s="2">
        <f>IFERROR(__xludf.DUMMYFUNCTION("IMPORTRANGE(""https://docs.google.com/spreadsheets/d/""&amp;$A170&amp;""/edit#gid=156619080"",C$3)"),132.0)</f>
        <v>132</v>
      </c>
      <c r="D170" s="2">
        <f>IFERROR(__xludf.DUMMYFUNCTION("IMPORTRANGE(""https://docs.google.com/spreadsheets/d/""&amp;$A170&amp;""/edit#gid=156619080"",D$3)"),8304.0)</f>
        <v>8304</v>
      </c>
      <c r="E170" s="15">
        <f>IFERROR(__xludf.DUMMYFUNCTION("IMPORTRANGE(""https://docs.google.com/spreadsheets/d/""&amp;$A170&amp;""/edit#gid=156619080"",E$3)"),43882.0)</f>
        <v>43882</v>
      </c>
      <c r="F170" s="2">
        <f>IFERROR(__xludf.DUMMYFUNCTION("IMPORTRANGE(""https://docs.google.com/spreadsheets/d/""&amp;$A170&amp;""/edit#gid=156619080"",F$3)"),0.0)</f>
        <v>0</v>
      </c>
      <c r="G170" s="16">
        <f>IFERROR(__xludf.DUMMYFUNCTION("IMPORTRANGE(""https://docs.google.com/spreadsheets/d/""&amp;$A170&amp;""/edit#gid=156619080"",G$3)"),0.0)</f>
        <v>0</v>
      </c>
      <c r="H170" s="16">
        <f>IFERROR(__xludf.DUMMYFUNCTION("IMPORTRANGE(""https://docs.google.com/spreadsheets/d/""&amp;$A170&amp;""/edit#gid=156619080"",H$3)"),3030.0)</f>
        <v>3030</v>
      </c>
      <c r="I170" s="16">
        <f>IFERROR(__xludf.DUMMYFUNCTION("IMPORTRANGE(""https://docs.google.com/spreadsheets/d/""&amp;$A170&amp;""/edit#gid=156619080"",I$3)"),0.0)</f>
        <v>0</v>
      </c>
      <c r="J170" s="16">
        <f>IFERROR(__xludf.DUMMYFUNCTION("IMPORTRANGE(""https://docs.google.com/spreadsheets/d/""&amp;$A170&amp;""/edit#gid=156619080"",J$3)"),3070.0)</f>
        <v>3070</v>
      </c>
      <c r="K170" s="16">
        <f>IFERROR(__xludf.DUMMYFUNCTION("IMPORTRANGE(""https://docs.google.com/spreadsheets/d/""&amp;$A170&amp;""/edit#gid=156619080"",K$3)"),0.44027777777777777)</f>
        <v>0.4402777778</v>
      </c>
      <c r="L170" s="16">
        <f>IFERROR(__xludf.DUMMYFUNCTION("IMPORTRANGE(""https://docs.google.com/spreadsheets/d/""&amp;$A170&amp;""/edit#gid=156619080"",L$3)"),3025.0)</f>
        <v>3025</v>
      </c>
      <c r="M170" s="16">
        <f>IFERROR(__xludf.DUMMYFUNCTION("IMPORTRANGE(""https://docs.google.com/spreadsheets/d/""&amp;$A170&amp;""/edit#gid=156619080"",M$3)"),0.375)</f>
        <v>0.375</v>
      </c>
      <c r="N170" s="16">
        <f>IFERROR(__xludf.DUMMYFUNCTION("IMPORTRANGE(""https://docs.google.com/spreadsheets/d/""&amp;$A170&amp;""/edit#gid=156619080"",N$3)"),3030.0)</f>
        <v>3030</v>
      </c>
      <c r="O170" s="16" t="str">
        <f>IFERROR(__xludf.DUMMYFUNCTION("IMPORTRANGE(""https://docs.google.com/spreadsheets/d/""&amp;$A170&amp;""/edit#gid=156619080"",O$3)"),"662700株")</f>
        <v>662700株</v>
      </c>
      <c r="P170" s="16" t="str">
        <f>IFERROR(__xludf.DUMMYFUNCTION("IMPORTRANGE(""https://docs.google.com/spreadsheets/d/""&amp;$A170&amp;""/edit#gid=156619080"",P$3)"),"2016百万円")</f>
        <v>2016百万円</v>
      </c>
      <c r="Q170" s="16" t="str">
        <f>IFERROR(__xludf.DUMMYFUNCTION("IMPORTRANGE(""https://docs.google.com/spreadsheets/d/""&amp;$A170&amp;""/edit#gid=156619080"",Q$3)"),"983回")</f>
        <v>983回</v>
      </c>
      <c r="R170" s="16" t="str">
        <f>IFERROR(__xludf.DUMMYFUNCTION("IMPORTRANGE(""https://docs.google.com/spreadsheets/d/""&amp;$A170&amp;""/edit#gid=156619080"",R$3)"),"3584億円")</f>
        <v>3584億円</v>
      </c>
      <c r="S170" s="16" t="str">
        <f>IFERROR(__xludf.DUMMYFUNCTION("IMPORTRANGE(""https://docs.google.com/spreadsheets/d/""&amp;$A170&amp;""/edit#gid=156619080"",S$3)"),"一本線")</f>
        <v>一本線</v>
      </c>
      <c r="T170" s="16" t="str">
        <f>IFERROR(__xludf.DUMMYFUNCTION("IMPORTRANGE(""https://docs.google.com/spreadsheets/d/""&amp;$A170&amp;""/edit#gid=156619080"",T$3)"),"")</f>
        <v/>
      </c>
      <c r="U170" s="16">
        <f>IFERROR(__xludf.DUMMYFUNCTION("IMPORTRANGE(""https://docs.google.com/spreadsheets/d/""&amp;$A170&amp;""/edit#gid=156619080"",U$3)"),3047.0)</f>
        <v>3047</v>
      </c>
      <c r="V170" s="16">
        <f>IFERROR(__xludf.DUMMYFUNCTION("IMPORTRANGE(""https://docs.google.com/spreadsheets/d/""&amp;$A170&amp;""/edit#gid=156619080"",V$3)"),3065.0)</f>
        <v>3065</v>
      </c>
      <c r="W170" s="16">
        <f>IFERROR(__xludf.DUMMYFUNCTION("IMPORTRANGE(""https://docs.google.com/spreadsheets/d/""&amp;$A170&amp;""/edit#gid=156619080"",W$3)"),3002.0)</f>
        <v>3002</v>
      </c>
      <c r="X170" s="2">
        <f>IFERROR(__xludf.DUMMYFUNCTION("IMPORTRANGE(""https://docs.google.com/spreadsheets/d/""&amp;$A170&amp;""/edit#gid=156619080"",X$3)"),2811.5)</f>
        <v>2811.5</v>
      </c>
      <c r="Y170" s="17">
        <f>IFERROR(__xludf.DUMMYFUNCTION("IMPORTRANGE(""https://docs.google.com/spreadsheets/d/""&amp;$A170&amp;""/edit#gid=156619080"",Y$3)"),-0.005579258286839514)</f>
        <v>-0.005579258287</v>
      </c>
      <c r="Z170" s="2">
        <f>IFERROR(__xludf.DUMMYFUNCTION("IMPORTRANGE(""https://docs.google.com/spreadsheets/d/""&amp;$A170&amp;""/edit#gid=156619080"",Z$3)"),3188.7)</f>
        <v>3188.7</v>
      </c>
      <c r="AA170" s="2">
        <f>IFERROR(__xludf.DUMMYFUNCTION("IMPORTRANGE(""https://docs.google.com/spreadsheets/d/""&amp;$A170&amp;""/edit#gid=156619080"",AA$3)"),3165.36)</f>
        <v>3165.36</v>
      </c>
      <c r="AB170" s="2">
        <f>IFERROR(__xludf.DUMMYFUNCTION("IMPORTRANGE(""https://docs.google.com/spreadsheets/d/""&amp;$A170&amp;""/edit#gid=156619080"",AB$3)"),3142.02)</f>
        <v>3142.02</v>
      </c>
      <c r="AC170" s="18">
        <f>IFERROR(__xludf.DUMMYFUNCTION("IMPORTRANGE(""https://docs.google.com/spreadsheets/d/""&amp;$A170&amp;""/edit#gid=156619080"",AC$3)"),3118.69)</f>
        <v>3118.69</v>
      </c>
      <c r="AD170" s="18">
        <f>IFERROR(__xludf.DUMMYFUNCTION("IMPORTRANGE(""https://docs.google.com/spreadsheets/d/""&amp;$A170&amp;""/edit#gid=156619080"",AD$3)"),3095.35)</f>
        <v>3095.35</v>
      </c>
      <c r="AE170" s="18">
        <f>IFERROR(__xludf.DUMMYFUNCTION("IMPORTRANGE(""https://docs.google.com/spreadsheets/d/""&amp;$A170&amp;""/edit#gid=156619080"",AE$3)"),3002.0)</f>
        <v>3002</v>
      </c>
      <c r="AF170" s="2">
        <f>IFERROR(__xludf.DUMMYFUNCTION("IMPORTRANGE(""https://docs.google.com/spreadsheets/d/""&amp;$A170&amp;""/edit#gid=156619080"",AF$3)"),2908.65)</f>
        <v>2908.65</v>
      </c>
      <c r="AG170" s="2">
        <f>IFERROR(__xludf.DUMMYFUNCTION("IMPORTRANGE(""https://docs.google.com/spreadsheets/d/""&amp;$A170&amp;""/edit#gid=156619080"",AG$3)"),2885.31)</f>
        <v>2885.31</v>
      </c>
      <c r="AH170" s="2">
        <f>IFERROR(__xludf.DUMMYFUNCTION("IMPORTRANGE(""https://docs.google.com/spreadsheets/d/""&amp;$A170&amp;""/edit#gid=156619080"",AH$3)"),2861.98)</f>
        <v>2861.98</v>
      </c>
      <c r="AI170" s="2">
        <f>IFERROR(__xludf.DUMMYFUNCTION("IMPORTRANGE(""https://docs.google.com/spreadsheets/d/""&amp;$A170&amp;""/edit#gid=156619080"",AI$3)"),2838.64)</f>
        <v>2838.64</v>
      </c>
      <c r="AJ170" s="2">
        <f>IFERROR(__xludf.DUMMYFUNCTION("IMPORTRANGE(""https://docs.google.com/spreadsheets/d/""&amp;$A170&amp;""/edit#gid=156619080"",AJ$3)"),2815.3)</f>
        <v>2815.3</v>
      </c>
      <c r="AK170" s="2" t="str">
        <f>IFERROR(__xludf.DUMMYFUNCTION("IMPORTRANGE(""https://docs.google.com/spreadsheets/d/""&amp;$A170&amp;""/edit#gid=156619080"",AK$3)"),"")</f>
        <v/>
      </c>
      <c r="AL170" s="2">
        <f>IFERROR(__xludf.DUMMYFUNCTION("IMPORTRANGE(""https://docs.google.com/spreadsheets/d/""&amp;$A170&amp;""/edit#gid=156619080"",AL$3)"),-1.0)</f>
        <v>-1</v>
      </c>
      <c r="AM170" s="2" t="str">
        <f>IFERROR(__xludf.DUMMYFUNCTION("IMPORTRANGE(""https://docs.google.com/spreadsheets/d/""&amp;$A170&amp;""/edit#gid=156619080"",AM$3)"),"")</f>
        <v/>
      </c>
      <c r="AN170" s="2">
        <f>IFERROR(__xludf.DUMMYFUNCTION("IMPORTRANGE(""https://docs.google.com/spreadsheets/d/""&amp;$A170&amp;""/edit#gid=156619080"",AN$3)"),1.0)</f>
        <v>1</v>
      </c>
      <c r="AO170" s="2" t="str">
        <f>IFERROR(__xludf.DUMMYFUNCTION("IMPORTRANGE(""https://docs.google.com/spreadsheets/d/""&amp;$A170&amp;""/edit#gid=156619080"",AO$3)"),"")</f>
        <v/>
      </c>
      <c r="AP170" s="2">
        <f>IFERROR(__xludf.DUMMYFUNCTION("IMPORTRANGE(""https://docs.google.com/spreadsheets/d/""&amp;$A170&amp;""/edit#gid=156619080"",AP$3)"),1.0)</f>
        <v>1</v>
      </c>
      <c r="AQ170" s="2" t="str">
        <f>IFERROR(__xludf.DUMMYFUNCTION("IMPORTRANGE(""https://docs.google.com/spreadsheets/d/""&amp;$A170&amp;""/edit#gid=156619080"",AQ$3)"),"")</f>
        <v/>
      </c>
      <c r="AR170" s="18">
        <f>IFERROR(__xludf.DUMMYFUNCTION("IMPORTRANGE(""https://docs.google.com/spreadsheets/d/""&amp;$A170&amp;""/edit#gid=156619080"",AR$3)"),-52.49999999999999)</f>
        <v>-52.5</v>
      </c>
      <c r="AS170" s="19" t="str">
        <f>IFERROR(__xludf.DUMMYFUNCTION("IMPORTRANGE(""https://docs.google.com/spreadsheets/d/""&amp;$A170&amp;""/edit#gid=156619080"",AS$3)"),"-52.5
-2.5
-2.5
-52.5
")</f>
        <v>-52.5
-2.5
-2.5
-52.5
</v>
      </c>
      <c r="AT170" s="18">
        <f>IFERROR(__xludf.DUMMYFUNCTION("IMPORTRANGE(""https://docs.google.com/spreadsheets/d/""&amp;$A170&amp;""/edit#gid=156619080"",AT$3)"),-37.5)</f>
        <v>-37.5</v>
      </c>
      <c r="AU170" s="3" t="str">
        <f>IFERROR(__xludf.DUMMYFUNCTION("IMPORTRANGE(""https://docs.google.com/spreadsheets/d/""&amp;$A170&amp;""/edit#gid=156619080"",AU$3)"),"76.37
68.68
32.42
-9.89
")</f>
        <v>76.37
68.68
32.42
-9.89
</v>
      </c>
      <c r="AV170" s="18">
        <f>IFERROR(__xludf.DUMMYFUNCTION("IMPORTRANGE(""https://docs.google.com/spreadsheets/d/""&amp;$A170&amp;""/edit#gid=156619080"",AV$3)"),58.14935064935065)</f>
        <v>58.14935065</v>
      </c>
      <c r="AW170" s="19" t="str">
        <f>IFERROR(__xludf.DUMMYFUNCTION("IMPORTRANGE(""https://docs.google.com/spreadsheets/d/""&amp;$A170&amp;""/edit#gid=156619080"",AW$3)"),"73.54
77.14
73.25
66.88
")</f>
        <v>73.54
77.14
73.25
66.88
</v>
      </c>
      <c r="AX170" s="2">
        <f>IFERROR(__xludf.DUMMYFUNCTION("IMPORTRANGE(""https://docs.google.com/spreadsheets/d/""&amp;$A170&amp;""/edit#gid=156619080"",AX$3)"),20.0)</f>
        <v>20</v>
      </c>
      <c r="AY170" s="2">
        <f>IFERROR(__xludf.DUMMYFUNCTION("IMPORTRANGE(""https://docs.google.com/spreadsheets/d/""&amp;$A170&amp;""/edit#gid=156619080"",AY$3)"),62.2)</f>
        <v>62.2</v>
      </c>
      <c r="AZ170" s="2">
        <f>IFERROR(__xludf.DUMMYFUNCTION("IMPORTRANGE(""https://docs.google.com/spreadsheets/d/""&amp;$A170&amp;""/edit#gid=156619080"",AZ$3)"),3042.07)</f>
        <v>3042.07</v>
      </c>
      <c r="BA170" s="2">
        <f>IFERROR(__xludf.DUMMYFUNCTION("IMPORTRANGE(""https://docs.google.com/spreadsheets/d/""&amp;$A170&amp;""/edit#gid=156619080"",BA$3)"),27.51000000000022)</f>
        <v>27.51</v>
      </c>
      <c r="BB170" s="2">
        <f>IFERROR(__xludf.DUMMYFUNCTION("IMPORTRANGE(""https://docs.google.com/spreadsheets/d/""&amp;$A170&amp;""/edit#gid=156619080"",BB$3)"),53.16)</f>
        <v>53.16</v>
      </c>
      <c r="BC170" s="2" t="str">
        <f>IFERROR(__xludf.DUMMYFUNCTION("IMPORTRANGE(""https://docs.google.com/spreadsheets/d/""&amp;$A170&amp;""/edit#gid=156619080"",BC$3)"),"DC→DC")</f>
        <v>DC→DC</v>
      </c>
    </row>
    <row r="171" ht="51.0" customHeight="1">
      <c r="A171" s="7" t="str">
        <f t="shared" si="5"/>
        <v>1HJn2bRYv60ltqABoVQeYMr9fJoX9D0baxV9KesfCOuo</v>
      </c>
      <c r="B171" s="1" t="s">
        <v>198</v>
      </c>
      <c r="C171" s="2">
        <f>IFERROR(__xludf.DUMMYFUNCTION("IMPORTRANGE(""https://docs.google.com/spreadsheets/d/""&amp;$A171&amp;""/edit#gid=156619080"",C$3)"),132.0)</f>
        <v>132</v>
      </c>
      <c r="D171" s="2">
        <f>IFERROR(__xludf.DUMMYFUNCTION("IMPORTRANGE(""https://docs.google.com/spreadsheets/d/""&amp;$A171&amp;""/edit#gid=156619080"",D$3)"),8306.0)</f>
        <v>8306</v>
      </c>
      <c r="E171" s="15">
        <f>IFERROR(__xludf.DUMMYFUNCTION("IMPORTRANGE(""https://docs.google.com/spreadsheets/d/""&amp;$A171&amp;""/edit#gid=156619080"",E$3)"),43882.0)</f>
        <v>43882</v>
      </c>
      <c r="F171" s="2">
        <f>IFERROR(__xludf.DUMMYFUNCTION("IMPORTRANGE(""https://docs.google.com/spreadsheets/d/""&amp;$A171&amp;""/edit#gid=156619080"",F$3)"),3.5)</f>
        <v>3.5</v>
      </c>
      <c r="G171" s="16">
        <f>IFERROR(__xludf.DUMMYFUNCTION("IMPORTRANGE(""https://docs.google.com/spreadsheets/d/""&amp;$A171&amp;""/edit#gid=156619080"",G$3)"),0.62)</f>
        <v>0.62</v>
      </c>
      <c r="H171" s="16">
        <f>IFERROR(__xludf.DUMMYFUNCTION("IMPORTRANGE(""https://docs.google.com/spreadsheets/d/""&amp;$A171&amp;""/edit#gid=156619080"",H$3)"),564.5)</f>
        <v>564.5</v>
      </c>
      <c r="I171" s="16">
        <f>IFERROR(__xludf.DUMMYFUNCTION("IMPORTRANGE(""https://docs.google.com/spreadsheets/d/""&amp;$A171&amp;""/edit#gid=156619080"",I$3)"),-1.7000000000000455)</f>
        <v>-1.7</v>
      </c>
      <c r="J171" s="16">
        <f>IFERROR(__xludf.DUMMYFUNCTION("IMPORTRANGE(""https://docs.google.com/spreadsheets/d/""&amp;$A171&amp;""/edit#gid=156619080"",J$3)"),569.6)</f>
        <v>569.6</v>
      </c>
      <c r="K171" s="16">
        <f>IFERROR(__xludf.DUMMYFUNCTION("IMPORTRANGE(""https://docs.google.com/spreadsheets/d/""&amp;$A171&amp;""/edit#gid=156619080"",K$3)"),0.44305555555555554)</f>
        <v>0.4430555556</v>
      </c>
      <c r="L171" s="16">
        <f>IFERROR(__xludf.DUMMYFUNCTION("IMPORTRANGE(""https://docs.google.com/spreadsheets/d/""&amp;$A171&amp;""/edit#gid=156619080"",L$3)"),564.0)</f>
        <v>564</v>
      </c>
      <c r="M171" s="16">
        <f>IFERROR(__xludf.DUMMYFUNCTION("IMPORTRANGE(""https://docs.google.com/spreadsheets/d/""&amp;$A171&amp;""/edit#gid=156619080"",M$3)"),0.375)</f>
        <v>0.375</v>
      </c>
      <c r="N171" s="16">
        <f>IFERROR(__xludf.DUMMYFUNCTION("IMPORTRANGE(""https://docs.google.com/spreadsheets/d/""&amp;$A171&amp;""/edit#gid=156619080"",N$3)"),566.3)</f>
        <v>566.3</v>
      </c>
      <c r="O171" s="16" t="str">
        <f>IFERROR(__xludf.DUMMYFUNCTION("IMPORTRANGE(""https://docs.google.com/spreadsheets/d/""&amp;$A171&amp;""/edit#gid=156619080"",O$3)"),"39992900株")</f>
        <v>39992900株</v>
      </c>
      <c r="P171" s="16" t="str">
        <f>IFERROR(__xludf.DUMMYFUNCTION("IMPORTRANGE(""https://docs.google.com/spreadsheets/d/""&amp;$A171&amp;""/edit#gid=156619080"",P$3)"),"22686百万円")</f>
        <v>22686百万円</v>
      </c>
      <c r="Q171" s="16" t="str">
        <f>IFERROR(__xludf.DUMMYFUNCTION("IMPORTRANGE(""https://docs.google.com/spreadsheets/d/""&amp;$A171&amp;""/edit#gid=156619080"",Q$3)"),"12464回")</f>
        <v>12464回</v>
      </c>
      <c r="R171" s="16" t="str">
        <f>IFERROR(__xludf.DUMMYFUNCTION("IMPORTRANGE(""https://docs.google.com/spreadsheets/d/""&amp;$A171&amp;""/edit#gid=156619080"",R$3)"),"76915億円")</f>
        <v>76915億円</v>
      </c>
      <c r="S171" s="16" t="str">
        <f>IFERROR(__xludf.DUMMYFUNCTION("IMPORTRANGE(""https://docs.google.com/spreadsheets/d/""&amp;$A171&amp;""/edit#gid=156619080"",S$3)"),"陽線")</f>
        <v>陽線</v>
      </c>
      <c r="T171" s="16" t="str">
        <f>IFERROR(__xludf.DUMMYFUNCTION("IMPORTRANGE(""https://docs.google.com/spreadsheets/d/""&amp;$A171&amp;""/edit#gid=156619080"",T$3)"),"")</f>
        <v/>
      </c>
      <c r="U171" s="16">
        <f>IFERROR(__xludf.DUMMYFUNCTION("IMPORTRANGE(""https://docs.google.com/spreadsheets/d/""&amp;$A171&amp;""/edit#gid=156619080"",U$3)"),564.98)</f>
        <v>564.98</v>
      </c>
      <c r="V171" s="16">
        <f>IFERROR(__xludf.DUMMYFUNCTION("IMPORTRANGE(""https://docs.google.com/spreadsheets/d/""&amp;$A171&amp;""/edit#gid=156619080"",V$3)"),570.6)</f>
        <v>570.6</v>
      </c>
      <c r="W171" s="16">
        <f>IFERROR(__xludf.DUMMYFUNCTION("IMPORTRANGE(""https://docs.google.com/spreadsheets/d/""&amp;$A171&amp;""/edit#gid=156619080"",W$3)"),569.9)</f>
        <v>569.9</v>
      </c>
      <c r="X171" s="2">
        <f>IFERROR(__xludf.DUMMYFUNCTION("IMPORTRANGE(""https://docs.google.com/spreadsheets/d/""&amp;$A171&amp;""/edit#gid=156619080"",X$3)"),566.8)</f>
        <v>566.8</v>
      </c>
      <c r="Y171" s="17">
        <f>IFERROR(__xludf.DUMMYFUNCTION("IMPORTRANGE(""https://docs.google.com/spreadsheets/d/""&amp;$A171&amp;""/edit#gid=156619080"",Y$3)"),0.002336365889057907)</f>
        <v>0.002336365889</v>
      </c>
      <c r="Z171" s="2">
        <f>IFERROR(__xludf.DUMMYFUNCTION("IMPORTRANGE(""https://docs.google.com/spreadsheets/d/""&amp;$A171&amp;""/edit#gid=156619080"",Z$3)"),580.51)</f>
        <v>580.51</v>
      </c>
      <c r="AA171" s="2">
        <f>IFERROR(__xludf.DUMMYFUNCTION("IMPORTRANGE(""https://docs.google.com/spreadsheets/d/""&amp;$A171&amp;""/edit#gid=156619080"",AA$3)"),579.19)</f>
        <v>579.19</v>
      </c>
      <c r="AB171" s="2">
        <f>IFERROR(__xludf.DUMMYFUNCTION("IMPORTRANGE(""https://docs.google.com/spreadsheets/d/""&amp;$A171&amp;""/edit#gid=156619080"",AB$3)"),577.86)</f>
        <v>577.86</v>
      </c>
      <c r="AC171" s="18">
        <f>IFERROR(__xludf.DUMMYFUNCTION("IMPORTRANGE(""https://docs.google.com/spreadsheets/d/""&amp;$A171&amp;""/edit#gid=156619080"",AC$3)"),576.53)</f>
        <v>576.53</v>
      </c>
      <c r="AD171" s="18">
        <f>IFERROR(__xludf.DUMMYFUNCTION("IMPORTRANGE(""https://docs.google.com/spreadsheets/d/""&amp;$A171&amp;""/edit#gid=156619080"",AD$3)"),575.21)</f>
        <v>575.21</v>
      </c>
      <c r="AE171" s="18">
        <f>IFERROR(__xludf.DUMMYFUNCTION("IMPORTRANGE(""https://docs.google.com/spreadsheets/d/""&amp;$A171&amp;""/edit#gid=156619080"",AE$3)"),569.9)</f>
        <v>569.9</v>
      </c>
      <c r="AF171" s="2">
        <f>IFERROR(__xludf.DUMMYFUNCTION("IMPORTRANGE(""https://docs.google.com/spreadsheets/d/""&amp;$A171&amp;""/edit#gid=156619080"",AF$3)"),564.59)</f>
        <v>564.59</v>
      </c>
      <c r="AG171" s="2">
        <f>IFERROR(__xludf.DUMMYFUNCTION("IMPORTRANGE(""https://docs.google.com/spreadsheets/d/""&amp;$A171&amp;""/edit#gid=156619080"",AG$3)"),563.27)</f>
        <v>563.27</v>
      </c>
      <c r="AH171" s="2">
        <f>IFERROR(__xludf.DUMMYFUNCTION("IMPORTRANGE(""https://docs.google.com/spreadsheets/d/""&amp;$A171&amp;""/edit#gid=156619080"",AH$3)"),561.94)</f>
        <v>561.94</v>
      </c>
      <c r="AI171" s="2">
        <f>IFERROR(__xludf.DUMMYFUNCTION("IMPORTRANGE(""https://docs.google.com/spreadsheets/d/""&amp;$A171&amp;""/edit#gid=156619080"",AI$3)"),560.61)</f>
        <v>560.61</v>
      </c>
      <c r="AJ171" s="2">
        <f>IFERROR(__xludf.DUMMYFUNCTION("IMPORTRANGE(""https://docs.google.com/spreadsheets/d/""&amp;$A171&amp;""/edit#gid=156619080"",AJ$3)"),559.29)</f>
        <v>559.29</v>
      </c>
      <c r="AK171" s="2" t="str">
        <f>IFERROR(__xludf.DUMMYFUNCTION("IMPORTRANGE(""https://docs.google.com/spreadsheets/d/""&amp;$A171&amp;""/edit#gid=156619080"",AK$3)"),"")</f>
        <v/>
      </c>
      <c r="AL171" s="2">
        <f>IFERROR(__xludf.DUMMYFUNCTION("IMPORTRANGE(""https://docs.google.com/spreadsheets/d/""&amp;$A171&amp;""/edit#gid=156619080"",AL$3)"),-1.0)</f>
        <v>-1</v>
      </c>
      <c r="AM171" s="2" t="str">
        <f>IFERROR(__xludf.DUMMYFUNCTION("IMPORTRANGE(""https://docs.google.com/spreadsheets/d/""&amp;$A171&amp;""/edit#gid=156619080"",AM$3)"),"")</f>
        <v/>
      </c>
      <c r="AN171" s="2">
        <f>IFERROR(__xludf.DUMMYFUNCTION("IMPORTRANGE(""https://docs.google.com/spreadsheets/d/""&amp;$A171&amp;""/edit#gid=156619080"",AN$3)"),-1.0)</f>
        <v>-1</v>
      </c>
      <c r="AO171" s="2" t="str">
        <f>IFERROR(__xludf.DUMMYFUNCTION("IMPORTRANGE(""https://docs.google.com/spreadsheets/d/""&amp;$A171&amp;""/edit#gid=156619080"",AO$3)"),"")</f>
        <v/>
      </c>
      <c r="AP171" s="2">
        <f>IFERROR(__xludf.DUMMYFUNCTION("IMPORTRANGE(""https://docs.google.com/spreadsheets/d/""&amp;$A171&amp;""/edit#gid=156619080"",AP$3)"),1.0)</f>
        <v>1</v>
      </c>
      <c r="AQ171" s="2" t="str">
        <f>IFERROR(__xludf.DUMMYFUNCTION("IMPORTRANGE(""https://docs.google.com/spreadsheets/d/""&amp;$A171&amp;""/edit#gid=156619080"",AQ$3)"),"ws3")</f>
        <v>ws3</v>
      </c>
      <c r="AR171" s="18">
        <f>IFERROR(__xludf.DUMMYFUNCTION("IMPORTRANGE(""https://docs.google.com/spreadsheets/d/""&amp;$A171&amp;""/edit#gid=156619080"",AR$3)"),-30.000000000000004)</f>
        <v>-30</v>
      </c>
      <c r="AS171" s="19" t="str">
        <f>IFERROR(__xludf.DUMMYFUNCTION("IMPORTRANGE(""https://docs.google.com/spreadsheets/d/""&amp;$A171&amp;""/edit#gid=156619080"",AS$3)"),"-92.5
-92.5
-92.5
-90
")</f>
        <v>-92.5
-92.5
-92.5
-90
</v>
      </c>
      <c r="AT171" s="18">
        <f>IFERROR(__xludf.DUMMYFUNCTION("IMPORTRANGE(""https://docs.google.com/spreadsheets/d/""&amp;$A171&amp;""/edit#gid=156619080"",AT$3)"),-64.42307692307692)</f>
        <v>-64.42307692</v>
      </c>
      <c r="AU171" s="3" t="str">
        <f>IFERROR(__xludf.DUMMYFUNCTION("IMPORTRANGE(""https://docs.google.com/spreadsheets/d/""&amp;$A171&amp;""/edit#gid=156619080"",AU$3)"),"59.89
32.28
-9.48
-37.5
")</f>
        <v>59.89
32.28
-9.48
-37.5
</v>
      </c>
      <c r="AV171" s="18">
        <f>IFERROR(__xludf.DUMMYFUNCTION("IMPORTRANGE(""https://docs.google.com/spreadsheets/d/""&amp;$A171&amp;""/edit#gid=156619080"",AV$3)"),-21.98051948051949)</f>
        <v>-21.98051948</v>
      </c>
      <c r="AW171" s="19" t="str">
        <f>IFERROR(__xludf.DUMMYFUNCTION("IMPORTRANGE(""https://docs.google.com/spreadsheets/d/""&amp;$A171&amp;""/edit#gid=156619080"",AW$3)"),"-30.23
-27.66
-27.66
-27.53
")</f>
        <v>-30.23
-27.66
-27.66
-27.53
</v>
      </c>
      <c r="AX171" s="2">
        <f>IFERROR(__xludf.DUMMYFUNCTION("IMPORTRANGE(""https://docs.google.com/spreadsheets/d/""&amp;$A171&amp;""/edit#gid=156619080"",AX$3)"),32.76)</f>
        <v>32.76</v>
      </c>
      <c r="AY171" s="2">
        <f>IFERROR(__xludf.DUMMYFUNCTION("IMPORTRANGE(""https://docs.google.com/spreadsheets/d/""&amp;$A171&amp;""/edit#gid=156619080"",AY$3)"),38.54)</f>
        <v>38.54</v>
      </c>
      <c r="AZ171" s="2">
        <f>IFERROR(__xludf.DUMMYFUNCTION("IMPORTRANGE(""https://docs.google.com/spreadsheets/d/""&amp;$A171&amp;""/edit#gid=156619080"",AZ$3)"),565.76)</f>
        <v>565.76</v>
      </c>
      <c r="BA171" s="2">
        <f>IFERROR(__xludf.DUMMYFUNCTION("IMPORTRANGE(""https://docs.google.com/spreadsheets/d/""&amp;$A171&amp;""/edit#gid=156619080"",BA$3)"),-5.210000000000036)</f>
        <v>-5.21</v>
      </c>
      <c r="BB171" s="2">
        <f>IFERROR(__xludf.DUMMYFUNCTION("IMPORTRANGE(""https://docs.google.com/spreadsheets/d/""&amp;$A171&amp;""/edit#gid=156619080"",BB$3)"),-3.86)</f>
        <v>-3.86</v>
      </c>
      <c r="BC171" s="2" t="str">
        <f>IFERROR(__xludf.DUMMYFUNCTION("IMPORTRANGE(""https://docs.google.com/spreadsheets/d/""&amp;$A171&amp;""/edit#gid=156619080"",BC$3)"),"DC→DC")</f>
        <v>DC→DC</v>
      </c>
    </row>
    <row r="172" ht="51.0" customHeight="1">
      <c r="A172" s="7" t="str">
        <f t="shared" si="5"/>
        <v>12RF2vmNfcww0_uT5jwYsC0MzhOjVg6EE7MBEJ9Tx5KE</v>
      </c>
      <c r="B172" s="1" t="s">
        <v>199</v>
      </c>
      <c r="C172" s="2">
        <f>IFERROR(__xludf.DUMMYFUNCTION("IMPORTRANGE(""https://docs.google.com/spreadsheets/d/""&amp;$A172&amp;""/edit#gid=156619080"",C$3)"),132.0)</f>
        <v>132</v>
      </c>
      <c r="D172" s="2">
        <f>IFERROR(__xludf.DUMMYFUNCTION("IMPORTRANGE(""https://docs.google.com/spreadsheets/d/""&amp;$A172&amp;""/edit#gid=156619080"",D$3)"),8308.0)</f>
        <v>8308</v>
      </c>
      <c r="E172" s="15">
        <f>IFERROR(__xludf.DUMMYFUNCTION("IMPORTRANGE(""https://docs.google.com/spreadsheets/d/""&amp;$A172&amp;""/edit#gid=156619080"",E$3)"),43882.0)</f>
        <v>43882</v>
      </c>
      <c r="F172" s="2">
        <f>IFERROR(__xludf.DUMMYFUNCTION("IMPORTRANGE(""https://docs.google.com/spreadsheets/d/""&amp;$A172&amp;""/edit#gid=156619080"",F$3)"),1.7)</f>
        <v>1.7</v>
      </c>
      <c r="G172" s="16">
        <f>IFERROR(__xludf.DUMMYFUNCTION("IMPORTRANGE(""https://docs.google.com/spreadsheets/d/""&amp;$A172&amp;""/edit#gid=156619080"",G$3)"),0.39)</f>
        <v>0.39</v>
      </c>
      <c r="H172" s="16">
        <f>IFERROR(__xludf.DUMMYFUNCTION("IMPORTRANGE(""https://docs.google.com/spreadsheets/d/""&amp;$A172&amp;""/edit#gid=156619080"",H$3)"),440.3)</f>
        <v>440.3</v>
      </c>
      <c r="I172" s="16">
        <f>IFERROR(__xludf.DUMMYFUNCTION("IMPORTRANGE(""https://docs.google.com/spreadsheets/d/""&amp;$A172&amp;""/edit#gid=156619080"",I$3)"),-1.0)</f>
        <v>-1</v>
      </c>
      <c r="J172" s="16">
        <f>IFERROR(__xludf.DUMMYFUNCTION("IMPORTRANGE(""https://docs.google.com/spreadsheets/d/""&amp;$A172&amp;""/edit#gid=156619080"",J$3)"),445.5)</f>
        <v>445.5</v>
      </c>
      <c r="K172" s="16">
        <f>IFERROR(__xludf.DUMMYFUNCTION("IMPORTRANGE(""https://docs.google.com/spreadsheets/d/""&amp;$A172&amp;""/edit#gid=156619080"",K$3)"),0.4409722222222222)</f>
        <v>0.4409722222</v>
      </c>
      <c r="L172" s="16">
        <f>IFERROR(__xludf.DUMMYFUNCTION("IMPORTRANGE(""https://docs.google.com/spreadsheets/d/""&amp;$A172&amp;""/edit#gid=156619080"",L$3)"),439.6)</f>
        <v>439.6</v>
      </c>
      <c r="M172" s="16">
        <f>IFERROR(__xludf.DUMMYFUNCTION("IMPORTRANGE(""https://docs.google.com/spreadsheets/d/""&amp;$A172&amp;""/edit#gid=156619080"",M$3)"),0.375)</f>
        <v>0.375</v>
      </c>
      <c r="N172" s="16">
        <f>IFERROR(__xludf.DUMMYFUNCTION("IMPORTRANGE(""https://docs.google.com/spreadsheets/d/""&amp;$A172&amp;""/edit#gid=156619080"",N$3)"),441.0)</f>
        <v>441</v>
      </c>
      <c r="O172" s="16" t="str">
        <f>IFERROR(__xludf.DUMMYFUNCTION("IMPORTRANGE(""https://docs.google.com/spreadsheets/d/""&amp;$A172&amp;""/edit#gid=156619080"",O$3)"),"10101500株")</f>
        <v>10101500株</v>
      </c>
      <c r="P172" s="16" t="str">
        <f>IFERROR(__xludf.DUMMYFUNCTION("IMPORTRANGE(""https://docs.google.com/spreadsheets/d/""&amp;$A172&amp;""/edit#gid=156619080"",P$3)"),"4469百万円")</f>
        <v>4469百万円</v>
      </c>
      <c r="Q172" s="16" t="str">
        <f>IFERROR(__xludf.DUMMYFUNCTION("IMPORTRANGE(""https://docs.google.com/spreadsheets/d/""&amp;$A172&amp;""/edit#gid=156619080"",Q$3)"),"6286回")</f>
        <v>6286回</v>
      </c>
      <c r="R172" s="16" t="str">
        <f>IFERROR(__xludf.DUMMYFUNCTION("IMPORTRANGE(""https://docs.google.com/spreadsheets/d/""&amp;$A172&amp;""/edit#gid=156619080"",R$3)"),"10249億円")</f>
        <v>10249億円</v>
      </c>
      <c r="S172" s="16" t="str">
        <f>IFERROR(__xludf.DUMMYFUNCTION("IMPORTRANGE(""https://docs.google.com/spreadsheets/d/""&amp;$A172&amp;""/edit#gid=156619080"",S$3)"),"陽線")</f>
        <v>陽線</v>
      </c>
      <c r="T172" s="16" t="str">
        <f>IFERROR(__xludf.DUMMYFUNCTION("IMPORTRANGE(""https://docs.google.com/spreadsheets/d/""&amp;$A172&amp;""/edit#gid=156619080"",T$3)"),"")</f>
        <v/>
      </c>
      <c r="U172" s="16">
        <f>IFERROR(__xludf.DUMMYFUNCTION("IMPORTRANGE(""https://docs.google.com/spreadsheets/d/""&amp;$A172&amp;""/edit#gid=156619080"",U$3)"),443.92)</f>
        <v>443.92</v>
      </c>
      <c r="V172" s="16">
        <f>IFERROR(__xludf.DUMMYFUNCTION("IMPORTRANGE(""https://docs.google.com/spreadsheets/d/""&amp;$A172&amp;""/edit#gid=156619080"",V$3)"),455.9)</f>
        <v>455.9</v>
      </c>
      <c r="W172" s="16">
        <f>IFERROR(__xludf.DUMMYFUNCTION("IMPORTRANGE(""https://docs.google.com/spreadsheets/d/""&amp;$A172&amp;""/edit#gid=156619080"",W$3)"),456.8)</f>
        <v>456.8</v>
      </c>
      <c r="X172" s="2">
        <f>IFERROR(__xludf.DUMMYFUNCTION("IMPORTRANGE(""https://docs.google.com/spreadsheets/d/""&amp;$A172&amp;""/edit#gid=156619080"",X$3)"),463.7)</f>
        <v>463.7</v>
      </c>
      <c r="Y172" s="17">
        <f>IFERROR(__xludf.DUMMYFUNCTION("IMPORTRANGE(""https://docs.google.com/spreadsheets/d/""&amp;$A172&amp;""/edit#gid=156619080"",Y$3)"),-0.006577761758875509)</f>
        <v>-0.006577761759</v>
      </c>
      <c r="Z172" s="2">
        <f>IFERROR(__xludf.DUMMYFUNCTION("IMPORTRANGE(""https://docs.google.com/spreadsheets/d/""&amp;$A172&amp;""/edit#gid=156619080"",Z$3)"),474.21)</f>
        <v>474.21</v>
      </c>
      <c r="AA172" s="2">
        <f>IFERROR(__xludf.DUMMYFUNCTION("IMPORTRANGE(""https://docs.google.com/spreadsheets/d/""&amp;$A172&amp;""/edit#gid=156619080"",AA$3)"),472.03)</f>
        <v>472.03</v>
      </c>
      <c r="AB172" s="2">
        <f>IFERROR(__xludf.DUMMYFUNCTION("IMPORTRANGE(""https://docs.google.com/spreadsheets/d/""&amp;$A172&amp;""/edit#gid=156619080"",AB$3)"),469.86)</f>
        <v>469.86</v>
      </c>
      <c r="AC172" s="18">
        <f>IFERROR(__xludf.DUMMYFUNCTION("IMPORTRANGE(""https://docs.google.com/spreadsheets/d/""&amp;$A172&amp;""/edit#gid=156619080"",AC$3)"),467.68)</f>
        <v>467.68</v>
      </c>
      <c r="AD172" s="18">
        <f>IFERROR(__xludf.DUMMYFUNCTION("IMPORTRANGE(""https://docs.google.com/spreadsheets/d/""&amp;$A172&amp;""/edit#gid=156619080"",AD$3)"),465.5)</f>
        <v>465.5</v>
      </c>
      <c r="AE172" s="18">
        <f>IFERROR(__xludf.DUMMYFUNCTION("IMPORTRANGE(""https://docs.google.com/spreadsheets/d/""&amp;$A172&amp;""/edit#gid=156619080"",AE$3)"),456.8)</f>
        <v>456.8</v>
      </c>
      <c r="AF172" s="2">
        <f>IFERROR(__xludf.DUMMYFUNCTION("IMPORTRANGE(""https://docs.google.com/spreadsheets/d/""&amp;$A172&amp;""/edit#gid=156619080"",AF$3)"),448.1)</f>
        <v>448.1</v>
      </c>
      <c r="AG172" s="2">
        <f>IFERROR(__xludf.DUMMYFUNCTION("IMPORTRANGE(""https://docs.google.com/spreadsheets/d/""&amp;$A172&amp;""/edit#gid=156619080"",AG$3)"),445.92)</f>
        <v>445.92</v>
      </c>
      <c r="AH172" s="2">
        <f>IFERROR(__xludf.DUMMYFUNCTION("IMPORTRANGE(""https://docs.google.com/spreadsheets/d/""&amp;$A172&amp;""/edit#gid=156619080"",AH$3)"),443.74)</f>
        <v>443.74</v>
      </c>
      <c r="AI172" s="2">
        <f>IFERROR(__xludf.DUMMYFUNCTION("IMPORTRANGE(""https://docs.google.com/spreadsheets/d/""&amp;$A172&amp;""/edit#gid=156619080"",AI$3)"),441.57)</f>
        <v>441.57</v>
      </c>
      <c r="AJ172" s="2">
        <f>IFERROR(__xludf.DUMMYFUNCTION("IMPORTRANGE(""https://docs.google.com/spreadsheets/d/""&amp;$A172&amp;""/edit#gid=156619080"",AJ$3)"),439.39)</f>
        <v>439.39</v>
      </c>
      <c r="AK172" s="2" t="str">
        <f>IFERROR(__xludf.DUMMYFUNCTION("IMPORTRANGE(""https://docs.google.com/spreadsheets/d/""&amp;$A172&amp;""/edit#gid=156619080"",AK$3)"),"-1.75σ〜-2σ")</f>
        <v>-1.75σ〜-2σ</v>
      </c>
      <c r="AL172" s="2">
        <f>IFERROR(__xludf.DUMMYFUNCTION("IMPORTRANGE(""https://docs.google.com/spreadsheets/d/""&amp;$A172&amp;""/edit#gid=156619080"",AL$3)"),-1.0)</f>
        <v>-1</v>
      </c>
      <c r="AM172" s="2" t="str">
        <f>IFERROR(__xludf.DUMMYFUNCTION("IMPORTRANGE(""https://docs.google.com/spreadsheets/d/""&amp;$A172&amp;""/edit#gid=156619080"",AM$3)"),"")</f>
        <v/>
      </c>
      <c r="AN172" s="2">
        <f>IFERROR(__xludf.DUMMYFUNCTION("IMPORTRANGE(""https://docs.google.com/spreadsheets/d/""&amp;$A172&amp;""/edit#gid=156619080"",AN$3)"),-1.0)</f>
        <v>-1</v>
      </c>
      <c r="AO172" s="2" t="str">
        <f>IFERROR(__xludf.DUMMYFUNCTION("IMPORTRANGE(""https://docs.google.com/spreadsheets/d/""&amp;$A172&amp;""/edit#gid=156619080"",AO$3)"),"")</f>
        <v/>
      </c>
      <c r="AP172" s="2">
        <f>IFERROR(__xludf.DUMMYFUNCTION("IMPORTRANGE(""https://docs.google.com/spreadsheets/d/""&amp;$A172&amp;""/edit#gid=156619080"",AP$3)"),-1.0)</f>
        <v>-1</v>
      </c>
      <c r="AQ172" s="2" t="str">
        <f>IFERROR(__xludf.DUMMYFUNCTION("IMPORTRANGE(""https://docs.google.com/spreadsheets/d/""&amp;$A172&amp;""/edit#gid=156619080"",AQ$3)"),"")</f>
        <v/>
      </c>
      <c r="AR172" s="18">
        <f>IFERROR(__xludf.DUMMYFUNCTION("IMPORTRANGE(""https://docs.google.com/spreadsheets/d/""&amp;$A172&amp;""/edit#gid=156619080"",AR$3)"),-70.0)</f>
        <v>-70</v>
      </c>
      <c r="AS172" s="19" t="str">
        <f>IFERROR(__xludf.DUMMYFUNCTION("IMPORTRANGE(""https://docs.google.com/spreadsheets/d/""&amp;$A172&amp;""/edit#gid=156619080"",AS$3)"),"-100
-100
-100
-100
")</f>
        <v>-100
-100
-100
-100
</v>
      </c>
      <c r="AT172" s="18">
        <f>IFERROR(__xludf.DUMMYFUNCTION("IMPORTRANGE(""https://docs.google.com/spreadsheets/d/""&amp;$A172&amp;""/edit#gid=156619080"",AT$3)"),-73.76373626373626)</f>
        <v>-73.76373626</v>
      </c>
      <c r="AU172" s="3" t="str">
        <f>IFERROR(__xludf.DUMMYFUNCTION("IMPORTRANGE(""https://docs.google.com/spreadsheets/d/""&amp;$A172&amp;""/edit#gid=156619080"",AU$3)"),"25
0.27
-28.85
-53.02
")</f>
        <v>25
0.27
-28.85
-53.02
</v>
      </c>
      <c r="AV172" s="18">
        <f>IFERROR(__xludf.DUMMYFUNCTION("IMPORTRANGE(""https://docs.google.com/spreadsheets/d/""&amp;$A172&amp;""/edit#gid=156619080"",AV$3)"),-44.35064935064934)</f>
        <v>-44.35064935</v>
      </c>
      <c r="AW172" s="19" t="str">
        <f>IFERROR(__xludf.DUMMYFUNCTION("IMPORTRANGE(""https://docs.google.com/spreadsheets/d/""&amp;$A172&amp;""/edit#gid=156619080"",AW$3)"),"-19.77
-29.25
-37.18
-39.81
")</f>
        <v>-19.77
-29.25
-37.18
-39.81
</v>
      </c>
      <c r="AX172" s="2">
        <f>IFERROR(__xludf.DUMMYFUNCTION("IMPORTRANGE(""https://docs.google.com/spreadsheets/d/""&amp;$A172&amp;""/edit#gid=156619080"",AX$3)"),8.85)</f>
        <v>8.85</v>
      </c>
      <c r="AY172" s="2">
        <f>IFERROR(__xludf.DUMMYFUNCTION("IMPORTRANGE(""https://docs.google.com/spreadsheets/d/""&amp;$A172&amp;""/edit#gid=156619080"",AY$3)"),31.240000000000002)</f>
        <v>31.24</v>
      </c>
      <c r="AZ172" s="2">
        <f>IFERROR(__xludf.DUMMYFUNCTION("IMPORTRANGE(""https://docs.google.com/spreadsheets/d/""&amp;$A172&amp;""/edit#gid=156619080"",AZ$3)"),444.58)</f>
        <v>444.58</v>
      </c>
      <c r="BA172" s="2">
        <f>IFERROR(__xludf.DUMMYFUNCTION("IMPORTRANGE(""https://docs.google.com/spreadsheets/d/""&amp;$A172&amp;""/edit#gid=156619080"",BA$3)"),-11.330000000000041)</f>
        <v>-11.33</v>
      </c>
      <c r="BB172" s="2">
        <f>IFERROR(__xludf.DUMMYFUNCTION("IMPORTRANGE(""https://docs.google.com/spreadsheets/d/""&amp;$A172&amp;""/edit#gid=156619080"",BB$3)"),-5.96)</f>
        <v>-5.96</v>
      </c>
      <c r="BC172" s="2" t="str">
        <f>IFERROR(__xludf.DUMMYFUNCTION("IMPORTRANGE(""https://docs.google.com/spreadsheets/d/""&amp;$A172&amp;""/edit#gid=156619080"",BC$3)"),"DC→DC")</f>
        <v>DC→DC</v>
      </c>
    </row>
    <row r="173" ht="51.0" customHeight="1">
      <c r="A173" s="7" t="str">
        <f t="shared" si="5"/>
        <v>1cu7y7yNT6eb3G6p_rEO5M9O-Z6T5wXa0IAmAvQ6FBXI</v>
      </c>
      <c r="B173" s="1" t="s">
        <v>200</v>
      </c>
      <c r="C173" s="2">
        <f>IFERROR(__xludf.DUMMYFUNCTION("IMPORTRANGE(""https://docs.google.com/spreadsheets/d/""&amp;$A173&amp;""/edit#gid=156619080"",C$3)"),132.0)</f>
        <v>132</v>
      </c>
      <c r="D173" s="2">
        <f>IFERROR(__xludf.DUMMYFUNCTION("IMPORTRANGE(""https://docs.google.com/spreadsheets/d/""&amp;$A173&amp;""/edit#gid=156619080"",D$3)"),8309.0)</f>
        <v>8309</v>
      </c>
      <c r="E173" s="15">
        <f>IFERROR(__xludf.DUMMYFUNCTION("IMPORTRANGE(""https://docs.google.com/spreadsheets/d/""&amp;$A173&amp;""/edit#gid=156619080"",E$3)"),43882.0)</f>
        <v>43882</v>
      </c>
      <c r="F173" s="2">
        <f>IFERROR(__xludf.DUMMYFUNCTION("IMPORTRANGE(""https://docs.google.com/spreadsheets/d/""&amp;$A173&amp;""/edit#gid=156619080"",F$3)"),52.0)</f>
        <v>52</v>
      </c>
      <c r="G173" s="16">
        <f>IFERROR(__xludf.DUMMYFUNCTION("IMPORTRANGE(""https://docs.google.com/spreadsheets/d/""&amp;$A173&amp;""/edit#gid=156619080"",G$3)"),1.3)</f>
        <v>1.3</v>
      </c>
      <c r="H173" s="16">
        <f>IFERROR(__xludf.DUMMYFUNCTION("IMPORTRANGE(""https://docs.google.com/spreadsheets/d/""&amp;$A173&amp;""/edit#gid=156619080"",H$3)"),4021.0)</f>
        <v>4021</v>
      </c>
      <c r="I173" s="16">
        <f>IFERROR(__xludf.DUMMYFUNCTION("IMPORTRANGE(""https://docs.google.com/spreadsheets/d/""&amp;$A173&amp;""/edit#gid=156619080"",I$3)"),-20.0)</f>
        <v>-20</v>
      </c>
      <c r="J173" s="16">
        <f>IFERROR(__xludf.DUMMYFUNCTION("IMPORTRANGE(""https://docs.google.com/spreadsheets/d/""&amp;$A173&amp;""/edit#gid=156619080"",J$3)"),4078.0)</f>
        <v>4078</v>
      </c>
      <c r="K173" s="16">
        <f>IFERROR(__xludf.DUMMYFUNCTION("IMPORTRANGE(""https://docs.google.com/spreadsheets/d/""&amp;$A173&amp;""/edit#gid=156619080"",K$3)"),0.44513888888888886)</f>
        <v>0.4451388889</v>
      </c>
      <c r="L173" s="16">
        <f>IFERROR(__xludf.DUMMYFUNCTION("IMPORTRANGE(""https://docs.google.com/spreadsheets/d/""&amp;$A173&amp;""/edit#gid=156619080"",L$3)"),4014.0)</f>
        <v>4014</v>
      </c>
      <c r="M173" s="16">
        <f>IFERROR(__xludf.DUMMYFUNCTION("IMPORTRANGE(""https://docs.google.com/spreadsheets/d/""&amp;$A173&amp;""/edit#gid=156619080"",M$3)"),0.375)</f>
        <v>0.375</v>
      </c>
      <c r="N173" s="16">
        <f>IFERROR(__xludf.DUMMYFUNCTION("IMPORTRANGE(""https://docs.google.com/spreadsheets/d/""&amp;$A173&amp;""/edit#gid=156619080"",N$3)"),4053.0)</f>
        <v>4053</v>
      </c>
      <c r="O173" s="16" t="str">
        <f>IFERROR(__xludf.DUMMYFUNCTION("IMPORTRANGE(""https://docs.google.com/spreadsheets/d/""&amp;$A173&amp;""/edit#gid=156619080"",O$3)"),"1313500株")</f>
        <v>1313500株</v>
      </c>
      <c r="P173" s="16" t="str">
        <f>IFERROR(__xludf.DUMMYFUNCTION("IMPORTRANGE(""https://docs.google.com/spreadsheets/d/""&amp;$A173&amp;""/edit#gid=156619080"",P$3)"),"5329百万円")</f>
        <v>5329百万円</v>
      </c>
      <c r="Q173" s="16" t="str">
        <f>IFERROR(__xludf.DUMMYFUNCTION("IMPORTRANGE(""https://docs.google.com/spreadsheets/d/""&amp;$A173&amp;""/edit#gid=156619080"",Q$3)"),"3353回")</f>
        <v>3353回</v>
      </c>
      <c r="R173" s="16" t="str">
        <f>IFERROR(__xludf.DUMMYFUNCTION("IMPORTRANGE(""https://docs.google.com/spreadsheets/d/""&amp;$A173&amp;""/edit#gid=156619080"",R$3)"),"15211億円")</f>
        <v>15211億円</v>
      </c>
      <c r="S173" s="16" t="str">
        <f>IFERROR(__xludf.DUMMYFUNCTION("IMPORTRANGE(""https://docs.google.com/spreadsheets/d/""&amp;$A173&amp;""/edit#gid=156619080"",S$3)"),"陽線")</f>
        <v>陽線</v>
      </c>
      <c r="T173" s="16" t="str">
        <f>IFERROR(__xludf.DUMMYFUNCTION("IMPORTRANGE(""https://docs.google.com/spreadsheets/d/""&amp;$A173&amp;""/edit#gid=156619080"",T$3)"),"")</f>
        <v/>
      </c>
      <c r="U173" s="16">
        <f>IFERROR(__xludf.DUMMYFUNCTION("IMPORTRANGE(""https://docs.google.com/spreadsheets/d/""&amp;$A173&amp;""/edit#gid=156619080"",U$3)"),3998.0)</f>
        <v>3998</v>
      </c>
      <c r="V173" s="16">
        <f>IFERROR(__xludf.DUMMYFUNCTION("IMPORTRANGE(""https://docs.google.com/spreadsheets/d/""&amp;$A173&amp;""/edit#gid=156619080"",V$3)"),4047.1)</f>
        <v>4047.1</v>
      </c>
      <c r="W173" s="16">
        <f>IFERROR(__xludf.DUMMYFUNCTION("IMPORTRANGE(""https://docs.google.com/spreadsheets/d/""&amp;$A173&amp;""/edit#gid=156619080"",W$3)"),4059.6)</f>
        <v>4059.6</v>
      </c>
      <c r="X173" s="2">
        <f>IFERROR(__xludf.DUMMYFUNCTION("IMPORTRANGE(""https://docs.google.com/spreadsheets/d/""&amp;$A173&amp;""/edit#gid=156619080"",X$3)"),4051.7)</f>
        <v>4051.7</v>
      </c>
      <c r="Y173" s="17">
        <f>IFERROR(__xludf.DUMMYFUNCTION("IMPORTRANGE(""https://docs.google.com/spreadsheets/d/""&amp;$A173&amp;""/edit#gid=156619080"",Y$3)"),0.01375687843921961)</f>
        <v>0.01375687844</v>
      </c>
      <c r="Z173" s="2">
        <f>IFERROR(__xludf.DUMMYFUNCTION("IMPORTRANGE(""https://docs.google.com/spreadsheets/d/""&amp;$A173&amp;""/edit#gid=156619080"",Z$3)"),4161.59)</f>
        <v>4161.59</v>
      </c>
      <c r="AA173" s="2">
        <f>IFERROR(__xludf.DUMMYFUNCTION("IMPORTRANGE(""https://docs.google.com/spreadsheets/d/""&amp;$A173&amp;""/edit#gid=156619080"",AA$3)"),4148.85)</f>
        <v>4148.85</v>
      </c>
      <c r="AB173" s="2">
        <f>IFERROR(__xludf.DUMMYFUNCTION("IMPORTRANGE(""https://docs.google.com/spreadsheets/d/""&amp;$A173&amp;""/edit#gid=156619080"",AB$3)"),4136.1)</f>
        <v>4136.1</v>
      </c>
      <c r="AC173" s="18">
        <f>IFERROR(__xludf.DUMMYFUNCTION("IMPORTRANGE(""https://docs.google.com/spreadsheets/d/""&amp;$A173&amp;""/edit#gid=156619080"",AC$3)"),4123.35)</f>
        <v>4123.35</v>
      </c>
      <c r="AD173" s="18">
        <f>IFERROR(__xludf.DUMMYFUNCTION("IMPORTRANGE(""https://docs.google.com/spreadsheets/d/""&amp;$A173&amp;""/edit#gid=156619080"",AD$3)"),4110.6)</f>
        <v>4110.6</v>
      </c>
      <c r="AE173" s="18">
        <f>IFERROR(__xludf.DUMMYFUNCTION("IMPORTRANGE(""https://docs.google.com/spreadsheets/d/""&amp;$A173&amp;""/edit#gid=156619080"",AE$3)"),4059.6)</f>
        <v>4059.6</v>
      </c>
      <c r="AF173" s="2">
        <f>IFERROR(__xludf.DUMMYFUNCTION("IMPORTRANGE(""https://docs.google.com/spreadsheets/d/""&amp;$A173&amp;""/edit#gid=156619080"",AF$3)"),4008.6)</f>
        <v>4008.6</v>
      </c>
      <c r="AG173" s="2">
        <f>IFERROR(__xludf.DUMMYFUNCTION("IMPORTRANGE(""https://docs.google.com/spreadsheets/d/""&amp;$A173&amp;""/edit#gid=156619080"",AG$3)"),3995.85)</f>
        <v>3995.85</v>
      </c>
      <c r="AH173" s="2">
        <f>IFERROR(__xludf.DUMMYFUNCTION("IMPORTRANGE(""https://docs.google.com/spreadsheets/d/""&amp;$A173&amp;""/edit#gid=156619080"",AH$3)"),3983.1)</f>
        <v>3983.1</v>
      </c>
      <c r="AI173" s="2">
        <f>IFERROR(__xludf.DUMMYFUNCTION("IMPORTRANGE(""https://docs.google.com/spreadsheets/d/""&amp;$A173&amp;""/edit#gid=156619080"",AI$3)"),3970.35)</f>
        <v>3970.35</v>
      </c>
      <c r="AJ173" s="2">
        <f>IFERROR(__xludf.DUMMYFUNCTION("IMPORTRANGE(""https://docs.google.com/spreadsheets/d/""&amp;$A173&amp;""/edit#gid=156619080"",AJ$3)"),3957.61)</f>
        <v>3957.61</v>
      </c>
      <c r="AK173" s="2" t="str">
        <f>IFERROR(__xludf.DUMMYFUNCTION("IMPORTRANGE(""https://docs.google.com/spreadsheets/d/""&amp;$A173&amp;""/edit#gid=156619080"",AK$3)"),"")</f>
        <v/>
      </c>
      <c r="AL173" s="2">
        <f>IFERROR(__xludf.DUMMYFUNCTION("IMPORTRANGE(""https://docs.google.com/spreadsheets/d/""&amp;$A173&amp;""/edit#gid=156619080"",AL$3)"),-1.0)</f>
        <v>-1</v>
      </c>
      <c r="AM173" s="2" t="str">
        <f>IFERROR(__xludf.DUMMYFUNCTION("IMPORTRANGE(""https://docs.google.com/spreadsheets/d/""&amp;$A173&amp;""/edit#gid=156619080"",AM$3)"),"")</f>
        <v/>
      </c>
      <c r="AN173" s="2">
        <f>IFERROR(__xludf.DUMMYFUNCTION("IMPORTRANGE(""https://docs.google.com/spreadsheets/d/""&amp;$A173&amp;""/edit#gid=156619080"",AN$3)"),-1.0)</f>
        <v>-1</v>
      </c>
      <c r="AO173" s="2" t="str">
        <f>IFERROR(__xludf.DUMMYFUNCTION("IMPORTRANGE(""https://docs.google.com/spreadsheets/d/""&amp;$A173&amp;""/edit#gid=156619080"",AO$3)"),"")</f>
        <v/>
      </c>
      <c r="AP173" s="2">
        <f>IFERROR(__xludf.DUMMYFUNCTION("IMPORTRANGE(""https://docs.google.com/spreadsheets/d/""&amp;$A173&amp;""/edit#gid=156619080"",AP$3)"),-1.0)</f>
        <v>-1</v>
      </c>
      <c r="AQ173" s="2" t="str">
        <f>IFERROR(__xludf.DUMMYFUNCTION("IMPORTRANGE(""https://docs.google.com/spreadsheets/d/""&amp;$A173&amp;""/edit#gid=156619080"",AQ$3)"),"")</f>
        <v/>
      </c>
      <c r="AR173" s="18">
        <f>IFERROR(__xludf.DUMMYFUNCTION("IMPORTRANGE(""https://docs.google.com/spreadsheets/d/""&amp;$A173&amp;""/edit#gid=156619080"",AR$3)"),60.0)</f>
        <v>60</v>
      </c>
      <c r="AS173" s="19" t="str">
        <f>IFERROR(__xludf.DUMMYFUNCTION("IMPORTRANGE(""https://docs.google.com/spreadsheets/d/""&amp;$A173&amp;""/edit#gid=156619080"",AS$3)"),"-100
-100
-100
-40
")</f>
        <v>-100
-100
-100
-40
</v>
      </c>
      <c r="AT173" s="18">
        <f>IFERROR(__xludf.DUMMYFUNCTION("IMPORTRANGE(""https://docs.google.com/spreadsheets/d/""&amp;$A173&amp;""/edit#gid=156619080"",AT$3)"),-64.28571428571428)</f>
        <v>-64.28571429</v>
      </c>
      <c r="AU173" s="3" t="str">
        <f>IFERROR(__xludf.DUMMYFUNCTION("IMPORTRANGE(""https://docs.google.com/spreadsheets/d/""&amp;$A173&amp;""/edit#gid=156619080"",AU$3)"),"-23.63
-35.16
-53.85
-62.64
")</f>
        <v>-23.63
-35.16
-53.85
-62.64
</v>
      </c>
      <c r="AV173" s="18">
        <f>IFERROR(__xludf.DUMMYFUNCTION("IMPORTRANGE(""https://docs.google.com/spreadsheets/d/""&amp;$A173&amp;""/edit#gid=156619080"",AV$3)"),-61.3961038961039)</f>
        <v>-61.3961039</v>
      </c>
      <c r="AW173" s="19" t="str">
        <f>IFERROR(__xludf.DUMMYFUNCTION("IMPORTRANGE(""https://docs.google.com/spreadsheets/d/""&amp;$A173&amp;""/edit#gid=156619080"",AW$3)"),"-69.32
-70.1
-70.1
-69.32
")</f>
        <v>-69.32
-70.1
-70.1
-69.32
</v>
      </c>
      <c r="AX173" s="2">
        <f>IFERROR(__xludf.DUMMYFUNCTION("IMPORTRANGE(""https://docs.google.com/spreadsheets/d/""&amp;$A173&amp;""/edit#gid=156619080"",AX$3)"),61.029999999999994)</f>
        <v>61.03</v>
      </c>
      <c r="AY173" s="2">
        <f>IFERROR(__xludf.DUMMYFUNCTION("IMPORTRANGE(""https://docs.google.com/spreadsheets/d/""&amp;$A173&amp;""/edit#gid=156619080"",AY$3)"),42.370000000000005)</f>
        <v>42.37</v>
      </c>
      <c r="AZ173" s="2">
        <f>IFERROR(__xludf.DUMMYFUNCTION("IMPORTRANGE(""https://docs.google.com/spreadsheets/d/""&amp;$A173&amp;""/edit#gid=156619080"",AZ$3)"),4017.95)</f>
        <v>4017.95</v>
      </c>
      <c r="BA173" s="2">
        <f>IFERROR(__xludf.DUMMYFUNCTION("IMPORTRANGE(""https://docs.google.com/spreadsheets/d/""&amp;$A173&amp;""/edit#gid=156619080"",BA$3)"),-49.75)</f>
        <v>-49.75</v>
      </c>
      <c r="BB173" s="2">
        <f>IFERROR(__xludf.DUMMYFUNCTION("IMPORTRANGE(""https://docs.google.com/spreadsheets/d/""&amp;$A173&amp;""/edit#gid=156619080"",BB$3)"),-57.76)</f>
        <v>-57.76</v>
      </c>
      <c r="BC173" s="2" t="str">
        <f>IFERROR(__xludf.DUMMYFUNCTION("IMPORTRANGE(""https://docs.google.com/spreadsheets/d/""&amp;$A173&amp;""/edit#gid=156619080"",BC$3)"),"DC→GC")</f>
        <v>DC→GC</v>
      </c>
    </row>
    <row r="174" ht="51.0" customHeight="1">
      <c r="A174" s="7" t="str">
        <f t="shared" si="5"/>
        <v>1-1tSOHttQZkf-7rh5ghjtZ_1Rhnq5-PCHc9ha94tddQ</v>
      </c>
      <c r="B174" s="1" t="s">
        <v>201</v>
      </c>
      <c r="C174" s="2">
        <f>IFERROR(__xludf.DUMMYFUNCTION("IMPORTRANGE(""https://docs.google.com/spreadsheets/d/""&amp;$A174&amp;""/edit#gid=156619080"",C$3)"),132.0)</f>
        <v>132</v>
      </c>
      <c r="D174" s="2">
        <f>IFERROR(__xludf.DUMMYFUNCTION("IMPORTRANGE(""https://docs.google.com/spreadsheets/d/""&amp;$A174&amp;""/edit#gid=156619080"",D$3)"),8316.0)</f>
        <v>8316</v>
      </c>
      <c r="E174" s="15">
        <f>IFERROR(__xludf.DUMMYFUNCTION("IMPORTRANGE(""https://docs.google.com/spreadsheets/d/""&amp;$A174&amp;""/edit#gid=156619080"",E$3)"),43882.0)</f>
        <v>43882</v>
      </c>
      <c r="F174" s="2">
        <f>IFERROR(__xludf.DUMMYFUNCTION("IMPORTRANGE(""https://docs.google.com/spreadsheets/d/""&amp;$A174&amp;""/edit#gid=156619080"",F$3)"),3.0)</f>
        <v>3</v>
      </c>
      <c r="G174" s="16">
        <f>IFERROR(__xludf.DUMMYFUNCTION("IMPORTRANGE(""https://docs.google.com/spreadsheets/d/""&amp;$A174&amp;""/edit#gid=156619080"",G$3)"),0.08)</f>
        <v>0.08</v>
      </c>
      <c r="H174" s="16">
        <f>IFERROR(__xludf.DUMMYFUNCTION("IMPORTRANGE(""https://docs.google.com/spreadsheets/d/""&amp;$A174&amp;""/edit#gid=156619080"",H$3)"),3763.0)</f>
        <v>3763</v>
      </c>
      <c r="I174" s="16">
        <f>IFERROR(__xludf.DUMMYFUNCTION("IMPORTRANGE(""https://docs.google.com/spreadsheets/d/""&amp;$A174&amp;""/edit#gid=156619080"",I$3)"),-12.0)</f>
        <v>-12</v>
      </c>
      <c r="J174" s="16">
        <f>IFERROR(__xludf.DUMMYFUNCTION("IMPORTRANGE(""https://docs.google.com/spreadsheets/d/""&amp;$A174&amp;""/edit#gid=156619080"",J$3)"),3783.0)</f>
        <v>3783</v>
      </c>
      <c r="K174" s="16">
        <f>IFERROR(__xludf.DUMMYFUNCTION("IMPORTRANGE(""https://docs.google.com/spreadsheets/d/""&amp;$A174&amp;""/edit#gid=156619080"",K$3)"),0.3909722222222222)</f>
        <v>0.3909722222</v>
      </c>
      <c r="L174" s="16">
        <f>IFERROR(__xludf.DUMMYFUNCTION("IMPORTRANGE(""https://docs.google.com/spreadsheets/d/""&amp;$A174&amp;""/edit#gid=156619080"",L$3)"),3752.0)</f>
        <v>3752</v>
      </c>
      <c r="M174" s="16">
        <f>IFERROR(__xludf.DUMMYFUNCTION("IMPORTRANGE(""https://docs.google.com/spreadsheets/d/""&amp;$A174&amp;""/edit#gid=156619080"",M$3)"),0.6243055555555556)</f>
        <v>0.6243055556</v>
      </c>
      <c r="N174" s="16">
        <f>IFERROR(__xludf.DUMMYFUNCTION("IMPORTRANGE(""https://docs.google.com/spreadsheets/d/""&amp;$A174&amp;""/edit#gid=156619080"",N$3)"),3754.0)</f>
        <v>3754</v>
      </c>
      <c r="O174" s="16" t="str">
        <f>IFERROR(__xludf.DUMMYFUNCTION("IMPORTRANGE(""https://docs.google.com/spreadsheets/d/""&amp;$A174&amp;""/edit#gid=156619080"",O$3)"),"5164300株")</f>
        <v>5164300株</v>
      </c>
      <c r="P174" s="16" t="str">
        <f>IFERROR(__xludf.DUMMYFUNCTION("IMPORTRANGE(""https://docs.google.com/spreadsheets/d/""&amp;$A174&amp;""/edit#gid=156619080"",P$3)"),"19443百万円")</f>
        <v>19443百万円</v>
      </c>
      <c r="Q174" s="16" t="str">
        <f>IFERROR(__xludf.DUMMYFUNCTION("IMPORTRANGE(""https://docs.google.com/spreadsheets/d/""&amp;$A174&amp;""/edit#gid=156619080"",Q$3)"),"7199回")</f>
        <v>7199回</v>
      </c>
      <c r="R174" s="16" t="str">
        <f>IFERROR(__xludf.DUMMYFUNCTION("IMPORTRANGE(""https://docs.google.com/spreadsheets/d/""&amp;$A174&amp;""/edit#gid=156619080"",R$3)"),"51549億円")</f>
        <v>51549億円</v>
      </c>
      <c r="S174" s="16" t="str">
        <f>IFERROR(__xludf.DUMMYFUNCTION("IMPORTRANGE(""https://docs.google.com/spreadsheets/d/""&amp;$A174&amp;""/edit#gid=156619080"",S$3)"),"陰線")</f>
        <v>陰線</v>
      </c>
      <c r="T174" s="16" t="str">
        <f>IFERROR(__xludf.DUMMYFUNCTION("IMPORTRANGE(""https://docs.google.com/spreadsheets/d/""&amp;$A174&amp;""/edit#gid=156619080"",T$3)"),"")</f>
        <v/>
      </c>
      <c r="U174" s="16">
        <f>IFERROR(__xludf.DUMMYFUNCTION("IMPORTRANGE(""https://docs.google.com/spreadsheets/d/""&amp;$A174&amp;""/edit#gid=156619080"",U$3)"),3779.4)</f>
        <v>3779.4</v>
      </c>
      <c r="V174" s="16">
        <f>IFERROR(__xludf.DUMMYFUNCTION("IMPORTRANGE(""https://docs.google.com/spreadsheets/d/""&amp;$A174&amp;""/edit#gid=156619080"",V$3)"),3866.0)</f>
        <v>3866</v>
      </c>
      <c r="W174" s="16">
        <f>IFERROR(__xludf.DUMMYFUNCTION("IMPORTRANGE(""https://docs.google.com/spreadsheets/d/""&amp;$A174&amp;""/edit#gid=156619080"",W$3)"),3871.7)</f>
        <v>3871.7</v>
      </c>
      <c r="X174" s="2">
        <f>IFERROR(__xludf.DUMMYFUNCTION("IMPORTRANGE(""https://docs.google.com/spreadsheets/d/""&amp;$A174&amp;""/edit#gid=156619080"",X$3)"),3867.0)</f>
        <v>3867</v>
      </c>
      <c r="Y174" s="17">
        <f>IFERROR(__xludf.DUMMYFUNCTION("IMPORTRANGE(""https://docs.google.com/spreadsheets/d/""&amp;$A174&amp;""/edit#gid=156619080"",Y$3)"),-0.006720643488384423)</f>
        <v>-0.006720643488</v>
      </c>
      <c r="Z174" s="2">
        <f>IFERROR(__xludf.DUMMYFUNCTION("IMPORTRANGE(""https://docs.google.com/spreadsheets/d/""&amp;$A174&amp;""/edit#gid=156619080"",Z$3)"),3995.65)</f>
        <v>3995.65</v>
      </c>
      <c r="AA174" s="2">
        <f>IFERROR(__xludf.DUMMYFUNCTION("IMPORTRANGE(""https://docs.google.com/spreadsheets/d/""&amp;$A174&amp;""/edit#gid=156619080"",AA$3)"),3980.16)</f>
        <v>3980.16</v>
      </c>
      <c r="AB174" s="2">
        <f>IFERROR(__xludf.DUMMYFUNCTION("IMPORTRANGE(""https://docs.google.com/spreadsheets/d/""&amp;$A174&amp;""/edit#gid=156619080"",AB$3)"),3964.66)</f>
        <v>3964.66</v>
      </c>
      <c r="AC174" s="18">
        <f>IFERROR(__xludf.DUMMYFUNCTION("IMPORTRANGE(""https://docs.google.com/spreadsheets/d/""&amp;$A174&amp;""/edit#gid=156619080"",AC$3)"),3949.17)</f>
        <v>3949.17</v>
      </c>
      <c r="AD174" s="18">
        <f>IFERROR(__xludf.DUMMYFUNCTION("IMPORTRANGE(""https://docs.google.com/spreadsheets/d/""&amp;$A174&amp;""/edit#gid=156619080"",AD$3)"),3933.68)</f>
        <v>3933.68</v>
      </c>
      <c r="AE174" s="18">
        <f>IFERROR(__xludf.DUMMYFUNCTION("IMPORTRANGE(""https://docs.google.com/spreadsheets/d/""&amp;$A174&amp;""/edit#gid=156619080"",AE$3)"),3871.7)</f>
        <v>3871.7</v>
      </c>
      <c r="AF174" s="2">
        <f>IFERROR(__xludf.DUMMYFUNCTION("IMPORTRANGE(""https://docs.google.com/spreadsheets/d/""&amp;$A174&amp;""/edit#gid=156619080"",AF$3)"),3809.72)</f>
        <v>3809.72</v>
      </c>
      <c r="AG174" s="2">
        <f>IFERROR(__xludf.DUMMYFUNCTION("IMPORTRANGE(""https://docs.google.com/spreadsheets/d/""&amp;$A174&amp;""/edit#gid=156619080"",AG$3)"),3794.23)</f>
        <v>3794.23</v>
      </c>
      <c r="AH174" s="2">
        <f>IFERROR(__xludf.DUMMYFUNCTION("IMPORTRANGE(""https://docs.google.com/spreadsheets/d/""&amp;$A174&amp;""/edit#gid=156619080"",AH$3)"),3778.74)</f>
        <v>3778.74</v>
      </c>
      <c r="AI174" s="2">
        <f>IFERROR(__xludf.DUMMYFUNCTION("IMPORTRANGE(""https://docs.google.com/spreadsheets/d/""&amp;$A174&amp;""/edit#gid=156619080"",AI$3)"),3763.24)</f>
        <v>3763.24</v>
      </c>
      <c r="AJ174" s="2">
        <f>IFERROR(__xludf.DUMMYFUNCTION("IMPORTRANGE(""https://docs.google.com/spreadsheets/d/""&amp;$A174&amp;""/edit#gid=156619080"",AJ$3)"),3747.75)</f>
        <v>3747.75</v>
      </c>
      <c r="AK174" s="2" t="str">
        <f>IFERROR(__xludf.DUMMYFUNCTION("IMPORTRANGE(""https://docs.google.com/spreadsheets/d/""&amp;$A174&amp;""/edit#gid=156619080"",AK$3)"),"-1.75σ〜-2σ")</f>
        <v>-1.75σ〜-2σ</v>
      </c>
      <c r="AL174" s="2">
        <f>IFERROR(__xludf.DUMMYFUNCTION("IMPORTRANGE(""https://docs.google.com/spreadsheets/d/""&amp;$A174&amp;""/edit#gid=156619080"",AL$3)"),-1.0)</f>
        <v>-1</v>
      </c>
      <c r="AM174" s="2" t="str">
        <f>IFERROR(__xludf.DUMMYFUNCTION("IMPORTRANGE(""https://docs.google.com/spreadsheets/d/""&amp;$A174&amp;""/edit#gid=156619080"",AM$3)"),"")</f>
        <v/>
      </c>
      <c r="AN174" s="2">
        <f>IFERROR(__xludf.DUMMYFUNCTION("IMPORTRANGE(""https://docs.google.com/spreadsheets/d/""&amp;$A174&amp;""/edit#gid=156619080"",AN$3)"),-1.0)</f>
        <v>-1</v>
      </c>
      <c r="AO174" s="2" t="str">
        <f>IFERROR(__xludf.DUMMYFUNCTION("IMPORTRANGE(""https://docs.google.com/spreadsheets/d/""&amp;$A174&amp;""/edit#gid=156619080"",AO$3)"),"")</f>
        <v/>
      </c>
      <c r="AP174" s="2">
        <f>IFERROR(__xludf.DUMMYFUNCTION("IMPORTRANGE(""https://docs.google.com/spreadsheets/d/""&amp;$A174&amp;""/edit#gid=156619080"",AP$3)"),-1.0)</f>
        <v>-1</v>
      </c>
      <c r="AQ174" s="2" t="str">
        <f>IFERROR(__xludf.DUMMYFUNCTION("IMPORTRANGE(""https://docs.google.com/spreadsheets/d/""&amp;$A174&amp;""/edit#gid=156619080"",AQ$3)"),"")</f>
        <v/>
      </c>
      <c r="AR174" s="18">
        <f>IFERROR(__xludf.DUMMYFUNCTION("IMPORTRANGE(""https://docs.google.com/spreadsheets/d/""&amp;$A174&amp;""/edit#gid=156619080"",AR$3)"),-62.5)</f>
        <v>-62.5</v>
      </c>
      <c r="AS174" s="19" t="str">
        <f>IFERROR(__xludf.DUMMYFUNCTION("IMPORTRANGE(""https://docs.google.com/spreadsheets/d/""&amp;$A174&amp;""/edit#gid=156619080"",AS$3)"),"-100
-100
-100
-92.5
")</f>
        <v>-100
-100
-100
-92.5
</v>
      </c>
      <c r="AT174" s="18">
        <f>IFERROR(__xludf.DUMMYFUNCTION("IMPORTRANGE(""https://docs.google.com/spreadsheets/d/""&amp;$A174&amp;""/edit#gid=156619080"",AT$3)"),-84.20329670329669)</f>
        <v>-84.2032967</v>
      </c>
      <c r="AU174" s="3" t="str">
        <f>IFERROR(__xludf.DUMMYFUNCTION("IMPORTRANGE(""https://docs.google.com/spreadsheets/d/""&amp;$A174&amp;""/edit#gid=156619080"",AU$3)"),"5.49
-21.43
-51.65
-70.47
")</f>
        <v>5.49
-21.43
-51.65
-70.47
</v>
      </c>
      <c r="AV174" s="18">
        <f>IFERROR(__xludf.DUMMYFUNCTION("IMPORTRANGE(""https://docs.google.com/spreadsheets/d/""&amp;$A174&amp;""/edit#gid=156619080"",AV$3)"),-44.22077922077923)</f>
        <v>-44.22077922</v>
      </c>
      <c r="AW174" s="19" t="str">
        <f>IFERROR(__xludf.DUMMYFUNCTION("IMPORTRANGE(""https://docs.google.com/spreadsheets/d/""&amp;$A174&amp;""/edit#gid=156619080"",AW$3)"),"-37.95
-39.9
-39.9
-43.18
")</f>
        <v>-37.95
-39.9
-39.9
-43.18
</v>
      </c>
      <c r="AX174" s="2">
        <f>IFERROR(__xludf.DUMMYFUNCTION("IMPORTRANGE(""https://docs.google.com/spreadsheets/d/""&amp;$A174&amp;""/edit#gid=156619080"",AX$3)"),2.52)</f>
        <v>2.52</v>
      </c>
      <c r="AY174" s="2">
        <f>IFERROR(__xludf.DUMMYFUNCTION("IMPORTRANGE(""https://docs.google.com/spreadsheets/d/""&amp;$A174&amp;""/edit#gid=156619080"",AY$3)"),30.37)</f>
        <v>30.37</v>
      </c>
      <c r="AZ174" s="2">
        <f>IFERROR(__xludf.DUMMYFUNCTION("IMPORTRANGE(""https://docs.google.com/spreadsheets/d/""&amp;$A174&amp;""/edit#gid=156619080"",AZ$3)"),3782.53)</f>
        <v>3782.53</v>
      </c>
      <c r="BA174" s="2">
        <f>IFERROR(__xludf.DUMMYFUNCTION("IMPORTRANGE(""https://docs.google.com/spreadsheets/d/""&amp;$A174&amp;""/edit#gid=156619080"",BA$3)"),-85.14999999999964)</f>
        <v>-85.15</v>
      </c>
      <c r="BB174" s="2">
        <f>IFERROR(__xludf.DUMMYFUNCTION("IMPORTRANGE(""https://docs.google.com/spreadsheets/d/""&amp;$A174&amp;""/edit#gid=156619080"",BB$3)"),-47.81)</f>
        <v>-47.81</v>
      </c>
      <c r="BC174" s="2" t="str">
        <f>IFERROR(__xludf.DUMMYFUNCTION("IMPORTRANGE(""https://docs.google.com/spreadsheets/d/""&amp;$A174&amp;""/edit#gid=156619080"",BC$3)"),"DC→DC")</f>
        <v>DC→DC</v>
      </c>
    </row>
    <row r="175" ht="51.0" customHeight="1">
      <c r="A175" s="7" t="str">
        <f t="shared" si="5"/>
        <v>1SuMMxCI-DsF-j_7n-ZA8DNa02qDbS-1YChlH9w1LPJg</v>
      </c>
      <c r="B175" s="1" t="s">
        <v>202</v>
      </c>
      <c r="C175" s="2">
        <f>IFERROR(__xludf.DUMMYFUNCTION("IMPORTRANGE(""https://docs.google.com/spreadsheets/d/""&amp;$A175&amp;""/edit#gid=156619080"",C$3)"),132.0)</f>
        <v>132</v>
      </c>
      <c r="D175" s="2">
        <f>IFERROR(__xludf.DUMMYFUNCTION("IMPORTRANGE(""https://docs.google.com/spreadsheets/d/""&amp;$A175&amp;""/edit#gid=156619080"",D$3)"),8331.0)</f>
        <v>8331</v>
      </c>
      <c r="E175" s="15">
        <f>IFERROR(__xludf.DUMMYFUNCTION("IMPORTRANGE(""https://docs.google.com/spreadsheets/d/""&amp;$A175&amp;""/edit#gid=156619080"",E$3)"),43882.0)</f>
        <v>43882</v>
      </c>
      <c r="F175" s="2">
        <f>IFERROR(__xludf.DUMMYFUNCTION("IMPORTRANGE(""https://docs.google.com/spreadsheets/d/""&amp;$A175&amp;""/edit#gid=156619080"",F$3)"),6.0)</f>
        <v>6</v>
      </c>
      <c r="G175" s="16">
        <f>IFERROR(__xludf.DUMMYFUNCTION("IMPORTRANGE(""https://docs.google.com/spreadsheets/d/""&amp;$A175&amp;""/edit#gid=156619080"",G$3)"),0.99)</f>
        <v>0.99</v>
      </c>
      <c r="H175" s="16">
        <f>IFERROR(__xludf.DUMMYFUNCTION("IMPORTRANGE(""https://docs.google.com/spreadsheets/d/""&amp;$A175&amp;""/edit#gid=156619080"",H$3)"),602.0)</f>
        <v>602</v>
      </c>
      <c r="I175" s="16">
        <f>IFERROR(__xludf.DUMMYFUNCTION("IMPORTRANGE(""https://docs.google.com/spreadsheets/d/""&amp;$A175&amp;""/edit#gid=156619080"",I$3)"),3.0)</f>
        <v>3</v>
      </c>
      <c r="J175" s="16">
        <f>IFERROR(__xludf.DUMMYFUNCTION("IMPORTRANGE(""https://docs.google.com/spreadsheets/d/""&amp;$A175&amp;""/edit#gid=156619080"",J$3)"),617.0)</f>
        <v>617</v>
      </c>
      <c r="K175" s="16">
        <f>IFERROR(__xludf.DUMMYFUNCTION("IMPORTRANGE(""https://docs.google.com/spreadsheets/d/""&amp;$A175&amp;""/edit#gid=156619080"",K$3)"),0.4395833333333333)</f>
        <v>0.4395833333</v>
      </c>
      <c r="L175" s="16">
        <f>IFERROR(__xludf.DUMMYFUNCTION("IMPORTRANGE(""https://docs.google.com/spreadsheets/d/""&amp;$A175&amp;""/edit#gid=156619080"",L$3)"),601.0)</f>
        <v>601</v>
      </c>
      <c r="M175" s="16">
        <f>IFERROR(__xludf.DUMMYFUNCTION("IMPORTRANGE(""https://docs.google.com/spreadsheets/d/""&amp;$A175&amp;""/edit#gid=156619080"",M$3)"),0.375)</f>
        <v>0.375</v>
      </c>
      <c r="N175" s="16">
        <f>IFERROR(__xludf.DUMMYFUNCTION("IMPORTRANGE(""https://docs.google.com/spreadsheets/d/""&amp;$A175&amp;""/edit#gid=156619080"",N$3)"),611.0)</f>
        <v>611</v>
      </c>
      <c r="O175" s="16" t="str">
        <f>IFERROR(__xludf.DUMMYFUNCTION("IMPORTRANGE(""https://docs.google.com/spreadsheets/d/""&amp;$A175&amp;""/edit#gid=156619080"",O$3)"),"1750900株")</f>
        <v>1750900株</v>
      </c>
      <c r="P175" s="16" t="str">
        <f>IFERROR(__xludf.DUMMYFUNCTION("IMPORTRANGE(""https://docs.google.com/spreadsheets/d/""&amp;$A175&amp;""/edit#gid=156619080"",P$3)"),"1071百万円")</f>
        <v>1071百万円</v>
      </c>
      <c r="Q175" s="16" t="str">
        <f>IFERROR(__xludf.DUMMYFUNCTION("IMPORTRANGE(""https://docs.google.com/spreadsheets/d/""&amp;$A175&amp;""/edit#gid=156619080"",Q$3)"),"1189回")</f>
        <v>1189回</v>
      </c>
      <c r="R175" s="16" t="str">
        <f>IFERROR(__xludf.DUMMYFUNCTION("IMPORTRANGE(""https://docs.google.com/spreadsheets/d/""&amp;$A175&amp;""/edit#gid=156619080"",R$3)"),"5136億円")</f>
        <v>5136億円</v>
      </c>
      <c r="S175" s="16" t="str">
        <f>IFERROR(__xludf.DUMMYFUNCTION("IMPORTRANGE(""https://docs.google.com/spreadsheets/d/""&amp;$A175&amp;""/edit#gid=156619080"",S$3)"),"陽線")</f>
        <v>陽線</v>
      </c>
      <c r="T175" s="16" t="str">
        <f>IFERROR(__xludf.DUMMYFUNCTION("IMPORTRANGE(""https://docs.google.com/spreadsheets/d/""&amp;$A175&amp;""/edit#gid=156619080"",T$3)"),"")</f>
        <v/>
      </c>
      <c r="U175" s="16">
        <f>IFERROR(__xludf.DUMMYFUNCTION("IMPORTRANGE(""https://docs.google.com/spreadsheets/d/""&amp;$A175&amp;""/edit#gid=156619080"",U$3)"),602.6)</f>
        <v>602.6</v>
      </c>
      <c r="V175" s="16">
        <f>IFERROR(__xludf.DUMMYFUNCTION("IMPORTRANGE(""https://docs.google.com/spreadsheets/d/""&amp;$A175&amp;""/edit#gid=156619080"",V$3)"),607.3)</f>
        <v>607.3</v>
      </c>
      <c r="W175" s="16">
        <f>IFERROR(__xludf.DUMMYFUNCTION("IMPORTRANGE(""https://docs.google.com/spreadsheets/d/""&amp;$A175&amp;""/edit#gid=156619080"",W$3)"),607.6)</f>
        <v>607.6</v>
      </c>
      <c r="X175" s="2">
        <f>IFERROR(__xludf.DUMMYFUNCTION("IMPORTRANGE(""https://docs.google.com/spreadsheets/d/""&amp;$A175&amp;""/edit#gid=156619080"",X$3)"),600.4)</f>
        <v>600.4</v>
      </c>
      <c r="Y175" s="17">
        <f>IFERROR(__xludf.DUMMYFUNCTION("IMPORTRANGE(""https://docs.google.com/spreadsheets/d/""&amp;$A175&amp;""/edit#gid=156619080"",Y$3)"),0.013939595087952169)</f>
        <v>0.01393959509</v>
      </c>
      <c r="Z175" s="2">
        <f>IFERROR(__xludf.DUMMYFUNCTION("IMPORTRANGE(""https://docs.google.com/spreadsheets/d/""&amp;$A175&amp;""/edit#gid=156619080"",Z$3)"),626.83)</f>
        <v>626.83</v>
      </c>
      <c r="AA175" s="2">
        <f>IFERROR(__xludf.DUMMYFUNCTION("IMPORTRANGE(""https://docs.google.com/spreadsheets/d/""&amp;$A175&amp;""/edit#gid=156619080"",AA$3)"),624.42)</f>
        <v>624.42</v>
      </c>
      <c r="AB175" s="2">
        <f>IFERROR(__xludf.DUMMYFUNCTION("IMPORTRANGE(""https://docs.google.com/spreadsheets/d/""&amp;$A175&amp;""/edit#gid=156619080"",AB$3)"),622.02)</f>
        <v>622.02</v>
      </c>
      <c r="AC175" s="18">
        <f>IFERROR(__xludf.DUMMYFUNCTION("IMPORTRANGE(""https://docs.google.com/spreadsheets/d/""&amp;$A175&amp;""/edit#gid=156619080"",AC$3)"),619.62)</f>
        <v>619.62</v>
      </c>
      <c r="AD175" s="18">
        <f>IFERROR(__xludf.DUMMYFUNCTION("IMPORTRANGE(""https://docs.google.com/spreadsheets/d/""&amp;$A175&amp;""/edit#gid=156619080"",AD$3)"),617.21)</f>
        <v>617.21</v>
      </c>
      <c r="AE175" s="18">
        <f>IFERROR(__xludf.DUMMYFUNCTION("IMPORTRANGE(""https://docs.google.com/spreadsheets/d/""&amp;$A175&amp;""/edit#gid=156619080"",AE$3)"),607.6)</f>
        <v>607.6</v>
      </c>
      <c r="AF175" s="2">
        <f>IFERROR(__xludf.DUMMYFUNCTION("IMPORTRANGE(""https://docs.google.com/spreadsheets/d/""&amp;$A175&amp;""/edit#gid=156619080"",AF$3)"),597.99)</f>
        <v>597.99</v>
      </c>
      <c r="AG175" s="2">
        <f>IFERROR(__xludf.DUMMYFUNCTION("IMPORTRANGE(""https://docs.google.com/spreadsheets/d/""&amp;$A175&amp;""/edit#gid=156619080"",AG$3)"),595.58)</f>
        <v>595.58</v>
      </c>
      <c r="AH175" s="2">
        <f>IFERROR(__xludf.DUMMYFUNCTION("IMPORTRANGE(""https://docs.google.com/spreadsheets/d/""&amp;$A175&amp;""/edit#gid=156619080"",AH$3)"),593.18)</f>
        <v>593.18</v>
      </c>
      <c r="AI175" s="2">
        <f>IFERROR(__xludf.DUMMYFUNCTION("IMPORTRANGE(""https://docs.google.com/spreadsheets/d/""&amp;$A175&amp;""/edit#gid=156619080"",AI$3)"),590.78)</f>
        <v>590.78</v>
      </c>
      <c r="AJ175" s="2">
        <f>IFERROR(__xludf.DUMMYFUNCTION("IMPORTRANGE(""https://docs.google.com/spreadsheets/d/""&amp;$A175&amp;""/edit#gid=156619080"",AJ$3)"),588.37)</f>
        <v>588.37</v>
      </c>
      <c r="AK175" s="2" t="str">
        <f>IFERROR(__xludf.DUMMYFUNCTION("IMPORTRANGE(""https://docs.google.com/spreadsheets/d/""&amp;$A175&amp;""/edit#gid=156619080"",AK$3)"),"")</f>
        <v/>
      </c>
      <c r="AL175" s="2">
        <f>IFERROR(__xludf.DUMMYFUNCTION("IMPORTRANGE(""https://docs.google.com/spreadsheets/d/""&amp;$A175&amp;""/edit#gid=156619080"",AL$3)"),-1.0)</f>
        <v>-1</v>
      </c>
      <c r="AM175" s="2" t="str">
        <f>IFERROR(__xludf.DUMMYFUNCTION("IMPORTRANGE(""https://docs.google.com/spreadsheets/d/""&amp;$A175&amp;""/edit#gid=156619080"",AM$3)"),"")</f>
        <v/>
      </c>
      <c r="AN175" s="2">
        <f>IFERROR(__xludf.DUMMYFUNCTION("IMPORTRANGE(""https://docs.google.com/spreadsheets/d/""&amp;$A175&amp;""/edit#gid=156619080"",AN$3)"),-1.0)</f>
        <v>-1</v>
      </c>
      <c r="AO175" s="2" t="str">
        <f>IFERROR(__xludf.DUMMYFUNCTION("IMPORTRANGE(""https://docs.google.com/spreadsheets/d/""&amp;$A175&amp;""/edit#gid=156619080"",AO$3)"),"")</f>
        <v/>
      </c>
      <c r="AP175" s="2">
        <f>IFERROR(__xludf.DUMMYFUNCTION("IMPORTRANGE(""https://docs.google.com/spreadsheets/d/""&amp;$A175&amp;""/edit#gid=156619080"",AP$3)"),-1.0)</f>
        <v>-1</v>
      </c>
      <c r="AQ175" s="2" t="str">
        <f>IFERROR(__xludf.DUMMYFUNCTION("IMPORTRANGE(""https://docs.google.com/spreadsheets/d/""&amp;$A175&amp;""/edit#gid=156619080"",AQ$3)"),"")</f>
        <v/>
      </c>
      <c r="AR175" s="18">
        <f>IFERROR(__xludf.DUMMYFUNCTION("IMPORTRANGE(""https://docs.google.com/spreadsheets/d/""&amp;$A175&amp;""/edit#gid=156619080"",AR$3)"),70.0)</f>
        <v>70</v>
      </c>
      <c r="AS175" s="19" t="str">
        <f>IFERROR(__xludf.DUMMYFUNCTION("IMPORTRANGE(""https://docs.google.com/spreadsheets/d/""&amp;$A175&amp;""/edit#gid=156619080"",AS$3)"),"-30
-30
-80
10
")</f>
        <v>-30
-30
-80
10
</v>
      </c>
      <c r="AT175" s="18">
        <f>IFERROR(__xludf.DUMMYFUNCTION("IMPORTRANGE(""https://docs.google.com/spreadsheets/d/""&amp;$A175&amp;""/edit#gid=156619080"",AT$3)"),-45.87912087912087)</f>
        <v>-45.87912088</v>
      </c>
      <c r="AU175" s="3" t="str">
        <f>IFERROR(__xludf.DUMMYFUNCTION("IMPORTRANGE(""https://docs.google.com/spreadsheets/d/""&amp;$A175&amp;""/edit#gid=156619080"",AU$3)"),"-11.81
-31.46
-58.38
-53.02
")</f>
        <v>-11.81
-31.46
-58.38
-53.02
</v>
      </c>
      <c r="AV175" s="18">
        <f>IFERROR(__xludf.DUMMYFUNCTION("IMPORTRANGE(""https://docs.google.com/spreadsheets/d/""&amp;$A175&amp;""/edit#gid=156619080"",AV$3)"),-28.668831168831165)</f>
        <v>-28.66883117</v>
      </c>
      <c r="AW175" s="19" t="str">
        <f>IFERROR(__xludf.DUMMYFUNCTION("IMPORTRANGE(""https://docs.google.com/spreadsheets/d/""&amp;$A175&amp;""/edit#gid=156619080"",AW$3)"),"-60.78
-60.78
-59.25
-46.98
")</f>
        <v>-60.78
-60.78
-59.25
-46.98
</v>
      </c>
      <c r="AX175" s="2">
        <f>IFERROR(__xludf.DUMMYFUNCTION("IMPORTRANGE(""https://docs.google.com/spreadsheets/d/""&amp;$A175&amp;""/edit#gid=156619080"",AX$3)"),68.42)</f>
        <v>68.42</v>
      </c>
      <c r="AY175" s="2">
        <f>IFERROR(__xludf.DUMMYFUNCTION("IMPORTRANGE(""https://docs.google.com/spreadsheets/d/""&amp;$A175&amp;""/edit#gid=156619080"",AY$3)"),42.5)</f>
        <v>42.5</v>
      </c>
      <c r="AZ175" s="2">
        <f>IFERROR(__xludf.DUMMYFUNCTION("IMPORTRANGE(""https://docs.google.com/spreadsheets/d/""&amp;$A175&amp;""/edit#gid=156619080"",AZ$3)"),605.18)</f>
        <v>605.18</v>
      </c>
      <c r="BA175" s="2">
        <f>IFERROR(__xludf.DUMMYFUNCTION("IMPORTRANGE(""https://docs.google.com/spreadsheets/d/""&amp;$A175&amp;""/edit#gid=156619080"",BA$3)"),-4.3700000000000045)</f>
        <v>-4.37</v>
      </c>
      <c r="BB175" s="2">
        <f>IFERROR(__xludf.DUMMYFUNCTION("IMPORTRANGE(""https://docs.google.com/spreadsheets/d/""&amp;$A175&amp;""/edit#gid=156619080"",BB$3)"),-7.08)</f>
        <v>-7.08</v>
      </c>
      <c r="BC175" s="2" t="str">
        <f>IFERROR(__xludf.DUMMYFUNCTION("IMPORTRANGE(""https://docs.google.com/spreadsheets/d/""&amp;$A175&amp;""/edit#gid=156619080"",BC$3)"),"GC→GC")</f>
        <v>GC→GC</v>
      </c>
    </row>
    <row r="176" ht="51.0" customHeight="1">
      <c r="A176" s="7" t="str">
        <f t="shared" si="5"/>
        <v>1mOol3rxEB_ifp60Zpa1YlYT7BLPPFFpMl4C0PacItRs</v>
      </c>
      <c r="B176" s="1" t="s">
        <v>203</v>
      </c>
      <c r="C176" s="2">
        <f>IFERROR(__xludf.DUMMYFUNCTION("IMPORTRANGE(""https://docs.google.com/spreadsheets/d/""&amp;$A176&amp;""/edit#gid=156619080"",C$3)"),132.0)</f>
        <v>132</v>
      </c>
      <c r="D176" s="2">
        <f>IFERROR(__xludf.DUMMYFUNCTION("IMPORTRANGE(""https://docs.google.com/spreadsheets/d/""&amp;$A176&amp;""/edit#gid=156619080"",D$3)"),8354.0)</f>
        <v>8354</v>
      </c>
      <c r="E176" s="15">
        <f>IFERROR(__xludf.DUMMYFUNCTION("IMPORTRANGE(""https://docs.google.com/spreadsheets/d/""&amp;$A176&amp;""/edit#gid=156619080"",E$3)"),43882.0)</f>
        <v>43882</v>
      </c>
      <c r="F176" s="2">
        <f>IFERROR(__xludf.DUMMYFUNCTION("IMPORTRANGE(""https://docs.google.com/spreadsheets/d/""&amp;$A176&amp;""/edit#gid=156619080"",F$3)"),9.0)</f>
        <v>9</v>
      </c>
      <c r="G176" s="16">
        <f>IFERROR(__xludf.DUMMYFUNCTION("IMPORTRANGE(""https://docs.google.com/spreadsheets/d/""&amp;$A176&amp;""/edit#gid=156619080"",G$3)"),0.49)</f>
        <v>0.49</v>
      </c>
      <c r="H176" s="16">
        <f>IFERROR(__xludf.DUMMYFUNCTION("IMPORTRANGE(""https://docs.google.com/spreadsheets/d/""&amp;$A176&amp;""/edit#gid=156619080"",H$3)"),1838.0)</f>
        <v>1838</v>
      </c>
      <c r="I176" s="16">
        <f>IFERROR(__xludf.DUMMYFUNCTION("IMPORTRANGE(""https://docs.google.com/spreadsheets/d/""&amp;$A176&amp;""/edit#gid=156619080"",I$3)"),8.0)</f>
        <v>8</v>
      </c>
      <c r="J176" s="16">
        <f>IFERROR(__xludf.DUMMYFUNCTION("IMPORTRANGE(""https://docs.google.com/spreadsheets/d/""&amp;$A176&amp;""/edit#gid=156619080"",J$3)"),1877.0)</f>
        <v>1877</v>
      </c>
      <c r="K176" s="16">
        <f>IFERROR(__xludf.DUMMYFUNCTION("IMPORTRANGE(""https://docs.google.com/spreadsheets/d/""&amp;$A176&amp;""/edit#gid=156619080"",K$3)"),0.44375)</f>
        <v>0.44375</v>
      </c>
      <c r="L176" s="16">
        <f>IFERROR(__xludf.DUMMYFUNCTION("IMPORTRANGE(""https://docs.google.com/spreadsheets/d/""&amp;$A176&amp;""/edit#gid=156619080"",L$3)"),1837.0)</f>
        <v>1837</v>
      </c>
      <c r="M176" s="16">
        <f>IFERROR(__xludf.DUMMYFUNCTION("IMPORTRANGE(""https://docs.google.com/spreadsheets/d/""&amp;$A176&amp;""/edit#gid=156619080"",M$3)"),0.375)</f>
        <v>0.375</v>
      </c>
      <c r="N176" s="16">
        <f>IFERROR(__xludf.DUMMYFUNCTION("IMPORTRANGE(""https://docs.google.com/spreadsheets/d/""&amp;$A176&amp;""/edit#gid=156619080"",N$3)"),1855.0)</f>
        <v>1855</v>
      </c>
      <c r="O176" s="16" t="str">
        <f>IFERROR(__xludf.DUMMYFUNCTION("IMPORTRANGE(""https://docs.google.com/spreadsheets/d/""&amp;$A176&amp;""/edit#gid=156619080"",O$3)"),"628700株")</f>
        <v>628700株</v>
      </c>
      <c r="P176" s="16" t="str">
        <f>IFERROR(__xludf.DUMMYFUNCTION("IMPORTRANGE(""https://docs.google.com/spreadsheets/d/""&amp;$A176&amp;""/edit#gid=156619080"",P$3)"),"1171百万円")</f>
        <v>1171百万円</v>
      </c>
      <c r="Q176" s="16" t="str">
        <f>IFERROR(__xludf.DUMMYFUNCTION("IMPORTRANGE(""https://docs.google.com/spreadsheets/d/""&amp;$A176&amp;""/edit#gid=156619080"",Q$3)"),"1486回")</f>
        <v>1486回</v>
      </c>
      <c r="R176" s="16" t="str">
        <f>IFERROR(__xludf.DUMMYFUNCTION("IMPORTRANGE(""https://docs.google.com/spreadsheets/d/""&amp;$A176&amp;""/edit#gid=156619080"",R$3)"),"3546億円")</f>
        <v>3546億円</v>
      </c>
      <c r="S176" s="16" t="str">
        <f>IFERROR(__xludf.DUMMYFUNCTION("IMPORTRANGE(""https://docs.google.com/spreadsheets/d/""&amp;$A176&amp;""/edit#gid=156619080"",S$3)"),"陽線")</f>
        <v>陽線</v>
      </c>
      <c r="T176" s="16" t="str">
        <f>IFERROR(__xludf.DUMMYFUNCTION("IMPORTRANGE(""https://docs.google.com/spreadsheets/d/""&amp;$A176&amp;""/edit#gid=156619080"",T$3)"),"")</f>
        <v/>
      </c>
      <c r="U176" s="16">
        <f>IFERROR(__xludf.DUMMYFUNCTION("IMPORTRANGE(""https://docs.google.com/spreadsheets/d/""&amp;$A176&amp;""/edit#gid=156619080"",U$3)"),1861.8)</f>
        <v>1861.8</v>
      </c>
      <c r="V176" s="16">
        <f>IFERROR(__xludf.DUMMYFUNCTION("IMPORTRANGE(""https://docs.google.com/spreadsheets/d/""&amp;$A176&amp;""/edit#gid=156619080"",V$3)"),1919.1)</f>
        <v>1919.1</v>
      </c>
      <c r="W176" s="16">
        <f>IFERROR(__xludf.DUMMYFUNCTION("IMPORTRANGE(""https://docs.google.com/spreadsheets/d/""&amp;$A176&amp;""/edit#gid=156619080"",W$3)"),1924.8)</f>
        <v>1924.8</v>
      </c>
      <c r="X176" s="2">
        <f>IFERROR(__xludf.DUMMYFUNCTION("IMPORTRANGE(""https://docs.google.com/spreadsheets/d/""&amp;$A176&amp;""/edit#gid=156619080"",X$3)"),2028.7)</f>
        <v>2028.7</v>
      </c>
      <c r="Y176" s="17">
        <f>IFERROR(__xludf.DUMMYFUNCTION("IMPORTRANGE(""https://docs.google.com/spreadsheets/d/""&amp;$A176&amp;""/edit#gid=156619080"",Y$3)"),-0.0036523794177677274)</f>
        <v>-0.003652379418</v>
      </c>
      <c r="Z176" s="2">
        <f>IFERROR(__xludf.DUMMYFUNCTION("IMPORTRANGE(""https://docs.google.com/spreadsheets/d/""&amp;$A176&amp;""/edit#gid=156619080"",Z$3)"),2015.49)</f>
        <v>2015.49</v>
      </c>
      <c r="AA176" s="2">
        <f>IFERROR(__xludf.DUMMYFUNCTION("IMPORTRANGE(""https://docs.google.com/spreadsheets/d/""&amp;$A176&amp;""/edit#gid=156619080"",AA$3)"),2004.15)</f>
        <v>2004.15</v>
      </c>
      <c r="AB176" s="2">
        <f>IFERROR(__xludf.DUMMYFUNCTION("IMPORTRANGE(""https://docs.google.com/spreadsheets/d/""&amp;$A176&amp;""/edit#gid=156619080"",AB$3)"),1992.82)</f>
        <v>1992.82</v>
      </c>
      <c r="AC176" s="18">
        <f>IFERROR(__xludf.DUMMYFUNCTION("IMPORTRANGE(""https://docs.google.com/spreadsheets/d/""&amp;$A176&amp;""/edit#gid=156619080"",AC$3)"),1981.48)</f>
        <v>1981.48</v>
      </c>
      <c r="AD176" s="18">
        <f>IFERROR(__xludf.DUMMYFUNCTION("IMPORTRANGE(""https://docs.google.com/spreadsheets/d/""&amp;$A176&amp;""/edit#gid=156619080"",AD$3)"),1970.14)</f>
        <v>1970.14</v>
      </c>
      <c r="AE176" s="18">
        <f>IFERROR(__xludf.DUMMYFUNCTION("IMPORTRANGE(""https://docs.google.com/spreadsheets/d/""&amp;$A176&amp;""/edit#gid=156619080"",AE$3)"),1924.8)</f>
        <v>1924.8</v>
      </c>
      <c r="AF176" s="2">
        <f>IFERROR(__xludf.DUMMYFUNCTION("IMPORTRANGE(""https://docs.google.com/spreadsheets/d/""&amp;$A176&amp;""/edit#gid=156619080"",AF$3)"),1879.46)</f>
        <v>1879.46</v>
      </c>
      <c r="AG176" s="2">
        <f>IFERROR(__xludf.DUMMYFUNCTION("IMPORTRANGE(""https://docs.google.com/spreadsheets/d/""&amp;$A176&amp;""/edit#gid=156619080"",AG$3)"),1868.12)</f>
        <v>1868.12</v>
      </c>
      <c r="AH176" s="2">
        <f>IFERROR(__xludf.DUMMYFUNCTION("IMPORTRANGE(""https://docs.google.com/spreadsheets/d/""&amp;$A176&amp;""/edit#gid=156619080"",AH$3)"),1856.78)</f>
        <v>1856.78</v>
      </c>
      <c r="AI176" s="2">
        <f>IFERROR(__xludf.DUMMYFUNCTION("IMPORTRANGE(""https://docs.google.com/spreadsheets/d/""&amp;$A176&amp;""/edit#gid=156619080"",AI$3)"),1845.45)</f>
        <v>1845.45</v>
      </c>
      <c r="AJ176" s="2">
        <f>IFERROR(__xludf.DUMMYFUNCTION("IMPORTRANGE(""https://docs.google.com/spreadsheets/d/""&amp;$A176&amp;""/edit#gid=156619080"",AJ$3)"),1834.11)</f>
        <v>1834.11</v>
      </c>
      <c r="AK176" s="2" t="str">
        <f>IFERROR(__xludf.DUMMYFUNCTION("IMPORTRANGE(""https://docs.google.com/spreadsheets/d/""&amp;$A176&amp;""/edit#gid=156619080"",AK$3)"),"-1.5σ〜-1.75σ")</f>
        <v>-1.5σ〜-1.75σ</v>
      </c>
      <c r="AL176" s="2">
        <f>IFERROR(__xludf.DUMMYFUNCTION("IMPORTRANGE(""https://docs.google.com/spreadsheets/d/""&amp;$A176&amp;""/edit#gid=156619080"",AL$3)"),-1.0)</f>
        <v>-1</v>
      </c>
      <c r="AM176" s="2" t="str">
        <f>IFERROR(__xludf.DUMMYFUNCTION("IMPORTRANGE(""https://docs.google.com/spreadsheets/d/""&amp;$A176&amp;""/edit#gid=156619080"",AM$3)"),"")</f>
        <v/>
      </c>
      <c r="AN176" s="2">
        <f>IFERROR(__xludf.DUMMYFUNCTION("IMPORTRANGE(""https://docs.google.com/spreadsheets/d/""&amp;$A176&amp;""/edit#gid=156619080"",AN$3)"),-1.0)</f>
        <v>-1</v>
      </c>
      <c r="AO176" s="2" t="str">
        <f>IFERROR(__xludf.DUMMYFUNCTION("IMPORTRANGE(""https://docs.google.com/spreadsheets/d/""&amp;$A176&amp;""/edit#gid=156619080"",AO$3)"),"")</f>
        <v/>
      </c>
      <c r="AP176" s="2">
        <f>IFERROR(__xludf.DUMMYFUNCTION("IMPORTRANGE(""https://docs.google.com/spreadsheets/d/""&amp;$A176&amp;""/edit#gid=156619080"",AP$3)"),-1.0)</f>
        <v>-1</v>
      </c>
      <c r="AQ176" s="2" t="str">
        <f>IFERROR(__xludf.DUMMYFUNCTION("IMPORTRANGE(""https://docs.google.com/spreadsheets/d/""&amp;$A176&amp;""/edit#gid=156619080"",AQ$3)"),"")</f>
        <v/>
      </c>
      <c r="AR176" s="18">
        <f>IFERROR(__xludf.DUMMYFUNCTION("IMPORTRANGE(""https://docs.google.com/spreadsheets/d/""&amp;$A176&amp;""/edit#gid=156619080"",AR$3)"),-60.00000000000001)</f>
        <v>-60</v>
      </c>
      <c r="AS176" s="19" t="str">
        <f>IFERROR(__xludf.DUMMYFUNCTION("IMPORTRANGE(""https://docs.google.com/spreadsheets/d/""&amp;$A176&amp;""/edit#gid=156619080"",AS$3)"),"-100
-100
-100
-90
")</f>
        <v>-100
-100
-100
-90
</v>
      </c>
      <c r="AT176" s="18">
        <f>IFERROR(__xludf.DUMMYFUNCTION("IMPORTRANGE(""https://docs.google.com/spreadsheets/d/""&amp;$A176&amp;""/edit#gid=156619080"",AT$3)"),-84.06593406593406)</f>
        <v>-84.06593407</v>
      </c>
      <c r="AU176" s="3" t="str">
        <f>IFERROR(__xludf.DUMMYFUNCTION("IMPORTRANGE(""https://docs.google.com/spreadsheets/d/""&amp;$A176&amp;""/edit#gid=156619080"",AU$3)"),"-10.99
-35.16
-59.89
-74.73
")</f>
        <v>-10.99
-35.16
-59.89
-74.73
</v>
      </c>
      <c r="AV176" s="18">
        <f>IFERROR(__xludf.DUMMYFUNCTION("IMPORTRANGE(""https://docs.google.com/spreadsheets/d/""&amp;$A176&amp;""/edit#gid=156619080"",AV$3)"),-54.28571428571429)</f>
        <v>-54.28571429</v>
      </c>
      <c r="AW176" s="19" t="str">
        <f>IFERROR(__xludf.DUMMYFUNCTION("IMPORTRANGE(""https://docs.google.com/spreadsheets/d/""&amp;$A176&amp;""/edit#gid=156619080"",AW$3)"),"-47.5
-49.84
-51.69
-53.25
")</f>
        <v>-47.5
-49.84
-51.69
-53.25
</v>
      </c>
      <c r="AX176" s="2">
        <f>IFERROR(__xludf.DUMMYFUNCTION("IMPORTRANGE(""https://docs.google.com/spreadsheets/d/""&amp;$A176&amp;""/edit#gid=156619080"",AX$3)"),13.919999999999998)</f>
        <v>13.92</v>
      </c>
      <c r="AY176" s="2">
        <f>IFERROR(__xludf.DUMMYFUNCTION("IMPORTRANGE(""https://docs.google.com/spreadsheets/d/""&amp;$A176&amp;""/edit#gid=156619080"",AY$3)"),31.5)</f>
        <v>31.5</v>
      </c>
      <c r="AZ176" s="2">
        <f>IFERROR(__xludf.DUMMYFUNCTION("IMPORTRANGE(""https://docs.google.com/spreadsheets/d/""&amp;$A176&amp;""/edit#gid=156619080"",AZ$3)"),1866.19)</f>
        <v>1866.19</v>
      </c>
      <c r="BA176" s="2">
        <f>IFERROR(__xludf.DUMMYFUNCTION("IMPORTRANGE(""https://docs.google.com/spreadsheets/d/""&amp;$A176&amp;""/edit#gid=156619080"",BA$3)"),-61.3599999999999)</f>
        <v>-61.36</v>
      </c>
      <c r="BB176" s="2">
        <f>IFERROR(__xludf.DUMMYFUNCTION("IMPORTRANGE(""https://docs.google.com/spreadsheets/d/""&amp;$A176&amp;""/edit#gid=156619080"",BB$3)"),-45.42)</f>
        <v>-45.42</v>
      </c>
      <c r="BC176" s="2" t="str">
        <f>IFERROR(__xludf.DUMMYFUNCTION("IMPORTRANGE(""https://docs.google.com/spreadsheets/d/""&amp;$A176&amp;""/edit#gid=156619080"",BC$3)"),"DC→DC")</f>
        <v>DC→DC</v>
      </c>
    </row>
    <row r="177" ht="51.0" customHeight="1">
      <c r="A177" s="7" t="str">
        <f t="shared" si="5"/>
        <v>1GpxhaExVsJEENph6TN7m-KsSphPvirozz1VlsTHVOO8</v>
      </c>
      <c r="B177" s="1" t="s">
        <v>204</v>
      </c>
      <c r="C177" s="2">
        <f>IFERROR(__xludf.DUMMYFUNCTION("IMPORTRANGE(""https://docs.google.com/spreadsheets/d/""&amp;$A177&amp;""/edit#gid=156619080"",C$3)"),132.0)</f>
        <v>132</v>
      </c>
      <c r="D177" s="2">
        <f>IFERROR(__xludf.DUMMYFUNCTION("IMPORTRANGE(""https://docs.google.com/spreadsheets/d/""&amp;$A177&amp;""/edit#gid=156619080"",D$3)"),8355.0)</f>
        <v>8355</v>
      </c>
      <c r="E177" s="15">
        <f>IFERROR(__xludf.DUMMYFUNCTION("IMPORTRANGE(""https://docs.google.com/spreadsheets/d/""&amp;$A177&amp;""/edit#gid=156619080"",E$3)"),43882.0)</f>
        <v>43882</v>
      </c>
      <c r="F177" s="2">
        <f>IFERROR(__xludf.DUMMYFUNCTION("IMPORTRANGE(""https://docs.google.com/spreadsheets/d/""&amp;$A177&amp;""/edit#gid=156619080"",F$3)"),1.0)</f>
        <v>1</v>
      </c>
      <c r="G177" s="16">
        <f>IFERROR(__xludf.DUMMYFUNCTION("IMPORTRANGE(""https://docs.google.com/spreadsheets/d/""&amp;$A177&amp;""/edit#gid=156619080"",G$3)"),0.13)</f>
        <v>0.13</v>
      </c>
      <c r="H177" s="16">
        <f>IFERROR(__xludf.DUMMYFUNCTION("IMPORTRANGE(""https://docs.google.com/spreadsheets/d/""&amp;$A177&amp;""/edit#gid=156619080"",H$3)"),750.0)</f>
        <v>750</v>
      </c>
      <c r="I177" s="16">
        <f>IFERROR(__xludf.DUMMYFUNCTION("IMPORTRANGE(""https://docs.google.com/spreadsheets/d/""&amp;$A177&amp;""/edit#gid=156619080"",I$3)"),1.0)</f>
        <v>1</v>
      </c>
      <c r="J177" s="16">
        <f>IFERROR(__xludf.DUMMYFUNCTION("IMPORTRANGE(""https://docs.google.com/spreadsheets/d/""&amp;$A177&amp;""/edit#gid=156619080"",J$3)"),757.0)</f>
        <v>757</v>
      </c>
      <c r="K177" s="16">
        <f>IFERROR(__xludf.DUMMYFUNCTION("IMPORTRANGE(""https://docs.google.com/spreadsheets/d/""&amp;$A177&amp;""/edit#gid=156619080"",K$3)"),0.38125)</f>
        <v>0.38125</v>
      </c>
      <c r="L177" s="16">
        <f>IFERROR(__xludf.DUMMYFUNCTION("IMPORTRANGE(""https://docs.google.com/spreadsheets/d/""&amp;$A177&amp;""/edit#gid=156619080"",L$3)"),750.0)</f>
        <v>750</v>
      </c>
      <c r="M177" s="16">
        <f>IFERROR(__xludf.DUMMYFUNCTION("IMPORTRANGE(""https://docs.google.com/spreadsheets/d/""&amp;$A177&amp;""/edit#gid=156619080"",M$3)"),0.375)</f>
        <v>0.375</v>
      </c>
      <c r="N177" s="16">
        <f>IFERROR(__xludf.DUMMYFUNCTION("IMPORTRANGE(""https://docs.google.com/spreadsheets/d/""&amp;$A177&amp;""/edit#gid=156619080"",N$3)"),752.0)</f>
        <v>752</v>
      </c>
      <c r="O177" s="16" t="str">
        <f>IFERROR(__xludf.DUMMYFUNCTION("IMPORTRANGE(""https://docs.google.com/spreadsheets/d/""&amp;$A177&amp;""/edit#gid=156619080"",O$3)"),"1044000株")</f>
        <v>1044000株</v>
      </c>
      <c r="P177" s="16" t="str">
        <f>IFERROR(__xludf.DUMMYFUNCTION("IMPORTRANGE(""https://docs.google.com/spreadsheets/d/""&amp;$A177&amp;""/edit#gid=156619080"",P$3)"),"786百万円")</f>
        <v>786百万円</v>
      </c>
      <c r="Q177" s="16" t="str">
        <f>IFERROR(__xludf.DUMMYFUNCTION("IMPORTRANGE(""https://docs.google.com/spreadsheets/d/""&amp;$A177&amp;""/edit#gid=156619080"",Q$3)"),"682回")</f>
        <v>682回</v>
      </c>
      <c r="R177" s="16" t="str">
        <f>IFERROR(__xludf.DUMMYFUNCTION("IMPORTRANGE(""https://docs.google.com/spreadsheets/d/""&amp;$A177&amp;""/edit#gid=156619080"",R$3)"),"4551億円")</f>
        <v>4551億円</v>
      </c>
      <c r="S177" s="16" t="str">
        <f>IFERROR(__xludf.DUMMYFUNCTION("IMPORTRANGE(""https://docs.google.com/spreadsheets/d/""&amp;$A177&amp;""/edit#gid=156619080"",S$3)"),"陽線")</f>
        <v>陽線</v>
      </c>
      <c r="T177" s="16" t="str">
        <f>IFERROR(__xludf.DUMMYFUNCTION("IMPORTRANGE(""https://docs.google.com/spreadsheets/d/""&amp;$A177&amp;""/edit#gid=156619080"",T$3)"),"")</f>
        <v/>
      </c>
      <c r="U177" s="16">
        <f>IFERROR(__xludf.DUMMYFUNCTION("IMPORTRANGE(""https://docs.google.com/spreadsheets/d/""&amp;$A177&amp;""/edit#gid=156619080"",U$3)"),753.8)</f>
        <v>753.8</v>
      </c>
      <c r="V177" s="16">
        <f>IFERROR(__xludf.DUMMYFUNCTION("IMPORTRANGE(""https://docs.google.com/spreadsheets/d/""&amp;$A177&amp;""/edit#gid=156619080"",V$3)"),770.0)</f>
        <v>770</v>
      </c>
      <c r="W177" s="16">
        <f>IFERROR(__xludf.DUMMYFUNCTION("IMPORTRANGE(""https://docs.google.com/spreadsheets/d/""&amp;$A177&amp;""/edit#gid=156619080"",W$3)"),770.0)</f>
        <v>770</v>
      </c>
      <c r="X177" s="2">
        <f>IFERROR(__xludf.DUMMYFUNCTION("IMPORTRANGE(""https://docs.google.com/spreadsheets/d/""&amp;$A177&amp;""/edit#gid=156619080"",X$3)"),802.6)</f>
        <v>802.6</v>
      </c>
      <c r="Y177" s="17">
        <f>IFERROR(__xludf.DUMMYFUNCTION("IMPORTRANGE(""https://docs.google.com/spreadsheets/d/""&amp;$A177&amp;""/edit#gid=156619080"",Y$3)"),-0.0023879013000795367)</f>
        <v>-0.0023879013</v>
      </c>
      <c r="Z177" s="2">
        <f>IFERROR(__xludf.DUMMYFUNCTION("IMPORTRANGE(""https://docs.google.com/spreadsheets/d/""&amp;$A177&amp;""/edit#gid=156619080"",Z$3)"),794.17)</f>
        <v>794.17</v>
      </c>
      <c r="AA177" s="2">
        <f>IFERROR(__xludf.DUMMYFUNCTION("IMPORTRANGE(""https://docs.google.com/spreadsheets/d/""&amp;$A177&amp;""/edit#gid=156619080"",AA$3)"),791.15)</f>
        <v>791.15</v>
      </c>
      <c r="AB177" s="2">
        <f>IFERROR(__xludf.DUMMYFUNCTION("IMPORTRANGE(""https://docs.google.com/spreadsheets/d/""&amp;$A177&amp;""/edit#gid=156619080"",AB$3)"),788.12)</f>
        <v>788.12</v>
      </c>
      <c r="AC177" s="18">
        <f>IFERROR(__xludf.DUMMYFUNCTION("IMPORTRANGE(""https://docs.google.com/spreadsheets/d/""&amp;$A177&amp;""/edit#gid=156619080"",AC$3)"),785.1)</f>
        <v>785.1</v>
      </c>
      <c r="AD177" s="18">
        <f>IFERROR(__xludf.DUMMYFUNCTION("IMPORTRANGE(""https://docs.google.com/spreadsheets/d/""&amp;$A177&amp;""/edit#gid=156619080"",AD$3)"),782.08)</f>
        <v>782.08</v>
      </c>
      <c r="AE177" s="18">
        <f>IFERROR(__xludf.DUMMYFUNCTION("IMPORTRANGE(""https://docs.google.com/spreadsheets/d/""&amp;$A177&amp;""/edit#gid=156619080"",AE$3)"),770.0)</f>
        <v>770</v>
      </c>
      <c r="AF177" s="2">
        <f>IFERROR(__xludf.DUMMYFUNCTION("IMPORTRANGE(""https://docs.google.com/spreadsheets/d/""&amp;$A177&amp;""/edit#gid=156619080"",AF$3)"),757.92)</f>
        <v>757.92</v>
      </c>
      <c r="AG177" s="2">
        <f>IFERROR(__xludf.DUMMYFUNCTION("IMPORTRANGE(""https://docs.google.com/spreadsheets/d/""&amp;$A177&amp;""/edit#gid=156619080"",AG$3)"),754.9)</f>
        <v>754.9</v>
      </c>
      <c r="AH177" s="2">
        <f>IFERROR(__xludf.DUMMYFUNCTION("IMPORTRANGE(""https://docs.google.com/spreadsheets/d/""&amp;$A177&amp;""/edit#gid=156619080"",AH$3)"),751.88)</f>
        <v>751.88</v>
      </c>
      <c r="AI177" s="2">
        <f>IFERROR(__xludf.DUMMYFUNCTION("IMPORTRANGE(""https://docs.google.com/spreadsheets/d/""&amp;$A177&amp;""/edit#gid=156619080"",AI$3)"),748.85)</f>
        <v>748.85</v>
      </c>
      <c r="AJ177" s="2">
        <f>IFERROR(__xludf.DUMMYFUNCTION("IMPORTRANGE(""https://docs.google.com/spreadsheets/d/""&amp;$A177&amp;""/edit#gid=156619080"",AJ$3)"),745.83)</f>
        <v>745.83</v>
      </c>
      <c r="AK177" s="2" t="str">
        <f>IFERROR(__xludf.DUMMYFUNCTION("IMPORTRANGE(""https://docs.google.com/spreadsheets/d/""&amp;$A177&amp;""/edit#gid=156619080"",AK$3)"),"-1.25σ〜-1.5σ")</f>
        <v>-1.25σ〜-1.5σ</v>
      </c>
      <c r="AL177" s="2">
        <f>IFERROR(__xludf.DUMMYFUNCTION("IMPORTRANGE(""https://docs.google.com/spreadsheets/d/""&amp;$A177&amp;""/edit#gid=156619080"",AL$3)"),-1.0)</f>
        <v>-1</v>
      </c>
      <c r="AM177" s="2" t="str">
        <f>IFERROR(__xludf.DUMMYFUNCTION("IMPORTRANGE(""https://docs.google.com/spreadsheets/d/""&amp;$A177&amp;""/edit#gid=156619080"",AM$3)"),"")</f>
        <v/>
      </c>
      <c r="AN177" s="2">
        <f>IFERROR(__xludf.DUMMYFUNCTION("IMPORTRANGE(""https://docs.google.com/spreadsheets/d/""&amp;$A177&amp;""/edit#gid=156619080"",AN$3)"),-1.0)</f>
        <v>-1</v>
      </c>
      <c r="AO177" s="2" t="str">
        <f>IFERROR(__xludf.DUMMYFUNCTION("IMPORTRANGE(""https://docs.google.com/spreadsheets/d/""&amp;$A177&amp;""/edit#gid=156619080"",AO$3)"),"")</f>
        <v/>
      </c>
      <c r="AP177" s="2">
        <f>IFERROR(__xludf.DUMMYFUNCTION("IMPORTRANGE(""https://docs.google.com/spreadsheets/d/""&amp;$A177&amp;""/edit#gid=156619080"",AP$3)"),0.0)</f>
        <v>0</v>
      </c>
      <c r="AQ177" s="2" t="str">
        <f>IFERROR(__xludf.DUMMYFUNCTION("IMPORTRANGE(""https://docs.google.com/spreadsheets/d/""&amp;$A177&amp;""/edit#gid=156619080"",AQ$3)"),"")</f>
        <v/>
      </c>
      <c r="AR177" s="18">
        <f>IFERROR(__xludf.DUMMYFUNCTION("IMPORTRANGE(""https://docs.google.com/spreadsheets/d/""&amp;$A177&amp;""/edit#gid=156619080"",AR$3)"),-60.00000000000001)</f>
        <v>-60</v>
      </c>
      <c r="AS177" s="19" t="str">
        <f>IFERROR(__xludf.DUMMYFUNCTION("IMPORTRANGE(""https://docs.google.com/spreadsheets/d/""&amp;$A177&amp;""/edit#gid=156619080"",AS$3)"),"-100
-100
-100
-90
")</f>
        <v>-100
-100
-100
-90
</v>
      </c>
      <c r="AT177" s="18">
        <f>IFERROR(__xludf.DUMMYFUNCTION("IMPORTRANGE(""https://docs.google.com/spreadsheets/d/""&amp;$A177&amp;""/edit#gid=156619080"",AT$3)"),-79.12087912087912)</f>
        <v>-79.12087912</v>
      </c>
      <c r="AU177" s="3" t="str">
        <f>IFERROR(__xludf.DUMMYFUNCTION("IMPORTRANGE(""https://docs.google.com/spreadsheets/d/""&amp;$A177&amp;""/edit#gid=156619080"",AU$3)"),"7.97
-28.16
-58.38
-69.78
")</f>
        <v>7.97
-28.16
-58.38
-69.78
</v>
      </c>
      <c r="AV177" s="18">
        <f>IFERROR(__xludf.DUMMYFUNCTION("IMPORTRANGE(""https://docs.google.com/spreadsheets/d/""&amp;$A177&amp;""/edit#gid=156619080"",AV$3)"),-35.16233766233767)</f>
        <v>-35.16233766</v>
      </c>
      <c r="AW177" s="19" t="str">
        <f>IFERROR(__xludf.DUMMYFUNCTION("IMPORTRANGE(""https://docs.google.com/spreadsheets/d/""&amp;$A177&amp;""/edit#gid=156619080"",AW$3)"),"-20.36
-23.31
-25.94
-30.88
")</f>
        <v>-20.36
-23.31
-25.94
-30.88
</v>
      </c>
      <c r="AX177" s="2">
        <f>IFERROR(__xludf.DUMMYFUNCTION("IMPORTRANGE(""https://docs.google.com/spreadsheets/d/""&amp;$A177&amp;""/edit#gid=156619080"",AX$3)"),12.0)</f>
        <v>12</v>
      </c>
      <c r="AY177" s="2">
        <f>IFERROR(__xludf.DUMMYFUNCTION("IMPORTRANGE(""https://docs.google.com/spreadsheets/d/""&amp;$A177&amp;""/edit#gid=156619080"",AY$3)"),36.97)</f>
        <v>36.97</v>
      </c>
      <c r="AZ177" s="2">
        <f>IFERROR(__xludf.DUMMYFUNCTION("IMPORTRANGE(""https://docs.google.com/spreadsheets/d/""&amp;$A177&amp;""/edit#gid=156619080"",AZ$3)"),755.47)</f>
        <v>755.47</v>
      </c>
      <c r="BA177" s="2">
        <f>IFERROR(__xludf.DUMMYFUNCTION("IMPORTRANGE(""https://docs.google.com/spreadsheets/d/""&amp;$A177&amp;""/edit#gid=156619080"",BA$3)"),-15.93999999999994)</f>
        <v>-15.94</v>
      </c>
      <c r="BB177" s="2">
        <f>IFERROR(__xludf.DUMMYFUNCTION("IMPORTRANGE(""https://docs.google.com/spreadsheets/d/""&amp;$A177&amp;""/edit#gid=156619080"",BB$3)"),-11.53)</f>
        <v>-11.53</v>
      </c>
      <c r="BC177" s="2" t="str">
        <f>IFERROR(__xludf.DUMMYFUNCTION("IMPORTRANGE(""https://docs.google.com/spreadsheets/d/""&amp;$A177&amp;""/edit#gid=156619080"",BC$3)"),"DC→DC")</f>
        <v>DC→DC</v>
      </c>
    </row>
    <row r="178" ht="51.0" customHeight="1">
      <c r="A178" s="7" t="str">
        <f t="shared" si="5"/>
        <v>1Jk1RISnDNcjvpFiAmrOjdM8EJBiSK1wpOs3i-goUMd8</v>
      </c>
      <c r="B178" s="1" t="s">
        <v>205</v>
      </c>
      <c r="C178" s="2">
        <f>IFERROR(__xludf.DUMMYFUNCTION("IMPORTRANGE(""https://docs.google.com/spreadsheets/d/""&amp;$A178&amp;""/edit#gid=156619080"",C$3)"),132.0)</f>
        <v>132</v>
      </c>
      <c r="D178" s="2">
        <f>IFERROR(__xludf.DUMMYFUNCTION("IMPORTRANGE(""https://docs.google.com/spreadsheets/d/""&amp;$A178&amp;""/edit#gid=156619080"",D$3)"),8411.0)</f>
        <v>8411</v>
      </c>
      <c r="E178" s="15">
        <f>IFERROR(__xludf.DUMMYFUNCTION("IMPORTRANGE(""https://docs.google.com/spreadsheets/d/""&amp;$A178&amp;""/edit#gid=156619080"",E$3)"),43882.0)</f>
        <v>43882</v>
      </c>
      <c r="F178" s="2">
        <f>IFERROR(__xludf.DUMMYFUNCTION("IMPORTRANGE(""https://docs.google.com/spreadsheets/d/""&amp;$A178&amp;""/edit#gid=156619080"",F$3)"),0.4)</f>
        <v>0.4</v>
      </c>
      <c r="G178" s="16">
        <f>IFERROR(__xludf.DUMMYFUNCTION("IMPORTRANGE(""https://docs.google.com/spreadsheets/d/""&amp;$A178&amp;""/edit#gid=156619080"",G$3)"),0.25)</f>
        <v>0.25</v>
      </c>
      <c r="H178" s="16">
        <f>IFERROR(__xludf.DUMMYFUNCTION("IMPORTRANGE(""https://docs.google.com/spreadsheets/d/""&amp;$A178&amp;""/edit#gid=156619080"",H$3)"),159.0)</f>
        <v>159</v>
      </c>
      <c r="I178" s="16">
        <f>IFERROR(__xludf.DUMMYFUNCTION("IMPORTRANGE(""https://docs.google.com/spreadsheets/d/""&amp;$A178&amp;""/edit#gid=156619080"",I$3)"),-0.30000000000001137)</f>
        <v>-0.3</v>
      </c>
      <c r="J178" s="16">
        <f>IFERROR(__xludf.DUMMYFUNCTION("IMPORTRANGE(""https://docs.google.com/spreadsheets/d/""&amp;$A178&amp;""/edit#gid=156619080"",J$3)"),160.2)</f>
        <v>160.2</v>
      </c>
      <c r="K178" s="16">
        <f>IFERROR(__xludf.DUMMYFUNCTION("IMPORTRANGE(""https://docs.google.com/spreadsheets/d/""&amp;$A178&amp;""/edit#gid=156619080"",K$3)"),0.38263888888888886)</f>
        <v>0.3826388889</v>
      </c>
      <c r="L178" s="16">
        <f>IFERROR(__xludf.DUMMYFUNCTION("IMPORTRANGE(""https://docs.google.com/spreadsheets/d/""&amp;$A178&amp;""/edit#gid=156619080"",L$3)"),158.9)</f>
        <v>158.9</v>
      </c>
      <c r="M178" s="16">
        <f>IFERROR(__xludf.DUMMYFUNCTION("IMPORTRANGE(""https://docs.google.com/spreadsheets/d/""&amp;$A178&amp;""/edit#gid=156619080"",M$3)"),0.375)</f>
        <v>0.375</v>
      </c>
      <c r="N178" s="16">
        <f>IFERROR(__xludf.DUMMYFUNCTION("IMPORTRANGE(""https://docs.google.com/spreadsheets/d/""&amp;$A178&amp;""/edit#gid=156619080"",N$3)"),159.1)</f>
        <v>159.1</v>
      </c>
      <c r="O178" s="16" t="str">
        <f>IFERROR(__xludf.DUMMYFUNCTION("IMPORTRANGE(""https://docs.google.com/spreadsheets/d/""&amp;$A178&amp;""/edit#gid=156619080"",O$3)"),"62522400株")</f>
        <v>62522400株</v>
      </c>
      <c r="P178" s="16" t="str">
        <f>IFERROR(__xludf.DUMMYFUNCTION("IMPORTRANGE(""https://docs.google.com/spreadsheets/d/""&amp;$A178&amp;""/edit#gid=156619080"",P$3)"),"9973百万円")</f>
        <v>9973百万円</v>
      </c>
      <c r="Q178" s="16" t="str">
        <f>IFERROR(__xludf.DUMMYFUNCTION("IMPORTRANGE(""https://docs.google.com/spreadsheets/d/""&amp;$A178&amp;""/edit#gid=156619080"",Q$3)"),"4571回")</f>
        <v>4571回</v>
      </c>
      <c r="R178" s="16" t="str">
        <f>IFERROR(__xludf.DUMMYFUNCTION("IMPORTRANGE(""https://docs.google.com/spreadsheets/d/""&amp;$A178&amp;""/edit#gid=156619080"",R$3)"),"40399億円")</f>
        <v>40399億円</v>
      </c>
      <c r="S178" s="16" t="str">
        <f>IFERROR(__xludf.DUMMYFUNCTION("IMPORTRANGE(""https://docs.google.com/spreadsheets/d/""&amp;$A178&amp;""/edit#gid=156619080"",S$3)"),"陽線")</f>
        <v>陽線</v>
      </c>
      <c r="T178" s="16" t="str">
        <f>IFERROR(__xludf.DUMMYFUNCTION("IMPORTRANGE(""https://docs.google.com/spreadsheets/d/""&amp;$A178&amp;""/edit#gid=156619080"",T$3)"),"")</f>
        <v/>
      </c>
      <c r="U178" s="16">
        <f>IFERROR(__xludf.DUMMYFUNCTION("IMPORTRANGE(""https://docs.google.com/spreadsheets/d/""&amp;$A178&amp;""/edit#gid=156619080"",U$3)"),159.16)</f>
        <v>159.16</v>
      </c>
      <c r="V178" s="16">
        <f>IFERROR(__xludf.DUMMYFUNCTION("IMPORTRANGE(""https://docs.google.com/spreadsheets/d/""&amp;$A178&amp;""/edit#gid=156619080"",V$3)"),161.6)</f>
        <v>161.6</v>
      </c>
      <c r="W178" s="16">
        <f>IFERROR(__xludf.DUMMYFUNCTION("IMPORTRANGE(""https://docs.google.com/spreadsheets/d/""&amp;$A178&amp;""/edit#gid=156619080"",W$3)"),162.1)</f>
        <v>162.1</v>
      </c>
      <c r="X178" s="2">
        <f>IFERROR(__xludf.DUMMYFUNCTION("IMPORTRANGE(""https://docs.google.com/spreadsheets/d/""&amp;$A178&amp;""/edit#gid=156619080"",X$3)"),165.2)</f>
        <v>165.2</v>
      </c>
      <c r="Y178" s="17">
        <f>IFERROR(__xludf.DUMMYFUNCTION("IMPORTRANGE(""https://docs.google.com/spreadsheets/d/""&amp;$A178&amp;""/edit#gid=156619080"",Y$3)"),-3.76979140487574E-4)</f>
        <v>-0.0003769791405</v>
      </c>
      <c r="Z178" s="2">
        <f>IFERROR(__xludf.DUMMYFUNCTION("IMPORTRANGE(""https://docs.google.com/spreadsheets/d/""&amp;$A178&amp;""/edit#gid=156619080"",Z$3)"),166.01)</f>
        <v>166.01</v>
      </c>
      <c r="AA178" s="2">
        <f>IFERROR(__xludf.DUMMYFUNCTION("IMPORTRANGE(""https://docs.google.com/spreadsheets/d/""&amp;$A178&amp;""/edit#gid=156619080"",AA$3)"),165.52)</f>
        <v>165.52</v>
      </c>
      <c r="AB178" s="2">
        <f>IFERROR(__xludf.DUMMYFUNCTION("IMPORTRANGE(""https://docs.google.com/spreadsheets/d/""&amp;$A178&amp;""/edit#gid=156619080"",AB$3)"),165.04)</f>
        <v>165.04</v>
      </c>
      <c r="AC178" s="18">
        <f>IFERROR(__xludf.DUMMYFUNCTION("IMPORTRANGE(""https://docs.google.com/spreadsheets/d/""&amp;$A178&amp;""/edit#gid=156619080"",AC$3)"),164.55)</f>
        <v>164.55</v>
      </c>
      <c r="AD178" s="18">
        <f>IFERROR(__xludf.DUMMYFUNCTION("IMPORTRANGE(""https://docs.google.com/spreadsheets/d/""&amp;$A178&amp;""/edit#gid=156619080"",AD$3)"),164.06)</f>
        <v>164.06</v>
      </c>
      <c r="AE178" s="18">
        <f>IFERROR(__xludf.DUMMYFUNCTION("IMPORTRANGE(""https://docs.google.com/spreadsheets/d/""&amp;$A178&amp;""/edit#gid=156619080"",AE$3)"),162.1)</f>
        <v>162.1</v>
      </c>
      <c r="AF178" s="2">
        <f>IFERROR(__xludf.DUMMYFUNCTION("IMPORTRANGE(""https://docs.google.com/spreadsheets/d/""&amp;$A178&amp;""/edit#gid=156619080"",AF$3)"),160.14)</f>
        <v>160.14</v>
      </c>
      <c r="AG178" s="2">
        <f>IFERROR(__xludf.DUMMYFUNCTION("IMPORTRANGE(""https://docs.google.com/spreadsheets/d/""&amp;$A178&amp;""/edit#gid=156619080"",AG$3)"),159.65)</f>
        <v>159.65</v>
      </c>
      <c r="AH178" s="2">
        <f>IFERROR(__xludf.DUMMYFUNCTION("IMPORTRANGE(""https://docs.google.com/spreadsheets/d/""&amp;$A178&amp;""/edit#gid=156619080"",AH$3)"),159.16)</f>
        <v>159.16</v>
      </c>
      <c r="AI178" s="2">
        <f>IFERROR(__xludf.DUMMYFUNCTION("IMPORTRANGE(""https://docs.google.com/spreadsheets/d/""&amp;$A178&amp;""/edit#gid=156619080"",AI$3)"),158.68)</f>
        <v>158.68</v>
      </c>
      <c r="AJ178" s="2">
        <f>IFERROR(__xludf.DUMMYFUNCTION("IMPORTRANGE(""https://docs.google.com/spreadsheets/d/""&amp;$A178&amp;""/edit#gid=156619080"",AJ$3)"),158.19)</f>
        <v>158.19</v>
      </c>
      <c r="AK178" s="2" t="str">
        <f>IFERROR(__xludf.DUMMYFUNCTION("IMPORTRANGE(""https://docs.google.com/spreadsheets/d/""&amp;$A178&amp;""/edit#gid=156619080"",AK$3)"),"-1.5σ〜-1.75σ")</f>
        <v>-1.5σ〜-1.75σ</v>
      </c>
      <c r="AL178" s="2">
        <f>IFERROR(__xludf.DUMMYFUNCTION("IMPORTRANGE(""https://docs.google.com/spreadsheets/d/""&amp;$A178&amp;""/edit#gid=156619080"",AL$3)"),-1.0)</f>
        <v>-1</v>
      </c>
      <c r="AM178" s="2" t="str">
        <f>IFERROR(__xludf.DUMMYFUNCTION("IMPORTRANGE(""https://docs.google.com/spreadsheets/d/""&amp;$A178&amp;""/edit#gid=156619080"",AM$3)"),"")</f>
        <v/>
      </c>
      <c r="AN178" s="2">
        <f>IFERROR(__xludf.DUMMYFUNCTION("IMPORTRANGE(""https://docs.google.com/spreadsheets/d/""&amp;$A178&amp;""/edit#gid=156619080"",AN$3)"),-1.0)</f>
        <v>-1</v>
      </c>
      <c r="AO178" s="2" t="str">
        <f>IFERROR(__xludf.DUMMYFUNCTION("IMPORTRANGE(""https://docs.google.com/spreadsheets/d/""&amp;$A178&amp;""/edit#gid=156619080"",AO$3)"),"")</f>
        <v/>
      </c>
      <c r="AP178" s="2">
        <f>IFERROR(__xludf.DUMMYFUNCTION("IMPORTRANGE(""https://docs.google.com/spreadsheets/d/""&amp;$A178&amp;""/edit#gid=156619080"",AP$3)"),-1.0)</f>
        <v>-1</v>
      </c>
      <c r="AQ178" s="2" t="str">
        <f>IFERROR(__xludf.DUMMYFUNCTION("IMPORTRANGE(""https://docs.google.com/spreadsheets/d/""&amp;$A178&amp;""/edit#gid=156619080"",AQ$3)"),"")</f>
        <v/>
      </c>
      <c r="AR178" s="18">
        <f>IFERROR(__xludf.DUMMYFUNCTION("IMPORTRANGE(""https://docs.google.com/spreadsheets/d/""&amp;$A178&amp;""/edit#gid=156619080"",AR$3)"),-60.00000000000001)</f>
        <v>-60</v>
      </c>
      <c r="AS178" s="19" t="str">
        <f>IFERROR(__xludf.DUMMYFUNCTION("IMPORTRANGE(""https://docs.google.com/spreadsheets/d/""&amp;$A178&amp;""/edit#gid=156619080"",AS$3)"),"-100
-100
-100
-90
")</f>
        <v>-100
-100
-100
-90
</v>
      </c>
      <c r="AT178" s="18">
        <f>IFERROR(__xludf.DUMMYFUNCTION("IMPORTRANGE(""https://docs.google.com/spreadsheets/d/""&amp;$A178&amp;""/edit#gid=156619080"",AT$3)"),-85.02747252747254)</f>
        <v>-85.02747253</v>
      </c>
      <c r="AU178" s="3" t="str">
        <f>IFERROR(__xludf.DUMMYFUNCTION("IMPORTRANGE(""https://docs.google.com/spreadsheets/d/""&amp;$A178&amp;""/edit#gid=156619080"",AU$3)"),"-40.11
-51.65
-63.74
-75.14
")</f>
        <v>-40.11
-51.65
-63.74
-75.14
</v>
      </c>
      <c r="AV178" s="18">
        <f>IFERROR(__xludf.DUMMYFUNCTION("IMPORTRANGE(""https://docs.google.com/spreadsheets/d/""&amp;$A178&amp;""/edit#gid=156619080"",AV$3)"),-65.71428571428572)</f>
        <v>-65.71428571</v>
      </c>
      <c r="AW178" s="19" t="str">
        <f>IFERROR(__xludf.DUMMYFUNCTION("IMPORTRANGE(""https://docs.google.com/spreadsheets/d/""&amp;$A178&amp;""/edit#gid=156619080"",AW$3)"),"-65.16
-65.84
-66.1
-66.1
")</f>
        <v>-65.16
-65.84
-66.1
-66.1
</v>
      </c>
      <c r="AX178" s="2">
        <f>IFERROR(__xludf.DUMMYFUNCTION("IMPORTRANGE(""https://docs.google.com/spreadsheets/d/""&amp;$A178&amp;""/edit#gid=156619080"",AX$3)"),22.86)</f>
        <v>22.86</v>
      </c>
      <c r="AY178" s="2">
        <f>IFERROR(__xludf.DUMMYFUNCTION("IMPORTRANGE(""https://docs.google.com/spreadsheets/d/""&amp;$A178&amp;""/edit#gid=156619080"",AY$3)"),26.619999999999997)</f>
        <v>26.62</v>
      </c>
      <c r="AZ178" s="2">
        <f>IFERROR(__xludf.DUMMYFUNCTION("IMPORTRANGE(""https://docs.google.com/spreadsheets/d/""&amp;$A178&amp;""/edit#gid=156619080"",AZ$3)"),159.43)</f>
        <v>159.43</v>
      </c>
      <c r="BA178" s="2">
        <f>IFERROR(__xludf.DUMMYFUNCTION("IMPORTRANGE(""https://docs.google.com/spreadsheets/d/""&amp;$A178&amp;""/edit#gid=156619080"",BA$3)"),-2.609999999999985)</f>
        <v>-2.61</v>
      </c>
      <c r="BB178" s="2">
        <f>IFERROR(__xludf.DUMMYFUNCTION("IMPORTRANGE(""https://docs.google.com/spreadsheets/d/""&amp;$A178&amp;""/edit#gid=156619080"",BB$3)"),-1.95)</f>
        <v>-1.95</v>
      </c>
      <c r="BC178" s="2" t="str">
        <f>IFERROR(__xludf.DUMMYFUNCTION("IMPORTRANGE(""https://docs.google.com/spreadsheets/d/""&amp;$A178&amp;""/edit#gid=156619080"",BC$3)"),"DC→DC")</f>
        <v>DC→DC</v>
      </c>
    </row>
    <row r="179" ht="51.0" customHeight="1">
      <c r="A179" s="7" t="str">
        <f t="shared" si="5"/>
        <v>1Vd9mg7njnbmfZy8kG7zgkC75eDCEt7EJJOz0PY4yw3E</v>
      </c>
      <c r="B179" s="1" t="s">
        <v>206</v>
      </c>
      <c r="C179" s="2">
        <f>IFERROR(__xludf.DUMMYFUNCTION("IMPORTRANGE(""https://docs.google.com/spreadsheets/d/""&amp;$A179&amp;""/edit#gid=156619080"",C$3)"),132.0)</f>
        <v>132</v>
      </c>
      <c r="D179" s="2">
        <f>IFERROR(__xludf.DUMMYFUNCTION("IMPORTRANGE(""https://docs.google.com/spreadsheets/d/""&amp;$A179&amp;""/edit#gid=156619080"",D$3)"),8601.0)</f>
        <v>8601</v>
      </c>
      <c r="E179" s="15">
        <f>IFERROR(__xludf.DUMMYFUNCTION("IMPORTRANGE(""https://docs.google.com/spreadsheets/d/""&amp;$A179&amp;""/edit#gid=156619080"",E$3)"),43882.0)</f>
        <v>43882</v>
      </c>
      <c r="F179" s="2">
        <f>IFERROR(__xludf.DUMMYFUNCTION("IMPORTRANGE(""https://docs.google.com/spreadsheets/d/""&amp;$A179&amp;""/edit#gid=156619080"",F$3)"),1.8)</f>
        <v>1.8</v>
      </c>
      <c r="G179" s="16">
        <f>IFERROR(__xludf.DUMMYFUNCTION("IMPORTRANGE(""https://docs.google.com/spreadsheets/d/""&amp;$A179&amp;""/edit#gid=156619080"",G$3)"),0.34)</f>
        <v>0.34</v>
      </c>
      <c r="H179" s="16">
        <f>IFERROR(__xludf.DUMMYFUNCTION("IMPORTRANGE(""https://docs.google.com/spreadsheets/d/""&amp;$A179&amp;""/edit#gid=156619080"",H$3)"),538.5)</f>
        <v>538.5</v>
      </c>
      <c r="I179" s="16">
        <f>IFERROR(__xludf.DUMMYFUNCTION("IMPORTRANGE(""https://docs.google.com/spreadsheets/d/""&amp;$A179&amp;""/edit#gid=156619080"",I$3)"),-1.2999999999999545)</f>
        <v>-1.3</v>
      </c>
      <c r="J179" s="16">
        <f>IFERROR(__xludf.DUMMYFUNCTION("IMPORTRANGE(""https://docs.google.com/spreadsheets/d/""&amp;$A179&amp;""/edit#gid=156619080"",J$3)"),544.2)</f>
        <v>544.2</v>
      </c>
      <c r="K179" s="16">
        <f>IFERROR(__xludf.DUMMYFUNCTION("IMPORTRANGE(""https://docs.google.com/spreadsheets/d/""&amp;$A179&amp;""/edit#gid=156619080"",K$3)"),0.38125)</f>
        <v>0.38125</v>
      </c>
      <c r="L179" s="16">
        <f>IFERROR(__xludf.DUMMYFUNCTION("IMPORTRANGE(""https://docs.google.com/spreadsheets/d/""&amp;$A179&amp;""/edit#gid=156619080"",L$3)"),538.2)</f>
        <v>538.2</v>
      </c>
      <c r="M179" s="16">
        <f>IFERROR(__xludf.DUMMYFUNCTION("IMPORTRANGE(""https://docs.google.com/spreadsheets/d/""&amp;$A179&amp;""/edit#gid=156619080"",M$3)"),0.5798611111111112)</f>
        <v>0.5798611111</v>
      </c>
      <c r="N179" s="16">
        <f>IFERROR(__xludf.DUMMYFUNCTION("IMPORTRANGE(""https://docs.google.com/spreadsheets/d/""&amp;$A179&amp;""/edit#gid=156619080"",N$3)"),539.0)</f>
        <v>539</v>
      </c>
      <c r="O179" s="16" t="str">
        <f>IFERROR(__xludf.DUMMYFUNCTION("IMPORTRANGE(""https://docs.google.com/spreadsheets/d/""&amp;$A179&amp;""/edit#gid=156619080"",O$3)"),"3933000株")</f>
        <v>3933000株</v>
      </c>
      <c r="P179" s="16" t="str">
        <f>IFERROR(__xludf.DUMMYFUNCTION("IMPORTRANGE(""https://docs.google.com/spreadsheets/d/""&amp;$A179&amp;""/edit#gid=156619080"",P$3)"),"2126百万円")</f>
        <v>2126百万円</v>
      </c>
      <c r="Q179" s="16" t="str">
        <f>IFERROR(__xludf.DUMMYFUNCTION("IMPORTRANGE(""https://docs.google.com/spreadsheets/d/""&amp;$A179&amp;""/edit#gid=156619080"",Q$3)"),"3896回")</f>
        <v>3896回</v>
      </c>
      <c r="R179" s="16" t="str">
        <f>IFERROR(__xludf.DUMMYFUNCTION("IMPORTRANGE(""https://docs.google.com/spreadsheets/d/""&amp;$A179&amp;""/edit#gid=156619080"",R$3)"),"9160億円")</f>
        <v>9160億円</v>
      </c>
      <c r="S179" s="16" t="str">
        <f>IFERROR(__xludf.DUMMYFUNCTION("IMPORTRANGE(""https://docs.google.com/spreadsheets/d/""&amp;$A179&amp;""/edit#gid=156619080"",S$3)"),"陽線")</f>
        <v>陽線</v>
      </c>
      <c r="T179" s="16" t="str">
        <f>IFERROR(__xludf.DUMMYFUNCTION("IMPORTRANGE(""https://docs.google.com/spreadsheets/d/""&amp;$A179&amp;""/edit#gid=156619080"",T$3)"),"")</f>
        <v/>
      </c>
      <c r="U179" s="16">
        <f>IFERROR(__xludf.DUMMYFUNCTION("IMPORTRANGE(""https://docs.google.com/spreadsheets/d/""&amp;$A179&amp;""/edit#gid=156619080"",U$3)"),542.66)</f>
        <v>542.66</v>
      </c>
      <c r="V179" s="16">
        <f>IFERROR(__xludf.DUMMYFUNCTION("IMPORTRANGE(""https://docs.google.com/spreadsheets/d/""&amp;$A179&amp;""/edit#gid=156619080"",V$3)"),555.9)</f>
        <v>555.9</v>
      </c>
      <c r="W179" s="16">
        <f>IFERROR(__xludf.DUMMYFUNCTION("IMPORTRANGE(""https://docs.google.com/spreadsheets/d/""&amp;$A179&amp;""/edit#gid=156619080"",W$3)"),556.5)</f>
        <v>556.5</v>
      </c>
      <c r="X179" s="2">
        <f>IFERROR(__xludf.DUMMYFUNCTION("IMPORTRANGE(""https://docs.google.com/spreadsheets/d/""&amp;$A179&amp;""/edit#gid=156619080"",X$3)"),528.1)</f>
        <v>528.1</v>
      </c>
      <c r="Y179" s="17">
        <f>IFERROR(__xludf.DUMMYFUNCTION("IMPORTRANGE(""https://docs.google.com/spreadsheets/d/""&amp;$A179&amp;""/edit#gid=156619080"",Y$3)"),-0.006744554601407822)</f>
        <v>-0.006744554601</v>
      </c>
      <c r="Z179" s="2">
        <f>IFERROR(__xludf.DUMMYFUNCTION("IMPORTRANGE(""https://docs.google.com/spreadsheets/d/""&amp;$A179&amp;""/edit#gid=156619080"",Z$3)"),577.89)</f>
        <v>577.89</v>
      </c>
      <c r="AA179" s="2">
        <f>IFERROR(__xludf.DUMMYFUNCTION("IMPORTRANGE(""https://docs.google.com/spreadsheets/d/""&amp;$A179&amp;""/edit#gid=156619080"",AA$3)"),575.21)</f>
        <v>575.21</v>
      </c>
      <c r="AB179" s="2">
        <f>IFERROR(__xludf.DUMMYFUNCTION("IMPORTRANGE(""https://docs.google.com/spreadsheets/d/""&amp;$A179&amp;""/edit#gid=156619080"",AB$3)"),572.54)</f>
        <v>572.54</v>
      </c>
      <c r="AC179" s="18">
        <f>IFERROR(__xludf.DUMMYFUNCTION("IMPORTRANGE(""https://docs.google.com/spreadsheets/d/""&amp;$A179&amp;""/edit#gid=156619080"",AC$3)"),569.87)</f>
        <v>569.87</v>
      </c>
      <c r="AD179" s="18">
        <f>IFERROR(__xludf.DUMMYFUNCTION("IMPORTRANGE(""https://docs.google.com/spreadsheets/d/""&amp;$A179&amp;""/edit#gid=156619080"",AD$3)"),567.19)</f>
        <v>567.19</v>
      </c>
      <c r="AE179" s="18">
        <f>IFERROR(__xludf.DUMMYFUNCTION("IMPORTRANGE(""https://docs.google.com/spreadsheets/d/""&amp;$A179&amp;""/edit#gid=156619080"",AE$3)"),556.5)</f>
        <v>556.5</v>
      </c>
      <c r="AF179" s="2">
        <f>IFERROR(__xludf.DUMMYFUNCTION("IMPORTRANGE(""https://docs.google.com/spreadsheets/d/""&amp;$A179&amp;""/edit#gid=156619080"",AF$3)"),545.81)</f>
        <v>545.81</v>
      </c>
      <c r="AG179" s="2">
        <f>IFERROR(__xludf.DUMMYFUNCTION("IMPORTRANGE(""https://docs.google.com/spreadsheets/d/""&amp;$A179&amp;""/edit#gid=156619080"",AG$3)"),543.13)</f>
        <v>543.13</v>
      </c>
      <c r="AH179" s="2">
        <f>IFERROR(__xludf.DUMMYFUNCTION("IMPORTRANGE(""https://docs.google.com/spreadsheets/d/""&amp;$A179&amp;""/edit#gid=156619080"",AH$3)"),540.46)</f>
        <v>540.46</v>
      </c>
      <c r="AI179" s="2">
        <f>IFERROR(__xludf.DUMMYFUNCTION("IMPORTRANGE(""https://docs.google.com/spreadsheets/d/""&amp;$A179&amp;""/edit#gid=156619080"",AI$3)"),537.79)</f>
        <v>537.79</v>
      </c>
      <c r="AJ179" s="2">
        <f>IFERROR(__xludf.DUMMYFUNCTION("IMPORTRANGE(""https://docs.google.com/spreadsheets/d/""&amp;$A179&amp;""/edit#gid=156619080"",AJ$3)"),535.11)</f>
        <v>535.11</v>
      </c>
      <c r="AK179" s="2" t="str">
        <f>IFERROR(__xludf.DUMMYFUNCTION("IMPORTRANGE(""https://docs.google.com/spreadsheets/d/""&amp;$A179&amp;""/edit#gid=156619080"",AK$3)"),"-1.5σ〜-1.75σ")</f>
        <v>-1.5σ〜-1.75σ</v>
      </c>
      <c r="AL179" s="2">
        <f>IFERROR(__xludf.DUMMYFUNCTION("IMPORTRANGE(""https://docs.google.com/spreadsheets/d/""&amp;$A179&amp;""/edit#gid=156619080"",AL$3)"),-1.0)</f>
        <v>-1</v>
      </c>
      <c r="AM179" s="2" t="str">
        <f>IFERROR(__xludf.DUMMYFUNCTION("IMPORTRANGE(""https://docs.google.com/spreadsheets/d/""&amp;$A179&amp;""/edit#gid=156619080"",AM$3)"),"")</f>
        <v/>
      </c>
      <c r="AN179" s="2">
        <f>IFERROR(__xludf.DUMMYFUNCTION("IMPORTRANGE(""https://docs.google.com/spreadsheets/d/""&amp;$A179&amp;""/edit#gid=156619080"",AN$3)"),-1.0)</f>
        <v>-1</v>
      </c>
      <c r="AO179" s="2" t="str">
        <f>IFERROR(__xludf.DUMMYFUNCTION("IMPORTRANGE(""https://docs.google.com/spreadsheets/d/""&amp;$A179&amp;""/edit#gid=156619080"",AO$3)"),"")</f>
        <v/>
      </c>
      <c r="AP179" s="2">
        <f>IFERROR(__xludf.DUMMYFUNCTION("IMPORTRANGE(""https://docs.google.com/spreadsheets/d/""&amp;$A179&amp;""/edit#gid=156619080"",AP$3)"),-1.0)</f>
        <v>-1</v>
      </c>
      <c r="AQ179" s="2" t="str">
        <f>IFERROR(__xludf.DUMMYFUNCTION("IMPORTRANGE(""https://docs.google.com/spreadsheets/d/""&amp;$A179&amp;""/edit#gid=156619080"",AQ$3)"),"")</f>
        <v/>
      </c>
      <c r="AR179" s="18">
        <f>IFERROR(__xludf.DUMMYFUNCTION("IMPORTRANGE(""https://docs.google.com/spreadsheets/d/""&amp;$A179&amp;""/edit#gid=156619080"",AR$3)"),-60.00000000000001)</f>
        <v>-60</v>
      </c>
      <c r="AS179" s="19" t="str">
        <f>IFERROR(__xludf.DUMMYFUNCTION("IMPORTRANGE(""https://docs.google.com/spreadsheets/d/""&amp;$A179&amp;""/edit#gid=156619080"",AS$3)"),"-90
-100
-100
-90
")</f>
        <v>-90
-100
-100
-90
</v>
      </c>
      <c r="AT179" s="18">
        <f>IFERROR(__xludf.DUMMYFUNCTION("IMPORTRANGE(""https://docs.google.com/spreadsheets/d/""&amp;$A179&amp;""/edit#gid=156619080"",AT$3)"),-71.97802197802199)</f>
        <v>-71.97802198</v>
      </c>
      <c r="AU179" s="3" t="str">
        <f>IFERROR(__xludf.DUMMYFUNCTION("IMPORTRANGE(""https://docs.google.com/spreadsheets/d/""&amp;$A179&amp;""/edit#gid=156619080"",AU$3)"),"28.98
2.61
-25.82
-43.41
")</f>
        <v>28.98
2.61
-25.82
-43.41
</v>
      </c>
      <c r="AV179" s="18">
        <f>IFERROR(__xludf.DUMMYFUNCTION("IMPORTRANGE(""https://docs.google.com/spreadsheets/d/""&amp;$A179&amp;""/edit#gid=156619080"",AV$3)"),-41.071428571428584)</f>
        <v>-41.07142857</v>
      </c>
      <c r="AW179" s="19" t="str">
        <f>IFERROR(__xludf.DUMMYFUNCTION("IMPORTRANGE(""https://docs.google.com/spreadsheets/d/""&amp;$A179&amp;""/edit#gid=156619080"",AW$3)"),"-40.42
-39.64
-39.64
-41.46
")</f>
        <v>-40.42
-39.64
-39.64
-41.46
</v>
      </c>
      <c r="AX179" s="2">
        <f>IFERROR(__xludf.DUMMYFUNCTION("IMPORTRANGE(""https://docs.google.com/spreadsheets/d/""&amp;$A179&amp;""/edit#gid=156619080"",AX$3)"),11.690000000000001)</f>
        <v>11.69</v>
      </c>
      <c r="AY179" s="2">
        <f>IFERROR(__xludf.DUMMYFUNCTION("IMPORTRANGE(""https://docs.google.com/spreadsheets/d/""&amp;$A179&amp;""/edit#gid=156619080"",AY$3)"),35.199999999999996)</f>
        <v>35.2</v>
      </c>
      <c r="AZ179" s="2">
        <f>IFERROR(__xludf.DUMMYFUNCTION("IMPORTRANGE(""https://docs.google.com/spreadsheets/d/""&amp;$A179&amp;""/edit#gid=156619080"",AZ$3)"),543.13)</f>
        <v>543.13</v>
      </c>
      <c r="BA179" s="2">
        <f>IFERROR(__xludf.DUMMYFUNCTION("IMPORTRANGE(""https://docs.google.com/spreadsheets/d/""&amp;$A179&amp;""/edit#gid=156619080"",BA$3)"),-11.200000000000045)</f>
        <v>-11.2</v>
      </c>
      <c r="BB179" s="2">
        <f>IFERROR(__xludf.DUMMYFUNCTION("IMPORTRANGE(""https://docs.google.com/spreadsheets/d/""&amp;$A179&amp;""/edit#gid=156619080"",BB$3)"),-3.48)</f>
        <v>-3.48</v>
      </c>
      <c r="BC179" s="2" t="str">
        <f>IFERROR(__xludf.DUMMYFUNCTION("IMPORTRANGE(""https://docs.google.com/spreadsheets/d/""&amp;$A179&amp;""/edit#gid=156619080"",BC$3)"),"DC→DC")</f>
        <v>DC→DC</v>
      </c>
    </row>
    <row r="180" ht="51.0" customHeight="1">
      <c r="A180" s="7" t="str">
        <f t="shared" si="5"/>
        <v>1hTuu2rG46lyfigVVAdOFzsZQTfZno67WL8wj30Xwuy4</v>
      </c>
      <c r="B180" s="1" t="s">
        <v>207</v>
      </c>
      <c r="C180" s="2">
        <f>IFERROR(__xludf.DUMMYFUNCTION("IMPORTRANGE(""https://docs.google.com/spreadsheets/d/""&amp;$A180&amp;""/edit#gid=156619080"",C$3)"),132.0)</f>
        <v>132</v>
      </c>
      <c r="D180" s="2">
        <f>IFERROR(__xludf.DUMMYFUNCTION("IMPORTRANGE(""https://docs.google.com/spreadsheets/d/""&amp;$A180&amp;""/edit#gid=156619080"",D$3)"),8604.0)</f>
        <v>8604</v>
      </c>
      <c r="E180" s="15">
        <f>IFERROR(__xludf.DUMMYFUNCTION("IMPORTRANGE(""https://docs.google.com/spreadsheets/d/""&amp;$A180&amp;""/edit#gid=156619080"",E$3)"),43882.0)</f>
        <v>43882</v>
      </c>
      <c r="F180" s="2">
        <f>IFERROR(__xludf.DUMMYFUNCTION("IMPORTRANGE(""https://docs.google.com/spreadsheets/d/""&amp;$A180&amp;""/edit#gid=156619080"",F$3)"),-2.6)</f>
        <v>-2.6</v>
      </c>
      <c r="G180" s="16">
        <f>IFERROR(__xludf.DUMMYFUNCTION("IMPORTRANGE(""https://docs.google.com/spreadsheets/d/""&amp;$A180&amp;""/edit#gid=156619080"",G$3)"),-0.46)</f>
        <v>-0.46</v>
      </c>
      <c r="H180" s="16">
        <f>IFERROR(__xludf.DUMMYFUNCTION("IMPORTRANGE(""https://docs.google.com/spreadsheets/d/""&amp;$A180&amp;""/edit#gid=156619080"",H$3)"),562.3)</f>
        <v>562.3</v>
      </c>
      <c r="I180" s="16">
        <f>IFERROR(__xludf.DUMMYFUNCTION("IMPORTRANGE(""https://docs.google.com/spreadsheets/d/""&amp;$A180&amp;""/edit#gid=156619080"",I$3)"),2.1000000000000227)</f>
        <v>2.1</v>
      </c>
      <c r="J180" s="16">
        <f>IFERROR(__xludf.DUMMYFUNCTION("IMPORTRANGE(""https://docs.google.com/spreadsheets/d/""&amp;$A180&amp;""/edit#gid=156619080"",J$3)"),567.5)</f>
        <v>567.5</v>
      </c>
      <c r="K180" s="16">
        <f>IFERROR(__xludf.DUMMYFUNCTION("IMPORTRANGE(""https://docs.google.com/spreadsheets/d/""&amp;$A180&amp;""/edit#gid=156619080"",K$3)"),0.38125)</f>
        <v>0.38125</v>
      </c>
      <c r="L180" s="16">
        <f>IFERROR(__xludf.DUMMYFUNCTION("IMPORTRANGE(""https://docs.google.com/spreadsheets/d/""&amp;$A180&amp;""/edit#gid=156619080"",L$3)"),561.0)</f>
        <v>561</v>
      </c>
      <c r="M180" s="16">
        <f>IFERROR(__xludf.DUMMYFUNCTION("IMPORTRANGE(""https://docs.google.com/spreadsheets/d/""&amp;$A180&amp;""/edit#gid=156619080"",M$3)"),0.47847222222222224)</f>
        <v>0.4784722222</v>
      </c>
      <c r="N180" s="16">
        <f>IFERROR(__xludf.DUMMYFUNCTION("IMPORTRANGE(""https://docs.google.com/spreadsheets/d/""&amp;$A180&amp;""/edit#gid=156619080"",N$3)"),561.8)</f>
        <v>561.8</v>
      </c>
      <c r="O180" s="16" t="str">
        <f>IFERROR(__xludf.DUMMYFUNCTION("IMPORTRANGE(""https://docs.google.com/spreadsheets/d/""&amp;$A180&amp;""/edit#gid=156619080"",O$3)"),"12084600株")</f>
        <v>12084600株</v>
      </c>
      <c r="P180" s="16" t="str">
        <f>IFERROR(__xludf.DUMMYFUNCTION("IMPORTRANGE(""https://docs.google.com/spreadsheets/d/""&amp;$A180&amp;""/edit#gid=156619080"",P$3)"),"6811百万円")</f>
        <v>6811百万円</v>
      </c>
      <c r="Q180" s="16" t="str">
        <f>IFERROR(__xludf.DUMMYFUNCTION("IMPORTRANGE(""https://docs.google.com/spreadsheets/d/""&amp;$A180&amp;""/edit#gid=156619080"",Q$3)"),"7443回")</f>
        <v>7443回</v>
      </c>
      <c r="R180" s="16" t="str">
        <f>IFERROR(__xludf.DUMMYFUNCTION("IMPORTRANGE(""https://docs.google.com/spreadsheets/d/""&amp;$A180&amp;""/edit#gid=156619080"",R$3)"),"19627億円")</f>
        <v>19627億円</v>
      </c>
      <c r="S180" s="16" t="str">
        <f>IFERROR(__xludf.DUMMYFUNCTION("IMPORTRANGE(""https://docs.google.com/spreadsheets/d/""&amp;$A180&amp;""/edit#gid=156619080"",S$3)"),"陰線")</f>
        <v>陰線</v>
      </c>
      <c r="T180" s="16" t="str">
        <f>IFERROR(__xludf.DUMMYFUNCTION("IMPORTRANGE(""https://docs.google.com/spreadsheets/d/""&amp;$A180&amp;""/edit#gid=156619080"",T$3)"),"")</f>
        <v/>
      </c>
      <c r="U180" s="16">
        <f>IFERROR(__xludf.DUMMYFUNCTION("IMPORTRANGE(""https://docs.google.com/spreadsheets/d/""&amp;$A180&amp;""/edit#gid=156619080"",U$3)"),559.8)</f>
        <v>559.8</v>
      </c>
      <c r="V180" s="16">
        <f>IFERROR(__xludf.DUMMYFUNCTION("IMPORTRANGE(""https://docs.google.com/spreadsheets/d/""&amp;$A180&amp;""/edit#gid=156619080"",V$3)"),558.5)</f>
        <v>558.5</v>
      </c>
      <c r="W180" s="16">
        <f>IFERROR(__xludf.DUMMYFUNCTION("IMPORTRANGE(""https://docs.google.com/spreadsheets/d/""&amp;$A180&amp;""/edit#gid=156619080"",W$3)"),560.5)</f>
        <v>560.5</v>
      </c>
      <c r="X180" s="2">
        <f>IFERROR(__xludf.DUMMYFUNCTION("IMPORTRANGE(""https://docs.google.com/spreadsheets/d/""&amp;$A180&amp;""/edit#gid=156619080"",X$3)"),526.9)</f>
        <v>526.9</v>
      </c>
      <c r="Y180" s="17">
        <f>IFERROR(__xludf.DUMMYFUNCTION("IMPORTRANGE(""https://docs.google.com/spreadsheets/d/""&amp;$A180&amp;""/edit#gid=156619080"",Y$3)"),0.0035727045373347625)</f>
        <v>0.003572704537</v>
      </c>
      <c r="Z180" s="2">
        <f>IFERROR(__xludf.DUMMYFUNCTION("IMPORTRANGE(""https://docs.google.com/spreadsheets/d/""&amp;$A180&amp;""/edit#gid=156619080"",Z$3)"),575.2)</f>
        <v>575.2</v>
      </c>
      <c r="AA180" s="2">
        <f>IFERROR(__xludf.DUMMYFUNCTION("IMPORTRANGE(""https://docs.google.com/spreadsheets/d/""&amp;$A180&amp;""/edit#gid=156619080"",AA$3)"),573.37)</f>
        <v>573.37</v>
      </c>
      <c r="AB180" s="2">
        <f>IFERROR(__xludf.DUMMYFUNCTION("IMPORTRANGE(""https://docs.google.com/spreadsheets/d/""&amp;$A180&amp;""/edit#gid=156619080"",AB$3)"),571.53)</f>
        <v>571.53</v>
      </c>
      <c r="AC180" s="18">
        <f>IFERROR(__xludf.DUMMYFUNCTION("IMPORTRANGE(""https://docs.google.com/spreadsheets/d/""&amp;$A180&amp;""/edit#gid=156619080"",AC$3)"),569.69)</f>
        <v>569.69</v>
      </c>
      <c r="AD180" s="18">
        <f>IFERROR(__xludf.DUMMYFUNCTION("IMPORTRANGE(""https://docs.google.com/spreadsheets/d/""&amp;$A180&amp;""/edit#gid=156619080"",AD$3)"),567.85)</f>
        <v>567.85</v>
      </c>
      <c r="AE180" s="18">
        <f>IFERROR(__xludf.DUMMYFUNCTION("IMPORTRANGE(""https://docs.google.com/spreadsheets/d/""&amp;$A180&amp;""/edit#gid=156619080"",AE$3)"),560.5)</f>
        <v>560.5</v>
      </c>
      <c r="AF180" s="2">
        <f>IFERROR(__xludf.DUMMYFUNCTION("IMPORTRANGE(""https://docs.google.com/spreadsheets/d/""&amp;$A180&amp;""/edit#gid=156619080"",AF$3)"),553.15)</f>
        <v>553.15</v>
      </c>
      <c r="AG180" s="2">
        <f>IFERROR(__xludf.DUMMYFUNCTION("IMPORTRANGE(""https://docs.google.com/spreadsheets/d/""&amp;$A180&amp;""/edit#gid=156619080"",AG$3)"),551.31)</f>
        <v>551.31</v>
      </c>
      <c r="AH180" s="2">
        <f>IFERROR(__xludf.DUMMYFUNCTION("IMPORTRANGE(""https://docs.google.com/spreadsheets/d/""&amp;$A180&amp;""/edit#gid=156619080"",AH$3)"),549.47)</f>
        <v>549.47</v>
      </c>
      <c r="AI180" s="2">
        <f>IFERROR(__xludf.DUMMYFUNCTION("IMPORTRANGE(""https://docs.google.com/spreadsheets/d/""&amp;$A180&amp;""/edit#gid=156619080"",AI$3)"),547.63)</f>
        <v>547.63</v>
      </c>
      <c r="AJ180" s="2">
        <f>IFERROR(__xludf.DUMMYFUNCTION("IMPORTRANGE(""https://docs.google.com/spreadsheets/d/""&amp;$A180&amp;""/edit#gid=156619080"",AJ$3)"),545.8)</f>
        <v>545.8</v>
      </c>
      <c r="AK180" s="2" t="str">
        <f>IFERROR(__xludf.DUMMYFUNCTION("IMPORTRANGE(""https://docs.google.com/spreadsheets/d/""&amp;$A180&amp;""/edit#gid=156619080"",AK$3)"),"")</f>
        <v/>
      </c>
      <c r="AL180" s="2">
        <f>IFERROR(__xludf.DUMMYFUNCTION("IMPORTRANGE(""https://docs.google.com/spreadsheets/d/""&amp;$A180&amp;""/edit#gid=156619080"",AL$3)"),1.0)</f>
        <v>1</v>
      </c>
      <c r="AM180" s="2" t="str">
        <f>IFERROR(__xludf.DUMMYFUNCTION("IMPORTRANGE(""https://docs.google.com/spreadsheets/d/""&amp;$A180&amp;""/edit#gid=156619080"",AM$3)"),"")</f>
        <v/>
      </c>
      <c r="AN180" s="2">
        <f>IFERROR(__xludf.DUMMYFUNCTION("IMPORTRANGE(""https://docs.google.com/spreadsheets/d/""&amp;$A180&amp;""/edit#gid=156619080"",AN$3)"),-1.0)</f>
        <v>-1</v>
      </c>
      <c r="AO180" s="2" t="str">
        <f>IFERROR(__xludf.DUMMYFUNCTION("IMPORTRANGE(""https://docs.google.com/spreadsheets/d/""&amp;$A180&amp;""/edit#gid=156619080"",AO$3)"),"")</f>
        <v/>
      </c>
      <c r="AP180" s="2">
        <f>IFERROR(__xludf.DUMMYFUNCTION("IMPORTRANGE(""https://docs.google.com/spreadsheets/d/""&amp;$A180&amp;""/edit#gid=156619080"",AP$3)"),-1.0)</f>
        <v>-1</v>
      </c>
      <c r="AQ180" s="2" t="str">
        <f>IFERROR(__xludf.DUMMYFUNCTION("IMPORTRANGE(""https://docs.google.com/spreadsheets/d/""&amp;$A180&amp;""/edit#gid=156619080"",AQ$3)"),"")</f>
        <v/>
      </c>
      <c r="AR180" s="18">
        <f>IFERROR(__xludf.DUMMYFUNCTION("IMPORTRANGE(""https://docs.google.com/spreadsheets/d/""&amp;$A180&amp;""/edit#gid=156619080"",AR$3)"),60.0)</f>
        <v>60</v>
      </c>
      <c r="AS180" s="19" t="str">
        <f>IFERROR(__xludf.DUMMYFUNCTION("IMPORTRANGE(""https://docs.google.com/spreadsheets/d/""&amp;$A180&amp;""/edit#gid=156619080"",AS$3)"),"-70
-100
-90
10
")</f>
        <v>-70
-100
-90
10
</v>
      </c>
      <c r="AT180" s="18">
        <f>IFERROR(__xludf.DUMMYFUNCTION("IMPORTRANGE(""https://docs.google.com/spreadsheets/d/""&amp;$A180&amp;""/edit#gid=156619080"",AT$3)"),31.868131868131865)</f>
        <v>31.86813187</v>
      </c>
      <c r="AU180" s="3" t="str">
        <f>IFERROR(__xludf.DUMMYFUNCTION("IMPORTRANGE(""https://docs.google.com/spreadsheets/d/""&amp;$A180&amp;""/edit#gid=156619080"",AU$3)"),"-20.19
-5.36
9.34
45.05
")</f>
        <v>-20.19
-5.36
9.34
45.05
</v>
      </c>
      <c r="AV180" s="18">
        <f>IFERROR(__xludf.DUMMYFUNCTION("IMPORTRANGE(""https://docs.google.com/spreadsheets/d/""&amp;$A180&amp;""/edit#gid=156619080"",AV$3)"),-23.863636363636353)</f>
        <v>-23.86363636</v>
      </c>
      <c r="AW180" s="19" t="str">
        <f>IFERROR(__xludf.DUMMYFUNCTION("IMPORTRANGE(""https://docs.google.com/spreadsheets/d/""&amp;$A180&amp;""/edit#gid=156619080"",AW$3)"),"-57.76
-55.29
-49.97
-36.72
")</f>
        <v>-57.76
-55.29
-49.97
-36.72
</v>
      </c>
      <c r="AX180" s="2">
        <f>IFERROR(__xludf.DUMMYFUNCTION("IMPORTRANGE(""https://docs.google.com/spreadsheets/d/""&amp;$A180&amp;""/edit#gid=156619080"",AX$3)"),49.4)</f>
        <v>49.4</v>
      </c>
      <c r="AY180" s="2">
        <f>IFERROR(__xludf.DUMMYFUNCTION("IMPORTRANGE(""https://docs.google.com/spreadsheets/d/""&amp;$A180&amp;""/edit#gid=156619080"",AY$3)"),43.41)</f>
        <v>43.41</v>
      </c>
      <c r="AZ180" s="2">
        <f>IFERROR(__xludf.DUMMYFUNCTION("IMPORTRANGE(""https://docs.google.com/spreadsheets/d/""&amp;$A180&amp;""/edit#gid=156619080"",AZ$3)"),561.08)</f>
        <v>561.08</v>
      </c>
      <c r="BA180" s="2">
        <f>IFERROR(__xludf.DUMMYFUNCTION("IMPORTRANGE(""https://docs.google.com/spreadsheets/d/""&amp;$A180&amp;""/edit#gid=156619080"",BA$3)"),0.020000000000095497)</f>
        <v>0.02</v>
      </c>
      <c r="BB180" s="2">
        <f>IFERROR(__xludf.DUMMYFUNCTION("IMPORTRANGE(""https://docs.google.com/spreadsheets/d/""&amp;$A180&amp;""/edit#gid=156619080"",BB$3)"),-0.85)</f>
        <v>-0.85</v>
      </c>
      <c r="BC180" s="2" t="str">
        <f>IFERROR(__xludf.DUMMYFUNCTION("IMPORTRANGE(""https://docs.google.com/spreadsheets/d/""&amp;$A180&amp;""/edit#gid=156619080"",BC$3)"),"GC→GC")</f>
        <v>GC→GC</v>
      </c>
    </row>
    <row r="181" ht="51.0" customHeight="1">
      <c r="A181" s="7" t="str">
        <f t="shared" si="5"/>
        <v>1WQcfYFp3eS_iYn7Io5c9v2OkT2D0bHHBkWNEvRjO9t0</v>
      </c>
      <c r="B181" s="1" t="s">
        <v>208</v>
      </c>
      <c r="C181" s="2">
        <f>IFERROR(__xludf.DUMMYFUNCTION("IMPORTRANGE(""https://docs.google.com/spreadsheets/d/""&amp;$A181&amp;""/edit#gid=156619080"",C$3)"),132.0)</f>
        <v>132</v>
      </c>
      <c r="D181" s="2">
        <f>IFERROR(__xludf.DUMMYFUNCTION("IMPORTRANGE(""https://docs.google.com/spreadsheets/d/""&amp;$A181&amp;""/edit#gid=156619080"",D$3)"),8628.0)</f>
        <v>8628</v>
      </c>
      <c r="E181" s="15">
        <f>IFERROR(__xludf.DUMMYFUNCTION("IMPORTRANGE(""https://docs.google.com/spreadsheets/d/""&amp;$A181&amp;""/edit#gid=156619080"",E$3)"),43882.0)</f>
        <v>43882</v>
      </c>
      <c r="F181" s="2">
        <f>IFERROR(__xludf.DUMMYFUNCTION("IMPORTRANGE(""https://docs.google.com/spreadsheets/d/""&amp;$A181&amp;""/edit#gid=156619080"",F$3)"),-4.0)</f>
        <v>-4</v>
      </c>
      <c r="G181" s="16">
        <f>IFERROR(__xludf.DUMMYFUNCTION("IMPORTRANGE(""https://docs.google.com/spreadsheets/d/""&amp;$A181&amp;""/edit#gid=156619080"",G$3)"),-0.45)</f>
        <v>-0.45</v>
      </c>
      <c r="H181" s="16">
        <f>IFERROR(__xludf.DUMMYFUNCTION("IMPORTRANGE(""https://docs.google.com/spreadsheets/d/""&amp;$A181&amp;""/edit#gid=156619080"",H$3)"),897.0)</f>
        <v>897</v>
      </c>
      <c r="I181" s="16">
        <f>IFERROR(__xludf.DUMMYFUNCTION("IMPORTRANGE(""https://docs.google.com/spreadsheets/d/""&amp;$A181&amp;""/edit#gid=156619080"",I$3)"),0.0)</f>
        <v>0</v>
      </c>
      <c r="J181" s="16">
        <f>IFERROR(__xludf.DUMMYFUNCTION("IMPORTRANGE(""https://docs.google.com/spreadsheets/d/""&amp;$A181&amp;""/edit#gid=156619080"",J$3)"),899.0)</f>
        <v>899</v>
      </c>
      <c r="K181" s="16">
        <f>IFERROR(__xludf.DUMMYFUNCTION("IMPORTRANGE(""https://docs.google.com/spreadsheets/d/""&amp;$A181&amp;""/edit#gid=156619080"",K$3)"),0.37916666666666665)</f>
        <v>0.3791666667</v>
      </c>
      <c r="L181" s="16">
        <f>IFERROR(__xludf.DUMMYFUNCTION("IMPORTRANGE(""https://docs.google.com/spreadsheets/d/""&amp;$A181&amp;""/edit#gid=156619080"",L$3)"),892.0)</f>
        <v>892</v>
      </c>
      <c r="M181" s="16">
        <f>IFERROR(__xludf.DUMMYFUNCTION("IMPORTRANGE(""https://docs.google.com/spreadsheets/d/""&amp;$A181&amp;""/edit#gid=156619080"",M$3)"),0.475)</f>
        <v>0.475</v>
      </c>
      <c r="N181" s="16">
        <f>IFERROR(__xludf.DUMMYFUNCTION("IMPORTRANGE(""https://docs.google.com/spreadsheets/d/""&amp;$A181&amp;""/edit#gid=156619080"",N$3)"),893.0)</f>
        <v>893</v>
      </c>
      <c r="O181" s="16" t="str">
        <f>IFERROR(__xludf.DUMMYFUNCTION("IMPORTRANGE(""https://docs.google.com/spreadsheets/d/""&amp;$A181&amp;""/edit#gid=156619080"",O$3)"),"506800株")</f>
        <v>506800株</v>
      </c>
      <c r="P181" s="16" t="str">
        <f>IFERROR(__xludf.DUMMYFUNCTION("IMPORTRANGE(""https://docs.google.com/spreadsheets/d/""&amp;$A181&amp;""/edit#gid=156619080"",P$3)"),"453百万円")</f>
        <v>453百万円</v>
      </c>
      <c r="Q181" s="16" t="str">
        <f>IFERROR(__xludf.DUMMYFUNCTION("IMPORTRANGE(""https://docs.google.com/spreadsheets/d/""&amp;$A181&amp;""/edit#gid=156619080"",Q$3)"),"565回")</f>
        <v>565回</v>
      </c>
      <c r="R181" s="16" t="str">
        <f>IFERROR(__xludf.DUMMYFUNCTION("IMPORTRANGE(""https://docs.google.com/spreadsheets/d/""&amp;$A181&amp;""/edit#gid=156619080"",R$3)"),"2315億円")</f>
        <v>2315億円</v>
      </c>
      <c r="S181" s="16" t="str">
        <f>IFERROR(__xludf.DUMMYFUNCTION("IMPORTRANGE(""https://docs.google.com/spreadsheets/d/""&amp;$A181&amp;""/edit#gid=156619080"",S$3)"),"陰線")</f>
        <v>陰線</v>
      </c>
      <c r="T181" s="16" t="str">
        <f>IFERROR(__xludf.DUMMYFUNCTION("IMPORTRANGE(""https://docs.google.com/spreadsheets/d/""&amp;$A181&amp;""/edit#gid=156619080"",T$3)"),"")</f>
        <v/>
      </c>
      <c r="U181" s="16">
        <f>IFERROR(__xludf.DUMMYFUNCTION("IMPORTRANGE(""https://docs.google.com/spreadsheets/d/""&amp;$A181&amp;""/edit#gid=156619080"",U$3)"),895.6)</f>
        <v>895.6</v>
      </c>
      <c r="V181" s="16">
        <f>IFERROR(__xludf.DUMMYFUNCTION("IMPORTRANGE(""https://docs.google.com/spreadsheets/d/""&amp;$A181&amp;""/edit#gid=156619080"",V$3)"),898.6)</f>
        <v>898.6</v>
      </c>
      <c r="W181" s="16">
        <f>IFERROR(__xludf.DUMMYFUNCTION("IMPORTRANGE(""https://docs.google.com/spreadsheets/d/""&amp;$A181&amp;""/edit#gid=156619080"",W$3)"),892.6)</f>
        <v>892.6</v>
      </c>
      <c r="X181" s="2">
        <f>IFERROR(__xludf.DUMMYFUNCTION("IMPORTRANGE(""https://docs.google.com/spreadsheets/d/""&amp;$A181&amp;""/edit#gid=156619080"",X$3)"),882.4)</f>
        <v>882.4</v>
      </c>
      <c r="Y181" s="17">
        <f>IFERROR(__xludf.DUMMYFUNCTION("IMPORTRANGE(""https://docs.google.com/spreadsheets/d/""&amp;$A181&amp;""/edit#gid=156619080"",Y$3)"),-0.0029030817329165058)</f>
        <v>-0.002903081733</v>
      </c>
      <c r="Z181" s="2">
        <f>IFERROR(__xludf.DUMMYFUNCTION("IMPORTRANGE(""https://docs.google.com/spreadsheets/d/""&amp;$A181&amp;""/edit#gid=156619080"",Z$3)"),912.18)</f>
        <v>912.18</v>
      </c>
      <c r="AA181" s="2">
        <f>IFERROR(__xludf.DUMMYFUNCTION("IMPORTRANGE(""https://docs.google.com/spreadsheets/d/""&amp;$A181&amp;""/edit#gid=156619080"",AA$3)"),909.73)</f>
        <v>909.73</v>
      </c>
      <c r="AB181" s="2">
        <f>IFERROR(__xludf.DUMMYFUNCTION("IMPORTRANGE(""https://docs.google.com/spreadsheets/d/""&amp;$A181&amp;""/edit#gid=156619080"",AB$3)"),907.29)</f>
        <v>907.29</v>
      </c>
      <c r="AC181" s="18">
        <f>IFERROR(__xludf.DUMMYFUNCTION("IMPORTRANGE(""https://docs.google.com/spreadsheets/d/""&amp;$A181&amp;""/edit#gid=156619080"",AC$3)"),904.84)</f>
        <v>904.84</v>
      </c>
      <c r="AD181" s="18">
        <f>IFERROR(__xludf.DUMMYFUNCTION("IMPORTRANGE(""https://docs.google.com/spreadsheets/d/""&amp;$A181&amp;""/edit#gid=156619080"",AD$3)"),902.39)</f>
        <v>902.39</v>
      </c>
      <c r="AE181" s="18">
        <f>IFERROR(__xludf.DUMMYFUNCTION("IMPORTRANGE(""https://docs.google.com/spreadsheets/d/""&amp;$A181&amp;""/edit#gid=156619080"",AE$3)"),892.6)</f>
        <v>892.6</v>
      </c>
      <c r="AF181" s="2">
        <f>IFERROR(__xludf.DUMMYFUNCTION("IMPORTRANGE(""https://docs.google.com/spreadsheets/d/""&amp;$A181&amp;""/edit#gid=156619080"",AF$3)"),882.81)</f>
        <v>882.81</v>
      </c>
      <c r="AG181" s="2">
        <f>IFERROR(__xludf.DUMMYFUNCTION("IMPORTRANGE(""https://docs.google.com/spreadsheets/d/""&amp;$A181&amp;""/edit#gid=156619080"",AG$3)"),880.36)</f>
        <v>880.36</v>
      </c>
      <c r="AH181" s="2">
        <f>IFERROR(__xludf.DUMMYFUNCTION("IMPORTRANGE(""https://docs.google.com/spreadsheets/d/""&amp;$A181&amp;""/edit#gid=156619080"",AH$3)"),877.91)</f>
        <v>877.91</v>
      </c>
      <c r="AI181" s="2">
        <f>IFERROR(__xludf.DUMMYFUNCTION("IMPORTRANGE(""https://docs.google.com/spreadsheets/d/""&amp;$A181&amp;""/edit#gid=156619080"",AI$3)"),875.47)</f>
        <v>875.47</v>
      </c>
      <c r="AJ181" s="2">
        <f>IFERROR(__xludf.DUMMYFUNCTION("IMPORTRANGE(""https://docs.google.com/spreadsheets/d/""&amp;$A181&amp;""/edit#gid=156619080"",AJ$3)"),873.02)</f>
        <v>873.02</v>
      </c>
      <c r="AK181" s="2" t="str">
        <f>IFERROR(__xludf.DUMMYFUNCTION("IMPORTRANGE(""https://docs.google.com/spreadsheets/d/""&amp;$A181&amp;""/edit#gid=156619080"",AK$3)"),"")</f>
        <v/>
      </c>
      <c r="AL181" s="2">
        <f>IFERROR(__xludf.DUMMYFUNCTION("IMPORTRANGE(""https://docs.google.com/spreadsheets/d/""&amp;$A181&amp;""/edit#gid=156619080"",AL$3)"),-1.0)</f>
        <v>-1</v>
      </c>
      <c r="AM181" s="2" t="str">
        <f>IFERROR(__xludf.DUMMYFUNCTION("IMPORTRANGE(""https://docs.google.com/spreadsheets/d/""&amp;$A181&amp;""/edit#gid=156619080"",AM$3)"),"bs1")</f>
        <v>bs1</v>
      </c>
      <c r="AN181" s="2">
        <f>IFERROR(__xludf.DUMMYFUNCTION("IMPORTRANGE(""https://docs.google.com/spreadsheets/d/""&amp;$A181&amp;""/edit#gid=156619080"",AN$3)"),1.0)</f>
        <v>1</v>
      </c>
      <c r="AO181" s="2" t="str">
        <f>IFERROR(__xludf.DUMMYFUNCTION("IMPORTRANGE(""https://docs.google.com/spreadsheets/d/""&amp;$A181&amp;""/edit#gid=156619080"",AO$3)"),"")</f>
        <v/>
      </c>
      <c r="AP181" s="2">
        <f>IFERROR(__xludf.DUMMYFUNCTION("IMPORTRANGE(""https://docs.google.com/spreadsheets/d/""&amp;$A181&amp;""/edit#gid=156619080"",AP$3)"),1.0)</f>
        <v>1</v>
      </c>
      <c r="AQ181" s="2" t="str">
        <f>IFERROR(__xludf.DUMMYFUNCTION("IMPORTRANGE(""https://docs.google.com/spreadsheets/d/""&amp;$A181&amp;""/edit#gid=156619080"",AQ$3)"),"")</f>
        <v/>
      </c>
      <c r="AR181" s="18">
        <f>IFERROR(__xludf.DUMMYFUNCTION("IMPORTRANGE(""https://docs.google.com/spreadsheets/d/""&amp;$A181&amp;""/edit#gid=156619080"",AR$3)"),-50.0)</f>
        <v>-50</v>
      </c>
      <c r="AS181" s="19" t="str">
        <f>IFERROR(__xludf.DUMMYFUNCTION("IMPORTRANGE(""https://docs.google.com/spreadsheets/d/""&amp;$A181&amp;""/edit#gid=156619080"",AS$3)"),"7.5
-92.5
-100
-70
")</f>
        <v>7.5
-92.5
-100
-70
</v>
      </c>
      <c r="AT181" s="18">
        <f>IFERROR(__xludf.DUMMYFUNCTION("IMPORTRANGE(""https://docs.google.com/spreadsheets/d/""&amp;$A181&amp;""/edit#gid=156619080"",AT$3)"),-14.972527472527464)</f>
        <v>-14.97252747</v>
      </c>
      <c r="AU181" s="3" t="str">
        <f>IFERROR(__xludf.DUMMYFUNCTION("IMPORTRANGE(""https://docs.google.com/spreadsheets/d/""&amp;$A181&amp;""/edit#gid=156619080"",AU$3)"),"77.34
58.24
27.34
20.19
")</f>
        <v>77.34
58.24
27.34
20.19
</v>
      </c>
      <c r="AV181" s="18">
        <f>IFERROR(__xludf.DUMMYFUNCTION("IMPORTRANGE(""https://docs.google.com/spreadsheets/d/""&amp;$A181&amp;""/edit#gid=156619080"",AV$3)"),64.38311688311688)</f>
        <v>64.38311688</v>
      </c>
      <c r="AW181" s="19" t="str">
        <f>IFERROR(__xludf.DUMMYFUNCTION("IMPORTRANGE(""https://docs.google.com/spreadsheets/d/""&amp;$A181&amp;""/edit#gid=156619080"",AW$3)"),"75.91
75.94
73.21
70.84
")</f>
        <v>75.91
75.94
73.21
70.84
</v>
      </c>
      <c r="AX181" s="2">
        <f>IFERROR(__xludf.DUMMYFUNCTION("IMPORTRANGE(""https://docs.google.com/spreadsheets/d/""&amp;$A181&amp;""/edit#gid=156619080"",AX$3)"),22.73)</f>
        <v>22.73</v>
      </c>
      <c r="AY181" s="2">
        <f>IFERROR(__xludf.DUMMYFUNCTION("IMPORTRANGE(""https://docs.google.com/spreadsheets/d/""&amp;$A181&amp;""/edit#gid=156619080"",AY$3)"),52.38)</f>
        <v>52.38</v>
      </c>
      <c r="AZ181" s="2">
        <f>IFERROR(__xludf.DUMMYFUNCTION("IMPORTRANGE(""https://docs.google.com/spreadsheets/d/""&amp;$A181&amp;""/edit#gid=156619080"",AZ$3)"),895.79)</f>
        <v>895.79</v>
      </c>
      <c r="BA181" s="2">
        <f>IFERROR(__xludf.DUMMYFUNCTION("IMPORTRANGE(""https://docs.google.com/spreadsheets/d/""&amp;$A181&amp;""/edit#gid=156619080"",BA$3)"),2.419999999999959)</f>
        <v>2.42</v>
      </c>
      <c r="BB181" s="2">
        <f>IFERROR(__xludf.DUMMYFUNCTION("IMPORTRANGE(""https://docs.google.com/spreadsheets/d/""&amp;$A181&amp;""/edit#gid=156619080"",BB$3)"),5.96)</f>
        <v>5.96</v>
      </c>
      <c r="BC181" s="2" t="str">
        <f>IFERROR(__xludf.DUMMYFUNCTION("IMPORTRANGE(""https://docs.google.com/spreadsheets/d/""&amp;$A181&amp;""/edit#gid=156619080"",BC$3)"),"DC→DC")</f>
        <v>DC→DC</v>
      </c>
    </row>
    <row r="182" ht="51.0" customHeight="1">
      <c r="A182" s="7" t="str">
        <f t="shared" si="5"/>
        <v>1vn4FCYQJN-VFYblQqJCSbAu4P924XDT6ESHaemK5fxI</v>
      </c>
      <c r="B182" s="1" t="s">
        <v>209</v>
      </c>
      <c r="C182" s="2">
        <f>IFERROR(__xludf.DUMMYFUNCTION("IMPORTRANGE(""https://docs.google.com/spreadsheets/d/""&amp;$A182&amp;""/edit#gid=156619080"",C$3)"),132.0)</f>
        <v>132</v>
      </c>
      <c r="D182" s="2">
        <f>IFERROR(__xludf.DUMMYFUNCTION("IMPORTRANGE(""https://docs.google.com/spreadsheets/d/""&amp;$A182&amp;""/edit#gid=156619080"",D$3)"),8630.0)</f>
        <v>8630</v>
      </c>
      <c r="E182" s="15">
        <f>IFERROR(__xludf.DUMMYFUNCTION("IMPORTRANGE(""https://docs.google.com/spreadsheets/d/""&amp;$A182&amp;""/edit#gid=156619080"",E$3)"),43882.0)</f>
        <v>43882</v>
      </c>
      <c r="F182" s="2">
        <f>IFERROR(__xludf.DUMMYFUNCTION("IMPORTRANGE(""https://docs.google.com/spreadsheets/d/""&amp;$A182&amp;""/edit#gid=156619080"",F$3)"),20.0)</f>
        <v>20</v>
      </c>
      <c r="G182" s="16">
        <f>IFERROR(__xludf.DUMMYFUNCTION("IMPORTRANGE(""https://docs.google.com/spreadsheets/d/""&amp;$A182&amp;""/edit#gid=156619080"",G$3)"),0.46)</f>
        <v>0.46</v>
      </c>
      <c r="H182" s="16">
        <f>IFERROR(__xludf.DUMMYFUNCTION("IMPORTRANGE(""https://docs.google.com/spreadsheets/d/""&amp;$A182&amp;""/edit#gid=156619080"",H$3)"),4360.0)</f>
        <v>4360</v>
      </c>
      <c r="I182" s="16">
        <f>IFERROR(__xludf.DUMMYFUNCTION("IMPORTRANGE(""https://docs.google.com/spreadsheets/d/""&amp;$A182&amp;""/edit#gid=156619080"",I$3)"),7.0)</f>
        <v>7</v>
      </c>
      <c r="J182" s="16">
        <f>IFERROR(__xludf.DUMMYFUNCTION("IMPORTRANGE(""https://docs.google.com/spreadsheets/d/""&amp;$A182&amp;""/edit#gid=156619080"",J$3)"),4419.0)</f>
        <v>4419</v>
      </c>
      <c r="K182" s="16">
        <f>IFERROR(__xludf.DUMMYFUNCTION("IMPORTRANGE(""https://docs.google.com/spreadsheets/d/""&amp;$A182&amp;""/edit#gid=156619080"",K$3)"),0.3909722222222222)</f>
        <v>0.3909722222</v>
      </c>
      <c r="L182" s="16">
        <f>IFERROR(__xludf.DUMMYFUNCTION("IMPORTRANGE(""https://docs.google.com/spreadsheets/d/""&amp;$A182&amp;""/edit#gid=156619080"",L$3)"),4356.0)</f>
        <v>4356</v>
      </c>
      <c r="M182" s="16">
        <f>IFERROR(__xludf.DUMMYFUNCTION("IMPORTRANGE(""https://docs.google.com/spreadsheets/d/""&amp;$A182&amp;""/edit#gid=156619080"",M$3)"),0.375)</f>
        <v>0.375</v>
      </c>
      <c r="N182" s="16">
        <f>IFERROR(__xludf.DUMMYFUNCTION("IMPORTRANGE(""https://docs.google.com/spreadsheets/d/""&amp;$A182&amp;""/edit#gid=156619080"",N$3)"),4387.0)</f>
        <v>4387</v>
      </c>
      <c r="O182" s="16" t="str">
        <f>IFERROR(__xludf.DUMMYFUNCTION("IMPORTRANGE(""https://docs.google.com/spreadsheets/d/""&amp;$A182&amp;""/edit#gid=156619080"",O$3)"),"805200株")</f>
        <v>805200株</v>
      </c>
      <c r="P182" s="16" t="str">
        <f>IFERROR(__xludf.DUMMYFUNCTION("IMPORTRANGE(""https://docs.google.com/spreadsheets/d/""&amp;$A182&amp;""/edit#gid=156619080"",P$3)"),"3533百万円")</f>
        <v>3533百万円</v>
      </c>
      <c r="Q182" s="16" t="str">
        <f>IFERROR(__xludf.DUMMYFUNCTION("IMPORTRANGE(""https://docs.google.com/spreadsheets/d/""&amp;$A182&amp;""/edit#gid=156619080"",Q$3)"),"2372回")</f>
        <v>2372回</v>
      </c>
      <c r="R182" s="16" t="str">
        <f>IFERROR(__xludf.DUMMYFUNCTION("IMPORTRANGE(""https://docs.google.com/spreadsheets/d/""&amp;$A182&amp;""/edit#gid=156619080"",R$3)"),"16378億円")</f>
        <v>16378億円</v>
      </c>
      <c r="S182" s="16" t="str">
        <f>IFERROR(__xludf.DUMMYFUNCTION("IMPORTRANGE(""https://docs.google.com/spreadsheets/d/""&amp;$A182&amp;""/edit#gid=156619080"",S$3)"),"陽線")</f>
        <v>陽線</v>
      </c>
      <c r="T182" s="16" t="str">
        <f>IFERROR(__xludf.DUMMYFUNCTION("IMPORTRANGE(""https://docs.google.com/spreadsheets/d/""&amp;$A182&amp;""/edit#gid=156619080"",T$3)"),"")</f>
        <v/>
      </c>
      <c r="U182" s="16">
        <f>IFERROR(__xludf.DUMMYFUNCTION("IMPORTRANGE(""https://docs.google.com/spreadsheets/d/""&amp;$A182&amp;""/edit#gid=156619080"",U$3)"),4342.6)</f>
        <v>4342.6</v>
      </c>
      <c r="V182" s="16">
        <f>IFERROR(__xludf.DUMMYFUNCTION("IMPORTRANGE(""https://docs.google.com/spreadsheets/d/""&amp;$A182&amp;""/edit#gid=156619080"",V$3)"),4277.6)</f>
        <v>4277.6</v>
      </c>
      <c r="W182" s="16">
        <f>IFERROR(__xludf.DUMMYFUNCTION("IMPORTRANGE(""https://docs.google.com/spreadsheets/d/""&amp;$A182&amp;""/edit#gid=156619080"",W$3)"),4235.0)</f>
        <v>4235</v>
      </c>
      <c r="X182" s="2">
        <f>IFERROR(__xludf.DUMMYFUNCTION("IMPORTRANGE(""https://docs.google.com/spreadsheets/d/""&amp;$A182&amp;""/edit#gid=156619080"",X$3)"),4284.0)</f>
        <v>4284</v>
      </c>
      <c r="Y182" s="17">
        <f>IFERROR(__xludf.DUMMYFUNCTION("IMPORTRANGE(""https://docs.google.com/spreadsheets/d/""&amp;$A182&amp;""/edit#gid=156619080"",Y$3)"),0.010224289596094421)</f>
        <v>0.0102242896</v>
      </c>
      <c r="Z182" s="2">
        <f>IFERROR(__xludf.DUMMYFUNCTION("IMPORTRANGE(""https://docs.google.com/spreadsheets/d/""&amp;$A182&amp;""/edit#gid=156619080"",Z$3)"),4409.09)</f>
        <v>4409.09</v>
      </c>
      <c r="AA182" s="2">
        <f>IFERROR(__xludf.DUMMYFUNCTION("IMPORTRANGE(""https://docs.google.com/spreadsheets/d/""&amp;$A182&amp;""/edit#gid=156619080"",AA$3)"),4387.33)</f>
        <v>4387.33</v>
      </c>
      <c r="AB182" s="2">
        <f>IFERROR(__xludf.DUMMYFUNCTION("IMPORTRANGE(""https://docs.google.com/spreadsheets/d/""&amp;$A182&amp;""/edit#gid=156619080"",AB$3)"),4365.57)</f>
        <v>4365.57</v>
      </c>
      <c r="AC182" s="18">
        <f>IFERROR(__xludf.DUMMYFUNCTION("IMPORTRANGE(""https://docs.google.com/spreadsheets/d/""&amp;$A182&amp;""/edit#gid=156619080"",AC$3)"),4343.81)</f>
        <v>4343.81</v>
      </c>
      <c r="AD182" s="18">
        <f>IFERROR(__xludf.DUMMYFUNCTION("IMPORTRANGE(""https://docs.google.com/spreadsheets/d/""&amp;$A182&amp;""/edit#gid=156619080"",AD$3)"),4322.05)</f>
        <v>4322.05</v>
      </c>
      <c r="AE182" s="18">
        <f>IFERROR(__xludf.DUMMYFUNCTION("IMPORTRANGE(""https://docs.google.com/spreadsheets/d/""&amp;$A182&amp;""/edit#gid=156619080"",AE$3)"),4235.0)</f>
        <v>4235</v>
      </c>
      <c r="AF182" s="2">
        <f>IFERROR(__xludf.DUMMYFUNCTION("IMPORTRANGE(""https://docs.google.com/spreadsheets/d/""&amp;$A182&amp;""/edit#gid=156619080"",AF$3)"),4147.95)</f>
        <v>4147.95</v>
      </c>
      <c r="AG182" s="2">
        <f>IFERROR(__xludf.DUMMYFUNCTION("IMPORTRANGE(""https://docs.google.com/spreadsheets/d/""&amp;$A182&amp;""/edit#gid=156619080"",AG$3)"),4126.19)</f>
        <v>4126.19</v>
      </c>
      <c r="AH182" s="2">
        <f>IFERROR(__xludf.DUMMYFUNCTION("IMPORTRANGE(""https://docs.google.com/spreadsheets/d/""&amp;$A182&amp;""/edit#gid=156619080"",AH$3)"),4104.43)</f>
        <v>4104.43</v>
      </c>
      <c r="AI182" s="2">
        <f>IFERROR(__xludf.DUMMYFUNCTION("IMPORTRANGE(""https://docs.google.com/spreadsheets/d/""&amp;$A182&amp;""/edit#gid=156619080"",AI$3)"),4082.67)</f>
        <v>4082.67</v>
      </c>
      <c r="AJ182" s="2">
        <f>IFERROR(__xludf.DUMMYFUNCTION("IMPORTRANGE(""https://docs.google.com/spreadsheets/d/""&amp;$A182&amp;""/edit#gid=156619080"",AJ$3)"),4060.91)</f>
        <v>4060.91</v>
      </c>
      <c r="AK182" s="2" t="str">
        <f>IFERROR(__xludf.DUMMYFUNCTION("IMPORTRANGE(""https://docs.google.com/spreadsheets/d/""&amp;$A182&amp;""/edit#gid=156619080"",AK$3)"),"1.5σ〜1.75σ")</f>
        <v>1.5σ〜1.75σ</v>
      </c>
      <c r="AL182" s="2">
        <f>IFERROR(__xludf.DUMMYFUNCTION("IMPORTRANGE(""https://docs.google.com/spreadsheets/d/""&amp;$A182&amp;""/edit#gid=156619080"",AL$3)"),1.0)</f>
        <v>1</v>
      </c>
      <c r="AM182" s="2" t="str">
        <f>IFERROR(__xludf.DUMMYFUNCTION("IMPORTRANGE(""https://docs.google.com/spreadsheets/d/""&amp;$A182&amp;""/edit#gid=156619080"",AM$3)"),"")</f>
        <v/>
      </c>
      <c r="AN182" s="2">
        <f>IFERROR(__xludf.DUMMYFUNCTION("IMPORTRANGE(""https://docs.google.com/spreadsheets/d/""&amp;$A182&amp;""/edit#gid=156619080"",AN$3)"),1.0)</f>
        <v>1</v>
      </c>
      <c r="AO182" s="2" t="str">
        <f>IFERROR(__xludf.DUMMYFUNCTION("IMPORTRANGE(""https://docs.google.com/spreadsheets/d/""&amp;$A182&amp;""/edit#gid=156619080"",AO$3)"),"")</f>
        <v/>
      </c>
      <c r="AP182" s="2">
        <f>IFERROR(__xludf.DUMMYFUNCTION("IMPORTRANGE(""https://docs.google.com/spreadsheets/d/""&amp;$A182&amp;""/edit#gid=156619080"",AP$3)"),1.0)</f>
        <v>1</v>
      </c>
      <c r="AQ182" s="2" t="str">
        <f>IFERROR(__xludf.DUMMYFUNCTION("IMPORTRANGE(""https://docs.google.com/spreadsheets/d/""&amp;$A182&amp;""/edit#gid=156619080"",AQ$3)"),"")</f>
        <v/>
      </c>
      <c r="AR182" s="18">
        <f>IFERROR(__xludf.DUMMYFUNCTION("IMPORTRANGE(""https://docs.google.com/spreadsheets/d/""&amp;$A182&amp;""/edit#gid=156619080"",AR$3)"),60.0)</f>
        <v>60</v>
      </c>
      <c r="AS182" s="19" t="str">
        <f>IFERROR(__xludf.DUMMYFUNCTION("IMPORTRANGE(""https://docs.google.com/spreadsheets/d/""&amp;$A182&amp;""/edit#gid=156619080"",AS$3)"),"10
60
60
60
")</f>
        <v>10
60
60
60
</v>
      </c>
      <c r="AT182" s="18">
        <f>IFERROR(__xludf.DUMMYFUNCTION("IMPORTRANGE(""https://docs.google.com/spreadsheets/d/""&amp;$A182&amp;""/edit#gid=156619080"",AT$3)"),68.13186813186813)</f>
        <v>68.13186813</v>
      </c>
      <c r="AU182" s="3" t="str">
        <f>IFERROR(__xludf.DUMMYFUNCTION("IMPORTRANGE(""https://docs.google.com/spreadsheets/d/""&amp;$A182&amp;""/edit#gid=156619080"",AU$3)"),"69.78
69.78
66.48
68.13
")</f>
        <v>69.78
69.78
66.48
68.13
</v>
      </c>
      <c r="AV182" s="18">
        <f>IFERROR(__xludf.DUMMYFUNCTION("IMPORTRANGE(""https://docs.google.com/spreadsheets/d/""&amp;$A182&amp;""/edit#gid=156619080"",AV$3)"),65.32467532467533)</f>
        <v>65.32467532</v>
      </c>
      <c r="AW182" s="19" t="str">
        <f>IFERROR(__xludf.DUMMYFUNCTION("IMPORTRANGE(""https://docs.google.com/spreadsheets/d/""&amp;$A182&amp;""/edit#gid=156619080"",AW$3)"),"2.73
19.48
36.36
50.78
")</f>
        <v>2.73
19.48
36.36
50.78
</v>
      </c>
      <c r="AX182" s="2">
        <f>IFERROR(__xludf.DUMMYFUNCTION("IMPORTRANGE(""https://docs.google.com/spreadsheets/d/""&amp;$A182&amp;""/edit#gid=156619080"",AX$3)"),86.64)</f>
        <v>86.64</v>
      </c>
      <c r="AY182" s="2">
        <f>IFERROR(__xludf.DUMMYFUNCTION("IMPORTRANGE(""https://docs.google.com/spreadsheets/d/""&amp;$A182&amp;""/edit#gid=156619080"",AY$3)"),55.769999999999996)</f>
        <v>55.77</v>
      </c>
      <c r="AZ182" s="2">
        <f>IFERROR(__xludf.DUMMYFUNCTION("IMPORTRANGE(""https://docs.google.com/spreadsheets/d/""&amp;$A182&amp;""/edit#gid=156619080"",AZ$3)"),4340.09)</f>
        <v>4340.09</v>
      </c>
      <c r="BA182" s="2">
        <f>IFERROR(__xludf.DUMMYFUNCTION("IMPORTRANGE(""https://docs.google.com/spreadsheets/d/""&amp;$A182&amp;""/edit#gid=156619080"",BA$3)"),67.86000000000058)</f>
        <v>67.86</v>
      </c>
      <c r="BB182" s="2">
        <f>IFERROR(__xludf.DUMMYFUNCTION("IMPORTRANGE(""https://docs.google.com/spreadsheets/d/""&amp;$A182&amp;""/edit#gid=156619080"",BB$3)"),19.78)</f>
        <v>19.78</v>
      </c>
      <c r="BC182" s="2" t="str">
        <f>IFERROR(__xludf.DUMMYFUNCTION("IMPORTRANGE(""https://docs.google.com/spreadsheets/d/""&amp;$A182&amp;""/edit#gid=156619080"",BC$3)"),"GC→GC")</f>
        <v>GC→GC</v>
      </c>
    </row>
    <row r="183" ht="51.0" customHeight="1">
      <c r="A183" s="7" t="str">
        <f t="shared" si="5"/>
        <v>1dwNRxUL3UM_hZBYILQ4xQT_Bo8wP2ult5xOt5zPs60I</v>
      </c>
      <c r="B183" s="1" t="s">
        <v>210</v>
      </c>
      <c r="C183" s="2">
        <f>IFERROR(__xludf.DUMMYFUNCTION("IMPORTRANGE(""https://docs.google.com/spreadsheets/d/""&amp;$A183&amp;""/edit#gid=156619080"",C$3)"),132.0)</f>
        <v>132</v>
      </c>
      <c r="D183" s="2">
        <f>IFERROR(__xludf.DUMMYFUNCTION("IMPORTRANGE(""https://docs.google.com/spreadsheets/d/""&amp;$A183&amp;""/edit#gid=156619080"",D$3)"),8725.0)</f>
        <v>8725</v>
      </c>
      <c r="E183" s="15">
        <f>IFERROR(__xludf.DUMMYFUNCTION("IMPORTRANGE(""https://docs.google.com/spreadsheets/d/""&amp;$A183&amp;""/edit#gid=156619080"",E$3)"),43882.0)</f>
        <v>43882</v>
      </c>
      <c r="F183" s="2">
        <f>IFERROR(__xludf.DUMMYFUNCTION("IMPORTRANGE(""https://docs.google.com/spreadsheets/d/""&amp;$A183&amp;""/edit#gid=156619080"",F$3)"),10.0)</f>
        <v>10</v>
      </c>
      <c r="G183" s="16">
        <f>IFERROR(__xludf.DUMMYFUNCTION("IMPORTRANGE(""https://docs.google.com/spreadsheets/d/""&amp;$A183&amp;""/edit#gid=156619080"",G$3)"),0.27)</f>
        <v>0.27</v>
      </c>
      <c r="H183" s="16">
        <f>IFERROR(__xludf.DUMMYFUNCTION("IMPORTRANGE(""https://docs.google.com/spreadsheets/d/""&amp;$A183&amp;""/edit#gid=156619080"",H$3)"),3715.0)</f>
        <v>3715</v>
      </c>
      <c r="I183" s="16">
        <f>IFERROR(__xludf.DUMMYFUNCTION("IMPORTRANGE(""https://docs.google.com/spreadsheets/d/""&amp;$A183&amp;""/edit#gid=156619080"",I$3)"),23.0)</f>
        <v>23</v>
      </c>
      <c r="J183" s="16">
        <f>IFERROR(__xludf.DUMMYFUNCTION("IMPORTRANGE(""https://docs.google.com/spreadsheets/d/""&amp;$A183&amp;""/edit#gid=156619080"",J$3)"),3765.0)</f>
        <v>3765</v>
      </c>
      <c r="K183" s="16">
        <f>IFERROR(__xludf.DUMMYFUNCTION("IMPORTRANGE(""https://docs.google.com/spreadsheets/d/""&amp;$A183&amp;""/edit#gid=156619080"",K$3)"),0.5854166666666667)</f>
        <v>0.5854166667</v>
      </c>
      <c r="L183" s="16">
        <f>IFERROR(__xludf.DUMMYFUNCTION("IMPORTRANGE(""https://docs.google.com/spreadsheets/d/""&amp;$A183&amp;""/edit#gid=156619080"",L$3)"),3714.0)</f>
        <v>3714</v>
      </c>
      <c r="M183" s="16">
        <f>IFERROR(__xludf.DUMMYFUNCTION("IMPORTRANGE(""https://docs.google.com/spreadsheets/d/""&amp;$A183&amp;""/edit#gid=156619080"",M$3)"),0.375)</f>
        <v>0.375</v>
      </c>
      <c r="N183" s="16">
        <f>IFERROR(__xludf.DUMMYFUNCTION("IMPORTRANGE(""https://docs.google.com/spreadsheets/d/""&amp;$A183&amp;""/edit#gid=156619080"",N$3)"),3748.0)</f>
        <v>3748</v>
      </c>
      <c r="O183" s="16" t="str">
        <f>IFERROR(__xludf.DUMMYFUNCTION("IMPORTRANGE(""https://docs.google.com/spreadsheets/d/""&amp;$A183&amp;""/edit#gid=156619080"",O$3)"),"1295900株")</f>
        <v>1295900株</v>
      </c>
      <c r="P183" s="16" t="str">
        <f>IFERROR(__xludf.DUMMYFUNCTION("IMPORTRANGE(""https://docs.google.com/spreadsheets/d/""&amp;$A183&amp;""/edit#gid=156619080"",P$3)"),"4856百万円")</f>
        <v>4856百万円</v>
      </c>
      <c r="Q183" s="16" t="str">
        <f>IFERROR(__xludf.DUMMYFUNCTION("IMPORTRANGE(""https://docs.google.com/spreadsheets/d/""&amp;$A183&amp;""/edit#gid=156619080"",Q$3)"),"3201回")</f>
        <v>3201回</v>
      </c>
      <c r="R183" s="16" t="str">
        <f>IFERROR(__xludf.DUMMYFUNCTION("IMPORTRANGE(""https://docs.google.com/spreadsheets/d/""&amp;$A183&amp;""/edit#gid=156619080"",R$3)"),"22237億円")</f>
        <v>22237億円</v>
      </c>
      <c r="S183" s="16" t="str">
        <f>IFERROR(__xludf.DUMMYFUNCTION("IMPORTRANGE(""https://docs.google.com/spreadsheets/d/""&amp;$A183&amp;""/edit#gid=156619080"",S$3)"),"陽線")</f>
        <v>陽線</v>
      </c>
      <c r="T183" s="16" t="str">
        <f>IFERROR(__xludf.DUMMYFUNCTION("IMPORTRANGE(""https://docs.google.com/spreadsheets/d/""&amp;$A183&amp;""/edit#gid=156619080"",T$3)"),"")</f>
        <v/>
      </c>
      <c r="U183" s="16">
        <f>IFERROR(__xludf.DUMMYFUNCTION("IMPORTRANGE(""https://docs.google.com/spreadsheets/d/""&amp;$A183&amp;""/edit#gid=156619080"",U$3)"),3721.6)</f>
        <v>3721.6</v>
      </c>
      <c r="V183" s="16">
        <f>IFERROR(__xludf.DUMMYFUNCTION("IMPORTRANGE(""https://docs.google.com/spreadsheets/d/""&amp;$A183&amp;""/edit#gid=156619080"",V$3)"),3725.3)</f>
        <v>3725.3</v>
      </c>
      <c r="W183" s="16">
        <f>IFERROR(__xludf.DUMMYFUNCTION("IMPORTRANGE(""https://docs.google.com/spreadsheets/d/""&amp;$A183&amp;""/edit#gid=156619080"",W$3)"),3697.2)</f>
        <v>3697.2</v>
      </c>
      <c r="X183" s="2">
        <f>IFERROR(__xludf.DUMMYFUNCTION("IMPORTRANGE(""https://docs.google.com/spreadsheets/d/""&amp;$A183&amp;""/edit#gid=156619080"",X$3)"),3546.3)</f>
        <v>3546.3</v>
      </c>
      <c r="Y183" s="17">
        <f>IFERROR(__xludf.DUMMYFUNCTION("IMPORTRANGE(""https://docs.google.com/spreadsheets/d/""&amp;$A183&amp;""/edit#gid=156619080"",Y$3)"),0.007093723129836654)</f>
        <v>0.00709372313</v>
      </c>
      <c r="Z183" s="2">
        <f>IFERROR(__xludf.DUMMYFUNCTION("IMPORTRANGE(""https://docs.google.com/spreadsheets/d/""&amp;$A183&amp;""/edit#gid=156619080"",Z$3)"),3787.14)</f>
        <v>3787.14</v>
      </c>
      <c r="AA183" s="2">
        <f>IFERROR(__xludf.DUMMYFUNCTION("IMPORTRANGE(""https://docs.google.com/spreadsheets/d/""&amp;$A183&amp;""/edit#gid=156619080"",AA$3)"),3775.9)</f>
        <v>3775.9</v>
      </c>
      <c r="AB183" s="2">
        <f>IFERROR(__xludf.DUMMYFUNCTION("IMPORTRANGE(""https://docs.google.com/spreadsheets/d/""&amp;$A183&amp;""/edit#gid=156619080"",AB$3)"),3764.65)</f>
        <v>3764.65</v>
      </c>
      <c r="AC183" s="18">
        <f>IFERROR(__xludf.DUMMYFUNCTION("IMPORTRANGE(""https://docs.google.com/spreadsheets/d/""&amp;$A183&amp;""/edit#gid=156619080"",AC$3)"),3753.41)</f>
        <v>3753.41</v>
      </c>
      <c r="AD183" s="18">
        <f>IFERROR(__xludf.DUMMYFUNCTION("IMPORTRANGE(""https://docs.google.com/spreadsheets/d/""&amp;$A183&amp;""/edit#gid=156619080"",AD$3)"),3742.17)</f>
        <v>3742.17</v>
      </c>
      <c r="AE183" s="18">
        <f>IFERROR(__xludf.DUMMYFUNCTION("IMPORTRANGE(""https://docs.google.com/spreadsheets/d/""&amp;$A183&amp;""/edit#gid=156619080"",AE$3)"),3697.2)</f>
        <v>3697.2</v>
      </c>
      <c r="AF183" s="2">
        <f>IFERROR(__xludf.DUMMYFUNCTION("IMPORTRANGE(""https://docs.google.com/spreadsheets/d/""&amp;$A183&amp;""/edit#gid=156619080"",AF$3)"),3652.23)</f>
        <v>3652.23</v>
      </c>
      <c r="AG183" s="2">
        <f>IFERROR(__xludf.DUMMYFUNCTION("IMPORTRANGE(""https://docs.google.com/spreadsheets/d/""&amp;$A183&amp;""/edit#gid=156619080"",AG$3)"),3640.99)</f>
        <v>3640.99</v>
      </c>
      <c r="AH183" s="2">
        <f>IFERROR(__xludf.DUMMYFUNCTION("IMPORTRANGE(""https://docs.google.com/spreadsheets/d/""&amp;$A183&amp;""/edit#gid=156619080"",AH$3)"),3629.75)</f>
        <v>3629.75</v>
      </c>
      <c r="AI183" s="2">
        <f>IFERROR(__xludf.DUMMYFUNCTION("IMPORTRANGE(""https://docs.google.com/spreadsheets/d/""&amp;$A183&amp;""/edit#gid=156619080"",AI$3)"),3618.5)</f>
        <v>3618.5</v>
      </c>
      <c r="AJ183" s="2">
        <f>IFERROR(__xludf.DUMMYFUNCTION("IMPORTRANGE(""https://docs.google.com/spreadsheets/d/""&amp;$A183&amp;""/edit#gid=156619080"",AJ$3)"),3607.26)</f>
        <v>3607.26</v>
      </c>
      <c r="AK183" s="2" t="str">
        <f>IFERROR(__xludf.DUMMYFUNCTION("IMPORTRANGE(""https://docs.google.com/spreadsheets/d/""&amp;$A183&amp;""/edit#gid=156619080"",AK$3)"),"1〜1.25σ")</f>
        <v>1〜1.25σ</v>
      </c>
      <c r="AL183" s="2">
        <f>IFERROR(__xludf.DUMMYFUNCTION("IMPORTRANGE(""https://docs.google.com/spreadsheets/d/""&amp;$A183&amp;""/edit#gid=156619080"",AL$3)"),-1.0)</f>
        <v>-1</v>
      </c>
      <c r="AM183" s="2" t="str">
        <f>IFERROR(__xludf.DUMMYFUNCTION("IMPORTRANGE(""https://docs.google.com/spreadsheets/d/""&amp;$A183&amp;""/edit#gid=156619080"",AM$3)"),"bs1")</f>
        <v>bs1</v>
      </c>
      <c r="AN183" s="2">
        <f>IFERROR(__xludf.DUMMYFUNCTION("IMPORTRANGE(""https://docs.google.com/spreadsheets/d/""&amp;$A183&amp;""/edit#gid=156619080"",AN$3)"),1.0)</f>
        <v>1</v>
      </c>
      <c r="AO183" s="2" t="str">
        <f>IFERROR(__xludf.DUMMYFUNCTION("IMPORTRANGE(""https://docs.google.com/spreadsheets/d/""&amp;$A183&amp;""/edit#gid=156619080"",AO$3)"),"")</f>
        <v/>
      </c>
      <c r="AP183" s="2">
        <f>IFERROR(__xludf.DUMMYFUNCTION("IMPORTRANGE(""https://docs.google.com/spreadsheets/d/""&amp;$A183&amp;""/edit#gid=156619080"",AP$3)"),1.0)</f>
        <v>1</v>
      </c>
      <c r="AQ183" s="2" t="str">
        <f>IFERROR(__xludf.DUMMYFUNCTION("IMPORTRANGE(""https://docs.google.com/spreadsheets/d/""&amp;$A183&amp;""/edit#gid=156619080"",AQ$3)"),"")</f>
        <v/>
      </c>
      <c r="AR183" s="18">
        <f>IFERROR(__xludf.DUMMYFUNCTION("IMPORTRANGE(""https://docs.google.com/spreadsheets/d/""&amp;$A183&amp;""/edit#gid=156619080"",AR$3)"),30.000000000000004)</f>
        <v>30</v>
      </c>
      <c r="AS183" s="19" t="str">
        <f>IFERROR(__xludf.DUMMYFUNCTION("IMPORTRANGE(""https://docs.google.com/spreadsheets/d/""&amp;$A183&amp;""/edit#gid=156619080"",AS$3)"),"20
-10
-70
-70
")</f>
        <v>20
-10
-70
-70
</v>
      </c>
      <c r="AT183" s="18">
        <f>IFERROR(__xludf.DUMMYFUNCTION("IMPORTRANGE(""https://docs.google.com/spreadsheets/d/""&amp;$A183&amp;""/edit#gid=156619080"",AT$3)"),20.329670329670336)</f>
        <v>20.32967033</v>
      </c>
      <c r="AU183" s="3" t="str">
        <f>IFERROR(__xludf.DUMMYFUNCTION("IMPORTRANGE(""https://docs.google.com/spreadsheets/d/""&amp;$A183&amp;""/edit#gid=156619080"",AU$3)"),"75.41
62.09
40.66
28.57
")</f>
        <v>75.41
62.09
40.66
28.57
</v>
      </c>
      <c r="AV183" s="18">
        <f>IFERROR(__xludf.DUMMYFUNCTION("IMPORTRANGE(""https://docs.google.com/spreadsheets/d/""&amp;$A183&amp;""/edit#gid=156619080"",AV$3)"),75.32467532467533)</f>
        <v>75.32467532</v>
      </c>
      <c r="AW183" s="19" t="str">
        <f>IFERROR(__xludf.DUMMYFUNCTION("IMPORTRANGE(""https://docs.google.com/spreadsheets/d/""&amp;$A183&amp;""/edit#gid=156619080"",AW$3)"),"60.13
66.1
66.1
68.96
")</f>
        <v>60.13
66.1
66.1
68.96
</v>
      </c>
      <c r="AX183" s="2">
        <f>IFERROR(__xludf.DUMMYFUNCTION("IMPORTRANGE(""https://docs.google.com/spreadsheets/d/""&amp;$A183&amp;""/edit#gid=156619080"",AX$3)"),46.31)</f>
        <v>46.31</v>
      </c>
      <c r="AY183" s="2">
        <f>IFERROR(__xludf.DUMMYFUNCTION("IMPORTRANGE(""https://docs.google.com/spreadsheets/d/""&amp;$A183&amp;""/edit#gid=156619080"",AY$3)"),55.059999999999995)</f>
        <v>55.06</v>
      </c>
      <c r="AZ183" s="2">
        <f>IFERROR(__xludf.DUMMYFUNCTION("IMPORTRANGE(""https://docs.google.com/spreadsheets/d/""&amp;$A183&amp;""/edit#gid=156619080"",AZ$3)"),3728.85)</f>
        <v>3728.85</v>
      </c>
      <c r="BA183" s="2">
        <f>IFERROR(__xludf.DUMMYFUNCTION("IMPORTRANGE(""https://docs.google.com/spreadsheets/d/""&amp;$A183&amp;""/edit#gid=156619080"",BA$3)"),24.389999999999873)</f>
        <v>24.39</v>
      </c>
      <c r="BB183" s="2">
        <f>IFERROR(__xludf.DUMMYFUNCTION("IMPORTRANGE(""https://docs.google.com/spreadsheets/d/""&amp;$A183&amp;""/edit#gid=156619080"",BB$3)"),26.39)</f>
        <v>26.39</v>
      </c>
      <c r="BC183" s="2" t="str">
        <f>IFERROR(__xludf.DUMMYFUNCTION("IMPORTRANGE(""https://docs.google.com/spreadsheets/d/""&amp;$A183&amp;""/edit#gid=156619080"",BC$3)"),"DC→DC")</f>
        <v>DC→DC</v>
      </c>
    </row>
    <row r="184" ht="51.0" customHeight="1">
      <c r="A184" s="7" t="str">
        <f t="shared" si="5"/>
        <v>1vKxYsHi2LtQHthlSDxzJCkhFmPI7_ADl0BTMYfwXDcw</v>
      </c>
      <c r="B184" s="1" t="s">
        <v>211</v>
      </c>
      <c r="C184" s="2">
        <f>IFERROR(__xludf.DUMMYFUNCTION("IMPORTRANGE(""https://docs.google.com/spreadsheets/d/""&amp;$A184&amp;""/edit#gid=156619080"",C$3)"),132.0)</f>
        <v>132</v>
      </c>
      <c r="D184" s="2">
        <f>IFERROR(__xludf.DUMMYFUNCTION("IMPORTRANGE(""https://docs.google.com/spreadsheets/d/""&amp;$A184&amp;""/edit#gid=156619080"",D$3)"),8729.0)</f>
        <v>8729</v>
      </c>
      <c r="E184" s="15">
        <f>IFERROR(__xludf.DUMMYFUNCTION("IMPORTRANGE(""https://docs.google.com/spreadsheets/d/""&amp;$A184&amp;""/edit#gid=156619080"",E$3)"),43882.0)</f>
        <v>43882</v>
      </c>
      <c r="F184" s="2">
        <f>IFERROR(__xludf.DUMMYFUNCTION("IMPORTRANGE(""https://docs.google.com/spreadsheets/d/""&amp;$A184&amp;""/edit#gid=156619080"",F$3)"),1.0)</f>
        <v>1</v>
      </c>
      <c r="G184" s="16">
        <f>IFERROR(__xludf.DUMMYFUNCTION("IMPORTRANGE(""https://docs.google.com/spreadsheets/d/""&amp;$A184&amp;""/edit#gid=156619080"",G$3)"),0.04)</f>
        <v>0.04</v>
      </c>
      <c r="H184" s="16">
        <f>IFERROR(__xludf.DUMMYFUNCTION("IMPORTRANGE(""https://docs.google.com/spreadsheets/d/""&amp;$A184&amp;""/edit#gid=156619080"",H$3)"),2365.0)</f>
        <v>2365</v>
      </c>
      <c r="I184" s="16">
        <f>IFERROR(__xludf.DUMMYFUNCTION("IMPORTRANGE(""https://docs.google.com/spreadsheets/d/""&amp;$A184&amp;""/edit#gid=156619080"",I$3)"),22.0)</f>
        <v>22</v>
      </c>
      <c r="J184" s="16">
        <f>IFERROR(__xludf.DUMMYFUNCTION("IMPORTRANGE(""https://docs.google.com/spreadsheets/d/""&amp;$A184&amp;""/edit#gid=156619080"",J$3)"),2396.0)</f>
        <v>2396</v>
      </c>
      <c r="K184" s="16">
        <f>IFERROR(__xludf.DUMMYFUNCTION("IMPORTRANGE(""https://docs.google.com/spreadsheets/d/""&amp;$A184&amp;""/edit#gid=156619080"",K$3)"),0.3819444444444444)</f>
        <v>0.3819444444</v>
      </c>
      <c r="L184" s="16">
        <f>IFERROR(__xludf.DUMMYFUNCTION("IMPORTRANGE(""https://docs.google.com/spreadsheets/d/""&amp;$A184&amp;""/edit#gid=156619080"",L$3)"),2363.0)</f>
        <v>2363</v>
      </c>
      <c r="M184" s="16">
        <f>IFERROR(__xludf.DUMMYFUNCTION("IMPORTRANGE(""https://docs.google.com/spreadsheets/d/""&amp;$A184&amp;""/edit#gid=156619080"",M$3)"),0.37569444444444444)</f>
        <v>0.3756944444</v>
      </c>
      <c r="N184" s="16">
        <f>IFERROR(__xludf.DUMMYFUNCTION("IMPORTRANGE(""https://docs.google.com/spreadsheets/d/""&amp;$A184&amp;""/edit#gid=156619080"",N$3)"),2388.0)</f>
        <v>2388</v>
      </c>
      <c r="O184" s="16" t="str">
        <f>IFERROR(__xludf.DUMMYFUNCTION("IMPORTRANGE(""https://docs.google.com/spreadsheets/d/""&amp;$A184&amp;""/edit#gid=156619080"",O$3)"),"452500株")</f>
        <v>452500株</v>
      </c>
      <c r="P184" s="16" t="str">
        <f>IFERROR(__xludf.DUMMYFUNCTION("IMPORTRANGE(""https://docs.google.com/spreadsheets/d/""&amp;$A184&amp;""/edit#gid=156619080"",P$3)"),"1078百万円")</f>
        <v>1078百万円</v>
      </c>
      <c r="Q184" s="16" t="str">
        <f>IFERROR(__xludf.DUMMYFUNCTION("IMPORTRANGE(""https://docs.google.com/spreadsheets/d/""&amp;$A184&amp;""/edit#gid=156619080"",Q$3)"),"1230回")</f>
        <v>1230回</v>
      </c>
      <c r="R184" s="16" t="str">
        <f>IFERROR(__xludf.DUMMYFUNCTION("IMPORTRANGE(""https://docs.google.com/spreadsheets/d/""&amp;$A184&amp;""/edit#gid=156619080"",R$3)"),"10390億円")</f>
        <v>10390億円</v>
      </c>
      <c r="S184" s="16" t="str">
        <f>IFERROR(__xludf.DUMMYFUNCTION("IMPORTRANGE(""https://docs.google.com/spreadsheets/d/""&amp;$A184&amp;""/edit#gid=156619080"",S$3)"),"陽線")</f>
        <v>陽線</v>
      </c>
      <c r="T184" s="16" t="str">
        <f>IFERROR(__xludf.DUMMYFUNCTION("IMPORTRANGE(""https://docs.google.com/spreadsheets/d/""&amp;$A184&amp;""/edit#gid=156619080"",T$3)"),"")</f>
        <v/>
      </c>
      <c r="U184" s="16">
        <f>IFERROR(__xludf.DUMMYFUNCTION("IMPORTRANGE(""https://docs.google.com/spreadsheets/d/""&amp;$A184&amp;""/edit#gid=156619080"",U$3)"),2403.0)</f>
        <v>2403</v>
      </c>
      <c r="V184" s="16">
        <f>IFERROR(__xludf.DUMMYFUNCTION("IMPORTRANGE(""https://docs.google.com/spreadsheets/d/""&amp;$A184&amp;""/edit#gid=156619080"",V$3)"),2525.5)</f>
        <v>2525.5</v>
      </c>
      <c r="W184" s="16">
        <f>IFERROR(__xludf.DUMMYFUNCTION("IMPORTRANGE(""https://docs.google.com/spreadsheets/d/""&amp;$A184&amp;""/edit#gid=156619080"",W$3)"),2541.8)</f>
        <v>2541.8</v>
      </c>
      <c r="X184" s="2">
        <f>IFERROR(__xludf.DUMMYFUNCTION("IMPORTRANGE(""https://docs.google.com/spreadsheets/d/""&amp;$A184&amp;""/edit#gid=156619080"",X$3)"),2451.4)</f>
        <v>2451.4</v>
      </c>
      <c r="Y184" s="17">
        <f>IFERROR(__xludf.DUMMYFUNCTION("IMPORTRANGE(""https://docs.google.com/spreadsheets/d/""&amp;$A184&amp;""/edit#gid=156619080"",Y$3)"),-0.006242197253433208)</f>
        <v>-0.006242197253</v>
      </c>
      <c r="Z184" s="2">
        <f>IFERROR(__xludf.DUMMYFUNCTION("IMPORTRANGE(""https://docs.google.com/spreadsheets/d/""&amp;$A184&amp;""/edit#gid=156619080"",Z$3)"),2717.93)</f>
        <v>2717.93</v>
      </c>
      <c r="AA184" s="2">
        <f>IFERROR(__xludf.DUMMYFUNCTION("IMPORTRANGE(""https://docs.google.com/spreadsheets/d/""&amp;$A184&amp;""/edit#gid=156619080"",AA$3)"),2695.91)</f>
        <v>2695.91</v>
      </c>
      <c r="AB184" s="2">
        <f>IFERROR(__xludf.DUMMYFUNCTION("IMPORTRANGE(""https://docs.google.com/spreadsheets/d/""&amp;$A184&amp;""/edit#gid=156619080"",AB$3)"),2673.9)</f>
        <v>2673.9</v>
      </c>
      <c r="AC184" s="18">
        <f>IFERROR(__xludf.DUMMYFUNCTION("IMPORTRANGE(""https://docs.google.com/spreadsheets/d/""&amp;$A184&amp;""/edit#gid=156619080"",AC$3)"),2651.88)</f>
        <v>2651.88</v>
      </c>
      <c r="AD184" s="18">
        <f>IFERROR(__xludf.DUMMYFUNCTION("IMPORTRANGE(""https://docs.google.com/spreadsheets/d/""&amp;$A184&amp;""/edit#gid=156619080"",AD$3)"),2629.86)</f>
        <v>2629.86</v>
      </c>
      <c r="AE184" s="18">
        <f>IFERROR(__xludf.DUMMYFUNCTION("IMPORTRANGE(""https://docs.google.com/spreadsheets/d/""&amp;$A184&amp;""/edit#gid=156619080"",AE$3)"),2541.8)</f>
        <v>2541.8</v>
      </c>
      <c r="AF184" s="2">
        <f>IFERROR(__xludf.DUMMYFUNCTION("IMPORTRANGE(""https://docs.google.com/spreadsheets/d/""&amp;$A184&amp;""/edit#gid=156619080"",AF$3)"),2453.74)</f>
        <v>2453.74</v>
      </c>
      <c r="AG184" s="2">
        <f>IFERROR(__xludf.DUMMYFUNCTION("IMPORTRANGE(""https://docs.google.com/spreadsheets/d/""&amp;$A184&amp;""/edit#gid=156619080"",AG$3)"),2431.72)</f>
        <v>2431.72</v>
      </c>
      <c r="AH184" s="2">
        <f>IFERROR(__xludf.DUMMYFUNCTION("IMPORTRANGE(""https://docs.google.com/spreadsheets/d/""&amp;$A184&amp;""/edit#gid=156619080"",AH$3)"),2409.7)</f>
        <v>2409.7</v>
      </c>
      <c r="AI184" s="2">
        <f>IFERROR(__xludf.DUMMYFUNCTION("IMPORTRANGE(""https://docs.google.com/spreadsheets/d/""&amp;$A184&amp;""/edit#gid=156619080"",AI$3)"),2387.69)</f>
        <v>2387.69</v>
      </c>
      <c r="AJ184" s="2">
        <f>IFERROR(__xludf.DUMMYFUNCTION("IMPORTRANGE(""https://docs.google.com/spreadsheets/d/""&amp;$A184&amp;""/edit#gid=156619080"",AJ$3)"),2365.67)</f>
        <v>2365.67</v>
      </c>
      <c r="AK184" s="2" t="str">
        <f>IFERROR(__xludf.DUMMYFUNCTION("IMPORTRANGE(""https://docs.google.com/spreadsheets/d/""&amp;$A184&amp;""/edit#gid=156619080"",AK$3)"),"-1.5σ〜-1.75σ")</f>
        <v>-1.5σ〜-1.75σ</v>
      </c>
      <c r="AL184" s="2">
        <f>IFERROR(__xludf.DUMMYFUNCTION("IMPORTRANGE(""https://docs.google.com/spreadsheets/d/""&amp;$A184&amp;""/edit#gid=156619080"",AL$3)"),-1.0)</f>
        <v>-1</v>
      </c>
      <c r="AM184" s="2" t="str">
        <f>IFERROR(__xludf.DUMMYFUNCTION("IMPORTRANGE(""https://docs.google.com/spreadsheets/d/""&amp;$A184&amp;""/edit#gid=156619080"",AM$3)"),"")</f>
        <v/>
      </c>
      <c r="AN184" s="2">
        <f>IFERROR(__xludf.DUMMYFUNCTION("IMPORTRANGE(""https://docs.google.com/spreadsheets/d/""&amp;$A184&amp;""/edit#gid=156619080"",AN$3)"),-1.0)</f>
        <v>-1</v>
      </c>
      <c r="AO184" s="2" t="str">
        <f>IFERROR(__xludf.DUMMYFUNCTION("IMPORTRANGE(""https://docs.google.com/spreadsheets/d/""&amp;$A184&amp;""/edit#gid=156619080"",AO$3)"),"")</f>
        <v/>
      </c>
      <c r="AP184" s="2">
        <f>IFERROR(__xludf.DUMMYFUNCTION("IMPORTRANGE(""https://docs.google.com/spreadsheets/d/""&amp;$A184&amp;""/edit#gid=156619080"",AP$3)"),-1.0)</f>
        <v>-1</v>
      </c>
      <c r="AQ184" s="2" t="str">
        <f>IFERROR(__xludf.DUMMYFUNCTION("IMPORTRANGE(""https://docs.google.com/spreadsheets/d/""&amp;$A184&amp;""/edit#gid=156619080"",AQ$3)"),"")</f>
        <v/>
      </c>
      <c r="AR184" s="18">
        <f>IFERROR(__xludf.DUMMYFUNCTION("IMPORTRANGE(""https://docs.google.com/spreadsheets/d/""&amp;$A184&amp;""/edit#gid=156619080"",AR$3)"),-80.0)</f>
        <v>-80</v>
      </c>
      <c r="AS184" s="19" t="str">
        <f>IFERROR(__xludf.DUMMYFUNCTION("IMPORTRANGE(""https://docs.google.com/spreadsheets/d/""&amp;$A184&amp;""/edit#gid=156619080"",AS$3)"),"-100
-100
-90
-90
")</f>
        <v>-100
-100
-90
-90
</v>
      </c>
      <c r="AT184" s="18">
        <f>IFERROR(__xludf.DUMMYFUNCTION("IMPORTRANGE(""https://docs.google.com/spreadsheets/d/""&amp;$A184&amp;""/edit#gid=156619080"",AT$3)"),-90.1098901098901)</f>
        <v>-90.10989011</v>
      </c>
      <c r="AU184" s="3" t="str">
        <f>IFERROR(__xludf.DUMMYFUNCTION("IMPORTRANGE(""https://docs.google.com/spreadsheets/d/""&amp;$A184&amp;""/edit#gid=156619080"",AU$3)"),"-0.55
-28.57
-51.65
-70.88
")</f>
        <v>-0.55
-28.57
-51.65
-70.88
</v>
      </c>
      <c r="AV184" s="18">
        <f>IFERROR(__xludf.DUMMYFUNCTION("IMPORTRANGE(""https://docs.google.com/spreadsheets/d/""&amp;$A184&amp;""/edit#gid=156619080"",AV$3)"),-56.3961038961039)</f>
        <v>-56.3961039</v>
      </c>
      <c r="AW184" s="19" t="str">
        <f>IFERROR(__xludf.DUMMYFUNCTION("IMPORTRANGE(""https://docs.google.com/spreadsheets/d/""&amp;$A184&amp;""/edit#gid=156619080"",AW$3)"),"-2.63
-21.98
-31.85
-48.34
")</f>
        <v>-2.63
-21.98
-31.85
-48.34
</v>
      </c>
      <c r="AX184" s="2">
        <f>IFERROR(__xludf.DUMMYFUNCTION("IMPORTRANGE(""https://docs.google.com/spreadsheets/d/""&amp;$A184&amp;""/edit#gid=156619080"",AX$3)"),6.29)</f>
        <v>6.29</v>
      </c>
      <c r="AY184" s="2">
        <f>IFERROR(__xludf.DUMMYFUNCTION("IMPORTRANGE(""https://docs.google.com/spreadsheets/d/""&amp;$A184&amp;""/edit#gid=156619080"",AY$3)"),34.82)</f>
        <v>34.82</v>
      </c>
      <c r="AZ184" s="2">
        <f>IFERROR(__xludf.DUMMYFUNCTION("IMPORTRANGE(""https://docs.google.com/spreadsheets/d/""&amp;$A184&amp;""/edit#gid=156619080"",AZ$3)"),2418.15)</f>
        <v>2418.15</v>
      </c>
      <c r="BA184" s="2">
        <f>IFERROR(__xludf.DUMMYFUNCTION("IMPORTRANGE(""https://docs.google.com/spreadsheets/d/""&amp;$A184&amp;""/edit#gid=156619080"",BA$3)"),-97.86999999999989)</f>
        <v>-97.87</v>
      </c>
      <c r="BB184" s="2">
        <f>IFERROR(__xludf.DUMMYFUNCTION("IMPORTRANGE(""https://docs.google.com/spreadsheets/d/""&amp;$A184&amp;""/edit#gid=156619080"",BB$3)"),-44.61)</f>
        <v>-44.61</v>
      </c>
      <c r="BC184" s="2" t="str">
        <f>IFERROR(__xludf.DUMMYFUNCTION("IMPORTRANGE(""https://docs.google.com/spreadsheets/d/""&amp;$A184&amp;""/edit#gid=156619080"",BC$3)"),"DC→DC")</f>
        <v>DC→DC</v>
      </c>
    </row>
    <row r="185" ht="51.0" customHeight="1">
      <c r="A185" s="7" t="str">
        <f t="shared" si="5"/>
        <v>1DldNzrUWVUKRFGDQBi3Wgkwb37iaXeFzE1cmIHhrKQo</v>
      </c>
      <c r="B185" s="1" t="s">
        <v>212</v>
      </c>
      <c r="C185" s="2">
        <f>IFERROR(__xludf.DUMMYFUNCTION("IMPORTRANGE(""https://docs.google.com/spreadsheets/d/""&amp;$A185&amp;""/edit#gid=156619080"",C$3)"),132.0)</f>
        <v>132</v>
      </c>
      <c r="D185" s="2">
        <f>IFERROR(__xludf.DUMMYFUNCTION("IMPORTRANGE(""https://docs.google.com/spreadsheets/d/""&amp;$A185&amp;""/edit#gid=156619080"",D$3)"),8750.0)</f>
        <v>8750</v>
      </c>
      <c r="E185" s="15">
        <f>IFERROR(__xludf.DUMMYFUNCTION("IMPORTRANGE(""https://docs.google.com/spreadsheets/d/""&amp;$A185&amp;""/edit#gid=156619080"",E$3)"),43882.0)</f>
        <v>43882</v>
      </c>
      <c r="F185" s="2">
        <f>IFERROR(__xludf.DUMMYFUNCTION("IMPORTRANGE(""https://docs.google.com/spreadsheets/d/""&amp;$A185&amp;""/edit#gid=156619080"",F$3)"),14.5)</f>
        <v>14.5</v>
      </c>
      <c r="G185" s="16">
        <f>IFERROR(__xludf.DUMMYFUNCTION("IMPORTRANGE(""https://docs.google.com/spreadsheets/d/""&amp;$A185&amp;""/edit#gid=156619080"",G$3)"),0.89)</f>
        <v>0.89</v>
      </c>
      <c r="H185" s="16">
        <f>IFERROR(__xludf.DUMMYFUNCTION("IMPORTRANGE(""https://docs.google.com/spreadsheets/d/""&amp;$A185&amp;""/edit#gid=156619080"",H$3)"),1632.0)</f>
        <v>1632</v>
      </c>
      <c r="I185" s="16">
        <f>IFERROR(__xludf.DUMMYFUNCTION("IMPORTRANGE(""https://docs.google.com/spreadsheets/d/""&amp;$A185&amp;""/edit#gid=156619080"",I$3)"),-2.5)</f>
        <v>-2.5</v>
      </c>
      <c r="J185" s="16">
        <f>IFERROR(__xludf.DUMMYFUNCTION("IMPORTRANGE(""https://docs.google.com/spreadsheets/d/""&amp;$A185&amp;""/edit#gid=156619080"",J$3)"),1665.0)</f>
        <v>1665</v>
      </c>
      <c r="K185" s="16">
        <f>IFERROR(__xludf.DUMMYFUNCTION("IMPORTRANGE(""https://docs.google.com/spreadsheets/d/""&amp;$A185&amp;""/edit#gid=156619080"",K$3)"),0.40208333333333335)</f>
        <v>0.4020833333</v>
      </c>
      <c r="L185" s="16">
        <f>IFERROR(__xludf.DUMMYFUNCTION("IMPORTRANGE(""https://docs.google.com/spreadsheets/d/""&amp;$A185&amp;""/edit#gid=156619080"",L$3)"),1631.0)</f>
        <v>1631</v>
      </c>
      <c r="M185" s="16">
        <f>IFERROR(__xludf.DUMMYFUNCTION("IMPORTRANGE(""https://docs.google.com/spreadsheets/d/""&amp;$A185&amp;""/edit#gid=156619080"",M$3)"),0.375)</f>
        <v>0.375</v>
      </c>
      <c r="N185" s="16">
        <f>IFERROR(__xludf.DUMMYFUNCTION("IMPORTRANGE(""https://docs.google.com/spreadsheets/d/""&amp;$A185&amp;""/edit#gid=156619080"",N$3)"),1644.0)</f>
        <v>1644</v>
      </c>
      <c r="O185" s="16" t="str">
        <f>IFERROR(__xludf.DUMMYFUNCTION("IMPORTRANGE(""https://docs.google.com/spreadsheets/d/""&amp;$A185&amp;""/edit#gid=156619080"",O$3)"),"3678300株")</f>
        <v>3678300株</v>
      </c>
      <c r="P185" s="16" t="str">
        <f>IFERROR(__xludf.DUMMYFUNCTION("IMPORTRANGE(""https://docs.google.com/spreadsheets/d/""&amp;$A185&amp;""/edit#gid=156619080"",P$3)"),"6074百万円")</f>
        <v>6074百万円</v>
      </c>
      <c r="Q185" s="16" t="str">
        <f>IFERROR(__xludf.DUMMYFUNCTION("IMPORTRANGE(""https://docs.google.com/spreadsheets/d/""&amp;$A185&amp;""/edit#gid=156619080"",Q$3)"),"4559回")</f>
        <v>4559回</v>
      </c>
      <c r="R185" s="16" t="str">
        <f>IFERROR(__xludf.DUMMYFUNCTION("IMPORTRANGE(""https://docs.google.com/spreadsheets/d/""&amp;$A185&amp;""/edit#gid=156619080"",R$3)"),"19702億円")</f>
        <v>19702億円</v>
      </c>
      <c r="S185" s="16" t="str">
        <f>IFERROR(__xludf.DUMMYFUNCTION("IMPORTRANGE(""https://docs.google.com/spreadsheets/d/""&amp;$A185&amp;""/edit#gid=156619080"",S$3)"),"陽線")</f>
        <v>陽線</v>
      </c>
      <c r="T185" s="16" t="str">
        <f>IFERROR(__xludf.DUMMYFUNCTION("IMPORTRANGE(""https://docs.google.com/spreadsheets/d/""&amp;$A185&amp;""/edit#gid=156619080"",T$3)"),"")</f>
        <v/>
      </c>
      <c r="U185" s="16">
        <f>IFERROR(__xludf.DUMMYFUNCTION("IMPORTRANGE(""https://docs.google.com/spreadsheets/d/""&amp;$A185&amp;""/edit#gid=156619080"",U$3)"),1643.9)</f>
        <v>1643.9</v>
      </c>
      <c r="V185" s="16">
        <f>IFERROR(__xludf.DUMMYFUNCTION("IMPORTRANGE(""https://docs.google.com/spreadsheets/d/""&amp;$A185&amp;""/edit#gid=156619080"",V$3)"),1703.2)</f>
        <v>1703.2</v>
      </c>
      <c r="W185" s="16">
        <f>IFERROR(__xludf.DUMMYFUNCTION("IMPORTRANGE(""https://docs.google.com/spreadsheets/d/""&amp;$A185&amp;""/edit#gid=156619080"",W$3)"),1690.4)</f>
        <v>1690.4</v>
      </c>
      <c r="X185" s="2">
        <f>IFERROR(__xludf.DUMMYFUNCTION("IMPORTRANGE(""https://docs.google.com/spreadsheets/d/""&amp;$A185&amp;""/edit#gid=156619080"",X$3)"),1730.2)</f>
        <v>1730.2</v>
      </c>
      <c r="Y185" s="17">
        <f>IFERROR(__xludf.DUMMYFUNCTION("IMPORTRANGE(""https://docs.google.com/spreadsheets/d/""&amp;$A185&amp;""/edit#gid=156619080"",Y$3)"),6.083095078770548E-5)</f>
        <v>0.00006083095079</v>
      </c>
      <c r="Z185" s="2">
        <f>IFERROR(__xludf.DUMMYFUNCTION("IMPORTRANGE(""https://docs.google.com/spreadsheets/d/""&amp;$A185&amp;""/edit#gid=156619080"",Z$3)"),1793.12)</f>
        <v>1793.12</v>
      </c>
      <c r="AA185" s="2">
        <f>IFERROR(__xludf.DUMMYFUNCTION("IMPORTRANGE(""https://docs.google.com/spreadsheets/d/""&amp;$A185&amp;""/edit#gid=156619080"",AA$3)"),1780.28)</f>
        <v>1780.28</v>
      </c>
      <c r="AB185" s="2">
        <f>IFERROR(__xludf.DUMMYFUNCTION("IMPORTRANGE(""https://docs.google.com/spreadsheets/d/""&amp;$A185&amp;""/edit#gid=156619080"",AB$3)"),1767.44)</f>
        <v>1767.44</v>
      </c>
      <c r="AC185" s="18">
        <f>IFERROR(__xludf.DUMMYFUNCTION("IMPORTRANGE(""https://docs.google.com/spreadsheets/d/""&amp;$A185&amp;""/edit#gid=156619080"",AC$3)"),1754.6)</f>
        <v>1754.6</v>
      </c>
      <c r="AD185" s="18">
        <f>IFERROR(__xludf.DUMMYFUNCTION("IMPORTRANGE(""https://docs.google.com/spreadsheets/d/""&amp;$A185&amp;""/edit#gid=156619080"",AD$3)"),1741.76)</f>
        <v>1741.76</v>
      </c>
      <c r="AE185" s="18">
        <f>IFERROR(__xludf.DUMMYFUNCTION("IMPORTRANGE(""https://docs.google.com/spreadsheets/d/""&amp;$A185&amp;""/edit#gid=156619080"",AE$3)"),1690.4)</f>
        <v>1690.4</v>
      </c>
      <c r="AF185" s="2">
        <f>IFERROR(__xludf.DUMMYFUNCTION("IMPORTRANGE(""https://docs.google.com/spreadsheets/d/""&amp;$A185&amp;""/edit#gid=156619080"",AF$3)"),1639.04)</f>
        <v>1639.04</v>
      </c>
      <c r="AG185" s="2">
        <f>IFERROR(__xludf.DUMMYFUNCTION("IMPORTRANGE(""https://docs.google.com/spreadsheets/d/""&amp;$A185&amp;""/edit#gid=156619080"",AG$3)"),1626.2)</f>
        <v>1626.2</v>
      </c>
      <c r="AH185" s="2">
        <f>IFERROR(__xludf.DUMMYFUNCTION("IMPORTRANGE(""https://docs.google.com/spreadsheets/d/""&amp;$A185&amp;""/edit#gid=156619080"",AH$3)"),1613.36)</f>
        <v>1613.36</v>
      </c>
      <c r="AI185" s="2">
        <f>IFERROR(__xludf.DUMMYFUNCTION("IMPORTRANGE(""https://docs.google.com/spreadsheets/d/""&amp;$A185&amp;""/edit#gid=156619080"",AI$3)"),1600.52)</f>
        <v>1600.52</v>
      </c>
      <c r="AJ185" s="2">
        <f>IFERROR(__xludf.DUMMYFUNCTION("IMPORTRANGE(""https://docs.google.com/spreadsheets/d/""&amp;$A185&amp;""/edit#gid=156619080"",AJ$3)"),1587.68)</f>
        <v>1587.68</v>
      </c>
      <c r="AK185" s="2" t="str">
        <f>IFERROR(__xludf.DUMMYFUNCTION("IMPORTRANGE(""https://docs.google.com/spreadsheets/d/""&amp;$A185&amp;""/edit#gid=156619080"",AK$3)"),"")</f>
        <v/>
      </c>
      <c r="AL185" s="2">
        <f>IFERROR(__xludf.DUMMYFUNCTION("IMPORTRANGE(""https://docs.google.com/spreadsheets/d/""&amp;$A185&amp;""/edit#gid=156619080"",AL$3)"),-1.0)</f>
        <v>-1</v>
      </c>
      <c r="AM185" s="2" t="str">
        <f>IFERROR(__xludf.DUMMYFUNCTION("IMPORTRANGE(""https://docs.google.com/spreadsheets/d/""&amp;$A185&amp;""/edit#gid=156619080"",AM$3)"),"")</f>
        <v/>
      </c>
      <c r="AN185" s="2">
        <f>IFERROR(__xludf.DUMMYFUNCTION("IMPORTRANGE(""https://docs.google.com/spreadsheets/d/""&amp;$A185&amp;""/edit#gid=156619080"",AN$3)"),-1.0)</f>
        <v>-1</v>
      </c>
      <c r="AO185" s="2" t="str">
        <f>IFERROR(__xludf.DUMMYFUNCTION("IMPORTRANGE(""https://docs.google.com/spreadsheets/d/""&amp;$A185&amp;""/edit#gid=156619080"",AO$3)"),"")</f>
        <v/>
      </c>
      <c r="AP185" s="2">
        <f>IFERROR(__xludf.DUMMYFUNCTION("IMPORTRANGE(""https://docs.google.com/spreadsheets/d/""&amp;$A185&amp;""/edit#gid=156619080"",AP$3)"),1.0)</f>
        <v>1</v>
      </c>
      <c r="AQ185" s="2" t="str">
        <f>IFERROR(__xludf.DUMMYFUNCTION("IMPORTRANGE(""https://docs.google.com/spreadsheets/d/""&amp;$A185&amp;""/edit#gid=156619080"",AQ$3)"),"")</f>
        <v/>
      </c>
      <c r="AR185" s="18">
        <f>IFERROR(__xludf.DUMMYFUNCTION("IMPORTRANGE(""https://docs.google.com/spreadsheets/d/""&amp;$A185&amp;""/edit#gid=156619080"",AR$3)"),-70.0)</f>
        <v>-70</v>
      </c>
      <c r="AS185" s="19" t="str">
        <f>IFERROR(__xludf.DUMMYFUNCTION("IMPORTRANGE(""https://docs.google.com/spreadsheets/d/""&amp;$A185&amp;""/edit#gid=156619080"",AS$3)"),"-100
-100
-100
-100
")</f>
        <v>-100
-100
-100
-100
</v>
      </c>
      <c r="AT185" s="18">
        <f>IFERROR(__xludf.DUMMYFUNCTION("IMPORTRANGE(""https://docs.google.com/spreadsheets/d/""&amp;$A185&amp;""/edit#gid=156619080"",AT$3)"),-63.18681318681318)</f>
        <v>-63.18681319</v>
      </c>
      <c r="AU185" s="3" t="str">
        <f>IFERROR(__xludf.DUMMYFUNCTION("IMPORTRANGE(""https://docs.google.com/spreadsheets/d/""&amp;$A185&amp;""/edit#gid=156619080"",AU$3)"),"61.68
29.81
-5.36
-34.62
")</f>
        <v>61.68
29.81
-5.36
-34.62
</v>
      </c>
      <c r="AV185" s="18">
        <f>IFERROR(__xludf.DUMMYFUNCTION("IMPORTRANGE(""https://docs.google.com/spreadsheets/d/""&amp;$A185&amp;""/edit#gid=156619080"",AV$3)"),-19.577922077922082)</f>
        <v>-19.57792208</v>
      </c>
      <c r="AW185" s="19" t="str">
        <f>IFERROR(__xludf.DUMMYFUNCTION("IMPORTRANGE(""https://docs.google.com/spreadsheets/d/""&amp;$A185&amp;""/edit#gid=156619080"",AW$3)"),"20.81
7.95
-2.05
-11.53
")</f>
        <v>20.81
7.95
-2.05
-11.53
</v>
      </c>
      <c r="AX185" s="2">
        <f>IFERROR(__xludf.DUMMYFUNCTION("IMPORTRANGE(""https://docs.google.com/spreadsheets/d/""&amp;$A185&amp;""/edit#gid=156619080"",AX$3)"),12.389999999999999)</f>
        <v>12.39</v>
      </c>
      <c r="AY185" s="2">
        <f>IFERROR(__xludf.DUMMYFUNCTION("IMPORTRANGE(""https://docs.google.com/spreadsheets/d/""&amp;$A185&amp;""/edit#gid=156619080"",AY$3)"),38.64)</f>
        <v>38.64</v>
      </c>
      <c r="AZ185" s="2">
        <f>IFERROR(__xludf.DUMMYFUNCTION("IMPORTRANGE(""https://docs.google.com/spreadsheets/d/""&amp;$A185&amp;""/edit#gid=156619080"",AZ$3)"),1654.01)</f>
        <v>1654.01</v>
      </c>
      <c r="BA185" s="2">
        <f>IFERROR(__xludf.DUMMYFUNCTION("IMPORTRANGE(""https://docs.google.com/spreadsheets/d/""&amp;$A185&amp;""/edit#gid=156619080"",BA$3)"),-43.1400000000001)</f>
        <v>-43.14</v>
      </c>
      <c r="BB185" s="2">
        <f>IFERROR(__xludf.DUMMYFUNCTION("IMPORTRANGE(""https://docs.google.com/spreadsheets/d/""&amp;$A185&amp;""/edit#gid=156619080"",BB$3)"),-21.79)</f>
        <v>-21.79</v>
      </c>
      <c r="BC185" s="2" t="str">
        <f>IFERROR(__xludf.DUMMYFUNCTION("IMPORTRANGE(""https://docs.google.com/spreadsheets/d/""&amp;$A185&amp;""/edit#gid=156619080"",BC$3)"),"DC→DC")</f>
        <v>DC→DC</v>
      </c>
    </row>
    <row r="186" ht="51.0" customHeight="1">
      <c r="A186" s="7" t="str">
        <f t="shared" si="5"/>
        <v>16i3eTsOTLy4a5qlpryzXdiRxwrONHEEXdSA2JIHxYgE</v>
      </c>
      <c r="B186" s="1" t="s">
        <v>213</v>
      </c>
      <c r="C186" s="2">
        <f>IFERROR(__xludf.DUMMYFUNCTION("IMPORTRANGE(""https://docs.google.com/spreadsheets/d/""&amp;$A186&amp;""/edit#gid=156619080"",C$3)"),132.0)</f>
        <v>132</v>
      </c>
      <c r="D186" s="2">
        <f>IFERROR(__xludf.DUMMYFUNCTION("IMPORTRANGE(""https://docs.google.com/spreadsheets/d/""&amp;$A186&amp;""/edit#gid=156619080"",D$3)"),8766.0)</f>
        <v>8766</v>
      </c>
      <c r="E186" s="15">
        <f>IFERROR(__xludf.DUMMYFUNCTION("IMPORTRANGE(""https://docs.google.com/spreadsheets/d/""&amp;$A186&amp;""/edit#gid=156619080"",E$3)"),43882.0)</f>
        <v>43882</v>
      </c>
      <c r="F186" s="2">
        <f>IFERROR(__xludf.DUMMYFUNCTION("IMPORTRANGE(""https://docs.google.com/spreadsheets/d/""&amp;$A186&amp;""/edit#gid=156619080"",F$3)"),143.0)</f>
        <v>143</v>
      </c>
      <c r="G186" s="16">
        <f>IFERROR(__xludf.DUMMYFUNCTION("IMPORTRANGE(""https://docs.google.com/spreadsheets/d/""&amp;$A186&amp;""/edit#gid=156619080"",G$3)"),2.33)</f>
        <v>2.33</v>
      </c>
      <c r="H186" s="16">
        <f>IFERROR(__xludf.DUMMYFUNCTION("IMPORTRANGE(""https://docs.google.com/spreadsheets/d/""&amp;$A186&amp;""/edit#gid=156619080"",H$3)"),6175.0)</f>
        <v>6175</v>
      </c>
      <c r="I186" s="16">
        <f>IFERROR(__xludf.DUMMYFUNCTION("IMPORTRANGE(""https://docs.google.com/spreadsheets/d/""&amp;$A186&amp;""/edit#gid=156619080"",I$3)"),-49.0)</f>
        <v>-49</v>
      </c>
      <c r="J186" s="16">
        <f>IFERROR(__xludf.DUMMYFUNCTION("IMPORTRANGE(""https://docs.google.com/spreadsheets/d/""&amp;$A186&amp;""/edit#gid=156619080"",J$3)"),6289.0)</f>
        <v>6289</v>
      </c>
      <c r="K186" s="16">
        <f>IFERROR(__xludf.DUMMYFUNCTION("IMPORTRANGE(""https://docs.google.com/spreadsheets/d/""&amp;$A186&amp;""/edit#gid=156619080"",K$3)"),0.43472222222222223)</f>
        <v>0.4347222222</v>
      </c>
      <c r="L186" s="16">
        <f>IFERROR(__xludf.DUMMYFUNCTION("IMPORTRANGE(""https://docs.google.com/spreadsheets/d/""&amp;$A186&amp;""/edit#gid=156619080"",L$3)"),6162.0)</f>
        <v>6162</v>
      </c>
      <c r="M186" s="16">
        <f>IFERROR(__xludf.DUMMYFUNCTION("IMPORTRANGE(""https://docs.google.com/spreadsheets/d/""&amp;$A186&amp;""/edit#gid=156619080"",M$3)"),0.375)</f>
        <v>0.375</v>
      </c>
      <c r="N186" s="16">
        <f>IFERROR(__xludf.DUMMYFUNCTION("IMPORTRANGE(""https://docs.google.com/spreadsheets/d/""&amp;$A186&amp;""/edit#gid=156619080"",N$3)"),6269.0)</f>
        <v>6269</v>
      </c>
      <c r="O186" s="16" t="str">
        <f>IFERROR(__xludf.DUMMYFUNCTION("IMPORTRANGE(""https://docs.google.com/spreadsheets/d/""&amp;$A186&amp;""/edit#gid=156619080"",O$3)"),"2170800株")</f>
        <v>2170800株</v>
      </c>
      <c r="P186" s="16" t="str">
        <f>IFERROR(__xludf.DUMMYFUNCTION("IMPORTRANGE(""https://docs.google.com/spreadsheets/d/""&amp;$A186&amp;""/edit#gid=156619080"",P$3)"),"13577百万円")</f>
        <v>13577百万円</v>
      </c>
      <c r="Q186" s="16" t="str">
        <f>IFERROR(__xludf.DUMMYFUNCTION("IMPORTRANGE(""https://docs.google.com/spreadsheets/d/""&amp;$A186&amp;""/edit#gid=156619080"",Q$3)"),"5781回")</f>
        <v>5781回</v>
      </c>
      <c r="R186" s="16" t="str">
        <f>IFERROR(__xludf.DUMMYFUNCTION("IMPORTRANGE(""https://docs.google.com/spreadsheets/d/""&amp;$A186&amp;""/edit#gid=156619080"",R$3)"),"44510億円")</f>
        <v>44510億円</v>
      </c>
      <c r="S186" s="16" t="str">
        <f>IFERROR(__xludf.DUMMYFUNCTION("IMPORTRANGE(""https://docs.google.com/spreadsheets/d/""&amp;$A186&amp;""/edit#gid=156619080"",S$3)"),"陽線")</f>
        <v>陽線</v>
      </c>
      <c r="T186" s="16" t="str">
        <f>IFERROR(__xludf.DUMMYFUNCTION("IMPORTRANGE(""https://docs.google.com/spreadsheets/d/""&amp;$A186&amp;""/edit#gid=156619080"",T$3)"),"")</f>
        <v/>
      </c>
      <c r="U186" s="16">
        <f>IFERROR(__xludf.DUMMYFUNCTION("IMPORTRANGE(""https://docs.google.com/spreadsheets/d/""&amp;$A186&amp;""/edit#gid=156619080"",U$3)"),6124.0)</f>
        <v>6124</v>
      </c>
      <c r="V186" s="16">
        <f>IFERROR(__xludf.DUMMYFUNCTION("IMPORTRANGE(""https://docs.google.com/spreadsheets/d/""&amp;$A186&amp;""/edit#gid=156619080"",V$3)"),6150.7)</f>
        <v>6150.7</v>
      </c>
      <c r="W186" s="16">
        <f>IFERROR(__xludf.DUMMYFUNCTION("IMPORTRANGE(""https://docs.google.com/spreadsheets/d/""&amp;$A186&amp;""/edit#gid=156619080"",W$3)"),6096.2)</f>
        <v>6096.2</v>
      </c>
      <c r="X186" s="2">
        <f>IFERROR(__xludf.DUMMYFUNCTION("IMPORTRANGE(""https://docs.google.com/spreadsheets/d/""&amp;$A186&amp;""/edit#gid=156619080"",X$3)"),5908.8)</f>
        <v>5908.8</v>
      </c>
      <c r="Y186" s="17">
        <f>IFERROR(__xludf.DUMMYFUNCTION("IMPORTRANGE(""https://docs.google.com/spreadsheets/d/""&amp;$A186&amp;""/edit#gid=156619080"",Y$3)"),0.023677335075114304)</f>
        <v>0.02367733508</v>
      </c>
      <c r="Z186" s="2">
        <f>IFERROR(__xludf.DUMMYFUNCTION("IMPORTRANGE(""https://docs.google.com/spreadsheets/d/""&amp;$A186&amp;""/edit#gid=156619080"",Z$3)"),6286.17)</f>
        <v>6286.17</v>
      </c>
      <c r="AA186" s="2">
        <f>IFERROR(__xludf.DUMMYFUNCTION("IMPORTRANGE(""https://docs.google.com/spreadsheets/d/""&amp;$A186&amp;""/edit#gid=156619080"",AA$3)"),6262.43)</f>
        <v>6262.43</v>
      </c>
      <c r="AB186" s="2">
        <f>IFERROR(__xludf.DUMMYFUNCTION("IMPORTRANGE(""https://docs.google.com/spreadsheets/d/""&amp;$A186&amp;""/edit#gid=156619080"",AB$3)"),6238.68)</f>
        <v>6238.68</v>
      </c>
      <c r="AC186" s="18">
        <f>IFERROR(__xludf.DUMMYFUNCTION("IMPORTRANGE(""https://docs.google.com/spreadsheets/d/""&amp;$A186&amp;""/edit#gid=156619080"",AC$3)"),6214.93)</f>
        <v>6214.93</v>
      </c>
      <c r="AD186" s="18">
        <f>IFERROR(__xludf.DUMMYFUNCTION("IMPORTRANGE(""https://docs.google.com/spreadsheets/d/""&amp;$A186&amp;""/edit#gid=156619080"",AD$3)"),6191.19)</f>
        <v>6191.19</v>
      </c>
      <c r="AE186" s="18">
        <f>IFERROR(__xludf.DUMMYFUNCTION("IMPORTRANGE(""https://docs.google.com/spreadsheets/d/""&amp;$A186&amp;""/edit#gid=156619080"",AE$3)"),6096.2)</f>
        <v>6096.2</v>
      </c>
      <c r="AF186" s="2">
        <f>IFERROR(__xludf.DUMMYFUNCTION("IMPORTRANGE(""https://docs.google.com/spreadsheets/d/""&amp;$A186&amp;""/edit#gid=156619080"",AF$3)"),6001.21)</f>
        <v>6001.21</v>
      </c>
      <c r="AG186" s="2">
        <f>IFERROR(__xludf.DUMMYFUNCTION("IMPORTRANGE(""https://docs.google.com/spreadsheets/d/""&amp;$A186&amp;""/edit#gid=156619080"",AG$3)"),5977.47)</f>
        <v>5977.47</v>
      </c>
      <c r="AH186" s="2">
        <f>IFERROR(__xludf.DUMMYFUNCTION("IMPORTRANGE(""https://docs.google.com/spreadsheets/d/""&amp;$A186&amp;""/edit#gid=156619080"",AH$3)"),5953.72)</f>
        <v>5953.72</v>
      </c>
      <c r="AI186" s="2">
        <f>IFERROR(__xludf.DUMMYFUNCTION("IMPORTRANGE(""https://docs.google.com/spreadsheets/d/""&amp;$A186&amp;""/edit#gid=156619080"",AI$3)"),5929.97)</f>
        <v>5929.97</v>
      </c>
      <c r="AJ186" s="2">
        <f>IFERROR(__xludf.DUMMYFUNCTION("IMPORTRANGE(""https://docs.google.com/spreadsheets/d/""&amp;$A186&amp;""/edit#gid=156619080"",AJ$3)"),5906.23)</f>
        <v>5906.23</v>
      </c>
      <c r="AK186" s="2" t="str">
        <f>IFERROR(__xludf.DUMMYFUNCTION("IMPORTRANGE(""https://docs.google.com/spreadsheets/d/""&amp;$A186&amp;""/edit#gid=156619080"",AK$3)"),"1.75σ〜2σ")</f>
        <v>1.75σ〜2σ</v>
      </c>
      <c r="AL186" s="2">
        <f>IFERROR(__xludf.DUMMYFUNCTION("IMPORTRANGE(""https://docs.google.com/spreadsheets/d/""&amp;$A186&amp;""/edit#gid=156619080"",AL$3)"),-1.0)</f>
        <v>-1</v>
      </c>
      <c r="AM186" s="2" t="str">
        <f>IFERROR(__xludf.DUMMYFUNCTION("IMPORTRANGE(""https://docs.google.com/spreadsheets/d/""&amp;$A186&amp;""/edit#gid=156619080"",AM$3)"),"")</f>
        <v/>
      </c>
      <c r="AN186" s="2">
        <f>IFERROR(__xludf.DUMMYFUNCTION("IMPORTRANGE(""https://docs.google.com/spreadsheets/d/""&amp;$A186&amp;""/edit#gid=156619080"",AN$3)"),1.0)</f>
        <v>1</v>
      </c>
      <c r="AO186" s="2" t="str">
        <f>IFERROR(__xludf.DUMMYFUNCTION("IMPORTRANGE(""https://docs.google.com/spreadsheets/d/""&amp;$A186&amp;""/edit#gid=156619080"",AO$3)"),"")</f>
        <v/>
      </c>
      <c r="AP186" s="2">
        <f>IFERROR(__xludf.DUMMYFUNCTION("IMPORTRANGE(""https://docs.google.com/spreadsheets/d/""&amp;$A186&amp;""/edit#gid=156619080"",AP$3)"),1.0)</f>
        <v>1</v>
      </c>
      <c r="AQ186" s="2" t="str">
        <f>IFERROR(__xludf.DUMMYFUNCTION("IMPORTRANGE(""https://docs.google.com/spreadsheets/d/""&amp;$A186&amp;""/edit#gid=156619080"",AQ$3)"),"")</f>
        <v/>
      </c>
      <c r="AR186" s="18">
        <f>IFERROR(__xludf.DUMMYFUNCTION("IMPORTRANGE(""https://docs.google.com/spreadsheets/d/""&amp;$A186&amp;""/edit#gid=156619080"",AR$3)"),70.0)</f>
        <v>70</v>
      </c>
      <c r="AS186" s="19" t="str">
        <f>IFERROR(__xludf.DUMMYFUNCTION("IMPORTRANGE(""https://docs.google.com/spreadsheets/d/""&amp;$A186&amp;""/edit#gid=156619080"",AS$3)"),"-62.5
-62.5
-82.5
-30
")</f>
        <v>-62.5
-62.5
-82.5
-30
</v>
      </c>
      <c r="AT186" s="18">
        <f>IFERROR(__xludf.DUMMYFUNCTION("IMPORTRANGE(""https://docs.google.com/spreadsheets/d/""&amp;$A186&amp;""/edit#gid=156619080"",AT$3)"),-16.620879120879128)</f>
        <v>-16.62087912</v>
      </c>
      <c r="AU186" s="3" t="str">
        <f>IFERROR(__xludf.DUMMYFUNCTION("IMPORTRANGE(""https://docs.google.com/spreadsheets/d/""&amp;$A186&amp;""/edit#gid=156619080"",AU$3)"),"55.91
39.42
15.8
-11.13
")</f>
        <v>55.91
39.42
15.8
-11.13
</v>
      </c>
      <c r="AV186" s="18">
        <f>IFERROR(__xludf.DUMMYFUNCTION("IMPORTRANGE(""https://docs.google.com/spreadsheets/d/""&amp;$A186&amp;""/edit#gid=156619080"",AV$3)"),59.350649350649356)</f>
        <v>59.35064935</v>
      </c>
      <c r="AW186" s="19" t="str">
        <f>IFERROR(__xludf.DUMMYFUNCTION("IMPORTRANGE(""https://docs.google.com/spreadsheets/d/""&amp;$A186&amp;""/edit#gid=156619080"",AW$3)"),"49.09
44.55
42.34
46.53
")</f>
        <v>49.09
44.55
42.34
46.53
</v>
      </c>
      <c r="AX186" s="2">
        <f>IFERROR(__xludf.DUMMYFUNCTION("IMPORTRANGE(""https://docs.google.com/spreadsheets/d/""&amp;$A186&amp;""/edit#gid=156619080"",AX$3)"),71.57)</f>
        <v>71.57</v>
      </c>
      <c r="AY186" s="2">
        <f>IFERROR(__xludf.DUMMYFUNCTION("IMPORTRANGE(""https://docs.google.com/spreadsheets/d/""&amp;$A186&amp;""/edit#gid=156619080"",AY$3)"),57.04)</f>
        <v>57.04</v>
      </c>
      <c r="AZ186" s="2">
        <f>IFERROR(__xludf.DUMMYFUNCTION("IMPORTRANGE(""https://docs.google.com/spreadsheets/d/""&amp;$A186&amp;""/edit#gid=156619080"",AZ$3)"),6159.01)</f>
        <v>6159.01</v>
      </c>
      <c r="BA186" s="2">
        <f>IFERROR(__xludf.DUMMYFUNCTION("IMPORTRANGE(""https://docs.google.com/spreadsheets/d/""&amp;$A186&amp;""/edit#gid=156619080"",BA$3)"),39.530000000000655)</f>
        <v>39.53</v>
      </c>
      <c r="BB186" s="2">
        <f>IFERROR(__xludf.DUMMYFUNCTION("IMPORTRANGE(""https://docs.google.com/spreadsheets/d/""&amp;$A186&amp;""/edit#gid=156619080"",BB$3)"),19.22)</f>
        <v>19.22</v>
      </c>
      <c r="BC186" s="2" t="str">
        <f>IFERROR(__xludf.DUMMYFUNCTION("IMPORTRANGE(""https://docs.google.com/spreadsheets/d/""&amp;$A186&amp;""/edit#gid=156619080"",BC$3)"),"DC→GC")</f>
        <v>DC→GC</v>
      </c>
    </row>
    <row r="187" ht="51.0" customHeight="1">
      <c r="A187" s="7" t="str">
        <f t="shared" si="5"/>
        <v>1Y3jJbh4PYR-dcG_Q-8B0uz0msW8uJMVlglucPvri30I</v>
      </c>
      <c r="B187" s="1" t="s">
        <v>214</v>
      </c>
      <c r="C187" s="2">
        <f>IFERROR(__xludf.DUMMYFUNCTION("IMPORTRANGE(""https://docs.google.com/spreadsheets/d/""&amp;$A187&amp;""/edit#gid=156619080"",C$3)"),132.0)</f>
        <v>132</v>
      </c>
      <c r="D187" s="2">
        <f>IFERROR(__xludf.DUMMYFUNCTION("IMPORTRANGE(""https://docs.google.com/spreadsheets/d/""&amp;$A187&amp;""/edit#gid=156619080"",D$3)"),8795.0)</f>
        <v>8795</v>
      </c>
      <c r="E187" s="15">
        <f>IFERROR(__xludf.DUMMYFUNCTION("IMPORTRANGE(""https://docs.google.com/spreadsheets/d/""&amp;$A187&amp;""/edit#gid=156619080"",E$3)"),43882.0)</f>
        <v>43882</v>
      </c>
      <c r="F187" s="2">
        <f>IFERROR(__xludf.DUMMYFUNCTION("IMPORTRANGE(""https://docs.google.com/spreadsheets/d/""&amp;$A187&amp;""/edit#gid=156619080"",F$3)"),5.0)</f>
        <v>5</v>
      </c>
      <c r="G187" s="16">
        <f>IFERROR(__xludf.DUMMYFUNCTION("IMPORTRANGE(""https://docs.google.com/spreadsheets/d/""&amp;$A187&amp;""/edit#gid=156619080"",G$3)"),0.41)</f>
        <v>0.41</v>
      </c>
      <c r="H187" s="16">
        <f>IFERROR(__xludf.DUMMYFUNCTION("IMPORTRANGE(""https://docs.google.com/spreadsheets/d/""&amp;$A187&amp;""/edit#gid=156619080"",H$3)"),1209.0)</f>
        <v>1209</v>
      </c>
      <c r="I187" s="16">
        <f>IFERROR(__xludf.DUMMYFUNCTION("IMPORTRANGE(""https://docs.google.com/spreadsheets/d/""&amp;$A187&amp;""/edit#gid=156619080"",I$3)"),6.0)</f>
        <v>6</v>
      </c>
      <c r="J187" s="16">
        <f>IFERROR(__xludf.DUMMYFUNCTION("IMPORTRANGE(""https://docs.google.com/spreadsheets/d/""&amp;$A187&amp;""/edit#gid=156619080"",J$3)"),1234.0)</f>
        <v>1234</v>
      </c>
      <c r="K187" s="16">
        <f>IFERROR(__xludf.DUMMYFUNCTION("IMPORTRANGE(""https://docs.google.com/spreadsheets/d/""&amp;$A187&amp;""/edit#gid=156619080"",K$3)"),0.4270833333333333)</f>
        <v>0.4270833333</v>
      </c>
      <c r="L187" s="16">
        <f>IFERROR(__xludf.DUMMYFUNCTION("IMPORTRANGE(""https://docs.google.com/spreadsheets/d/""&amp;$A187&amp;""/edit#gid=156619080"",L$3)"),1208.0)</f>
        <v>1208</v>
      </c>
      <c r="M187" s="16">
        <f>IFERROR(__xludf.DUMMYFUNCTION("IMPORTRANGE(""https://docs.google.com/spreadsheets/d/""&amp;$A187&amp;""/edit#gid=156619080"",M$3)"),0.375)</f>
        <v>0.375</v>
      </c>
      <c r="N187" s="16">
        <f>IFERROR(__xludf.DUMMYFUNCTION("IMPORTRANGE(""https://docs.google.com/spreadsheets/d/""&amp;$A187&amp;""/edit#gid=156619080"",N$3)"),1220.0)</f>
        <v>1220</v>
      </c>
      <c r="O187" s="16" t="str">
        <f>IFERROR(__xludf.DUMMYFUNCTION("IMPORTRANGE(""https://docs.google.com/spreadsheets/d/""&amp;$A187&amp;""/edit#gid=156619080"",O$3)"),"1971900株")</f>
        <v>1971900株</v>
      </c>
      <c r="P187" s="16" t="str">
        <f>IFERROR(__xludf.DUMMYFUNCTION("IMPORTRANGE(""https://docs.google.com/spreadsheets/d/""&amp;$A187&amp;""/edit#gid=156619080"",P$3)"),"2411百万円")</f>
        <v>2411百万円</v>
      </c>
      <c r="Q187" s="16" t="str">
        <f>IFERROR(__xludf.DUMMYFUNCTION("IMPORTRANGE(""https://docs.google.com/spreadsheets/d/""&amp;$A187&amp;""/edit#gid=156619080"",Q$3)"),"2110回")</f>
        <v>2110回</v>
      </c>
      <c r="R187" s="16" t="str">
        <f>IFERROR(__xludf.DUMMYFUNCTION("IMPORTRANGE(""https://docs.google.com/spreadsheets/d/""&amp;$A187&amp;""/edit#gid=156619080"",R$3)"),"7723億円")</f>
        <v>7723億円</v>
      </c>
      <c r="S187" s="16" t="str">
        <f>IFERROR(__xludf.DUMMYFUNCTION("IMPORTRANGE(""https://docs.google.com/spreadsheets/d/""&amp;$A187&amp;""/edit#gid=156619080"",S$3)"),"陽線")</f>
        <v>陽線</v>
      </c>
      <c r="T187" s="16" t="str">
        <f>IFERROR(__xludf.DUMMYFUNCTION("IMPORTRANGE(""https://docs.google.com/spreadsheets/d/""&amp;$A187&amp;""/edit#gid=156619080"",T$3)"),"")</f>
        <v/>
      </c>
      <c r="U187" s="16">
        <f>IFERROR(__xludf.DUMMYFUNCTION("IMPORTRANGE(""https://docs.google.com/spreadsheets/d/""&amp;$A187&amp;""/edit#gid=156619080"",U$3)"),1220.0)</f>
        <v>1220</v>
      </c>
      <c r="V187" s="16">
        <f>IFERROR(__xludf.DUMMYFUNCTION("IMPORTRANGE(""https://docs.google.com/spreadsheets/d/""&amp;$A187&amp;""/edit#gid=156619080"",V$3)"),1245.9)</f>
        <v>1245.9</v>
      </c>
      <c r="W187" s="16">
        <f>IFERROR(__xludf.DUMMYFUNCTION("IMPORTRANGE(""https://docs.google.com/spreadsheets/d/""&amp;$A187&amp;""/edit#gid=156619080"",W$3)"),1232.7)</f>
        <v>1232.7</v>
      </c>
      <c r="X187" s="2">
        <f>IFERROR(__xludf.DUMMYFUNCTION("IMPORTRANGE(""https://docs.google.com/spreadsheets/d/""&amp;$A187&amp;""/edit#gid=156619080"",X$3)"),1254.0)</f>
        <v>1254</v>
      </c>
      <c r="Y187" s="17">
        <f>IFERROR(__xludf.DUMMYFUNCTION("IMPORTRANGE(""https://docs.google.com/spreadsheets/d/""&amp;$A187&amp;""/edit#gid=156619080"",Y$3)"),0.0)</f>
        <v>0</v>
      </c>
      <c r="Z187" s="2">
        <f>IFERROR(__xludf.DUMMYFUNCTION("IMPORTRANGE(""https://docs.google.com/spreadsheets/d/""&amp;$A187&amp;""/edit#gid=156619080"",Z$3)"),1303.56)</f>
        <v>1303.56</v>
      </c>
      <c r="AA187" s="2">
        <f>IFERROR(__xludf.DUMMYFUNCTION("IMPORTRANGE(""https://docs.google.com/spreadsheets/d/""&amp;$A187&amp;""/edit#gid=156619080"",AA$3)"),1294.7)</f>
        <v>1294.7</v>
      </c>
      <c r="AB187" s="2">
        <f>IFERROR(__xludf.DUMMYFUNCTION("IMPORTRANGE(""https://docs.google.com/spreadsheets/d/""&amp;$A187&amp;""/edit#gid=156619080"",AB$3)"),1285.84)</f>
        <v>1285.84</v>
      </c>
      <c r="AC187" s="18">
        <f>IFERROR(__xludf.DUMMYFUNCTION("IMPORTRANGE(""https://docs.google.com/spreadsheets/d/""&amp;$A187&amp;""/edit#gid=156619080"",AC$3)"),1276.99)</f>
        <v>1276.99</v>
      </c>
      <c r="AD187" s="18">
        <f>IFERROR(__xludf.DUMMYFUNCTION("IMPORTRANGE(""https://docs.google.com/spreadsheets/d/""&amp;$A187&amp;""/edit#gid=156619080"",AD$3)"),1268.13)</f>
        <v>1268.13</v>
      </c>
      <c r="AE187" s="18">
        <f>IFERROR(__xludf.DUMMYFUNCTION("IMPORTRANGE(""https://docs.google.com/spreadsheets/d/""&amp;$A187&amp;""/edit#gid=156619080"",AE$3)"),1232.7)</f>
        <v>1232.7</v>
      </c>
      <c r="AF187" s="2">
        <f>IFERROR(__xludf.DUMMYFUNCTION("IMPORTRANGE(""https://docs.google.com/spreadsheets/d/""&amp;$A187&amp;""/edit#gid=156619080"",AF$3)"),1197.27)</f>
        <v>1197.27</v>
      </c>
      <c r="AG187" s="2">
        <f>IFERROR(__xludf.DUMMYFUNCTION("IMPORTRANGE(""https://docs.google.com/spreadsheets/d/""&amp;$A187&amp;""/edit#gid=156619080"",AG$3)"),1188.41)</f>
        <v>1188.41</v>
      </c>
      <c r="AH187" s="2">
        <f>IFERROR(__xludf.DUMMYFUNCTION("IMPORTRANGE(""https://docs.google.com/spreadsheets/d/""&amp;$A187&amp;""/edit#gid=156619080"",AH$3)"),1179.56)</f>
        <v>1179.56</v>
      </c>
      <c r="AI187" s="2">
        <f>IFERROR(__xludf.DUMMYFUNCTION("IMPORTRANGE(""https://docs.google.com/spreadsheets/d/""&amp;$A187&amp;""/edit#gid=156619080"",AI$3)"),1170.7)</f>
        <v>1170.7</v>
      </c>
      <c r="AJ187" s="2">
        <f>IFERROR(__xludf.DUMMYFUNCTION("IMPORTRANGE(""https://docs.google.com/spreadsheets/d/""&amp;$A187&amp;""/edit#gid=156619080"",AJ$3)"),1161.84)</f>
        <v>1161.84</v>
      </c>
      <c r="AK187" s="2" t="str">
        <f>IFERROR(__xludf.DUMMYFUNCTION("IMPORTRANGE(""https://docs.google.com/spreadsheets/d/""&amp;$A187&amp;""/edit#gid=156619080"",AK$3)"),"")</f>
        <v/>
      </c>
      <c r="AL187" s="2">
        <f>IFERROR(__xludf.DUMMYFUNCTION("IMPORTRANGE(""https://docs.google.com/spreadsheets/d/""&amp;$A187&amp;""/edit#gid=156619080"",AL$3)"),-1.0)</f>
        <v>-1</v>
      </c>
      <c r="AM187" s="2" t="str">
        <f>IFERROR(__xludf.DUMMYFUNCTION("IMPORTRANGE(""https://docs.google.com/spreadsheets/d/""&amp;$A187&amp;""/edit#gid=156619080"",AM$3)"),"")</f>
        <v/>
      </c>
      <c r="AN187" s="2">
        <f>IFERROR(__xludf.DUMMYFUNCTION("IMPORTRANGE(""https://docs.google.com/spreadsheets/d/""&amp;$A187&amp;""/edit#gid=156619080"",AN$3)"),-1.0)</f>
        <v>-1</v>
      </c>
      <c r="AO187" s="2" t="str">
        <f>IFERROR(__xludf.DUMMYFUNCTION("IMPORTRANGE(""https://docs.google.com/spreadsheets/d/""&amp;$A187&amp;""/edit#gid=156619080"",AO$3)"),"")</f>
        <v/>
      </c>
      <c r="AP187" s="2">
        <f>IFERROR(__xludf.DUMMYFUNCTION("IMPORTRANGE(""https://docs.google.com/spreadsheets/d/""&amp;$A187&amp;""/edit#gid=156619080"",AP$3)"),1.0)</f>
        <v>1</v>
      </c>
      <c r="AQ187" s="2" t="str">
        <f>IFERROR(__xludf.DUMMYFUNCTION("IMPORTRANGE(""https://docs.google.com/spreadsheets/d/""&amp;$A187&amp;""/edit#gid=156619080"",AQ$3)"),"")</f>
        <v/>
      </c>
      <c r="AR187" s="18">
        <f>IFERROR(__xludf.DUMMYFUNCTION("IMPORTRANGE(""https://docs.google.com/spreadsheets/d/""&amp;$A187&amp;""/edit#gid=156619080"",AR$3)"),-60.00000000000001)</f>
        <v>-60</v>
      </c>
      <c r="AS187" s="19" t="str">
        <f>IFERROR(__xludf.DUMMYFUNCTION("IMPORTRANGE(""https://docs.google.com/spreadsheets/d/""&amp;$A187&amp;""/edit#gid=156619080"",AS$3)"),"-90
-100
-100
-90
")</f>
        <v>-90
-100
-100
-90
</v>
      </c>
      <c r="AT187" s="18">
        <f>IFERROR(__xludf.DUMMYFUNCTION("IMPORTRANGE(""https://docs.google.com/spreadsheets/d/""&amp;$A187&amp;""/edit#gid=156619080"",AT$3)"),-42.85714285714286)</f>
        <v>-42.85714286</v>
      </c>
      <c r="AU187" s="3" t="str">
        <f>IFERROR(__xludf.DUMMYFUNCTION("IMPORTRANGE(""https://docs.google.com/spreadsheets/d/""&amp;$A187&amp;""/edit#gid=156619080"",AU$3)"),"58.24
43.96
20.88
-8.24
")</f>
        <v>58.24
43.96
20.88
-8.24
</v>
      </c>
      <c r="AV187" s="18">
        <f>IFERROR(__xludf.DUMMYFUNCTION("IMPORTRANGE(""https://docs.google.com/spreadsheets/d/""&amp;$A187&amp;""/edit#gid=156619080"",AV$3)"),23.92857142857143)</f>
        <v>23.92857143</v>
      </c>
      <c r="AW187" s="19" t="str">
        <f>IFERROR(__xludf.DUMMYFUNCTION("IMPORTRANGE(""https://docs.google.com/spreadsheets/d/""&amp;$A187&amp;""/edit#gid=156619080"",AW$3)"),"-22.47
-11.69
0.13
11.33
")</f>
        <v>-22.47
-11.69
0.13
11.33
</v>
      </c>
      <c r="AX187" s="2">
        <f>IFERROR(__xludf.DUMMYFUNCTION("IMPORTRANGE(""https://docs.google.com/spreadsheets/d/""&amp;$A187&amp;""/edit#gid=156619080"",AX$3)"),15.379999999999999)</f>
        <v>15.38</v>
      </c>
      <c r="AY187" s="2">
        <f>IFERROR(__xludf.DUMMYFUNCTION("IMPORTRANGE(""https://docs.google.com/spreadsheets/d/""&amp;$A187&amp;""/edit#gid=156619080"",AY$3)"),39.39)</f>
        <v>39.39</v>
      </c>
      <c r="AZ187" s="2">
        <f>IFERROR(__xludf.DUMMYFUNCTION("IMPORTRANGE(""https://docs.google.com/spreadsheets/d/""&amp;$A187&amp;""/edit#gid=156619080"",AZ$3)"),1224.46)</f>
        <v>1224.46</v>
      </c>
      <c r="BA187" s="2">
        <f>IFERROR(__xludf.DUMMYFUNCTION("IMPORTRANGE(""https://docs.google.com/spreadsheets/d/""&amp;$A187&amp;""/edit#gid=156619080"",BA$3)"),-22.789999999999964)</f>
        <v>-22.79</v>
      </c>
      <c r="BB187" s="2">
        <f>IFERROR(__xludf.DUMMYFUNCTION("IMPORTRANGE(""https://docs.google.com/spreadsheets/d/""&amp;$A187&amp;""/edit#gid=156619080"",BB$3)"),-19.82)</f>
        <v>-19.82</v>
      </c>
      <c r="BC187" s="2" t="str">
        <f>IFERROR(__xludf.DUMMYFUNCTION("IMPORTRANGE(""https://docs.google.com/spreadsheets/d/""&amp;$A187&amp;""/edit#gid=156619080"",BC$3)"),"DC→DC")</f>
        <v>DC→DC</v>
      </c>
    </row>
    <row r="188" ht="51.0" customHeight="1">
      <c r="A188" s="7" t="str">
        <f t="shared" si="5"/>
        <v>1zqSCSfig4vneaXqiDCC90aOk9NpStz_irnCaUi53IKI</v>
      </c>
      <c r="B188" s="1" t="s">
        <v>215</v>
      </c>
      <c r="C188" s="2">
        <f>IFERROR(__xludf.DUMMYFUNCTION("IMPORTRANGE(""https://docs.google.com/spreadsheets/d/""&amp;$A188&amp;""/edit#gid=156619080"",C$3)"),132.0)</f>
        <v>132</v>
      </c>
      <c r="D188" s="2">
        <f>IFERROR(__xludf.DUMMYFUNCTION("IMPORTRANGE(""https://docs.google.com/spreadsheets/d/""&amp;$A188&amp;""/edit#gid=156619080"",D$3)"),8253.0)</f>
        <v>8253</v>
      </c>
      <c r="E188" s="15">
        <f>IFERROR(__xludf.DUMMYFUNCTION("IMPORTRANGE(""https://docs.google.com/spreadsheets/d/""&amp;$A188&amp;""/edit#gid=156619080"",E$3)"),43882.0)</f>
        <v>43882</v>
      </c>
      <c r="F188" s="2">
        <f>IFERROR(__xludf.DUMMYFUNCTION("IMPORTRANGE(""https://docs.google.com/spreadsheets/d/""&amp;$A188&amp;""/edit#gid=156619080"",F$3)"),-18.0)</f>
        <v>-18</v>
      </c>
      <c r="G188" s="16">
        <f>IFERROR(__xludf.DUMMYFUNCTION("IMPORTRANGE(""https://docs.google.com/spreadsheets/d/""&amp;$A188&amp;""/edit#gid=156619080"",G$3)"),-0.98)</f>
        <v>-0.98</v>
      </c>
      <c r="H188" s="16">
        <f>IFERROR(__xludf.DUMMYFUNCTION("IMPORTRANGE(""https://docs.google.com/spreadsheets/d/""&amp;$A188&amp;""/edit#gid=156619080"",H$3)"),1841.0)</f>
        <v>1841</v>
      </c>
      <c r="I188" s="16">
        <f>IFERROR(__xludf.DUMMYFUNCTION("IMPORTRANGE(""https://docs.google.com/spreadsheets/d/""&amp;$A188&amp;""/edit#gid=156619080"",I$3)"),-7.0)</f>
        <v>-7</v>
      </c>
      <c r="J188" s="16">
        <f>IFERROR(__xludf.DUMMYFUNCTION("IMPORTRANGE(""https://docs.google.com/spreadsheets/d/""&amp;$A188&amp;""/edit#gid=156619080"",J$3)"),1848.0)</f>
        <v>1848</v>
      </c>
      <c r="K188" s="16">
        <f>IFERROR(__xludf.DUMMYFUNCTION("IMPORTRANGE(""https://docs.google.com/spreadsheets/d/""&amp;$A188&amp;""/edit#gid=156619080"",K$3)"),0.3763888888888889)</f>
        <v>0.3763888889</v>
      </c>
      <c r="L188" s="16">
        <f>IFERROR(__xludf.DUMMYFUNCTION("IMPORTRANGE(""https://docs.google.com/spreadsheets/d/""&amp;$A188&amp;""/edit#gid=156619080"",L$3)"),1811.0)</f>
        <v>1811</v>
      </c>
      <c r="M188" s="16">
        <f>IFERROR(__xludf.DUMMYFUNCTION("IMPORTRANGE(""https://docs.google.com/spreadsheets/d/""&amp;$A188&amp;""/edit#gid=156619080"",M$3)"),0.47847222222222224)</f>
        <v>0.4784722222</v>
      </c>
      <c r="N188" s="16">
        <f>IFERROR(__xludf.DUMMYFUNCTION("IMPORTRANGE(""https://docs.google.com/spreadsheets/d/""&amp;$A188&amp;""/edit#gid=156619080"",N$3)"),1816.0)</f>
        <v>1816</v>
      </c>
      <c r="O188" s="16" t="str">
        <f>IFERROR(__xludf.DUMMYFUNCTION("IMPORTRANGE(""https://docs.google.com/spreadsheets/d/""&amp;$A188&amp;""/edit#gid=156619080"",O$3)"),"597900株")</f>
        <v>597900株</v>
      </c>
      <c r="P188" s="16" t="str">
        <f>IFERROR(__xludf.DUMMYFUNCTION("IMPORTRANGE(""https://docs.google.com/spreadsheets/d/""&amp;$A188&amp;""/edit#gid=156619080"",P$3)"),"1092百万円")</f>
        <v>1092百万円</v>
      </c>
      <c r="Q188" s="16" t="str">
        <f>IFERROR(__xludf.DUMMYFUNCTION("IMPORTRANGE(""https://docs.google.com/spreadsheets/d/""&amp;$A188&amp;""/edit#gid=156619080"",Q$3)"),"1527回")</f>
        <v>1527回</v>
      </c>
      <c r="R188" s="16" t="str">
        <f>IFERROR(__xludf.DUMMYFUNCTION("IMPORTRANGE(""https://docs.google.com/spreadsheets/d/""&amp;$A188&amp;""/edit#gid=156619080"",R$3)"),"3368億円")</f>
        <v>3368億円</v>
      </c>
      <c r="S188" s="16" t="str">
        <f>IFERROR(__xludf.DUMMYFUNCTION("IMPORTRANGE(""https://docs.google.com/spreadsheets/d/""&amp;$A188&amp;""/edit#gid=156619080"",S$3)"),"陰線")</f>
        <v>陰線</v>
      </c>
      <c r="T188" s="16" t="str">
        <f>IFERROR(__xludf.DUMMYFUNCTION("IMPORTRANGE(""https://docs.google.com/spreadsheets/d/""&amp;$A188&amp;""/edit#gid=156619080"",T$3)"),"")</f>
        <v/>
      </c>
      <c r="U188" s="16">
        <f>IFERROR(__xludf.DUMMYFUNCTION("IMPORTRANGE(""https://docs.google.com/spreadsheets/d/""&amp;$A188&amp;""/edit#gid=156619080"",U$3)"),1833.2)</f>
        <v>1833.2</v>
      </c>
      <c r="V188" s="16">
        <f>IFERROR(__xludf.DUMMYFUNCTION("IMPORTRANGE(""https://docs.google.com/spreadsheets/d/""&amp;$A188&amp;""/edit#gid=156619080"",V$3)"),1827.0)</f>
        <v>1827</v>
      </c>
      <c r="W188" s="16">
        <f>IFERROR(__xludf.DUMMYFUNCTION("IMPORTRANGE(""https://docs.google.com/spreadsheets/d/""&amp;$A188&amp;""/edit#gid=156619080"",W$3)"),1823.4)</f>
        <v>1823.4</v>
      </c>
      <c r="X188" s="2">
        <f>IFERROR(__xludf.DUMMYFUNCTION("IMPORTRANGE(""https://docs.google.com/spreadsheets/d/""&amp;$A188&amp;""/edit#gid=156619080"",X$3)"),1703.9)</f>
        <v>1703.9</v>
      </c>
      <c r="Y188" s="17">
        <f>IFERROR(__xludf.DUMMYFUNCTION("IMPORTRANGE(""https://docs.google.com/spreadsheets/d/""&amp;$A188&amp;""/edit#gid=156619080"",Y$3)"),-0.009382500545494242)</f>
        <v>-0.009382500545</v>
      </c>
      <c r="Z188" s="2">
        <f>IFERROR(__xludf.DUMMYFUNCTION("IMPORTRANGE(""https://docs.google.com/spreadsheets/d/""&amp;$A188&amp;""/edit#gid=156619080"",Z$3)"),1916.19)</f>
        <v>1916.19</v>
      </c>
      <c r="AA188" s="2">
        <f>IFERROR(__xludf.DUMMYFUNCTION("IMPORTRANGE(""https://docs.google.com/spreadsheets/d/""&amp;$A188&amp;""/edit#gid=156619080"",AA$3)"),1904.59)</f>
        <v>1904.59</v>
      </c>
      <c r="AB188" s="2">
        <f>IFERROR(__xludf.DUMMYFUNCTION("IMPORTRANGE(""https://docs.google.com/spreadsheets/d/""&amp;$A188&amp;""/edit#gid=156619080"",AB$3)"),1892.99)</f>
        <v>1892.99</v>
      </c>
      <c r="AC188" s="18">
        <f>IFERROR(__xludf.DUMMYFUNCTION("IMPORTRANGE(""https://docs.google.com/spreadsheets/d/""&amp;$A188&amp;""/edit#gid=156619080"",AC$3)"),1881.4)</f>
        <v>1881.4</v>
      </c>
      <c r="AD188" s="18">
        <f>IFERROR(__xludf.DUMMYFUNCTION("IMPORTRANGE(""https://docs.google.com/spreadsheets/d/""&amp;$A188&amp;""/edit#gid=156619080"",AD$3)"),1869.8)</f>
        <v>1869.8</v>
      </c>
      <c r="AE188" s="18">
        <f>IFERROR(__xludf.DUMMYFUNCTION("IMPORTRANGE(""https://docs.google.com/spreadsheets/d/""&amp;$A188&amp;""/edit#gid=156619080"",AE$3)"),1823.4)</f>
        <v>1823.4</v>
      </c>
      <c r="AF188" s="2">
        <f>IFERROR(__xludf.DUMMYFUNCTION("IMPORTRANGE(""https://docs.google.com/spreadsheets/d/""&amp;$A188&amp;""/edit#gid=156619080"",AF$3)"),1777.0)</f>
        <v>1777</v>
      </c>
      <c r="AG188" s="2">
        <f>IFERROR(__xludf.DUMMYFUNCTION("IMPORTRANGE(""https://docs.google.com/spreadsheets/d/""&amp;$A188&amp;""/edit#gid=156619080"",AG$3)"),1765.4)</f>
        <v>1765.4</v>
      </c>
      <c r="AH188" s="2">
        <f>IFERROR(__xludf.DUMMYFUNCTION("IMPORTRANGE(""https://docs.google.com/spreadsheets/d/""&amp;$A188&amp;""/edit#gid=156619080"",AH$3)"),1753.81)</f>
        <v>1753.81</v>
      </c>
      <c r="AI188" s="2">
        <f>IFERROR(__xludf.DUMMYFUNCTION("IMPORTRANGE(""https://docs.google.com/spreadsheets/d/""&amp;$A188&amp;""/edit#gid=156619080"",AI$3)"),1742.21)</f>
        <v>1742.21</v>
      </c>
      <c r="AJ188" s="2">
        <f>IFERROR(__xludf.DUMMYFUNCTION("IMPORTRANGE(""https://docs.google.com/spreadsheets/d/""&amp;$A188&amp;""/edit#gid=156619080"",AJ$3)"),1730.61)</f>
        <v>1730.61</v>
      </c>
      <c r="AK188" s="2" t="str">
        <f>IFERROR(__xludf.DUMMYFUNCTION("IMPORTRANGE(""https://docs.google.com/spreadsheets/d/""&amp;$A188&amp;""/edit#gid=156619080"",AK$3)"),"")</f>
        <v/>
      </c>
      <c r="AL188" s="2">
        <f>IFERROR(__xludf.DUMMYFUNCTION("IMPORTRANGE(""https://docs.google.com/spreadsheets/d/""&amp;$A188&amp;""/edit#gid=156619080"",AL$3)"),1.0)</f>
        <v>1</v>
      </c>
      <c r="AM188" s="2" t="str">
        <f>IFERROR(__xludf.DUMMYFUNCTION("IMPORTRANGE(""https://docs.google.com/spreadsheets/d/""&amp;$A188&amp;""/edit#gid=156619080"",AM$3)"),"")</f>
        <v/>
      </c>
      <c r="AN188" s="2">
        <f>IFERROR(__xludf.DUMMYFUNCTION("IMPORTRANGE(""https://docs.google.com/spreadsheets/d/""&amp;$A188&amp;""/edit#gid=156619080"",AN$3)"),1.0)</f>
        <v>1</v>
      </c>
      <c r="AO188" s="2" t="str">
        <f>IFERROR(__xludf.DUMMYFUNCTION("IMPORTRANGE(""https://docs.google.com/spreadsheets/d/""&amp;$A188&amp;""/edit#gid=156619080"",AO$3)"),"")</f>
        <v/>
      </c>
      <c r="AP188" s="2">
        <f>IFERROR(__xludf.DUMMYFUNCTION("IMPORTRANGE(""https://docs.google.com/spreadsheets/d/""&amp;$A188&amp;""/edit#gid=156619080"",AP$3)"),1.0)</f>
        <v>1</v>
      </c>
      <c r="AQ188" s="2" t="str">
        <f>IFERROR(__xludf.DUMMYFUNCTION("IMPORTRANGE(""https://docs.google.com/spreadsheets/d/""&amp;$A188&amp;""/edit#gid=156619080"",AQ$3)"),"ws3")</f>
        <v>ws3</v>
      </c>
      <c r="AR188" s="18">
        <f>IFERROR(__xludf.DUMMYFUNCTION("IMPORTRANGE(""https://docs.google.com/spreadsheets/d/""&amp;$A188&amp;""/edit#gid=156619080"",AR$3)"),-80.0)</f>
        <v>-80</v>
      </c>
      <c r="AS188" s="19" t="str">
        <f>IFERROR(__xludf.DUMMYFUNCTION("IMPORTRANGE(""https://docs.google.com/spreadsheets/d/""&amp;$A188&amp;""/edit#gid=156619080"",AS$3)"),"7.5
-62.5
-62.5
-52.5
")</f>
        <v>7.5
-62.5
-62.5
-52.5
</v>
      </c>
      <c r="AT188" s="18">
        <f>IFERROR(__xludf.DUMMYFUNCTION("IMPORTRANGE(""https://docs.google.com/spreadsheets/d/""&amp;$A188&amp;""/edit#gid=156619080"",AT$3)"),34.47802197802198)</f>
        <v>34.47802198</v>
      </c>
      <c r="AU188" s="3" t="str">
        <f>IFERROR(__xludf.DUMMYFUNCTION("IMPORTRANGE(""https://docs.google.com/spreadsheets/d/""&amp;$A188&amp;""/edit#gid=156619080"",AU$3)"),"64.7
73.49
66.9
54.81
")</f>
        <v>64.7
73.49
66.9
54.81
</v>
      </c>
      <c r="AV188" s="18">
        <f>IFERROR(__xludf.DUMMYFUNCTION("IMPORTRANGE(""https://docs.google.com/spreadsheets/d/""&amp;$A188&amp;""/edit#gid=156619080"",AV$3)"),2.82467532467533)</f>
        <v>2.824675325</v>
      </c>
      <c r="AW188" s="19" t="str">
        <f>IFERROR(__xludf.DUMMYFUNCTION("IMPORTRANGE(""https://docs.google.com/spreadsheets/d/""&amp;$A188&amp;""/edit#gid=156619080"",AW$3)"),"-42.76
-34.32
-21.59
-7.95
")</f>
        <v>-42.76
-34.32
-21.59
-7.95
</v>
      </c>
      <c r="AX188" s="2">
        <f>IFERROR(__xludf.DUMMYFUNCTION("IMPORTRANGE(""https://docs.google.com/spreadsheets/d/""&amp;$A188&amp;""/edit#gid=156619080"",AX$3)"),21.279999999999998)</f>
        <v>21.28</v>
      </c>
      <c r="AY188" s="2">
        <f>IFERROR(__xludf.DUMMYFUNCTION("IMPORTRANGE(""https://docs.google.com/spreadsheets/d/""&amp;$A188&amp;""/edit#gid=156619080"",AY$3)"),41.83)</f>
        <v>41.83</v>
      </c>
      <c r="AZ188" s="2">
        <f>IFERROR(__xludf.DUMMYFUNCTION("IMPORTRANGE(""https://docs.google.com/spreadsheets/d/""&amp;$A188&amp;""/edit#gid=156619080"",AZ$3)"),1830.42)</f>
        <v>1830.42</v>
      </c>
      <c r="BA188" s="2">
        <f>IFERROR(__xludf.DUMMYFUNCTION("IMPORTRANGE(""https://docs.google.com/spreadsheets/d/""&amp;$A188&amp;""/edit#gid=156619080"",BA$3)"),-4.399999999999864)</f>
        <v>-4.4</v>
      </c>
      <c r="BB188" s="2">
        <f>IFERROR(__xludf.DUMMYFUNCTION("IMPORTRANGE(""https://docs.google.com/spreadsheets/d/""&amp;$A188&amp;""/edit#gid=156619080"",BB$3)"),-5.54)</f>
        <v>-5.54</v>
      </c>
      <c r="BC188" s="2" t="str">
        <f>IFERROR(__xludf.DUMMYFUNCTION("IMPORTRANGE(""https://docs.google.com/spreadsheets/d/""&amp;$A188&amp;""/edit#gid=156619080"",BC$3)"),"GC→GC")</f>
        <v>GC→GC</v>
      </c>
    </row>
    <row r="189" ht="51.0" customHeight="1">
      <c r="A189" s="7" t="str">
        <f t="shared" si="5"/>
        <v>15BAyWjLmu7Vp7bAXE3mnOr_jRpu0Srm9o6YQOubnKXk</v>
      </c>
      <c r="B189" s="1" t="s">
        <v>216</v>
      </c>
      <c r="C189" s="2">
        <f>IFERROR(__xludf.DUMMYFUNCTION("IMPORTRANGE(""https://docs.google.com/spreadsheets/d/""&amp;$A189&amp;""/edit#gid=156619080"",C$3)"),132.0)</f>
        <v>132</v>
      </c>
      <c r="D189" s="2">
        <f>IFERROR(__xludf.DUMMYFUNCTION("IMPORTRANGE(""https://docs.google.com/spreadsheets/d/""&amp;$A189&amp;""/edit#gid=156619080"",D$3)"),3289.0)</f>
        <v>3289</v>
      </c>
      <c r="E189" s="15">
        <f>IFERROR(__xludf.DUMMYFUNCTION("IMPORTRANGE(""https://docs.google.com/spreadsheets/d/""&amp;$A189&amp;""/edit#gid=156619080"",E$3)"),43882.0)</f>
        <v>43882</v>
      </c>
      <c r="F189" s="2">
        <f>IFERROR(__xludf.DUMMYFUNCTION("IMPORTRANGE(""https://docs.google.com/spreadsheets/d/""&amp;$A189&amp;""/edit#gid=156619080"",F$3)"),-5.0)</f>
        <v>-5</v>
      </c>
      <c r="G189" s="16">
        <f>IFERROR(__xludf.DUMMYFUNCTION("IMPORTRANGE(""https://docs.google.com/spreadsheets/d/""&amp;$A189&amp;""/edit#gid=156619080"",G$3)"),-0.64)</f>
        <v>-0.64</v>
      </c>
      <c r="H189" s="16">
        <f>IFERROR(__xludf.DUMMYFUNCTION("IMPORTRANGE(""https://docs.google.com/spreadsheets/d/""&amp;$A189&amp;""/edit#gid=156619080"",H$3)"),781.0)</f>
        <v>781</v>
      </c>
      <c r="I189" s="16">
        <f>IFERROR(__xludf.DUMMYFUNCTION("IMPORTRANGE(""https://docs.google.com/spreadsheets/d/""&amp;$A189&amp;""/edit#gid=156619080"",I$3)"),1.0)</f>
        <v>1</v>
      </c>
      <c r="J189" s="16">
        <f>IFERROR(__xludf.DUMMYFUNCTION("IMPORTRANGE(""https://docs.google.com/spreadsheets/d/""&amp;$A189&amp;""/edit#gid=156619080"",J$3)"),784.0)</f>
        <v>784</v>
      </c>
      <c r="K189" s="16">
        <f>IFERROR(__xludf.DUMMYFUNCTION("IMPORTRANGE(""https://docs.google.com/spreadsheets/d/""&amp;$A189&amp;""/edit#gid=156619080"",K$3)"),0.3763888888888889)</f>
        <v>0.3763888889</v>
      </c>
      <c r="L189" s="16">
        <f>IFERROR(__xludf.DUMMYFUNCTION("IMPORTRANGE(""https://docs.google.com/spreadsheets/d/""&amp;$A189&amp;""/edit#gid=156619080"",L$3)"),772.0)</f>
        <v>772</v>
      </c>
      <c r="M189" s="16">
        <f>IFERROR(__xludf.DUMMYFUNCTION("IMPORTRANGE(""https://docs.google.com/spreadsheets/d/""&amp;$A189&amp;""/edit#gid=156619080"",M$3)"),0.5256944444444445)</f>
        <v>0.5256944444</v>
      </c>
      <c r="N189" s="16">
        <f>IFERROR(__xludf.DUMMYFUNCTION("IMPORTRANGE(""https://docs.google.com/spreadsheets/d/""&amp;$A189&amp;""/edit#gid=156619080"",N$3)"),777.0)</f>
        <v>777</v>
      </c>
      <c r="O189" s="16" t="str">
        <f>IFERROR(__xludf.DUMMYFUNCTION("IMPORTRANGE(""https://docs.google.com/spreadsheets/d/""&amp;$A189&amp;""/edit#gid=156619080"",O$3)"),"1915700株")</f>
        <v>1915700株</v>
      </c>
      <c r="P189" s="16" t="str">
        <f>IFERROR(__xludf.DUMMYFUNCTION("IMPORTRANGE(""https://docs.google.com/spreadsheets/d/""&amp;$A189&amp;""/edit#gid=156619080"",P$3)"),"1489百万円")</f>
        <v>1489百万円</v>
      </c>
      <c r="Q189" s="16" t="str">
        <f>IFERROR(__xludf.DUMMYFUNCTION("IMPORTRANGE(""https://docs.google.com/spreadsheets/d/""&amp;$A189&amp;""/edit#gid=156619080"",Q$3)"),"1414回")</f>
        <v>1414回</v>
      </c>
      <c r="R189" s="16" t="str">
        <f>IFERROR(__xludf.DUMMYFUNCTION("IMPORTRANGE(""https://docs.google.com/spreadsheets/d/""&amp;$A189&amp;""/edit#gid=156619080"",R$3)"),"5593億円")</f>
        <v>5593億円</v>
      </c>
      <c r="S189" s="16" t="str">
        <f>IFERROR(__xludf.DUMMYFUNCTION("IMPORTRANGE(""https://docs.google.com/spreadsheets/d/""&amp;$A189&amp;""/edit#gid=156619080"",S$3)"),"陰線")</f>
        <v>陰線</v>
      </c>
      <c r="T189" s="16" t="str">
        <f>IFERROR(__xludf.DUMMYFUNCTION("IMPORTRANGE(""https://docs.google.com/spreadsheets/d/""&amp;$A189&amp;""/edit#gid=156619080"",T$3)"),"")</f>
        <v/>
      </c>
      <c r="U189" s="16">
        <f>IFERROR(__xludf.DUMMYFUNCTION("IMPORTRANGE(""https://docs.google.com/spreadsheets/d/""&amp;$A189&amp;""/edit#gid=156619080"",U$3)"),781.4)</f>
        <v>781.4</v>
      </c>
      <c r="V189" s="16">
        <f>IFERROR(__xludf.DUMMYFUNCTION("IMPORTRANGE(""https://docs.google.com/spreadsheets/d/""&amp;$A189&amp;""/edit#gid=156619080"",V$3)"),787.2)</f>
        <v>787.2</v>
      </c>
      <c r="W189" s="16">
        <f>IFERROR(__xludf.DUMMYFUNCTION("IMPORTRANGE(""https://docs.google.com/spreadsheets/d/""&amp;$A189&amp;""/edit#gid=156619080"",W$3)"),780.3)</f>
        <v>780.3</v>
      </c>
      <c r="X189" s="2">
        <f>IFERROR(__xludf.DUMMYFUNCTION("IMPORTRANGE(""https://docs.google.com/spreadsheets/d/""&amp;$A189&amp;""/edit#gid=156619080"",X$3)"),731.1)</f>
        <v>731.1</v>
      </c>
      <c r="Y189" s="17">
        <f>IFERROR(__xludf.DUMMYFUNCTION("IMPORTRANGE(""https://docs.google.com/spreadsheets/d/""&amp;$A189&amp;""/edit#gid=156619080"",Y$3)"),-0.005630918863578164)</f>
        <v>-0.005630918864</v>
      </c>
      <c r="Z189" s="2">
        <f>IFERROR(__xludf.DUMMYFUNCTION("IMPORTRANGE(""https://docs.google.com/spreadsheets/d/""&amp;$A189&amp;""/edit#gid=156619080"",Z$3)"),802.97)</f>
        <v>802.97</v>
      </c>
      <c r="AA189" s="2">
        <f>IFERROR(__xludf.DUMMYFUNCTION("IMPORTRANGE(""https://docs.google.com/spreadsheets/d/""&amp;$A189&amp;""/edit#gid=156619080"",AA$3)"),800.14)</f>
        <v>800.14</v>
      </c>
      <c r="AB189" s="2">
        <f>IFERROR(__xludf.DUMMYFUNCTION("IMPORTRANGE(""https://docs.google.com/spreadsheets/d/""&amp;$A189&amp;""/edit#gid=156619080"",AB$3)"),797.3)</f>
        <v>797.3</v>
      </c>
      <c r="AC189" s="18">
        <f>IFERROR(__xludf.DUMMYFUNCTION("IMPORTRANGE(""https://docs.google.com/spreadsheets/d/""&amp;$A189&amp;""/edit#gid=156619080"",AC$3)"),794.47)</f>
        <v>794.47</v>
      </c>
      <c r="AD189" s="18">
        <f>IFERROR(__xludf.DUMMYFUNCTION("IMPORTRANGE(""https://docs.google.com/spreadsheets/d/""&amp;$A189&amp;""/edit#gid=156619080"",AD$3)"),791.64)</f>
        <v>791.64</v>
      </c>
      <c r="AE189" s="18">
        <f>IFERROR(__xludf.DUMMYFUNCTION("IMPORTRANGE(""https://docs.google.com/spreadsheets/d/""&amp;$A189&amp;""/edit#gid=156619080"",AE$3)"),780.3)</f>
        <v>780.3</v>
      </c>
      <c r="AF189" s="2">
        <f>IFERROR(__xludf.DUMMYFUNCTION("IMPORTRANGE(""https://docs.google.com/spreadsheets/d/""&amp;$A189&amp;""/edit#gid=156619080"",AF$3)"),768.96)</f>
        <v>768.96</v>
      </c>
      <c r="AG189" s="2">
        <f>IFERROR(__xludf.DUMMYFUNCTION("IMPORTRANGE(""https://docs.google.com/spreadsheets/d/""&amp;$A189&amp;""/edit#gid=156619080"",AG$3)"),766.13)</f>
        <v>766.13</v>
      </c>
      <c r="AH189" s="2">
        <f>IFERROR(__xludf.DUMMYFUNCTION("IMPORTRANGE(""https://docs.google.com/spreadsheets/d/""&amp;$A189&amp;""/edit#gid=156619080"",AH$3)"),763.3)</f>
        <v>763.3</v>
      </c>
      <c r="AI189" s="2">
        <f>IFERROR(__xludf.DUMMYFUNCTION("IMPORTRANGE(""https://docs.google.com/spreadsheets/d/""&amp;$A189&amp;""/edit#gid=156619080"",AI$3)"),760.46)</f>
        <v>760.46</v>
      </c>
      <c r="AJ189" s="2">
        <f>IFERROR(__xludf.DUMMYFUNCTION("IMPORTRANGE(""https://docs.google.com/spreadsheets/d/""&amp;$A189&amp;""/edit#gid=156619080"",AJ$3)"),757.63)</f>
        <v>757.63</v>
      </c>
      <c r="AK189" s="2" t="str">
        <f>IFERROR(__xludf.DUMMYFUNCTION("IMPORTRANGE(""https://docs.google.com/spreadsheets/d/""&amp;$A189&amp;""/edit#gid=156619080"",AK$3)"),"")</f>
        <v/>
      </c>
      <c r="AL189" s="2">
        <f>IFERROR(__xludf.DUMMYFUNCTION("IMPORTRANGE(""https://docs.google.com/spreadsheets/d/""&amp;$A189&amp;""/edit#gid=156619080"",AL$3)"),-1.0)</f>
        <v>-1</v>
      </c>
      <c r="AM189" s="2" t="str">
        <f>IFERROR(__xludf.DUMMYFUNCTION("IMPORTRANGE(""https://docs.google.com/spreadsheets/d/""&amp;$A189&amp;""/edit#gid=156619080"",AM$3)"),"")</f>
        <v/>
      </c>
      <c r="AN189" s="2">
        <f>IFERROR(__xludf.DUMMYFUNCTION("IMPORTRANGE(""https://docs.google.com/spreadsheets/d/""&amp;$A189&amp;""/edit#gid=156619080"",AN$3)"),1.0)</f>
        <v>1</v>
      </c>
      <c r="AO189" s="2" t="str">
        <f>IFERROR(__xludf.DUMMYFUNCTION("IMPORTRANGE(""https://docs.google.com/spreadsheets/d/""&amp;$A189&amp;""/edit#gid=156619080"",AO$3)"),"")</f>
        <v/>
      </c>
      <c r="AP189" s="2">
        <f>IFERROR(__xludf.DUMMYFUNCTION("IMPORTRANGE(""https://docs.google.com/spreadsheets/d/""&amp;$A189&amp;""/edit#gid=156619080"",AP$3)"),1.0)</f>
        <v>1</v>
      </c>
      <c r="AQ189" s="2" t="str">
        <f>IFERROR(__xludf.DUMMYFUNCTION("IMPORTRANGE(""https://docs.google.com/spreadsheets/d/""&amp;$A189&amp;""/edit#gid=156619080"",AQ$3)"),"")</f>
        <v/>
      </c>
      <c r="AR189" s="18">
        <f>IFERROR(__xludf.DUMMYFUNCTION("IMPORTRANGE(""https://docs.google.com/spreadsheets/d/""&amp;$A189&amp;""/edit#gid=156619080"",AR$3)"),-32.49999999999999)</f>
        <v>-32.5</v>
      </c>
      <c r="AS189" s="19" t="str">
        <f>IFERROR(__xludf.DUMMYFUNCTION("IMPORTRANGE(""https://docs.google.com/spreadsheets/d/""&amp;$A189&amp;""/edit#gid=156619080"",AS$3)"),"-90
-90
10
47.5
")</f>
        <v>-90
-90
10
47.5
</v>
      </c>
      <c r="AT189" s="18">
        <f>IFERROR(__xludf.DUMMYFUNCTION("IMPORTRANGE(""https://docs.google.com/spreadsheets/d/""&amp;$A189&amp;""/edit#gid=156619080"",AT$3)"),-49.31318681318682)</f>
        <v>-49.31318681</v>
      </c>
      <c r="AU189" s="3" t="str">
        <f>IFERROR(__xludf.DUMMYFUNCTION("IMPORTRANGE(""https://docs.google.com/spreadsheets/d/""&amp;$A189&amp;""/edit#gid=156619080"",AU$3)"),"55.36
35.44
18.96
-6.46
")</f>
        <v>55.36
35.44
18.96
-6.46
</v>
      </c>
      <c r="AV189" s="18">
        <f>IFERROR(__xludf.DUMMYFUNCTION("IMPORTRANGE(""https://docs.google.com/spreadsheets/d/""&amp;$A189&amp;""/edit#gid=156619080"",AV$3)"),63.668831168831176)</f>
        <v>63.66883117</v>
      </c>
      <c r="AW189" s="19" t="str">
        <f>IFERROR(__xludf.DUMMYFUNCTION("IMPORTRANGE(""https://docs.google.com/spreadsheets/d/""&amp;$A189&amp;""/edit#gid=156619080"",AW$3)"),"83.47
78.25
76.04
72.14
")</f>
        <v>83.47
78.25
76.04
72.14
</v>
      </c>
      <c r="AX189" s="2">
        <f>IFERROR(__xludf.DUMMYFUNCTION("IMPORTRANGE(""https://docs.google.com/spreadsheets/d/""&amp;$A189&amp;""/edit#gid=156619080"",AX$3)"),40.910000000000004)</f>
        <v>40.91</v>
      </c>
      <c r="AY189" s="2">
        <f>IFERROR(__xludf.DUMMYFUNCTION("IMPORTRANGE(""https://docs.google.com/spreadsheets/d/""&amp;$A189&amp;""/edit#gid=156619080"",AY$3)"),53.269999999999996)</f>
        <v>53.27</v>
      </c>
      <c r="AZ189" s="2">
        <f>IFERROR(__xludf.DUMMYFUNCTION("IMPORTRANGE(""https://docs.google.com/spreadsheets/d/""&amp;$A189&amp;""/edit#gid=156619080"",AZ$3)"),781.3)</f>
        <v>781.3</v>
      </c>
      <c r="BA189" s="2">
        <f>IFERROR(__xludf.DUMMYFUNCTION("IMPORTRANGE(""https://docs.google.com/spreadsheets/d/""&amp;$A189&amp;""/edit#gid=156619080"",BA$3)"),2.7799999999999727)</f>
        <v>2.78</v>
      </c>
      <c r="BB189" s="2">
        <f>IFERROR(__xludf.DUMMYFUNCTION("IMPORTRANGE(""https://docs.google.com/spreadsheets/d/""&amp;$A189&amp;""/edit#gid=156619080"",BB$3)"),8.38)</f>
        <v>8.38</v>
      </c>
      <c r="BC189" s="2" t="str">
        <f>IFERROR(__xludf.DUMMYFUNCTION("IMPORTRANGE(""https://docs.google.com/spreadsheets/d/""&amp;$A189&amp;""/edit#gid=156619080"",BC$3)"),"DC→DC")</f>
        <v>DC→DC</v>
      </c>
    </row>
    <row r="190" ht="51.0" customHeight="1">
      <c r="A190" s="7" t="str">
        <f t="shared" si="5"/>
        <v>137ulzYugwErLcofDqwvaVdjXZZ-OvfhDxv0inzpSFn4</v>
      </c>
      <c r="B190" s="1" t="s">
        <v>217</v>
      </c>
      <c r="C190" s="2">
        <f>IFERROR(__xludf.DUMMYFUNCTION("IMPORTRANGE(""https://docs.google.com/spreadsheets/d/""&amp;$A190&amp;""/edit#gid=156619080"",C$3)"),132.0)</f>
        <v>132</v>
      </c>
      <c r="D190" s="2">
        <f>IFERROR(__xludf.DUMMYFUNCTION("IMPORTRANGE(""https://docs.google.com/spreadsheets/d/""&amp;$A190&amp;""/edit#gid=156619080"",D$3)"),8801.0)</f>
        <v>8801</v>
      </c>
      <c r="E190" s="15">
        <f>IFERROR(__xludf.DUMMYFUNCTION("IMPORTRANGE(""https://docs.google.com/spreadsheets/d/""&amp;$A190&amp;""/edit#gid=156619080"",E$3)"),43882.0)</f>
        <v>43882</v>
      </c>
      <c r="F190" s="2">
        <f>IFERROR(__xludf.DUMMYFUNCTION("IMPORTRANGE(""https://docs.google.com/spreadsheets/d/""&amp;$A190&amp;""/edit#gid=156619080"",F$3)"),-19.0)</f>
        <v>-19</v>
      </c>
      <c r="G190" s="16">
        <f>IFERROR(__xludf.DUMMYFUNCTION("IMPORTRANGE(""https://docs.google.com/spreadsheets/d/""&amp;$A190&amp;""/edit#gid=156619080"",G$3)"),-0.65)</f>
        <v>-0.65</v>
      </c>
      <c r="H190" s="16">
        <f>IFERROR(__xludf.DUMMYFUNCTION("IMPORTRANGE(""https://docs.google.com/spreadsheets/d/""&amp;$A190&amp;""/edit#gid=156619080"",H$3)"),2932.0)</f>
        <v>2932</v>
      </c>
      <c r="I190" s="16">
        <f>IFERROR(__xludf.DUMMYFUNCTION("IMPORTRANGE(""https://docs.google.com/spreadsheets/d/""&amp;$A190&amp;""/edit#gid=156619080"",I$3)"),11.0)</f>
        <v>11</v>
      </c>
      <c r="J190" s="16">
        <f>IFERROR(__xludf.DUMMYFUNCTION("IMPORTRANGE(""https://docs.google.com/spreadsheets/d/""&amp;$A190&amp;""/edit#gid=156619080"",J$3)"),2972.0)</f>
        <v>2972</v>
      </c>
      <c r="K190" s="16">
        <f>IFERROR(__xludf.DUMMYFUNCTION("IMPORTRANGE(""https://docs.google.com/spreadsheets/d/""&amp;$A190&amp;""/edit#gid=156619080"",K$3)"),0.4)</f>
        <v>0.4</v>
      </c>
      <c r="L190" s="16">
        <f>IFERROR(__xludf.DUMMYFUNCTION("IMPORTRANGE(""https://docs.google.com/spreadsheets/d/""&amp;$A190&amp;""/edit#gid=156619080"",L$3)"),2920.0)</f>
        <v>2920</v>
      </c>
      <c r="M190" s="16">
        <f>IFERROR(__xludf.DUMMYFUNCTION("IMPORTRANGE(""https://docs.google.com/spreadsheets/d/""&amp;$A190&amp;""/edit#gid=156619080"",M$3)"),0.5423611111111111)</f>
        <v>0.5423611111</v>
      </c>
      <c r="N190" s="16">
        <f>IFERROR(__xludf.DUMMYFUNCTION("IMPORTRANGE(""https://docs.google.com/spreadsheets/d/""&amp;$A190&amp;""/edit#gid=156619080"",N$3)"),2924.0)</f>
        <v>2924</v>
      </c>
      <c r="O190" s="16" t="str">
        <f>IFERROR(__xludf.DUMMYFUNCTION("IMPORTRANGE(""https://docs.google.com/spreadsheets/d/""&amp;$A190&amp;""/edit#gid=156619080"",O$3)"),"2106000株")</f>
        <v>2106000株</v>
      </c>
      <c r="P190" s="16" t="str">
        <f>IFERROR(__xludf.DUMMYFUNCTION("IMPORTRANGE(""https://docs.google.com/spreadsheets/d/""&amp;$A190&amp;""/edit#gid=156619080"",P$3)"),"6177百万円")</f>
        <v>6177百万円</v>
      </c>
      <c r="Q190" s="16" t="str">
        <f>IFERROR(__xludf.DUMMYFUNCTION("IMPORTRANGE(""https://docs.google.com/spreadsheets/d/""&amp;$A190&amp;""/edit#gid=156619080"",Q$3)"),"4294回")</f>
        <v>4294回</v>
      </c>
      <c r="R190" s="16" t="str">
        <f>IFERROR(__xludf.DUMMYFUNCTION("IMPORTRANGE(""https://docs.google.com/spreadsheets/d/""&amp;$A190&amp;""/edit#gid=156619080"",R$3)"),"28633億円")</f>
        <v>28633億円</v>
      </c>
      <c r="S190" s="16" t="str">
        <f>IFERROR(__xludf.DUMMYFUNCTION("IMPORTRANGE(""https://docs.google.com/spreadsheets/d/""&amp;$A190&amp;""/edit#gid=156619080"",S$3)"),"陰線")</f>
        <v>陰線</v>
      </c>
      <c r="T190" s="16" t="str">
        <f>IFERROR(__xludf.DUMMYFUNCTION("IMPORTRANGE(""https://docs.google.com/spreadsheets/d/""&amp;$A190&amp;""/edit#gid=156619080"",T$3)"),"")</f>
        <v/>
      </c>
      <c r="U190" s="16">
        <f>IFERROR(__xludf.DUMMYFUNCTION("IMPORTRANGE(""https://docs.google.com/spreadsheets/d/""&amp;$A190&amp;""/edit#gid=156619080"",U$3)"),2933.1)</f>
        <v>2933.1</v>
      </c>
      <c r="V190" s="16">
        <f>IFERROR(__xludf.DUMMYFUNCTION("IMPORTRANGE(""https://docs.google.com/spreadsheets/d/""&amp;$A190&amp;""/edit#gid=156619080"",V$3)"),2945.5)</f>
        <v>2945.5</v>
      </c>
      <c r="W190" s="16">
        <f>IFERROR(__xludf.DUMMYFUNCTION("IMPORTRANGE(""https://docs.google.com/spreadsheets/d/""&amp;$A190&amp;""/edit#gid=156619080"",W$3)"),2908.1)</f>
        <v>2908.1</v>
      </c>
      <c r="X190" s="2">
        <f>IFERROR(__xludf.DUMMYFUNCTION("IMPORTRANGE(""https://docs.google.com/spreadsheets/d/""&amp;$A190&amp;""/edit#gid=156619080"",X$3)"),2736.0)</f>
        <v>2736</v>
      </c>
      <c r="Y190" s="17">
        <f>IFERROR(__xludf.DUMMYFUNCTION("IMPORTRANGE(""https://docs.google.com/spreadsheets/d/""&amp;$A190&amp;""/edit#gid=156619080"",Y$3)"),-0.0031025195185980393)</f>
        <v>-0.003102519519</v>
      </c>
      <c r="Z190" s="2">
        <f>IFERROR(__xludf.DUMMYFUNCTION("IMPORTRANGE(""https://docs.google.com/spreadsheets/d/""&amp;$A190&amp;""/edit#gid=156619080"",Z$3)"),3035.12)</f>
        <v>3035.12</v>
      </c>
      <c r="AA190" s="2">
        <f>IFERROR(__xludf.DUMMYFUNCTION("IMPORTRANGE(""https://docs.google.com/spreadsheets/d/""&amp;$A190&amp;""/edit#gid=156619080"",AA$3)"),3019.24)</f>
        <v>3019.24</v>
      </c>
      <c r="AB190" s="2">
        <f>IFERROR(__xludf.DUMMYFUNCTION("IMPORTRANGE(""https://docs.google.com/spreadsheets/d/""&amp;$A190&amp;""/edit#gid=156619080"",AB$3)"),3003.36)</f>
        <v>3003.36</v>
      </c>
      <c r="AC190" s="18">
        <f>IFERROR(__xludf.DUMMYFUNCTION("IMPORTRANGE(""https://docs.google.com/spreadsheets/d/""&amp;$A190&amp;""/edit#gid=156619080"",AC$3)"),2987.48)</f>
        <v>2987.48</v>
      </c>
      <c r="AD190" s="18">
        <f>IFERROR(__xludf.DUMMYFUNCTION("IMPORTRANGE(""https://docs.google.com/spreadsheets/d/""&amp;$A190&amp;""/edit#gid=156619080"",AD$3)"),2971.61)</f>
        <v>2971.61</v>
      </c>
      <c r="AE190" s="18">
        <f>IFERROR(__xludf.DUMMYFUNCTION("IMPORTRANGE(""https://docs.google.com/spreadsheets/d/""&amp;$A190&amp;""/edit#gid=156619080"",AE$3)"),2908.1)</f>
        <v>2908.1</v>
      </c>
      <c r="AF190" s="2">
        <f>IFERROR(__xludf.DUMMYFUNCTION("IMPORTRANGE(""https://docs.google.com/spreadsheets/d/""&amp;$A190&amp;""/edit#gid=156619080"",AF$3)"),2844.59)</f>
        <v>2844.59</v>
      </c>
      <c r="AG190" s="2">
        <f>IFERROR(__xludf.DUMMYFUNCTION("IMPORTRANGE(""https://docs.google.com/spreadsheets/d/""&amp;$A190&amp;""/edit#gid=156619080"",AG$3)"),2828.72)</f>
        <v>2828.72</v>
      </c>
      <c r="AH190" s="2">
        <f>IFERROR(__xludf.DUMMYFUNCTION("IMPORTRANGE(""https://docs.google.com/spreadsheets/d/""&amp;$A190&amp;""/edit#gid=156619080"",AH$3)"),2812.84)</f>
        <v>2812.84</v>
      </c>
      <c r="AI190" s="2">
        <f>IFERROR(__xludf.DUMMYFUNCTION("IMPORTRANGE(""https://docs.google.com/spreadsheets/d/""&amp;$A190&amp;""/edit#gid=156619080"",AI$3)"),2796.96)</f>
        <v>2796.96</v>
      </c>
      <c r="AJ190" s="2">
        <f>IFERROR(__xludf.DUMMYFUNCTION("IMPORTRANGE(""https://docs.google.com/spreadsheets/d/""&amp;$A190&amp;""/edit#gid=156619080"",AJ$3)"),2781.08)</f>
        <v>2781.08</v>
      </c>
      <c r="AK190" s="2" t="str">
        <f>IFERROR(__xludf.DUMMYFUNCTION("IMPORTRANGE(""https://docs.google.com/spreadsheets/d/""&amp;$A190&amp;""/edit#gid=156619080"",AK$3)"),"")</f>
        <v/>
      </c>
      <c r="AL190" s="2">
        <f>IFERROR(__xludf.DUMMYFUNCTION("IMPORTRANGE(""https://docs.google.com/spreadsheets/d/""&amp;$A190&amp;""/edit#gid=156619080"",AL$3)"),-1.0)</f>
        <v>-1</v>
      </c>
      <c r="AM190" s="2" t="str">
        <f>IFERROR(__xludf.DUMMYFUNCTION("IMPORTRANGE(""https://docs.google.com/spreadsheets/d/""&amp;$A190&amp;""/edit#gid=156619080"",AM$3)"),"")</f>
        <v/>
      </c>
      <c r="AN190" s="2">
        <f>IFERROR(__xludf.DUMMYFUNCTION("IMPORTRANGE(""https://docs.google.com/spreadsheets/d/""&amp;$A190&amp;""/edit#gid=156619080"",AN$3)"),1.0)</f>
        <v>1</v>
      </c>
      <c r="AO190" s="2" t="str">
        <f>IFERROR(__xludf.DUMMYFUNCTION("IMPORTRANGE(""https://docs.google.com/spreadsheets/d/""&amp;$A190&amp;""/edit#gid=156619080"",AO$3)"),"")</f>
        <v/>
      </c>
      <c r="AP190" s="2">
        <f>IFERROR(__xludf.DUMMYFUNCTION("IMPORTRANGE(""https://docs.google.com/spreadsheets/d/""&amp;$A190&amp;""/edit#gid=156619080"",AP$3)"),1.0)</f>
        <v>1</v>
      </c>
      <c r="AQ190" s="2" t="str">
        <f>IFERROR(__xludf.DUMMYFUNCTION("IMPORTRANGE(""https://docs.google.com/spreadsheets/d/""&amp;$A190&amp;""/edit#gid=156619080"",AQ$3)"),"")</f>
        <v/>
      </c>
      <c r="AR190" s="18">
        <f>IFERROR(__xludf.DUMMYFUNCTION("IMPORTRANGE(""https://docs.google.com/spreadsheets/d/""&amp;$A190&amp;""/edit#gid=156619080"",AR$3)"),-30.000000000000004)</f>
        <v>-30</v>
      </c>
      <c r="AS190" s="19" t="str">
        <f>IFERROR(__xludf.DUMMYFUNCTION("IMPORTRANGE(""https://docs.google.com/spreadsheets/d/""&amp;$A190&amp;""/edit#gid=156619080"",AS$3)"),"60
90
-10
10
")</f>
        <v>60
90
-10
10
</v>
      </c>
      <c r="AT190" s="18">
        <f>IFERROR(__xludf.DUMMYFUNCTION("IMPORTRANGE(""https://docs.google.com/spreadsheets/d/""&amp;$A190&amp;""/edit#gid=156619080"",AT$3)"),-52.74725274725274)</f>
        <v>-52.74725275</v>
      </c>
      <c r="AU190" s="3" t="str">
        <f>IFERROR(__xludf.DUMMYFUNCTION("IMPORTRANGE(""https://docs.google.com/spreadsheets/d/""&amp;$A190&amp;""/edit#gid=156619080"",AU$3)"),"28.02
12.09
-21.43
-43.41
")</f>
        <v>28.02
12.09
-21.43
-43.41
</v>
      </c>
      <c r="AV190" s="18">
        <f>IFERROR(__xludf.DUMMYFUNCTION("IMPORTRANGE(""https://docs.google.com/spreadsheets/d/""&amp;$A190&amp;""/edit#gid=156619080"",AV$3)"),55.32467532467533)</f>
        <v>55.32467532</v>
      </c>
      <c r="AW190" s="19" t="str">
        <f>IFERROR(__xludf.DUMMYFUNCTION("IMPORTRANGE(""https://docs.google.com/spreadsheets/d/""&amp;$A190&amp;""/edit#gid=156619080"",AW$3)"),"81.56
77.66
70.26
65.06
")</f>
        <v>81.56
77.66
70.26
65.06
</v>
      </c>
      <c r="AX190" s="2">
        <f>IFERROR(__xludf.DUMMYFUNCTION("IMPORTRANGE(""https://docs.google.com/spreadsheets/d/""&amp;$A190&amp;""/edit#gid=156619080"",AX$3)"),43.230000000000004)</f>
        <v>43.23</v>
      </c>
      <c r="AY190" s="2">
        <f>IFERROR(__xludf.DUMMYFUNCTION("IMPORTRANGE(""https://docs.google.com/spreadsheets/d/""&amp;$A190&amp;""/edit#gid=156619080"",AY$3)"),61.63999999999999)</f>
        <v>61.64</v>
      </c>
      <c r="AZ190" s="2">
        <f>IFERROR(__xludf.DUMMYFUNCTION("IMPORTRANGE(""https://docs.google.com/spreadsheets/d/""&amp;$A190&amp;""/edit#gid=156619080"",AZ$3)"),2931.83)</f>
        <v>2931.83</v>
      </c>
      <c r="BA190" s="2">
        <f>IFERROR(__xludf.DUMMYFUNCTION("IMPORTRANGE(""https://docs.google.com/spreadsheets/d/""&amp;$A190&amp;""/edit#gid=156619080"",BA$3)"),31.929999999999836)</f>
        <v>31.93</v>
      </c>
      <c r="BB190" s="2">
        <f>IFERROR(__xludf.DUMMYFUNCTION("IMPORTRANGE(""https://docs.google.com/spreadsheets/d/""&amp;$A190&amp;""/edit#gid=156619080"",BB$3)"),53.46)</f>
        <v>53.46</v>
      </c>
      <c r="BC190" s="2" t="str">
        <f>IFERROR(__xludf.DUMMYFUNCTION("IMPORTRANGE(""https://docs.google.com/spreadsheets/d/""&amp;$A190&amp;""/edit#gid=156619080"",BC$3)"),"DC→DC")</f>
        <v>DC→DC</v>
      </c>
    </row>
    <row r="191" ht="51.0" customHeight="1">
      <c r="A191" s="7" t="str">
        <f t="shared" si="5"/>
        <v>1qUoOL7ULmtcH6f0LwNJlYDPJeEuEjtKrYqLfoY-d0_s</v>
      </c>
      <c r="B191" s="1" t="s">
        <v>218</v>
      </c>
      <c r="C191" s="2">
        <f>IFERROR(__xludf.DUMMYFUNCTION("IMPORTRANGE(""https://docs.google.com/spreadsheets/d/""&amp;$A191&amp;""/edit#gid=156619080"",C$3)"),132.0)</f>
        <v>132</v>
      </c>
      <c r="D191" s="2">
        <f>IFERROR(__xludf.DUMMYFUNCTION("IMPORTRANGE(""https://docs.google.com/spreadsheets/d/""&amp;$A191&amp;""/edit#gid=156619080"",D$3)"),8802.0)</f>
        <v>8802</v>
      </c>
      <c r="E191" s="15">
        <f>IFERROR(__xludf.DUMMYFUNCTION("IMPORTRANGE(""https://docs.google.com/spreadsheets/d/""&amp;$A191&amp;""/edit#gid=156619080"",E$3)"),43882.0)</f>
        <v>43882</v>
      </c>
      <c r="F191" s="2">
        <f>IFERROR(__xludf.DUMMYFUNCTION("IMPORTRANGE(""https://docs.google.com/spreadsheets/d/""&amp;$A191&amp;""/edit#gid=156619080"",F$3)"),30.0)</f>
        <v>30</v>
      </c>
      <c r="G191" s="16">
        <f>IFERROR(__xludf.DUMMYFUNCTION("IMPORTRANGE(""https://docs.google.com/spreadsheets/d/""&amp;$A191&amp;""/edit#gid=156619080"",G$3)"),1.4)</f>
        <v>1.4</v>
      </c>
      <c r="H191" s="16">
        <f>IFERROR(__xludf.DUMMYFUNCTION("IMPORTRANGE(""https://docs.google.com/spreadsheets/d/""&amp;$A191&amp;""/edit#gid=156619080"",H$3)"),2140.0)</f>
        <v>2140</v>
      </c>
      <c r="I191" s="16">
        <f>IFERROR(__xludf.DUMMYFUNCTION("IMPORTRANGE(""https://docs.google.com/spreadsheets/d/""&amp;$A191&amp;""/edit#gid=156619080"",I$3)"),0.0)</f>
        <v>0</v>
      </c>
      <c r="J191" s="16">
        <f>IFERROR(__xludf.DUMMYFUNCTION("IMPORTRANGE(""https://docs.google.com/spreadsheets/d/""&amp;$A191&amp;""/edit#gid=156619080"",J$3)"),2177.5)</f>
        <v>2177.5</v>
      </c>
      <c r="K191" s="16">
        <f>IFERROR(__xludf.DUMMYFUNCTION("IMPORTRANGE(""https://docs.google.com/spreadsheets/d/""&amp;$A191&amp;""/edit#gid=156619080"",K$3)"),0.45625)</f>
        <v>0.45625</v>
      </c>
      <c r="L191" s="16">
        <f>IFERROR(__xludf.DUMMYFUNCTION("IMPORTRANGE(""https://docs.google.com/spreadsheets/d/""&amp;$A191&amp;""/edit#gid=156619080"",L$3)"),2136.0)</f>
        <v>2136</v>
      </c>
      <c r="M191" s="16">
        <f>IFERROR(__xludf.DUMMYFUNCTION("IMPORTRANGE(""https://docs.google.com/spreadsheets/d/""&amp;$A191&amp;""/edit#gid=156619080"",M$3)"),0.375)</f>
        <v>0.375</v>
      </c>
      <c r="N191" s="16">
        <f>IFERROR(__xludf.DUMMYFUNCTION("IMPORTRANGE(""https://docs.google.com/spreadsheets/d/""&amp;$A191&amp;""/edit#gid=156619080"",N$3)"),2170.0)</f>
        <v>2170</v>
      </c>
      <c r="O191" s="16" t="str">
        <f>IFERROR(__xludf.DUMMYFUNCTION("IMPORTRANGE(""https://docs.google.com/spreadsheets/d/""&amp;$A191&amp;""/edit#gid=156619080"",O$3)"),"4345700株")</f>
        <v>4345700株</v>
      </c>
      <c r="P191" s="16" t="str">
        <f>IFERROR(__xludf.DUMMYFUNCTION("IMPORTRANGE(""https://docs.google.com/spreadsheets/d/""&amp;$A191&amp;""/edit#gid=156619080"",P$3)"),"9419百万円")</f>
        <v>9419百万円</v>
      </c>
      <c r="Q191" s="16" t="str">
        <f>IFERROR(__xludf.DUMMYFUNCTION("IMPORTRANGE(""https://docs.google.com/spreadsheets/d/""&amp;$A191&amp;""/edit#gid=156619080"",Q$3)"),"5860回")</f>
        <v>5860回</v>
      </c>
      <c r="R191" s="16" t="str">
        <f>IFERROR(__xludf.DUMMYFUNCTION("IMPORTRANGE(""https://docs.google.com/spreadsheets/d/""&amp;$A191&amp;""/edit#gid=156619080"",R$3)"),"30188億円")</f>
        <v>30188億円</v>
      </c>
      <c r="S191" s="16" t="str">
        <f>IFERROR(__xludf.DUMMYFUNCTION("IMPORTRANGE(""https://docs.google.com/spreadsheets/d/""&amp;$A191&amp;""/edit#gid=156619080"",S$3)"),"陽線")</f>
        <v>陽線</v>
      </c>
      <c r="T191" s="16" t="str">
        <f>IFERROR(__xludf.DUMMYFUNCTION("IMPORTRANGE(""https://docs.google.com/spreadsheets/d/""&amp;$A191&amp;""/edit#gid=156619080"",T$3)"),"")</f>
        <v/>
      </c>
      <c r="U191" s="16">
        <f>IFERROR(__xludf.DUMMYFUNCTION("IMPORTRANGE(""https://docs.google.com/spreadsheets/d/""&amp;$A191&amp;""/edit#gid=156619080"",U$3)"),2118.2)</f>
        <v>2118.2</v>
      </c>
      <c r="V191" s="16">
        <f>IFERROR(__xludf.DUMMYFUNCTION("IMPORTRANGE(""https://docs.google.com/spreadsheets/d/""&amp;$A191&amp;""/edit#gid=156619080"",V$3)"),2142.6)</f>
        <v>2142.6</v>
      </c>
      <c r="W191" s="16">
        <f>IFERROR(__xludf.DUMMYFUNCTION("IMPORTRANGE(""https://docs.google.com/spreadsheets/d/""&amp;$A191&amp;""/edit#gid=156619080"",W$3)"),2152.4)</f>
        <v>2152.4</v>
      </c>
      <c r="X191" s="2">
        <f>IFERROR(__xludf.DUMMYFUNCTION("IMPORTRANGE(""https://docs.google.com/spreadsheets/d/""&amp;$A191&amp;""/edit#gid=156619080"",X$3)"),2070.7)</f>
        <v>2070.7</v>
      </c>
      <c r="Y191" s="17">
        <f>IFERROR(__xludf.DUMMYFUNCTION("IMPORTRANGE(""https://docs.google.com/spreadsheets/d/""&amp;$A191&amp;""/edit#gid=156619080"",Y$3)"),0.02445472571050901)</f>
        <v>0.02445472571</v>
      </c>
      <c r="Z191" s="2">
        <f>IFERROR(__xludf.DUMMYFUNCTION("IMPORTRANGE(""https://docs.google.com/spreadsheets/d/""&amp;$A191&amp;""/edit#gid=156619080"",Z$3)"),2238.67)</f>
        <v>2238.67</v>
      </c>
      <c r="AA191" s="2">
        <f>IFERROR(__xludf.DUMMYFUNCTION("IMPORTRANGE(""https://docs.google.com/spreadsheets/d/""&amp;$A191&amp;""/edit#gid=156619080"",AA$3)"),2227.89)</f>
        <v>2227.89</v>
      </c>
      <c r="AB191" s="2">
        <f>IFERROR(__xludf.DUMMYFUNCTION("IMPORTRANGE(""https://docs.google.com/spreadsheets/d/""&amp;$A191&amp;""/edit#gid=156619080"",AB$3)"),2217.1)</f>
        <v>2217.1</v>
      </c>
      <c r="AC191" s="18">
        <f>IFERROR(__xludf.DUMMYFUNCTION("IMPORTRANGE(""https://docs.google.com/spreadsheets/d/""&amp;$A191&amp;""/edit#gid=156619080"",AC$3)"),2206.32)</f>
        <v>2206.32</v>
      </c>
      <c r="AD191" s="18">
        <f>IFERROR(__xludf.DUMMYFUNCTION("IMPORTRANGE(""https://docs.google.com/spreadsheets/d/""&amp;$A191&amp;""/edit#gid=156619080"",AD$3)"),2195.54)</f>
        <v>2195.54</v>
      </c>
      <c r="AE191" s="18">
        <f>IFERROR(__xludf.DUMMYFUNCTION("IMPORTRANGE(""https://docs.google.com/spreadsheets/d/""&amp;$A191&amp;""/edit#gid=156619080"",AE$3)"),2152.4)</f>
        <v>2152.4</v>
      </c>
      <c r="AF191" s="2">
        <f>IFERROR(__xludf.DUMMYFUNCTION("IMPORTRANGE(""https://docs.google.com/spreadsheets/d/""&amp;$A191&amp;""/edit#gid=156619080"",AF$3)"),2109.26)</f>
        <v>2109.26</v>
      </c>
      <c r="AG191" s="2">
        <f>IFERROR(__xludf.DUMMYFUNCTION("IMPORTRANGE(""https://docs.google.com/spreadsheets/d/""&amp;$A191&amp;""/edit#gid=156619080"",AG$3)"),2098.48)</f>
        <v>2098.48</v>
      </c>
      <c r="AH191" s="2">
        <f>IFERROR(__xludf.DUMMYFUNCTION("IMPORTRANGE(""https://docs.google.com/spreadsheets/d/""&amp;$A191&amp;""/edit#gid=156619080"",AH$3)"),2087.7)</f>
        <v>2087.7</v>
      </c>
      <c r="AI191" s="2">
        <f>IFERROR(__xludf.DUMMYFUNCTION("IMPORTRANGE(""https://docs.google.com/spreadsheets/d/""&amp;$A191&amp;""/edit#gid=156619080"",AI$3)"),2076.91)</f>
        <v>2076.91</v>
      </c>
      <c r="AJ191" s="2">
        <f>IFERROR(__xludf.DUMMYFUNCTION("IMPORTRANGE(""https://docs.google.com/spreadsheets/d/""&amp;$A191&amp;""/edit#gid=156619080"",AJ$3)"),2066.13)</f>
        <v>2066.13</v>
      </c>
      <c r="AK191" s="2" t="str">
        <f>IFERROR(__xludf.DUMMYFUNCTION("IMPORTRANGE(""https://docs.google.com/spreadsheets/d/""&amp;$A191&amp;""/edit#gid=156619080"",AK$3)"),"")</f>
        <v/>
      </c>
      <c r="AL191" s="2">
        <f>IFERROR(__xludf.DUMMYFUNCTION("IMPORTRANGE(""https://docs.google.com/spreadsheets/d/""&amp;$A191&amp;""/edit#gid=156619080"",AL$3)"),-1.0)</f>
        <v>-1</v>
      </c>
      <c r="AM191" s="2" t="str">
        <f>IFERROR(__xludf.DUMMYFUNCTION("IMPORTRANGE(""https://docs.google.com/spreadsheets/d/""&amp;$A191&amp;""/edit#gid=156619080"",AM$3)"),"")</f>
        <v/>
      </c>
      <c r="AN191" s="2">
        <f>IFERROR(__xludf.DUMMYFUNCTION("IMPORTRANGE(""https://docs.google.com/spreadsheets/d/""&amp;$A191&amp;""/edit#gid=156619080"",AN$3)"),-1.0)</f>
        <v>-1</v>
      </c>
      <c r="AO191" s="2" t="str">
        <f>IFERROR(__xludf.DUMMYFUNCTION("IMPORTRANGE(""https://docs.google.com/spreadsheets/d/""&amp;$A191&amp;""/edit#gid=156619080"",AO$3)"),"")</f>
        <v/>
      </c>
      <c r="AP191" s="2">
        <f>IFERROR(__xludf.DUMMYFUNCTION("IMPORTRANGE(""https://docs.google.com/spreadsheets/d/""&amp;$A191&amp;""/edit#gid=156619080"",AP$3)"),-1.0)</f>
        <v>-1</v>
      </c>
      <c r="AQ191" s="2" t="str">
        <f>IFERROR(__xludf.DUMMYFUNCTION("IMPORTRANGE(""https://docs.google.com/spreadsheets/d/""&amp;$A191&amp;""/edit#gid=156619080"",AQ$3)"),"")</f>
        <v/>
      </c>
      <c r="AR191" s="18">
        <f>IFERROR(__xludf.DUMMYFUNCTION("IMPORTRANGE(""https://docs.google.com/spreadsheets/d/""&amp;$A191&amp;""/edit#gid=156619080"",AR$3)"),90.0)</f>
        <v>90</v>
      </c>
      <c r="AS191" s="19" t="str">
        <f>IFERROR(__xludf.DUMMYFUNCTION("IMPORTRANGE(""https://docs.google.com/spreadsheets/d/""&amp;$A191&amp;""/edit#gid=156619080"",AS$3)"),"-100
-90
-70
30
")</f>
        <v>-100
-90
-70
30
</v>
      </c>
      <c r="AT191" s="18">
        <f>IFERROR(__xludf.DUMMYFUNCTION("IMPORTRANGE(""https://docs.google.com/spreadsheets/d/""&amp;$A191&amp;""/edit#gid=156619080"",AT$3)"),-43.40659340659341)</f>
        <v>-43.40659341</v>
      </c>
      <c r="AU191" s="3" t="str">
        <f>IFERROR(__xludf.DUMMYFUNCTION("IMPORTRANGE(""https://docs.google.com/spreadsheets/d/""&amp;$A191&amp;""/edit#gid=156619080"",AU$3)"),"-42.31
-44.51
-60.44
-59.89
")</f>
        <v>-42.31
-44.51
-60.44
-59.89
</v>
      </c>
      <c r="AV191" s="18">
        <f>IFERROR(__xludf.DUMMYFUNCTION("IMPORTRANGE(""https://docs.google.com/spreadsheets/d/""&amp;$A191&amp;""/edit#gid=156619080"",AV$3)"),-33.63636363636364)</f>
        <v>-33.63636364</v>
      </c>
      <c r="AW191" s="19" t="str">
        <f>IFERROR(__xludf.DUMMYFUNCTION("IMPORTRANGE(""https://docs.google.com/spreadsheets/d/""&amp;$A191&amp;""/edit#gid=156619080"",AW$3)"),"21.69
-0.13
-19.35
-30.52
")</f>
        <v>21.69
-0.13
-19.35
-30.52
</v>
      </c>
      <c r="AX191" s="2">
        <f>IFERROR(__xludf.DUMMYFUNCTION("IMPORTRANGE(""https://docs.google.com/spreadsheets/d/""&amp;$A191&amp;""/edit#gid=156619080"",AX$3)"),66.92)</f>
        <v>66.92</v>
      </c>
      <c r="AY191" s="2">
        <f>IFERROR(__xludf.DUMMYFUNCTION("IMPORTRANGE(""https://docs.google.com/spreadsheets/d/""&amp;$A191&amp;""/edit#gid=156619080"",AY$3)"),53.86)</f>
        <v>53.86</v>
      </c>
      <c r="AZ191" s="2">
        <f>IFERROR(__xludf.DUMMYFUNCTION("IMPORTRANGE(""https://docs.google.com/spreadsheets/d/""&amp;$A191&amp;""/edit#gid=156619080"",AZ$3)"),2136.79)</f>
        <v>2136.79</v>
      </c>
      <c r="BA191" s="2">
        <f>IFERROR(__xludf.DUMMYFUNCTION("IMPORTRANGE(""https://docs.google.com/spreadsheets/d/""&amp;$A191&amp;""/edit#gid=156619080"",BA$3)"),0.11000000000012733)</f>
        <v>0.11</v>
      </c>
      <c r="BB191" s="2">
        <f>IFERROR(__xludf.DUMMYFUNCTION("IMPORTRANGE(""https://docs.google.com/spreadsheets/d/""&amp;$A191&amp;""/edit#gid=156619080"",BB$3)"),2.07)</f>
        <v>2.07</v>
      </c>
      <c r="BC191" s="2" t="str">
        <f>IFERROR(__xludf.DUMMYFUNCTION("IMPORTRANGE(""https://docs.google.com/spreadsheets/d/""&amp;$A191&amp;""/edit#gid=156619080"",BC$3)"),"DC→DC")</f>
        <v>DC→DC</v>
      </c>
    </row>
    <row r="192" ht="51.0" customHeight="1">
      <c r="A192" s="7" t="str">
        <f t="shared" si="5"/>
        <v>1iM8a4utwoHejtraeio7so4Wue8B_vMvIpEovLQ2ypF4</v>
      </c>
      <c r="B192" s="1" t="s">
        <v>219</v>
      </c>
      <c r="C192" s="2">
        <f>IFERROR(__xludf.DUMMYFUNCTION("IMPORTRANGE(""https://docs.google.com/spreadsheets/d/""&amp;$A192&amp;""/edit#gid=156619080"",C$3)"),132.0)</f>
        <v>132</v>
      </c>
      <c r="D192" s="2">
        <f>IFERROR(__xludf.DUMMYFUNCTION("IMPORTRANGE(""https://docs.google.com/spreadsheets/d/""&amp;$A192&amp;""/edit#gid=156619080"",D$3)"),8804.0)</f>
        <v>8804</v>
      </c>
      <c r="E192" s="15">
        <f>IFERROR(__xludf.DUMMYFUNCTION("IMPORTRANGE(""https://docs.google.com/spreadsheets/d/""&amp;$A192&amp;""/edit#gid=156619080"",E$3)"),43882.0)</f>
        <v>43882</v>
      </c>
      <c r="F192" s="2">
        <f>IFERROR(__xludf.DUMMYFUNCTION("IMPORTRANGE(""https://docs.google.com/spreadsheets/d/""&amp;$A192&amp;""/edit#gid=156619080"",F$3)"),-27.0)</f>
        <v>-27</v>
      </c>
      <c r="G192" s="16">
        <f>IFERROR(__xludf.DUMMYFUNCTION("IMPORTRANGE(""https://docs.google.com/spreadsheets/d/""&amp;$A192&amp;""/edit#gid=156619080"",G$3)"),-1.57)</f>
        <v>-1.57</v>
      </c>
      <c r="H192" s="16">
        <f>IFERROR(__xludf.DUMMYFUNCTION("IMPORTRANGE(""https://docs.google.com/spreadsheets/d/""&amp;$A192&amp;""/edit#gid=156619080"",H$3)"),1713.0)</f>
        <v>1713</v>
      </c>
      <c r="I192" s="16">
        <f>IFERROR(__xludf.DUMMYFUNCTION("IMPORTRANGE(""https://docs.google.com/spreadsheets/d/""&amp;$A192&amp;""/edit#gid=156619080"",I$3)"),11.0)</f>
        <v>11</v>
      </c>
      <c r="J192" s="16">
        <f>IFERROR(__xludf.DUMMYFUNCTION("IMPORTRANGE(""https://docs.google.com/spreadsheets/d/""&amp;$A192&amp;""/edit#gid=156619080"",J$3)"),1717.0)</f>
        <v>1717</v>
      </c>
      <c r="K192" s="16">
        <f>IFERROR(__xludf.DUMMYFUNCTION("IMPORTRANGE(""https://docs.google.com/spreadsheets/d/""&amp;$A192&amp;""/edit#gid=156619080"",K$3)"),0.3763888888888889)</f>
        <v>0.3763888889</v>
      </c>
      <c r="L192" s="16">
        <f>IFERROR(__xludf.DUMMYFUNCTION("IMPORTRANGE(""https://docs.google.com/spreadsheets/d/""&amp;$A192&amp;""/edit#gid=156619080"",L$3)"),1673.0)</f>
        <v>1673</v>
      </c>
      <c r="M192" s="16">
        <f>IFERROR(__xludf.DUMMYFUNCTION("IMPORTRANGE(""https://docs.google.com/spreadsheets/d/""&amp;$A192&amp;""/edit#gid=156619080"",M$3)"),0.4791666666666667)</f>
        <v>0.4791666667</v>
      </c>
      <c r="N192" s="16">
        <f>IFERROR(__xludf.DUMMYFUNCTION("IMPORTRANGE(""https://docs.google.com/spreadsheets/d/""&amp;$A192&amp;""/edit#gid=156619080"",N$3)"),1697.0)</f>
        <v>1697</v>
      </c>
      <c r="O192" s="16" t="str">
        <f>IFERROR(__xludf.DUMMYFUNCTION("IMPORTRANGE(""https://docs.google.com/spreadsheets/d/""&amp;$A192&amp;""/edit#gid=156619080"",O$3)"),"1349800株")</f>
        <v>1349800株</v>
      </c>
      <c r="P192" s="16" t="str">
        <f>IFERROR(__xludf.DUMMYFUNCTION("IMPORTRANGE(""https://docs.google.com/spreadsheets/d/""&amp;$A192&amp;""/edit#gid=156619080"",P$3)"),"2291百万円")</f>
        <v>2291百万円</v>
      </c>
      <c r="Q192" s="16" t="str">
        <f>IFERROR(__xludf.DUMMYFUNCTION("IMPORTRANGE(""https://docs.google.com/spreadsheets/d/""&amp;$A192&amp;""/edit#gid=156619080"",Q$3)"),"2892回")</f>
        <v>2892回</v>
      </c>
      <c r="R192" s="16" t="str">
        <f>IFERROR(__xludf.DUMMYFUNCTION("IMPORTRANGE(""https://docs.google.com/spreadsheets/d/""&amp;$A192&amp;""/edit#gid=156619080"",R$3)"),"3550億円")</f>
        <v>3550億円</v>
      </c>
      <c r="S192" s="16" t="str">
        <f>IFERROR(__xludf.DUMMYFUNCTION("IMPORTRANGE(""https://docs.google.com/spreadsheets/d/""&amp;$A192&amp;""/edit#gid=156619080"",S$3)"),"陰線")</f>
        <v>陰線</v>
      </c>
      <c r="T192" s="16" t="str">
        <f>IFERROR(__xludf.DUMMYFUNCTION("IMPORTRANGE(""https://docs.google.com/spreadsheets/d/""&amp;$A192&amp;""/edit#gid=156619080"",T$3)"),"")</f>
        <v/>
      </c>
      <c r="U192" s="16">
        <f>IFERROR(__xludf.DUMMYFUNCTION("IMPORTRANGE(""https://docs.google.com/spreadsheets/d/""&amp;$A192&amp;""/edit#gid=156619080"",U$3)"),1751.0)</f>
        <v>1751</v>
      </c>
      <c r="V192" s="16">
        <f>IFERROR(__xludf.DUMMYFUNCTION("IMPORTRANGE(""https://docs.google.com/spreadsheets/d/""&amp;$A192&amp;""/edit#gid=156619080"",V$3)"),1766.4)</f>
        <v>1766.4</v>
      </c>
      <c r="W192" s="16">
        <f>IFERROR(__xludf.DUMMYFUNCTION("IMPORTRANGE(""https://docs.google.com/spreadsheets/d/""&amp;$A192&amp;""/edit#gid=156619080"",W$3)"),1766.5)</f>
        <v>1766.5</v>
      </c>
      <c r="X192" s="2">
        <f>IFERROR(__xludf.DUMMYFUNCTION("IMPORTRANGE(""https://docs.google.com/spreadsheets/d/""&amp;$A192&amp;""/edit#gid=156619080"",X$3)"),1619.8)</f>
        <v>1619.8</v>
      </c>
      <c r="Y192" s="17">
        <f>IFERROR(__xludf.DUMMYFUNCTION("IMPORTRANGE(""https://docs.google.com/spreadsheets/d/""&amp;$A192&amp;""/edit#gid=156619080"",Y$3)"),-0.03083952027412907)</f>
        <v>-0.03083952027</v>
      </c>
      <c r="Z192" s="2">
        <f>IFERROR(__xludf.DUMMYFUNCTION("IMPORTRANGE(""https://docs.google.com/spreadsheets/d/""&amp;$A192&amp;""/edit#gid=156619080"",Z$3)"),1819.92)</f>
        <v>1819.92</v>
      </c>
      <c r="AA192" s="2">
        <f>IFERROR(__xludf.DUMMYFUNCTION("IMPORTRANGE(""https://docs.google.com/spreadsheets/d/""&amp;$A192&amp;""/edit#gid=156619080"",AA$3)"),1813.24)</f>
        <v>1813.24</v>
      </c>
      <c r="AB192" s="2">
        <f>IFERROR(__xludf.DUMMYFUNCTION("IMPORTRANGE(""https://docs.google.com/spreadsheets/d/""&amp;$A192&amp;""/edit#gid=156619080"",AB$3)"),1806.56)</f>
        <v>1806.56</v>
      </c>
      <c r="AC192" s="18">
        <f>IFERROR(__xludf.DUMMYFUNCTION("IMPORTRANGE(""https://docs.google.com/spreadsheets/d/""&amp;$A192&amp;""/edit#gid=156619080"",AC$3)"),1799.89)</f>
        <v>1799.89</v>
      </c>
      <c r="AD192" s="18">
        <f>IFERROR(__xludf.DUMMYFUNCTION("IMPORTRANGE(""https://docs.google.com/spreadsheets/d/""&amp;$A192&amp;""/edit#gid=156619080"",AD$3)"),1793.21)</f>
        <v>1793.21</v>
      </c>
      <c r="AE192" s="18">
        <f>IFERROR(__xludf.DUMMYFUNCTION("IMPORTRANGE(""https://docs.google.com/spreadsheets/d/""&amp;$A192&amp;""/edit#gid=156619080"",AE$3)"),1766.5)</f>
        <v>1766.5</v>
      </c>
      <c r="AF192" s="2">
        <f>IFERROR(__xludf.DUMMYFUNCTION("IMPORTRANGE(""https://docs.google.com/spreadsheets/d/""&amp;$A192&amp;""/edit#gid=156619080"",AF$3)"),1739.79)</f>
        <v>1739.79</v>
      </c>
      <c r="AG192" s="2">
        <f>IFERROR(__xludf.DUMMYFUNCTION("IMPORTRANGE(""https://docs.google.com/spreadsheets/d/""&amp;$A192&amp;""/edit#gid=156619080"",AG$3)"),1733.11)</f>
        <v>1733.11</v>
      </c>
      <c r="AH192" s="2">
        <f>IFERROR(__xludf.DUMMYFUNCTION("IMPORTRANGE(""https://docs.google.com/spreadsheets/d/""&amp;$A192&amp;""/edit#gid=156619080"",AH$3)"),1726.44)</f>
        <v>1726.44</v>
      </c>
      <c r="AI192" s="2">
        <f>IFERROR(__xludf.DUMMYFUNCTION("IMPORTRANGE(""https://docs.google.com/spreadsheets/d/""&amp;$A192&amp;""/edit#gid=156619080"",AI$3)"),1719.76)</f>
        <v>1719.76</v>
      </c>
      <c r="AJ192" s="2">
        <f>IFERROR(__xludf.DUMMYFUNCTION("IMPORTRANGE(""https://docs.google.com/spreadsheets/d/""&amp;$A192&amp;""/edit#gid=156619080"",AJ$3)"),1713.08)</f>
        <v>1713.08</v>
      </c>
      <c r="AK192" s="2" t="str">
        <f>IFERROR(__xludf.DUMMYFUNCTION("IMPORTRANGE(""https://docs.google.com/spreadsheets/d/""&amp;$A192&amp;""/edit#gid=156619080"",AK$3)"),"-2σ以下")</f>
        <v>-2σ以下</v>
      </c>
      <c r="AL192" s="2">
        <f>IFERROR(__xludf.DUMMYFUNCTION("IMPORTRANGE(""https://docs.google.com/spreadsheets/d/""&amp;$A192&amp;""/edit#gid=156619080"",AL$3)"),-1.0)</f>
        <v>-1</v>
      </c>
      <c r="AM192" s="2" t="str">
        <f>IFERROR(__xludf.DUMMYFUNCTION("IMPORTRANGE(""https://docs.google.com/spreadsheets/d/""&amp;$A192&amp;""/edit#gid=156619080"",AM$3)"),"")</f>
        <v/>
      </c>
      <c r="AN192" s="2">
        <f>IFERROR(__xludf.DUMMYFUNCTION("IMPORTRANGE(""https://docs.google.com/spreadsheets/d/""&amp;$A192&amp;""/edit#gid=156619080"",AN$3)"),-1.0)</f>
        <v>-1</v>
      </c>
      <c r="AO192" s="2" t="str">
        <f>IFERROR(__xludf.DUMMYFUNCTION("IMPORTRANGE(""https://docs.google.com/spreadsheets/d/""&amp;$A192&amp;""/edit#gid=156619080"",AO$3)"),"bs2")</f>
        <v>bs2</v>
      </c>
      <c r="AP192" s="2">
        <f>IFERROR(__xludf.DUMMYFUNCTION("IMPORTRANGE(""https://docs.google.com/spreadsheets/d/""&amp;$A192&amp;""/edit#gid=156619080"",AP$3)"),-1.0)</f>
        <v>-1</v>
      </c>
      <c r="AQ192" s="2" t="str">
        <f>IFERROR(__xludf.DUMMYFUNCTION("IMPORTRANGE(""https://docs.google.com/spreadsheets/d/""&amp;$A192&amp;""/edit#gid=156619080"",AQ$3)"),"bs3")</f>
        <v>bs3</v>
      </c>
      <c r="AR192" s="18">
        <f>IFERROR(__xludf.DUMMYFUNCTION("IMPORTRANGE(""https://docs.google.com/spreadsheets/d/""&amp;$A192&amp;""/edit#gid=156619080"",AR$3)"),-89.99999999999999)</f>
        <v>-90</v>
      </c>
      <c r="AS192" s="19" t="str">
        <f>IFERROR(__xludf.DUMMYFUNCTION("IMPORTRANGE(""https://docs.google.com/spreadsheets/d/""&amp;$A192&amp;""/edit#gid=156619080"",AS$3)"),"50
0
-90
-90
")</f>
        <v>50
0
-90
-90
</v>
      </c>
      <c r="AT192" s="18">
        <f>IFERROR(__xludf.DUMMYFUNCTION("IMPORTRANGE(""https://docs.google.com/spreadsheets/d/""&amp;$A192&amp;""/edit#gid=156619080"",AT$3)"),-25.412087912087912)</f>
        <v>-25.41208791</v>
      </c>
      <c r="AU192" s="3" t="str">
        <f>IFERROR(__xludf.DUMMYFUNCTION("IMPORTRANGE(""https://docs.google.com/spreadsheets/d/""&amp;$A192&amp;""/edit#gid=156619080"",AU$3)"),"20.19
36.26
30.22
7.01
")</f>
        <v>20.19
36.26
30.22
7.01
</v>
      </c>
      <c r="AV192" s="18">
        <f>IFERROR(__xludf.DUMMYFUNCTION("IMPORTRANGE(""https://docs.google.com/spreadsheets/d/""&amp;$A192&amp;""/edit#gid=156619080"",AV$3)"),9.512987012987018)</f>
        <v>9.512987013</v>
      </c>
      <c r="AW192" s="19" t="str">
        <f>IFERROR(__xludf.DUMMYFUNCTION("IMPORTRANGE(""https://docs.google.com/spreadsheets/d/""&amp;$A192&amp;""/edit#gid=156619080"",AW$3)"),"68.15
60.13
56.53
31.98
")</f>
        <v>68.15
60.13
56.53
31.98
</v>
      </c>
      <c r="AX192" s="2">
        <f>IFERROR(__xludf.DUMMYFUNCTION("IMPORTRANGE(""https://docs.google.com/spreadsheets/d/""&amp;$A192&amp;""/edit#gid=156619080"",AX$3)"),9.02)</f>
        <v>9.02</v>
      </c>
      <c r="AY192" s="2">
        <f>IFERROR(__xludf.DUMMYFUNCTION("IMPORTRANGE(""https://docs.google.com/spreadsheets/d/""&amp;$A192&amp;""/edit#gid=156619080"",AY$3)"),43.95)</f>
        <v>43.95</v>
      </c>
      <c r="AZ192" s="2">
        <f>IFERROR(__xludf.DUMMYFUNCTION("IMPORTRANGE(""https://docs.google.com/spreadsheets/d/""&amp;$A192&amp;""/edit#gid=156619080"",AZ$3)"),1739.45)</f>
        <v>1739.45</v>
      </c>
      <c r="BA192" s="2">
        <f>IFERROR(__xludf.DUMMYFUNCTION("IMPORTRANGE(""https://docs.google.com/spreadsheets/d/""&amp;$A192&amp;""/edit#gid=156619080"",BA$3)"),-16.24000000000001)</f>
        <v>-16.24</v>
      </c>
      <c r="BB192" s="2">
        <f>IFERROR(__xludf.DUMMYFUNCTION("IMPORTRANGE(""https://docs.google.com/spreadsheets/d/""&amp;$A192&amp;""/edit#gid=156619080"",BB$3)"),12.12)</f>
        <v>12.12</v>
      </c>
      <c r="BC192" s="2" t="str">
        <f>IFERROR(__xludf.DUMMYFUNCTION("IMPORTRANGE(""https://docs.google.com/spreadsheets/d/""&amp;$A192&amp;""/edit#gid=156619080"",BC$3)"),"DC→DC")</f>
        <v>DC→DC</v>
      </c>
    </row>
    <row r="193" ht="51.0" customHeight="1">
      <c r="A193" s="7" t="str">
        <f t="shared" si="5"/>
        <v>1NRjOgOTfMwSe-B07buhgkbWC4NR_9YrxiMbcHmCvg3k</v>
      </c>
      <c r="B193" s="1" t="s">
        <v>220</v>
      </c>
      <c r="C193" s="2">
        <f>IFERROR(__xludf.DUMMYFUNCTION("IMPORTRANGE(""https://docs.google.com/spreadsheets/d/""&amp;$A193&amp;""/edit#gid=156619080"",C$3)"),132.0)</f>
        <v>132</v>
      </c>
      <c r="D193" s="2">
        <f>IFERROR(__xludf.DUMMYFUNCTION("IMPORTRANGE(""https://docs.google.com/spreadsheets/d/""&amp;$A193&amp;""/edit#gid=156619080"",D$3)"),8830.0)</f>
        <v>8830</v>
      </c>
      <c r="E193" s="15">
        <f>IFERROR(__xludf.DUMMYFUNCTION("IMPORTRANGE(""https://docs.google.com/spreadsheets/d/""&amp;$A193&amp;""/edit#gid=156619080"",E$3)"),43882.0)</f>
        <v>43882</v>
      </c>
      <c r="F193" s="2">
        <f>IFERROR(__xludf.DUMMYFUNCTION("IMPORTRANGE(""https://docs.google.com/spreadsheets/d/""&amp;$A193&amp;""/edit#gid=156619080"",F$3)"),-138.0)</f>
        <v>-138</v>
      </c>
      <c r="G193" s="16">
        <f>IFERROR(__xludf.DUMMYFUNCTION("IMPORTRANGE(""https://docs.google.com/spreadsheets/d/""&amp;$A193&amp;""/edit#gid=156619080"",G$3)"),-3.46)</f>
        <v>-3.46</v>
      </c>
      <c r="H193" s="16">
        <f>IFERROR(__xludf.DUMMYFUNCTION("IMPORTRANGE(""https://docs.google.com/spreadsheets/d/""&amp;$A193&amp;""/edit#gid=156619080"",H$3)"),3986.0)</f>
        <v>3986</v>
      </c>
      <c r="I193" s="16">
        <f>IFERROR(__xludf.DUMMYFUNCTION("IMPORTRANGE(""https://docs.google.com/spreadsheets/d/""&amp;$A193&amp;""/edit#gid=156619080"",I$3)"),4.0)</f>
        <v>4</v>
      </c>
      <c r="J193" s="16">
        <f>IFERROR(__xludf.DUMMYFUNCTION("IMPORTRANGE(""https://docs.google.com/spreadsheets/d/""&amp;$A193&amp;""/edit#gid=156619080"",J$3)"),3996.0)</f>
        <v>3996</v>
      </c>
      <c r="K193" s="16">
        <f>IFERROR(__xludf.DUMMYFUNCTION("IMPORTRANGE(""https://docs.google.com/spreadsheets/d/""&amp;$A193&amp;""/edit#gid=156619080"",K$3)"),0.375)</f>
        <v>0.375</v>
      </c>
      <c r="L193" s="16">
        <f>IFERROR(__xludf.DUMMYFUNCTION("IMPORTRANGE(""https://docs.google.com/spreadsheets/d/""&amp;$A193&amp;""/edit#gid=156619080"",L$3)"),3852.0)</f>
        <v>3852</v>
      </c>
      <c r="M193" s="16">
        <f>IFERROR(__xludf.DUMMYFUNCTION("IMPORTRANGE(""https://docs.google.com/spreadsheets/d/""&amp;$A193&amp;""/edit#gid=156619080"",M$3)"),0.625)</f>
        <v>0.625</v>
      </c>
      <c r="N193" s="16">
        <f>IFERROR(__xludf.DUMMYFUNCTION("IMPORTRANGE(""https://docs.google.com/spreadsheets/d/""&amp;$A193&amp;""/edit#gid=156619080"",N$3)"),3852.0)</f>
        <v>3852</v>
      </c>
      <c r="O193" s="16" t="str">
        <f>IFERROR(__xludf.DUMMYFUNCTION("IMPORTRANGE(""https://docs.google.com/spreadsheets/d/""&amp;$A193&amp;""/edit#gid=156619080"",O$3)"),"2477200株")</f>
        <v>2477200株</v>
      </c>
      <c r="P193" s="16" t="str">
        <f>IFERROR(__xludf.DUMMYFUNCTION("IMPORTRANGE(""https://docs.google.com/spreadsheets/d/""&amp;$A193&amp;""/edit#gid=156619080"",P$3)"),"9640百万円")</f>
        <v>9640百万円</v>
      </c>
      <c r="Q193" s="16" t="str">
        <f>IFERROR(__xludf.DUMMYFUNCTION("IMPORTRANGE(""https://docs.google.com/spreadsheets/d/""&amp;$A193&amp;""/edit#gid=156619080"",Q$3)"),"5439回")</f>
        <v>5439回</v>
      </c>
      <c r="R193" s="16" t="str">
        <f>IFERROR(__xludf.DUMMYFUNCTION("IMPORTRANGE(""https://docs.google.com/spreadsheets/d/""&amp;$A193&amp;""/edit#gid=156619080"",R$3)"),"18339億円")</f>
        <v>18339億円</v>
      </c>
      <c r="S193" s="16" t="str">
        <f>IFERROR(__xludf.DUMMYFUNCTION("IMPORTRANGE(""https://docs.google.com/spreadsheets/d/""&amp;$A193&amp;""/edit#gid=156619080"",S$3)"),"陰線")</f>
        <v>陰線</v>
      </c>
      <c r="T193" s="16" t="str">
        <f>IFERROR(__xludf.DUMMYFUNCTION("IMPORTRANGE(""https://docs.google.com/spreadsheets/d/""&amp;$A193&amp;""/edit#gid=156619080"",T$3)"),"")</f>
        <v/>
      </c>
      <c r="U193" s="16">
        <f>IFERROR(__xludf.DUMMYFUNCTION("IMPORTRANGE(""https://docs.google.com/spreadsheets/d/""&amp;$A193&amp;""/edit#gid=156619080"",U$3)"),4024.6)</f>
        <v>4024.6</v>
      </c>
      <c r="V193" s="16">
        <f>IFERROR(__xludf.DUMMYFUNCTION("IMPORTRANGE(""https://docs.google.com/spreadsheets/d/""&amp;$A193&amp;""/edit#gid=156619080"",V$3)"),4120.9)</f>
        <v>4120.9</v>
      </c>
      <c r="W193" s="16">
        <f>IFERROR(__xludf.DUMMYFUNCTION("IMPORTRANGE(""https://docs.google.com/spreadsheets/d/""&amp;$A193&amp;""/edit#gid=156619080"",W$3)"),4056.1)</f>
        <v>4056.1</v>
      </c>
      <c r="X193" s="2">
        <f>IFERROR(__xludf.DUMMYFUNCTION("IMPORTRANGE(""https://docs.google.com/spreadsheets/d/""&amp;$A193&amp;""/edit#gid=156619080"",X$3)"),3914.7)</f>
        <v>3914.7</v>
      </c>
      <c r="Y193" s="17">
        <f>IFERROR(__xludf.DUMMYFUNCTION("IMPORTRANGE(""https://docs.google.com/spreadsheets/d/""&amp;$A193&amp;""/edit#gid=156619080"",Y$3)"),-0.04288624956517416)</f>
        <v>-0.04288624957</v>
      </c>
      <c r="Z193" s="2">
        <f>IFERROR(__xludf.DUMMYFUNCTION("IMPORTRANGE(""https://docs.google.com/spreadsheets/d/""&amp;$A193&amp;""/edit#gid=156619080"",Z$3)"),4307.82)</f>
        <v>4307.82</v>
      </c>
      <c r="AA193" s="2">
        <f>IFERROR(__xludf.DUMMYFUNCTION("IMPORTRANGE(""https://docs.google.com/spreadsheets/d/""&amp;$A193&amp;""/edit#gid=156619080"",AA$3)"),4276.36)</f>
        <v>4276.36</v>
      </c>
      <c r="AB193" s="2">
        <f>IFERROR(__xludf.DUMMYFUNCTION("IMPORTRANGE(""https://docs.google.com/spreadsheets/d/""&amp;$A193&amp;""/edit#gid=156619080"",AB$3)"),4244.89)</f>
        <v>4244.89</v>
      </c>
      <c r="AC193" s="18">
        <f>IFERROR(__xludf.DUMMYFUNCTION("IMPORTRANGE(""https://docs.google.com/spreadsheets/d/""&amp;$A193&amp;""/edit#gid=156619080"",AC$3)"),4213.43)</f>
        <v>4213.43</v>
      </c>
      <c r="AD193" s="18">
        <f>IFERROR(__xludf.DUMMYFUNCTION("IMPORTRANGE(""https://docs.google.com/spreadsheets/d/""&amp;$A193&amp;""/edit#gid=156619080"",AD$3)"),4181.96)</f>
        <v>4181.96</v>
      </c>
      <c r="AE193" s="18">
        <f>IFERROR(__xludf.DUMMYFUNCTION("IMPORTRANGE(""https://docs.google.com/spreadsheets/d/""&amp;$A193&amp;""/edit#gid=156619080"",AE$3)"),4056.1)</f>
        <v>4056.1</v>
      </c>
      <c r="AF193" s="2">
        <f>IFERROR(__xludf.DUMMYFUNCTION("IMPORTRANGE(""https://docs.google.com/spreadsheets/d/""&amp;$A193&amp;""/edit#gid=156619080"",AF$3)"),3930.24)</f>
        <v>3930.24</v>
      </c>
      <c r="AG193" s="2">
        <f>IFERROR(__xludf.DUMMYFUNCTION("IMPORTRANGE(""https://docs.google.com/spreadsheets/d/""&amp;$A193&amp;""/edit#gid=156619080"",AG$3)"),3898.77)</f>
        <v>3898.77</v>
      </c>
      <c r="AH193" s="2">
        <f>IFERROR(__xludf.DUMMYFUNCTION("IMPORTRANGE(""https://docs.google.com/spreadsheets/d/""&amp;$A193&amp;""/edit#gid=156619080"",AH$3)"),3867.31)</f>
        <v>3867.31</v>
      </c>
      <c r="AI193" s="2">
        <f>IFERROR(__xludf.DUMMYFUNCTION("IMPORTRANGE(""https://docs.google.com/spreadsheets/d/""&amp;$A193&amp;""/edit#gid=156619080"",AI$3)"),3835.84)</f>
        <v>3835.84</v>
      </c>
      <c r="AJ193" s="2">
        <f>IFERROR(__xludf.DUMMYFUNCTION("IMPORTRANGE(""https://docs.google.com/spreadsheets/d/""&amp;$A193&amp;""/edit#gid=156619080"",AJ$3)"),3804.38)</f>
        <v>3804.38</v>
      </c>
      <c r="AK193" s="2" t="str">
        <f>IFERROR(__xludf.DUMMYFUNCTION("IMPORTRANGE(""https://docs.google.com/spreadsheets/d/""&amp;$A193&amp;""/edit#gid=156619080"",AK$3)"),"-1.5σ〜-1.75σ")</f>
        <v>-1.5σ〜-1.75σ</v>
      </c>
      <c r="AL193" s="2">
        <f>IFERROR(__xludf.DUMMYFUNCTION("IMPORTRANGE(""https://docs.google.com/spreadsheets/d/""&amp;$A193&amp;""/edit#gid=156619080"",AL$3)"),-1.0)</f>
        <v>-1</v>
      </c>
      <c r="AM193" s="2" t="str">
        <f>IFERROR(__xludf.DUMMYFUNCTION("IMPORTRANGE(""https://docs.google.com/spreadsheets/d/""&amp;$A193&amp;""/edit#gid=156619080"",AM$3)"),"")</f>
        <v/>
      </c>
      <c r="AN193" s="2">
        <f>IFERROR(__xludf.DUMMYFUNCTION("IMPORTRANGE(""https://docs.google.com/spreadsheets/d/""&amp;$A193&amp;""/edit#gid=156619080"",AN$3)"),-1.0)</f>
        <v>-1</v>
      </c>
      <c r="AO193" s="2" t="str">
        <f>IFERROR(__xludf.DUMMYFUNCTION("IMPORTRANGE(""https://docs.google.com/spreadsheets/d/""&amp;$A193&amp;""/edit#gid=156619080"",AO$3)"),"bs2")</f>
        <v>bs2</v>
      </c>
      <c r="AP193" s="2">
        <f>IFERROR(__xludf.DUMMYFUNCTION("IMPORTRANGE(""https://docs.google.com/spreadsheets/d/""&amp;$A193&amp;""/edit#gid=156619080"",AP$3)"),1.0)</f>
        <v>1</v>
      </c>
      <c r="AQ193" s="2" t="str">
        <f>IFERROR(__xludf.DUMMYFUNCTION("IMPORTRANGE(""https://docs.google.com/spreadsheets/d/""&amp;$A193&amp;""/edit#gid=156619080"",AQ$3)"),"")</f>
        <v/>
      </c>
      <c r="AR193" s="18">
        <f>IFERROR(__xludf.DUMMYFUNCTION("IMPORTRANGE(""https://docs.google.com/spreadsheets/d/""&amp;$A193&amp;""/edit#gid=156619080"",AR$3)"),-89.99999999999999)</f>
        <v>-90</v>
      </c>
      <c r="AS193" s="19" t="str">
        <f>IFERROR(__xludf.DUMMYFUNCTION("IMPORTRANGE(""https://docs.google.com/spreadsheets/d/""&amp;$A193&amp;""/edit#gid=156619080"",AS$3)"),"-30
-90
-90
-90
")</f>
        <v>-30
-90
-90
-90
</v>
      </c>
      <c r="AT193" s="18">
        <f>IFERROR(__xludf.DUMMYFUNCTION("IMPORTRANGE(""https://docs.google.com/spreadsheets/d/""&amp;$A193&amp;""/edit#gid=156619080"",AT$3)"),-46.84065934065933)</f>
        <v>-46.84065934</v>
      </c>
      <c r="AU193" s="3" t="str">
        <f>IFERROR(__xludf.DUMMYFUNCTION("IMPORTRANGE(""https://docs.google.com/spreadsheets/d/""&amp;$A193&amp;""/edit#gid=156619080"",AU$3)"),"86.68
61.95
32.28
-10.58
")</f>
        <v>86.68
61.95
32.28
-10.58
</v>
      </c>
      <c r="AV193" s="18">
        <f>IFERROR(__xludf.DUMMYFUNCTION("IMPORTRANGE(""https://docs.google.com/spreadsheets/d/""&amp;$A193&amp;""/edit#gid=156619080"",AV$3)"),47.11038961038961)</f>
        <v>47.11038961</v>
      </c>
      <c r="AW193" s="19" t="str">
        <f>IFERROR(__xludf.DUMMYFUNCTION("IMPORTRANGE(""https://docs.google.com/spreadsheets/d/""&amp;$A193&amp;""/edit#gid=156619080"",AW$3)"),"94.77
89.45
83.21
71.66
")</f>
        <v>94.77
89.45
83.21
71.66
</v>
      </c>
      <c r="AX193" s="2">
        <f>IFERROR(__xludf.DUMMYFUNCTION("IMPORTRANGE(""https://docs.google.com/spreadsheets/d/""&amp;$A193&amp;""/edit#gid=156619080"",AX$3)"),1.08)</f>
        <v>1.08</v>
      </c>
      <c r="AY193" s="2">
        <f>IFERROR(__xludf.DUMMYFUNCTION("IMPORTRANGE(""https://docs.google.com/spreadsheets/d/""&amp;$A193&amp;""/edit#gid=156619080"",AY$3)"),50.77)</f>
        <v>50.77</v>
      </c>
      <c r="AZ193" s="2">
        <f>IFERROR(__xludf.DUMMYFUNCTION("IMPORTRANGE(""https://docs.google.com/spreadsheets/d/""&amp;$A193&amp;""/edit#gid=156619080"",AZ$3)"),4003.5)</f>
        <v>4003.5</v>
      </c>
      <c r="BA193" s="2">
        <f>IFERROR(__xludf.DUMMYFUNCTION("IMPORTRANGE(""https://docs.google.com/spreadsheets/d/""&amp;$A193&amp;""/edit#gid=156619080"",BA$3)"),-37.059999999999945)</f>
        <v>-37.06</v>
      </c>
      <c r="BB193" s="2">
        <f>IFERROR(__xludf.DUMMYFUNCTION("IMPORTRANGE(""https://docs.google.com/spreadsheets/d/""&amp;$A193&amp;""/edit#gid=156619080"",BB$3)"),70.4)</f>
        <v>70.4</v>
      </c>
      <c r="BC193" s="2" t="str">
        <f>IFERROR(__xludf.DUMMYFUNCTION("IMPORTRANGE(""https://docs.google.com/spreadsheets/d/""&amp;$A193&amp;""/edit#gid=156619080"",BC$3)"),"DC→DC")</f>
        <v>DC→DC</v>
      </c>
    </row>
    <row r="194" ht="51.0" customHeight="1">
      <c r="A194" s="7" t="str">
        <f t="shared" si="5"/>
        <v>1v1m8OIgyk6tDws2zebvjIrxNxUscig4EPSOwTbmeXx4</v>
      </c>
      <c r="B194" s="1" t="s">
        <v>221</v>
      </c>
      <c r="C194" s="2">
        <f>IFERROR(__xludf.DUMMYFUNCTION("IMPORTRANGE(""https://docs.google.com/spreadsheets/d/""&amp;$A194&amp;""/edit#gid=156619080"",C$3)"),132.0)</f>
        <v>132</v>
      </c>
      <c r="D194" s="2">
        <f>IFERROR(__xludf.DUMMYFUNCTION("IMPORTRANGE(""https://docs.google.com/spreadsheets/d/""&amp;$A194&amp;""/edit#gid=156619080"",D$3)"),9001.0)</f>
        <v>9001</v>
      </c>
      <c r="E194" s="15">
        <f>IFERROR(__xludf.DUMMYFUNCTION("IMPORTRANGE(""https://docs.google.com/spreadsheets/d/""&amp;$A194&amp;""/edit#gid=156619080"",E$3)"),43882.0)</f>
        <v>43882</v>
      </c>
      <c r="F194" s="2">
        <f>IFERROR(__xludf.DUMMYFUNCTION("IMPORTRANGE(""https://docs.google.com/spreadsheets/d/""&amp;$A194&amp;""/edit#gid=156619080"",F$3)"),-15.0)</f>
        <v>-15</v>
      </c>
      <c r="G194" s="16">
        <f>IFERROR(__xludf.DUMMYFUNCTION("IMPORTRANGE(""https://docs.google.com/spreadsheets/d/""&amp;$A194&amp;""/edit#gid=156619080"",G$3)"),-0.42)</f>
        <v>-0.42</v>
      </c>
      <c r="H194" s="16">
        <f>IFERROR(__xludf.DUMMYFUNCTION("IMPORTRANGE(""https://docs.google.com/spreadsheets/d/""&amp;$A194&amp;""/edit#gid=156619080"",H$3)"),3590.0)</f>
        <v>3590</v>
      </c>
      <c r="I194" s="16">
        <f>IFERROR(__xludf.DUMMYFUNCTION("IMPORTRANGE(""https://docs.google.com/spreadsheets/d/""&amp;$A194&amp;""/edit#gid=156619080"",I$3)"),0.0)</f>
        <v>0</v>
      </c>
      <c r="J194" s="16">
        <f>IFERROR(__xludf.DUMMYFUNCTION("IMPORTRANGE(""https://docs.google.com/spreadsheets/d/""&amp;$A194&amp;""/edit#gid=156619080"",J$3)"),3620.0)</f>
        <v>3620</v>
      </c>
      <c r="K194" s="16">
        <f>IFERROR(__xludf.DUMMYFUNCTION("IMPORTRANGE(""https://docs.google.com/spreadsheets/d/""&amp;$A194&amp;""/edit#gid=156619080"",K$3)"),0.40069444444444446)</f>
        <v>0.4006944444</v>
      </c>
      <c r="L194" s="16">
        <f>IFERROR(__xludf.DUMMYFUNCTION("IMPORTRANGE(""https://docs.google.com/spreadsheets/d/""&amp;$A194&amp;""/edit#gid=156619080"",L$3)"),3570.0)</f>
        <v>3570</v>
      </c>
      <c r="M194" s="16">
        <f>IFERROR(__xludf.DUMMYFUNCTION("IMPORTRANGE(""https://docs.google.com/spreadsheets/d/""&amp;$A194&amp;""/edit#gid=156619080"",M$3)"),0.6208333333333333)</f>
        <v>0.6208333333</v>
      </c>
      <c r="N194" s="16">
        <f>IFERROR(__xludf.DUMMYFUNCTION("IMPORTRANGE(""https://docs.google.com/spreadsheets/d/""&amp;$A194&amp;""/edit#gid=156619080"",N$3)"),3575.0)</f>
        <v>3575</v>
      </c>
      <c r="O194" s="16" t="str">
        <f>IFERROR(__xludf.DUMMYFUNCTION("IMPORTRANGE(""https://docs.google.com/spreadsheets/d/""&amp;$A194&amp;""/edit#gid=156619080"",O$3)"),"433200株")</f>
        <v>433200株</v>
      </c>
      <c r="P194" s="16" t="str">
        <f>IFERROR(__xludf.DUMMYFUNCTION("IMPORTRANGE(""https://docs.google.com/spreadsheets/d/""&amp;$A194&amp;""/edit#gid=156619080"",P$3)"),"1554百万円")</f>
        <v>1554百万円</v>
      </c>
      <c r="Q194" s="16" t="str">
        <f>IFERROR(__xludf.DUMMYFUNCTION("IMPORTRANGE(""https://docs.google.com/spreadsheets/d/""&amp;$A194&amp;""/edit#gid=156619080"",Q$3)"),"811回")</f>
        <v>811回</v>
      </c>
      <c r="R194" s="16" t="str">
        <f>IFERROR(__xludf.DUMMYFUNCTION("IMPORTRANGE(""https://docs.google.com/spreadsheets/d/""&amp;$A194&amp;""/edit#gid=156619080"",R$3)"),"7590億円")</f>
        <v>7590億円</v>
      </c>
      <c r="S194" s="16" t="str">
        <f>IFERROR(__xludf.DUMMYFUNCTION("IMPORTRANGE(""https://docs.google.com/spreadsheets/d/""&amp;$A194&amp;""/edit#gid=156619080"",S$3)"),"陰線")</f>
        <v>陰線</v>
      </c>
      <c r="T194" s="16" t="str">
        <f>IFERROR(__xludf.DUMMYFUNCTION("IMPORTRANGE(""https://docs.google.com/spreadsheets/d/""&amp;$A194&amp;""/edit#gid=156619080"",T$3)"),"")</f>
        <v/>
      </c>
      <c r="U194" s="16">
        <f>IFERROR(__xludf.DUMMYFUNCTION("IMPORTRANGE(""https://docs.google.com/spreadsheets/d/""&amp;$A194&amp;""/edit#gid=156619080"",U$3)"),3595.0)</f>
        <v>3595</v>
      </c>
      <c r="V194" s="16">
        <f>IFERROR(__xludf.DUMMYFUNCTION("IMPORTRANGE(""https://docs.google.com/spreadsheets/d/""&amp;$A194&amp;""/edit#gid=156619080"",V$3)"),3697.7)</f>
        <v>3697.7</v>
      </c>
      <c r="W194" s="16">
        <f>IFERROR(__xludf.DUMMYFUNCTION("IMPORTRANGE(""https://docs.google.com/spreadsheets/d/""&amp;$A194&amp;""/edit#gid=156619080"",W$3)"),3768.8)</f>
        <v>3768.8</v>
      </c>
      <c r="X194" s="2">
        <f>IFERROR(__xludf.DUMMYFUNCTION("IMPORTRANGE(""https://docs.google.com/spreadsheets/d/""&amp;$A194&amp;""/edit#gid=156619080"",X$3)"),3795.1)</f>
        <v>3795.1</v>
      </c>
      <c r="Y194" s="17">
        <f>IFERROR(__xludf.DUMMYFUNCTION("IMPORTRANGE(""https://docs.google.com/spreadsheets/d/""&amp;$A194&amp;""/edit#gid=156619080"",Y$3)"),-0.005563282336578581)</f>
        <v>-0.005563282337</v>
      </c>
      <c r="Z194" s="2">
        <f>IFERROR(__xludf.DUMMYFUNCTION("IMPORTRANGE(""https://docs.google.com/spreadsheets/d/""&amp;$A194&amp;""/edit#gid=156619080"",Z$3)"),4014.16)</f>
        <v>4014.16</v>
      </c>
      <c r="AA194" s="2">
        <f>IFERROR(__xludf.DUMMYFUNCTION("IMPORTRANGE(""https://docs.google.com/spreadsheets/d/""&amp;$A194&amp;""/edit#gid=156619080"",AA$3)"),3983.49)</f>
        <v>3983.49</v>
      </c>
      <c r="AB194" s="2">
        <f>IFERROR(__xludf.DUMMYFUNCTION("IMPORTRANGE(""https://docs.google.com/spreadsheets/d/""&amp;$A194&amp;""/edit#gid=156619080"",AB$3)"),3952.82)</f>
        <v>3952.82</v>
      </c>
      <c r="AC194" s="18">
        <f>IFERROR(__xludf.DUMMYFUNCTION("IMPORTRANGE(""https://docs.google.com/spreadsheets/d/""&amp;$A194&amp;""/edit#gid=156619080"",AC$3)"),3922.15)</f>
        <v>3922.15</v>
      </c>
      <c r="AD194" s="18">
        <f>IFERROR(__xludf.DUMMYFUNCTION("IMPORTRANGE(""https://docs.google.com/spreadsheets/d/""&amp;$A194&amp;""/edit#gid=156619080"",AD$3)"),3891.48)</f>
        <v>3891.48</v>
      </c>
      <c r="AE194" s="18">
        <f>IFERROR(__xludf.DUMMYFUNCTION("IMPORTRANGE(""https://docs.google.com/spreadsheets/d/""&amp;$A194&amp;""/edit#gid=156619080"",AE$3)"),3768.8)</f>
        <v>3768.8</v>
      </c>
      <c r="AF194" s="2">
        <f>IFERROR(__xludf.DUMMYFUNCTION("IMPORTRANGE(""https://docs.google.com/spreadsheets/d/""&amp;$A194&amp;""/edit#gid=156619080"",AF$3)"),3646.12)</f>
        <v>3646.12</v>
      </c>
      <c r="AG194" s="2">
        <f>IFERROR(__xludf.DUMMYFUNCTION("IMPORTRANGE(""https://docs.google.com/spreadsheets/d/""&amp;$A194&amp;""/edit#gid=156619080"",AG$3)"),3615.45)</f>
        <v>3615.45</v>
      </c>
      <c r="AH194" s="2">
        <f>IFERROR(__xludf.DUMMYFUNCTION("IMPORTRANGE(""https://docs.google.com/spreadsheets/d/""&amp;$A194&amp;""/edit#gid=156619080"",AH$3)"),3584.78)</f>
        <v>3584.78</v>
      </c>
      <c r="AI194" s="2">
        <f>IFERROR(__xludf.DUMMYFUNCTION("IMPORTRANGE(""https://docs.google.com/spreadsheets/d/""&amp;$A194&amp;""/edit#gid=156619080"",AI$3)"),3554.11)</f>
        <v>3554.11</v>
      </c>
      <c r="AJ194" s="2">
        <f>IFERROR(__xludf.DUMMYFUNCTION("IMPORTRANGE(""https://docs.google.com/spreadsheets/d/""&amp;$A194&amp;""/edit#gid=156619080"",AJ$3)"),3523.44)</f>
        <v>3523.44</v>
      </c>
      <c r="AK194" s="2" t="str">
        <f>IFERROR(__xludf.DUMMYFUNCTION("IMPORTRANGE(""https://docs.google.com/spreadsheets/d/""&amp;$A194&amp;""/edit#gid=156619080"",AK$3)"),"-1.5σ〜-1.75σ")</f>
        <v>-1.5σ〜-1.75σ</v>
      </c>
      <c r="AL194" s="2">
        <f>IFERROR(__xludf.DUMMYFUNCTION("IMPORTRANGE(""https://docs.google.com/spreadsheets/d/""&amp;$A194&amp;""/edit#gid=156619080"",AL$3)"),-1.0)</f>
        <v>-1</v>
      </c>
      <c r="AM194" s="2" t="str">
        <f>IFERROR(__xludf.DUMMYFUNCTION("IMPORTRANGE(""https://docs.google.com/spreadsheets/d/""&amp;$A194&amp;""/edit#gid=156619080"",AM$3)"),"")</f>
        <v/>
      </c>
      <c r="AN194" s="2">
        <f>IFERROR(__xludf.DUMMYFUNCTION("IMPORTRANGE(""https://docs.google.com/spreadsheets/d/""&amp;$A194&amp;""/edit#gid=156619080"",AN$3)"),-1.0)</f>
        <v>-1</v>
      </c>
      <c r="AO194" s="2" t="str">
        <f>IFERROR(__xludf.DUMMYFUNCTION("IMPORTRANGE(""https://docs.google.com/spreadsheets/d/""&amp;$A194&amp;""/edit#gid=156619080"",AO$3)"),"")</f>
        <v/>
      </c>
      <c r="AP194" s="2">
        <f>IFERROR(__xludf.DUMMYFUNCTION("IMPORTRANGE(""https://docs.google.com/spreadsheets/d/""&amp;$A194&amp;""/edit#gid=156619080"",AP$3)"),-1.0)</f>
        <v>-1</v>
      </c>
      <c r="AQ194" s="2" t="str">
        <f>IFERROR(__xludf.DUMMYFUNCTION("IMPORTRANGE(""https://docs.google.com/spreadsheets/d/""&amp;$A194&amp;""/edit#gid=156619080"",AQ$3)"),"")</f>
        <v/>
      </c>
      <c r="AR194" s="18">
        <f>IFERROR(__xludf.DUMMYFUNCTION("IMPORTRANGE(""https://docs.google.com/spreadsheets/d/""&amp;$A194&amp;""/edit#gid=156619080"",AR$3)"),-50.0)</f>
        <v>-50</v>
      </c>
      <c r="AS194" s="19" t="str">
        <f>IFERROR(__xludf.DUMMYFUNCTION("IMPORTRANGE(""https://docs.google.com/spreadsheets/d/""&amp;$A194&amp;""/edit#gid=156619080"",AS$3)"),"-100
-100
-70
-50
")</f>
        <v>-100
-100
-70
-50
</v>
      </c>
      <c r="AT194" s="18">
        <f>IFERROR(__xludf.DUMMYFUNCTION("IMPORTRANGE(""https://docs.google.com/spreadsheets/d/""&amp;$A194&amp;""/edit#gid=156619080"",AT$3)"),-93.95604395604396)</f>
        <v>-93.95604396</v>
      </c>
      <c r="AU194" s="3" t="str">
        <f>IFERROR(__xludf.DUMMYFUNCTION("IMPORTRANGE(""https://docs.google.com/spreadsheets/d/""&amp;$A194&amp;""/edit#gid=156619080"",AU$3)"),"-91.21
-91.21
-91.76
-91.76
")</f>
        <v>-91.21
-91.21
-91.76
-91.76
</v>
      </c>
      <c r="AV194" s="18">
        <f>IFERROR(__xludf.DUMMYFUNCTION("IMPORTRANGE(""https://docs.google.com/spreadsheets/d/""&amp;$A194&amp;""/edit#gid=156619080"",AV$3)"),-95.25974025974027)</f>
        <v>-95.25974026</v>
      </c>
      <c r="AW194" s="19" t="str">
        <f>IFERROR(__xludf.DUMMYFUNCTION("IMPORTRANGE(""https://docs.google.com/spreadsheets/d/""&amp;$A194&amp;""/edit#gid=156619080"",AW$3)"),"-93.47
-94.87
-94.74
-95.26
")</f>
        <v>-93.47
-94.87
-94.74
-95.26
</v>
      </c>
      <c r="AX194" s="2">
        <f>IFERROR(__xludf.DUMMYFUNCTION("IMPORTRANGE(""https://docs.google.com/spreadsheets/d/""&amp;$A194&amp;""/edit#gid=156619080"",AX$3)"),25.81)</f>
        <v>25.81</v>
      </c>
      <c r="AY194" s="2">
        <f>IFERROR(__xludf.DUMMYFUNCTION("IMPORTRANGE(""https://docs.google.com/spreadsheets/d/""&amp;$A194&amp;""/edit#gid=156619080"",AY$3)"),27.47)</f>
        <v>27.47</v>
      </c>
      <c r="AZ194" s="2">
        <f>IFERROR(__xludf.DUMMYFUNCTION("IMPORTRANGE(""https://docs.google.com/spreadsheets/d/""&amp;$A194&amp;""/edit#gid=156619080"",AZ$3)"),3607.37)</f>
        <v>3607.37</v>
      </c>
      <c r="BA194" s="2">
        <f>IFERROR(__xludf.DUMMYFUNCTION("IMPORTRANGE(""https://docs.google.com/spreadsheets/d/""&amp;$A194&amp;""/edit#gid=156619080"",BA$3)"),-133.9100000000003)</f>
        <v>-133.91</v>
      </c>
      <c r="BB194" s="2">
        <f>IFERROR(__xludf.DUMMYFUNCTION("IMPORTRANGE(""https://docs.google.com/spreadsheets/d/""&amp;$A194&amp;""/edit#gid=156619080"",BB$3)"),-105.98)</f>
        <v>-105.98</v>
      </c>
      <c r="BC194" s="2" t="str">
        <f>IFERROR(__xludf.DUMMYFUNCTION("IMPORTRANGE(""https://docs.google.com/spreadsheets/d/""&amp;$A194&amp;""/edit#gid=156619080"",BC$3)"),"DC→DC")</f>
        <v>DC→DC</v>
      </c>
    </row>
    <row r="195" ht="51.0" customHeight="1">
      <c r="A195" s="7" t="str">
        <f t="shared" si="5"/>
        <v>1iHUpO2SINyW0yOl21lkAL_nhWYz-OnxHZish0WQMIig</v>
      </c>
      <c r="B195" s="1" t="s">
        <v>222</v>
      </c>
      <c r="C195" s="2">
        <f>IFERROR(__xludf.DUMMYFUNCTION("IMPORTRANGE(""https://docs.google.com/spreadsheets/d/""&amp;$A195&amp;""/edit#gid=156619080"",C$3)"),132.0)</f>
        <v>132</v>
      </c>
      <c r="D195" s="2">
        <f>IFERROR(__xludf.DUMMYFUNCTION("IMPORTRANGE(""https://docs.google.com/spreadsheets/d/""&amp;$A195&amp;""/edit#gid=156619080"",D$3)"),9005.0)</f>
        <v>9005</v>
      </c>
      <c r="E195" s="15">
        <f>IFERROR(__xludf.DUMMYFUNCTION("IMPORTRANGE(""https://docs.google.com/spreadsheets/d/""&amp;$A195&amp;""/edit#gid=156619080"",E$3)"),43882.0)</f>
        <v>43882</v>
      </c>
      <c r="F195" s="2">
        <f>IFERROR(__xludf.DUMMYFUNCTION("IMPORTRANGE(""https://docs.google.com/spreadsheets/d/""&amp;$A195&amp;""/edit#gid=156619080"",F$3)"),-14.0)</f>
        <v>-14</v>
      </c>
      <c r="G195" s="16">
        <f>IFERROR(__xludf.DUMMYFUNCTION("IMPORTRANGE(""https://docs.google.com/spreadsheets/d/""&amp;$A195&amp;""/edit#gid=156619080"",G$3)"),-0.75)</f>
        <v>-0.75</v>
      </c>
      <c r="H195" s="16">
        <f>IFERROR(__xludf.DUMMYFUNCTION("IMPORTRANGE(""https://docs.google.com/spreadsheets/d/""&amp;$A195&amp;""/edit#gid=156619080"",H$3)"),1836.0)</f>
        <v>1836</v>
      </c>
      <c r="I195" s="16">
        <f>IFERROR(__xludf.DUMMYFUNCTION("IMPORTRANGE(""https://docs.google.com/spreadsheets/d/""&amp;$A195&amp;""/edit#gid=156619080"",I$3)"),20.0)</f>
        <v>20</v>
      </c>
      <c r="J195" s="16">
        <f>IFERROR(__xludf.DUMMYFUNCTION("IMPORTRANGE(""https://docs.google.com/spreadsheets/d/""&amp;$A195&amp;""/edit#gid=156619080"",J$3)"),1855.0)</f>
        <v>1855</v>
      </c>
      <c r="K195" s="16">
        <f>IFERROR(__xludf.DUMMYFUNCTION("IMPORTRANGE(""https://docs.google.com/spreadsheets/d/""&amp;$A195&amp;""/edit#gid=156619080"",K$3)"),0.43472222222222223)</f>
        <v>0.4347222222</v>
      </c>
      <c r="L195" s="16">
        <f>IFERROR(__xludf.DUMMYFUNCTION("IMPORTRANGE(""https://docs.google.com/spreadsheets/d/""&amp;$A195&amp;""/edit#gid=156619080"",L$3)"),1829.0)</f>
        <v>1829</v>
      </c>
      <c r="M195" s="16">
        <f>IFERROR(__xludf.DUMMYFUNCTION("IMPORTRANGE(""https://docs.google.com/spreadsheets/d/""&amp;$A195&amp;""/edit#gid=156619080"",M$3)"),0.375)</f>
        <v>0.375</v>
      </c>
      <c r="N195" s="16">
        <f>IFERROR(__xludf.DUMMYFUNCTION("IMPORTRANGE(""https://docs.google.com/spreadsheets/d/""&amp;$A195&amp;""/edit#gid=156619080"",N$3)"),1842.0)</f>
        <v>1842</v>
      </c>
      <c r="O195" s="16" t="str">
        <f>IFERROR(__xludf.DUMMYFUNCTION("IMPORTRANGE(""https://docs.google.com/spreadsheets/d/""&amp;$A195&amp;""/edit#gid=156619080"",O$3)"),"1407900株")</f>
        <v>1407900株</v>
      </c>
      <c r="P195" s="16" t="str">
        <f>IFERROR(__xludf.DUMMYFUNCTION("IMPORTRANGE(""https://docs.google.com/spreadsheets/d/""&amp;$A195&amp;""/edit#gid=156619080"",P$3)"),"2595百万円")</f>
        <v>2595百万円</v>
      </c>
      <c r="Q195" s="16" t="str">
        <f>IFERROR(__xludf.DUMMYFUNCTION("IMPORTRANGE(""https://docs.google.com/spreadsheets/d/""&amp;$A195&amp;""/edit#gid=156619080"",Q$3)"),"1985回")</f>
        <v>1985回</v>
      </c>
      <c r="R195" s="16" t="str">
        <f>IFERROR(__xludf.DUMMYFUNCTION("IMPORTRANGE(""https://docs.google.com/spreadsheets/d/""&amp;$A195&amp;""/edit#gid=156619080"",R$3)"),"11510億円")</f>
        <v>11510億円</v>
      </c>
      <c r="S195" s="16" t="str">
        <f>IFERROR(__xludf.DUMMYFUNCTION("IMPORTRANGE(""https://docs.google.com/spreadsheets/d/""&amp;$A195&amp;""/edit#gid=156619080"",S$3)"),"陽線")</f>
        <v>陽線</v>
      </c>
      <c r="T195" s="16" t="str">
        <f>IFERROR(__xludf.DUMMYFUNCTION("IMPORTRANGE(""https://docs.google.com/spreadsheets/d/""&amp;$A195&amp;""/edit#gid=156619080"",T$3)"),"")</f>
        <v/>
      </c>
      <c r="U195" s="16">
        <f>IFERROR(__xludf.DUMMYFUNCTION("IMPORTRANGE(""https://docs.google.com/spreadsheets/d/""&amp;$A195&amp;""/edit#gid=156619080"",U$3)"),1846.0)</f>
        <v>1846</v>
      </c>
      <c r="V195" s="16">
        <f>IFERROR(__xludf.DUMMYFUNCTION("IMPORTRANGE(""https://docs.google.com/spreadsheets/d/""&amp;$A195&amp;""/edit#gid=156619080"",V$3)"),1898.0)</f>
        <v>1898</v>
      </c>
      <c r="W195" s="16">
        <f>IFERROR(__xludf.DUMMYFUNCTION("IMPORTRANGE(""https://docs.google.com/spreadsheets/d/""&amp;$A195&amp;""/edit#gid=156619080"",W$3)"),1913.8)</f>
        <v>1913.8</v>
      </c>
      <c r="X195" s="2">
        <f>IFERROR(__xludf.DUMMYFUNCTION("IMPORTRANGE(""https://docs.google.com/spreadsheets/d/""&amp;$A195&amp;""/edit#gid=156619080"",X$3)"),2023.9)</f>
        <v>2023.9</v>
      </c>
      <c r="Y195" s="17">
        <f>IFERROR(__xludf.DUMMYFUNCTION("IMPORTRANGE(""https://docs.google.com/spreadsheets/d/""&amp;$A195&amp;""/edit#gid=156619080"",Y$3)"),-0.0021668472372697724)</f>
        <v>-0.002166847237</v>
      </c>
      <c r="Z195" s="2">
        <f>IFERROR(__xludf.DUMMYFUNCTION("IMPORTRANGE(""https://docs.google.com/spreadsheets/d/""&amp;$A195&amp;""/edit#gid=156619080"",Z$3)"),2000.67)</f>
        <v>2000.67</v>
      </c>
      <c r="AA195" s="2">
        <f>IFERROR(__xludf.DUMMYFUNCTION("IMPORTRANGE(""https://docs.google.com/spreadsheets/d/""&amp;$A195&amp;""/edit#gid=156619080"",AA$3)"),1989.81)</f>
        <v>1989.81</v>
      </c>
      <c r="AB195" s="2">
        <f>IFERROR(__xludf.DUMMYFUNCTION("IMPORTRANGE(""https://docs.google.com/spreadsheets/d/""&amp;$A195&amp;""/edit#gid=156619080"",AB$3)"),1978.95)</f>
        <v>1978.95</v>
      </c>
      <c r="AC195" s="18">
        <f>IFERROR(__xludf.DUMMYFUNCTION("IMPORTRANGE(""https://docs.google.com/spreadsheets/d/""&amp;$A195&amp;""/edit#gid=156619080"",AC$3)"),1968.09)</f>
        <v>1968.09</v>
      </c>
      <c r="AD195" s="18">
        <f>IFERROR(__xludf.DUMMYFUNCTION("IMPORTRANGE(""https://docs.google.com/spreadsheets/d/""&amp;$A195&amp;""/edit#gid=156619080"",AD$3)"),1957.24)</f>
        <v>1957.24</v>
      </c>
      <c r="AE195" s="18">
        <f>IFERROR(__xludf.DUMMYFUNCTION("IMPORTRANGE(""https://docs.google.com/spreadsheets/d/""&amp;$A195&amp;""/edit#gid=156619080"",AE$3)"),1913.8)</f>
        <v>1913.8</v>
      </c>
      <c r="AF195" s="2">
        <f>IFERROR(__xludf.DUMMYFUNCTION("IMPORTRANGE(""https://docs.google.com/spreadsheets/d/""&amp;$A195&amp;""/edit#gid=156619080"",AF$3)"),1870.36)</f>
        <v>1870.36</v>
      </c>
      <c r="AG195" s="2">
        <f>IFERROR(__xludf.DUMMYFUNCTION("IMPORTRANGE(""https://docs.google.com/spreadsheets/d/""&amp;$A195&amp;""/edit#gid=156619080"",AG$3)"),1859.51)</f>
        <v>1859.51</v>
      </c>
      <c r="AH195" s="2">
        <f>IFERROR(__xludf.DUMMYFUNCTION("IMPORTRANGE(""https://docs.google.com/spreadsheets/d/""&amp;$A195&amp;""/edit#gid=156619080"",AH$3)"),1848.65)</f>
        <v>1848.65</v>
      </c>
      <c r="AI195" s="2">
        <f>IFERROR(__xludf.DUMMYFUNCTION("IMPORTRANGE(""https://docs.google.com/spreadsheets/d/""&amp;$A195&amp;""/edit#gid=156619080"",AI$3)"),1837.79)</f>
        <v>1837.79</v>
      </c>
      <c r="AJ195" s="2">
        <f>IFERROR(__xludf.DUMMYFUNCTION("IMPORTRANGE(""https://docs.google.com/spreadsheets/d/""&amp;$A195&amp;""/edit#gid=156619080"",AJ$3)"),1826.93)</f>
        <v>1826.93</v>
      </c>
      <c r="AK195" s="2" t="str">
        <f>IFERROR(__xludf.DUMMYFUNCTION("IMPORTRANGE(""https://docs.google.com/spreadsheets/d/""&amp;$A195&amp;""/edit#gid=156619080"",AK$3)"),"-1.5σ〜-1.75σ")</f>
        <v>-1.5σ〜-1.75σ</v>
      </c>
      <c r="AL195" s="2">
        <f>IFERROR(__xludf.DUMMYFUNCTION("IMPORTRANGE(""https://docs.google.com/spreadsheets/d/""&amp;$A195&amp;""/edit#gid=156619080"",AL$3)"),-1.0)</f>
        <v>-1</v>
      </c>
      <c r="AM195" s="2" t="str">
        <f>IFERROR(__xludf.DUMMYFUNCTION("IMPORTRANGE(""https://docs.google.com/spreadsheets/d/""&amp;$A195&amp;""/edit#gid=156619080"",AM$3)"),"")</f>
        <v/>
      </c>
      <c r="AN195" s="2">
        <f>IFERROR(__xludf.DUMMYFUNCTION("IMPORTRANGE(""https://docs.google.com/spreadsheets/d/""&amp;$A195&amp;""/edit#gid=156619080"",AN$3)"),-1.0)</f>
        <v>-1</v>
      </c>
      <c r="AO195" s="2" t="str">
        <f>IFERROR(__xludf.DUMMYFUNCTION("IMPORTRANGE(""https://docs.google.com/spreadsheets/d/""&amp;$A195&amp;""/edit#gid=156619080"",AO$3)"),"")</f>
        <v/>
      </c>
      <c r="AP195" s="2">
        <f>IFERROR(__xludf.DUMMYFUNCTION("IMPORTRANGE(""https://docs.google.com/spreadsheets/d/""&amp;$A195&amp;""/edit#gid=156619080"",AP$3)"),-1.0)</f>
        <v>-1</v>
      </c>
      <c r="AQ195" s="2" t="str">
        <f>IFERROR(__xludf.DUMMYFUNCTION("IMPORTRANGE(""https://docs.google.com/spreadsheets/d/""&amp;$A195&amp;""/edit#gid=156619080"",AQ$3)"),"")</f>
        <v/>
      </c>
      <c r="AR195" s="18">
        <f>IFERROR(__xludf.DUMMYFUNCTION("IMPORTRANGE(""https://docs.google.com/spreadsheets/d/""&amp;$A195&amp;""/edit#gid=156619080"",AR$3)"),0.0)</f>
        <v>0</v>
      </c>
      <c r="AS195" s="19" t="str">
        <f>IFERROR(__xludf.DUMMYFUNCTION("IMPORTRANGE(""https://docs.google.com/spreadsheets/d/""&amp;$A195&amp;""/edit#gid=156619080"",AS$3)"),"-92.5
-100
-90
-30
")</f>
        <v>-92.5
-100
-90
-30
</v>
      </c>
      <c r="AT195" s="18">
        <f>IFERROR(__xludf.DUMMYFUNCTION("IMPORTRANGE(""https://docs.google.com/spreadsheets/d/""&amp;$A195&amp;""/edit#gid=156619080"",AT$3)"),-89.14835164835165)</f>
        <v>-89.14835165</v>
      </c>
      <c r="AU195" s="3" t="str">
        <f>IFERROR(__xludf.DUMMYFUNCTION("IMPORTRANGE(""https://docs.google.com/spreadsheets/d/""&amp;$A195&amp;""/edit#gid=156619080"",AU$3)"),"-55.08
-64.97
-74.86
-79.26
")</f>
        <v>-55.08
-64.97
-74.86
-79.26
</v>
      </c>
      <c r="AV195" s="18">
        <f>IFERROR(__xludf.DUMMYFUNCTION("IMPORTRANGE(""https://docs.google.com/spreadsheets/d/""&amp;$A195&amp;""/edit#gid=156619080"",AV$3)"),-76.65584415584416)</f>
        <v>-76.65584416</v>
      </c>
      <c r="AW195" s="19" t="str">
        <f>IFERROR(__xludf.DUMMYFUNCTION("IMPORTRANGE(""https://docs.google.com/spreadsheets/d/""&amp;$A195&amp;""/edit#gid=156619080"",AW$3)"),"-74.61
-74.61
-74.48
-76.04
")</f>
        <v>-74.61
-74.61
-74.48
-76.04
</v>
      </c>
      <c r="AX195" s="2">
        <f>IFERROR(__xludf.DUMMYFUNCTION("IMPORTRANGE(""https://docs.google.com/spreadsheets/d/""&amp;$A195&amp;""/edit#gid=156619080"",AX$3)"),27.779999999999998)</f>
        <v>27.78</v>
      </c>
      <c r="AY195" s="2">
        <f>IFERROR(__xludf.DUMMYFUNCTION("IMPORTRANGE(""https://docs.google.com/spreadsheets/d/""&amp;$A195&amp;""/edit#gid=156619080"",AY$3)"),30.669999999999998)</f>
        <v>30.67</v>
      </c>
      <c r="AZ195" s="2">
        <f>IFERROR(__xludf.DUMMYFUNCTION("IMPORTRANGE(""https://docs.google.com/spreadsheets/d/""&amp;$A195&amp;""/edit#gid=156619080"",AZ$3)"),1854.47)</f>
        <v>1854.47</v>
      </c>
      <c r="BA195" s="2">
        <f>IFERROR(__xludf.DUMMYFUNCTION("IMPORTRANGE(""https://docs.google.com/spreadsheets/d/""&amp;$A195&amp;""/edit#gid=156619080"",BA$3)"),-53.73000000000002)</f>
        <v>-53.73</v>
      </c>
      <c r="BB195" s="2">
        <f>IFERROR(__xludf.DUMMYFUNCTION("IMPORTRANGE(""https://docs.google.com/spreadsheets/d/""&amp;$A195&amp;""/edit#gid=156619080"",BB$3)"),-42.66)</f>
        <v>-42.66</v>
      </c>
      <c r="BC195" s="2" t="str">
        <f>IFERROR(__xludf.DUMMYFUNCTION("IMPORTRANGE(""https://docs.google.com/spreadsheets/d/""&amp;$A195&amp;""/edit#gid=156619080"",BC$3)"),"DC→DC")</f>
        <v>DC→DC</v>
      </c>
    </row>
    <row r="196" ht="51.0" customHeight="1">
      <c r="A196" s="7" t="str">
        <f t="shared" si="5"/>
        <v>1u1jnzpR4QhdpxHhvBUzWcEWNgqVYcXq8dCqxzsu6mrg</v>
      </c>
      <c r="B196" s="1" t="s">
        <v>223</v>
      </c>
      <c r="C196" s="2">
        <f>IFERROR(__xludf.DUMMYFUNCTION("IMPORTRANGE(""https://docs.google.com/spreadsheets/d/""&amp;$A196&amp;""/edit#gid=156619080"",C$3)"),132.0)</f>
        <v>132</v>
      </c>
      <c r="D196" s="2">
        <f>IFERROR(__xludf.DUMMYFUNCTION("IMPORTRANGE(""https://docs.google.com/spreadsheets/d/""&amp;$A196&amp;""/edit#gid=156619080"",D$3)"),9007.0)</f>
        <v>9007</v>
      </c>
      <c r="E196" s="15">
        <f>IFERROR(__xludf.DUMMYFUNCTION("IMPORTRANGE(""https://docs.google.com/spreadsheets/d/""&amp;$A196&amp;""/edit#gid=156619080"",E$3)"),43882.0)</f>
        <v>43882</v>
      </c>
      <c r="F196" s="2">
        <f>IFERROR(__xludf.DUMMYFUNCTION("IMPORTRANGE(""https://docs.google.com/spreadsheets/d/""&amp;$A196&amp;""/edit#gid=156619080"",F$3)"),-22.0)</f>
        <v>-22</v>
      </c>
      <c r="G196" s="16">
        <f>IFERROR(__xludf.DUMMYFUNCTION("IMPORTRANGE(""https://docs.google.com/spreadsheets/d/""&amp;$A196&amp;""/edit#gid=156619080"",G$3)"),-0.95)</f>
        <v>-0.95</v>
      </c>
      <c r="H196" s="16">
        <f>IFERROR(__xludf.DUMMYFUNCTION("IMPORTRANGE(""https://docs.google.com/spreadsheets/d/""&amp;$A196&amp;""/edit#gid=156619080"",H$3)"),2303.0)</f>
        <v>2303</v>
      </c>
      <c r="I196" s="16">
        <f>IFERROR(__xludf.DUMMYFUNCTION("IMPORTRANGE(""https://docs.google.com/spreadsheets/d/""&amp;$A196&amp;""/edit#gid=156619080"",I$3)"),1.0)</f>
        <v>1</v>
      </c>
      <c r="J196" s="16">
        <f>IFERROR(__xludf.DUMMYFUNCTION("IMPORTRANGE(""https://docs.google.com/spreadsheets/d/""&amp;$A196&amp;""/edit#gid=156619080"",J$3)"),2304.0)</f>
        <v>2304</v>
      </c>
      <c r="K196" s="16">
        <f>IFERROR(__xludf.DUMMYFUNCTION("IMPORTRANGE(""https://docs.google.com/spreadsheets/d/""&amp;$A196&amp;""/edit#gid=156619080"",K$3)"),0.44583333333333336)</f>
        <v>0.4458333333</v>
      </c>
      <c r="L196" s="16">
        <f>IFERROR(__xludf.DUMMYFUNCTION("IMPORTRANGE(""https://docs.google.com/spreadsheets/d/""&amp;$A196&amp;""/edit#gid=156619080"",L$3)"),2281.0)</f>
        <v>2281</v>
      </c>
      <c r="M196" s="16">
        <f>IFERROR(__xludf.DUMMYFUNCTION("IMPORTRANGE(""https://docs.google.com/spreadsheets/d/""&amp;$A196&amp;""/edit#gid=156619080"",M$3)"),0.6243055555555556)</f>
        <v>0.6243055556</v>
      </c>
      <c r="N196" s="16">
        <f>IFERROR(__xludf.DUMMYFUNCTION("IMPORTRANGE(""https://docs.google.com/spreadsheets/d/""&amp;$A196&amp;""/edit#gid=156619080"",N$3)"),2282.0)</f>
        <v>2282</v>
      </c>
      <c r="O196" s="16" t="str">
        <f>IFERROR(__xludf.DUMMYFUNCTION("IMPORTRANGE(""https://docs.google.com/spreadsheets/d/""&amp;$A196&amp;""/edit#gid=156619080"",O$3)"),"596500株")</f>
        <v>596500株</v>
      </c>
      <c r="P196" s="16" t="str">
        <f>IFERROR(__xludf.DUMMYFUNCTION("IMPORTRANGE(""https://docs.google.com/spreadsheets/d/""&amp;$A196&amp;""/edit#gid=156619080"",P$3)"),"1366百万円")</f>
        <v>1366百万円</v>
      </c>
      <c r="Q196" s="16" t="str">
        <f>IFERROR(__xludf.DUMMYFUNCTION("IMPORTRANGE(""https://docs.google.com/spreadsheets/d/""&amp;$A196&amp;""/edit#gid=156619080"",Q$3)"),"1155回")</f>
        <v>1155回</v>
      </c>
      <c r="R196" s="16" t="str">
        <f>IFERROR(__xludf.DUMMYFUNCTION("IMPORTRANGE(""https://docs.google.com/spreadsheets/d/""&amp;$A196&amp;""/edit#gid=156619080"",R$3)"),"8409億円")</f>
        <v>8409億円</v>
      </c>
      <c r="S196" s="16" t="str">
        <f>IFERROR(__xludf.DUMMYFUNCTION("IMPORTRANGE(""https://docs.google.com/spreadsheets/d/""&amp;$A196&amp;""/edit#gid=156619080"",S$3)"),"陰線")</f>
        <v>陰線</v>
      </c>
      <c r="T196" s="16" t="str">
        <f>IFERROR(__xludf.DUMMYFUNCTION("IMPORTRANGE(""https://docs.google.com/spreadsheets/d/""&amp;$A196&amp;""/edit#gid=156619080"",T$3)"),"")</f>
        <v/>
      </c>
      <c r="U196" s="16">
        <f>IFERROR(__xludf.DUMMYFUNCTION("IMPORTRANGE(""https://docs.google.com/spreadsheets/d/""&amp;$A196&amp;""/edit#gid=156619080"",U$3)"),2312.0)</f>
        <v>2312</v>
      </c>
      <c r="V196" s="16">
        <f>IFERROR(__xludf.DUMMYFUNCTION("IMPORTRANGE(""https://docs.google.com/spreadsheets/d/""&amp;$A196&amp;""/edit#gid=156619080"",V$3)"),2376.9)</f>
        <v>2376.9</v>
      </c>
      <c r="W196" s="16">
        <f>IFERROR(__xludf.DUMMYFUNCTION("IMPORTRANGE(""https://docs.google.com/spreadsheets/d/""&amp;$A196&amp;""/edit#gid=156619080"",W$3)"),2395.9)</f>
        <v>2395.9</v>
      </c>
      <c r="X196" s="2">
        <f>IFERROR(__xludf.DUMMYFUNCTION("IMPORTRANGE(""https://docs.google.com/spreadsheets/d/""&amp;$A196&amp;""/edit#gid=156619080"",X$3)"),2567.1)</f>
        <v>2567.1</v>
      </c>
      <c r="Y196" s="17">
        <f>IFERROR(__xludf.DUMMYFUNCTION("IMPORTRANGE(""https://docs.google.com/spreadsheets/d/""&amp;$A196&amp;""/edit#gid=156619080"",Y$3)"),-0.012975778546712802)</f>
        <v>-0.01297577855</v>
      </c>
      <c r="Z196" s="2">
        <f>IFERROR(__xludf.DUMMYFUNCTION("IMPORTRANGE(""https://docs.google.com/spreadsheets/d/""&amp;$A196&amp;""/edit#gid=156619080"",Z$3)"),2503.74)</f>
        <v>2503.74</v>
      </c>
      <c r="AA196" s="2">
        <f>IFERROR(__xludf.DUMMYFUNCTION("IMPORTRANGE(""https://docs.google.com/spreadsheets/d/""&amp;$A196&amp;""/edit#gid=156619080"",AA$3)"),2490.26)</f>
        <v>2490.26</v>
      </c>
      <c r="AB196" s="2">
        <f>IFERROR(__xludf.DUMMYFUNCTION("IMPORTRANGE(""https://docs.google.com/spreadsheets/d/""&amp;$A196&amp;""/edit#gid=156619080"",AB$3)"),2476.78)</f>
        <v>2476.78</v>
      </c>
      <c r="AC196" s="18">
        <f>IFERROR(__xludf.DUMMYFUNCTION("IMPORTRANGE(""https://docs.google.com/spreadsheets/d/""&amp;$A196&amp;""/edit#gid=156619080"",AC$3)"),2463.3)</f>
        <v>2463.3</v>
      </c>
      <c r="AD196" s="18">
        <f>IFERROR(__xludf.DUMMYFUNCTION("IMPORTRANGE(""https://docs.google.com/spreadsheets/d/""&amp;$A196&amp;""/edit#gid=156619080"",AD$3)"),2449.82)</f>
        <v>2449.82</v>
      </c>
      <c r="AE196" s="18">
        <f>IFERROR(__xludf.DUMMYFUNCTION("IMPORTRANGE(""https://docs.google.com/spreadsheets/d/""&amp;$A196&amp;""/edit#gid=156619080"",AE$3)"),2395.9)</f>
        <v>2395.9</v>
      </c>
      <c r="AF196" s="2">
        <f>IFERROR(__xludf.DUMMYFUNCTION("IMPORTRANGE(""https://docs.google.com/spreadsheets/d/""&amp;$A196&amp;""/edit#gid=156619080"",AF$3)"),2341.98)</f>
        <v>2341.98</v>
      </c>
      <c r="AG196" s="2">
        <f>IFERROR(__xludf.DUMMYFUNCTION("IMPORTRANGE(""https://docs.google.com/spreadsheets/d/""&amp;$A196&amp;""/edit#gid=156619080"",AG$3)"),2328.5)</f>
        <v>2328.5</v>
      </c>
      <c r="AH196" s="2">
        <f>IFERROR(__xludf.DUMMYFUNCTION("IMPORTRANGE(""https://docs.google.com/spreadsheets/d/""&amp;$A196&amp;""/edit#gid=156619080"",AH$3)"),2315.02)</f>
        <v>2315.02</v>
      </c>
      <c r="AI196" s="2">
        <f>IFERROR(__xludf.DUMMYFUNCTION("IMPORTRANGE(""https://docs.google.com/spreadsheets/d/""&amp;$A196&amp;""/edit#gid=156619080"",AI$3)"),2301.54)</f>
        <v>2301.54</v>
      </c>
      <c r="AJ196" s="2">
        <f>IFERROR(__xludf.DUMMYFUNCTION("IMPORTRANGE(""https://docs.google.com/spreadsheets/d/""&amp;$A196&amp;""/edit#gid=156619080"",AJ$3)"),2288.06)</f>
        <v>2288.06</v>
      </c>
      <c r="AK196" s="2" t="str">
        <f>IFERROR(__xludf.DUMMYFUNCTION("IMPORTRANGE(""https://docs.google.com/spreadsheets/d/""&amp;$A196&amp;""/edit#gid=156619080"",AK$3)"),"-2σ以下")</f>
        <v>-2σ以下</v>
      </c>
      <c r="AL196" s="2">
        <f>IFERROR(__xludf.DUMMYFUNCTION("IMPORTRANGE(""https://docs.google.com/spreadsheets/d/""&amp;$A196&amp;""/edit#gid=156619080"",AL$3)"),-1.0)</f>
        <v>-1</v>
      </c>
      <c r="AM196" s="2" t="str">
        <f>IFERROR(__xludf.DUMMYFUNCTION("IMPORTRANGE(""https://docs.google.com/spreadsheets/d/""&amp;$A196&amp;""/edit#gid=156619080"",AM$3)"),"")</f>
        <v/>
      </c>
      <c r="AN196" s="2">
        <f>IFERROR(__xludf.DUMMYFUNCTION("IMPORTRANGE(""https://docs.google.com/spreadsheets/d/""&amp;$A196&amp;""/edit#gid=156619080"",AN$3)"),-1.0)</f>
        <v>-1</v>
      </c>
      <c r="AO196" s="2" t="str">
        <f>IFERROR(__xludf.DUMMYFUNCTION("IMPORTRANGE(""https://docs.google.com/spreadsheets/d/""&amp;$A196&amp;""/edit#gid=156619080"",AO$3)"),"")</f>
        <v/>
      </c>
      <c r="AP196" s="2">
        <f>IFERROR(__xludf.DUMMYFUNCTION("IMPORTRANGE(""https://docs.google.com/spreadsheets/d/""&amp;$A196&amp;""/edit#gid=156619080"",AP$3)"),-1.0)</f>
        <v>-1</v>
      </c>
      <c r="AQ196" s="2" t="str">
        <f>IFERROR(__xludf.DUMMYFUNCTION("IMPORTRANGE(""https://docs.google.com/spreadsheets/d/""&amp;$A196&amp;""/edit#gid=156619080"",AQ$3)"),"")</f>
        <v/>
      </c>
      <c r="AR196" s="18">
        <f>IFERROR(__xludf.DUMMYFUNCTION("IMPORTRANGE(""https://docs.google.com/spreadsheets/d/""&amp;$A196&amp;""/edit#gid=156619080"",AR$3)"),-89.99999999999999)</f>
        <v>-90</v>
      </c>
      <c r="AS196" s="19" t="str">
        <f>IFERROR(__xludf.DUMMYFUNCTION("IMPORTRANGE(""https://docs.google.com/spreadsheets/d/""&amp;$A196&amp;""/edit#gid=156619080"",AS$3)"),"-70
-100
-90
-90
")</f>
        <v>-70
-100
-90
-90
</v>
      </c>
      <c r="AT196" s="18">
        <f>IFERROR(__xludf.DUMMYFUNCTION("IMPORTRANGE(""https://docs.google.com/spreadsheets/d/""&amp;$A196&amp;""/edit#gid=156619080"",AT$3)"),-93.95604395604396)</f>
        <v>-93.95604396</v>
      </c>
      <c r="AU196" s="3" t="str">
        <f>IFERROR(__xludf.DUMMYFUNCTION("IMPORTRANGE(""https://docs.google.com/spreadsheets/d/""&amp;$A196&amp;""/edit#gid=156619080"",AU$3)"),"-58.93
-69.92
-79.81
-85.16
")</f>
        <v>-58.93
-69.92
-79.81
-85.16
</v>
      </c>
      <c r="AV196" s="18">
        <f>IFERROR(__xludf.DUMMYFUNCTION("IMPORTRANGE(""https://docs.google.com/spreadsheets/d/""&amp;$A196&amp;""/edit#gid=156619080"",AV$3)"),-75.32467532467533)</f>
        <v>-75.32467532</v>
      </c>
      <c r="AW196" s="19" t="str">
        <f>IFERROR(__xludf.DUMMYFUNCTION("IMPORTRANGE(""https://docs.google.com/spreadsheets/d/""&amp;$A196&amp;""/edit#gid=156619080"",AW$3)"),"-75.32
-75.45
-75.32
-75.32
")</f>
        <v>-75.32
-75.45
-75.32
-75.32
</v>
      </c>
      <c r="AX196" s="2">
        <f>IFERROR(__xludf.DUMMYFUNCTION("IMPORTRANGE(""https://docs.google.com/spreadsheets/d/""&amp;$A196&amp;""/edit#gid=156619080"",AX$3)"),7.6899999999999995)</f>
        <v>7.69</v>
      </c>
      <c r="AY196" s="2">
        <f>IFERROR(__xludf.DUMMYFUNCTION("IMPORTRANGE(""https://docs.google.com/spreadsheets/d/""&amp;$A196&amp;""/edit#gid=156619080"",AY$3)"),29.759999999999998)</f>
        <v>29.76</v>
      </c>
      <c r="AZ196" s="2">
        <f>IFERROR(__xludf.DUMMYFUNCTION("IMPORTRANGE(""https://docs.google.com/spreadsheets/d/""&amp;$A196&amp;""/edit#gid=156619080"",AZ$3)"),2314.75)</f>
        <v>2314.75</v>
      </c>
      <c r="BA196" s="2">
        <f>IFERROR(__xludf.DUMMYFUNCTION("IMPORTRANGE(""https://docs.google.com/spreadsheets/d/""&amp;$A196&amp;""/edit#gid=156619080"",BA$3)"),-79.2800000000002)</f>
        <v>-79.28</v>
      </c>
      <c r="BB196" s="2">
        <f>IFERROR(__xludf.DUMMYFUNCTION("IMPORTRANGE(""https://docs.google.com/spreadsheets/d/""&amp;$A196&amp;""/edit#gid=156619080"",BB$3)"),-60.43)</f>
        <v>-60.43</v>
      </c>
      <c r="BC196" s="2" t="str">
        <f>IFERROR(__xludf.DUMMYFUNCTION("IMPORTRANGE(""https://docs.google.com/spreadsheets/d/""&amp;$A196&amp;""/edit#gid=156619080"",BC$3)"),"DC→DC")</f>
        <v>DC→DC</v>
      </c>
    </row>
    <row r="197" ht="51.0" customHeight="1">
      <c r="A197" s="7" t="str">
        <f t="shared" si="5"/>
        <v>1MKL0L4MDOShAMhRnyNSIayjg7m03iNnvtcXvQJiMVbs</v>
      </c>
      <c r="B197" s="1" t="s">
        <v>224</v>
      </c>
      <c r="C197" s="2">
        <f>IFERROR(__xludf.DUMMYFUNCTION("IMPORTRANGE(""https://docs.google.com/spreadsheets/d/""&amp;$A197&amp;""/edit#gid=156619080"",C$3)"),132.0)</f>
        <v>132</v>
      </c>
      <c r="D197" s="2">
        <f>IFERROR(__xludf.DUMMYFUNCTION("IMPORTRANGE(""https://docs.google.com/spreadsheets/d/""&amp;$A197&amp;""/edit#gid=156619080"",D$3)"),9008.0)</f>
        <v>9008</v>
      </c>
      <c r="E197" s="15">
        <f>IFERROR(__xludf.DUMMYFUNCTION("IMPORTRANGE(""https://docs.google.com/spreadsheets/d/""&amp;$A197&amp;""/edit#gid=156619080"",E$3)"),43882.0)</f>
        <v>43882</v>
      </c>
      <c r="F197" s="2">
        <f>IFERROR(__xludf.DUMMYFUNCTION("IMPORTRANGE(""https://docs.google.com/spreadsheets/d/""&amp;$A197&amp;""/edit#gid=156619080"",F$3)"),-70.0)</f>
        <v>-70</v>
      </c>
      <c r="G197" s="16">
        <f>IFERROR(__xludf.DUMMYFUNCTION("IMPORTRANGE(""https://docs.google.com/spreadsheets/d/""&amp;$A197&amp;""/edit#gid=156619080"",G$3)"),-1.2)</f>
        <v>-1.2</v>
      </c>
      <c r="H197" s="16">
        <f>IFERROR(__xludf.DUMMYFUNCTION("IMPORTRANGE(""https://docs.google.com/spreadsheets/d/""&amp;$A197&amp;""/edit#gid=156619080"",H$3)"),5800.0)</f>
        <v>5800</v>
      </c>
      <c r="I197" s="16">
        <f>IFERROR(__xludf.DUMMYFUNCTION("IMPORTRANGE(""https://docs.google.com/spreadsheets/d/""&amp;$A197&amp;""/edit#gid=156619080"",I$3)"),40.0)</f>
        <v>40</v>
      </c>
      <c r="J197" s="16">
        <f>IFERROR(__xludf.DUMMYFUNCTION("IMPORTRANGE(""https://docs.google.com/spreadsheets/d/""&amp;$A197&amp;""/edit#gid=156619080"",J$3)"),5870.0)</f>
        <v>5870</v>
      </c>
      <c r="K197" s="16">
        <f>IFERROR(__xludf.DUMMYFUNCTION("IMPORTRANGE(""https://docs.google.com/spreadsheets/d/""&amp;$A197&amp;""/edit#gid=156619080"",K$3)"),0.4)</f>
        <v>0.4</v>
      </c>
      <c r="L197" s="16">
        <f>IFERROR(__xludf.DUMMYFUNCTION("IMPORTRANGE(""https://docs.google.com/spreadsheets/d/""&amp;$A197&amp;""/edit#gid=156619080"",L$3)"),5770.0)</f>
        <v>5770</v>
      </c>
      <c r="M197" s="16">
        <f>IFERROR(__xludf.DUMMYFUNCTION("IMPORTRANGE(""https://docs.google.com/spreadsheets/d/""&amp;$A197&amp;""/edit#gid=156619080"",M$3)"),0.5590277777777778)</f>
        <v>0.5590277778</v>
      </c>
      <c r="N197" s="16">
        <f>IFERROR(__xludf.DUMMYFUNCTION("IMPORTRANGE(""https://docs.google.com/spreadsheets/d/""&amp;$A197&amp;""/edit#gid=156619080"",N$3)"),5770.0)</f>
        <v>5770</v>
      </c>
      <c r="O197" s="16" t="str">
        <f>IFERROR(__xludf.DUMMYFUNCTION("IMPORTRANGE(""https://docs.google.com/spreadsheets/d/""&amp;$A197&amp;""/edit#gid=156619080"",O$3)"),"273500株")</f>
        <v>273500株</v>
      </c>
      <c r="P197" s="16" t="str">
        <f>IFERROR(__xludf.DUMMYFUNCTION("IMPORTRANGE(""https://docs.google.com/spreadsheets/d/""&amp;$A197&amp;""/edit#gid=156619080"",P$3)"),"1587百万円")</f>
        <v>1587百万円</v>
      </c>
      <c r="Q197" s="16" t="str">
        <f>IFERROR(__xludf.DUMMYFUNCTION("IMPORTRANGE(""https://docs.google.com/spreadsheets/d/""&amp;$A197&amp;""/edit#gid=156619080"",Q$3)"),"570回")</f>
        <v>570回</v>
      </c>
      <c r="R197" s="16" t="str">
        <f>IFERROR(__xludf.DUMMYFUNCTION("IMPORTRANGE(""https://docs.google.com/spreadsheets/d/""&amp;$A197&amp;""/edit#gid=156619080"",R$3)"),"7417億円")</f>
        <v>7417億円</v>
      </c>
      <c r="S197" s="16" t="str">
        <f>IFERROR(__xludf.DUMMYFUNCTION("IMPORTRANGE(""https://docs.google.com/spreadsheets/d/""&amp;$A197&amp;""/edit#gid=156619080"",S$3)"),"陰線")</f>
        <v>陰線</v>
      </c>
      <c r="T197" s="16" t="str">
        <f>IFERROR(__xludf.DUMMYFUNCTION("IMPORTRANGE(""https://docs.google.com/spreadsheets/d/""&amp;$A197&amp;""/edit#gid=156619080"",T$3)"),"")</f>
        <v/>
      </c>
      <c r="U197" s="16">
        <f>IFERROR(__xludf.DUMMYFUNCTION("IMPORTRANGE(""https://docs.google.com/spreadsheets/d/""&amp;$A197&amp;""/edit#gid=156619080"",U$3)"),5824.0)</f>
        <v>5824</v>
      </c>
      <c r="V197" s="16">
        <f>IFERROR(__xludf.DUMMYFUNCTION("IMPORTRANGE(""https://docs.google.com/spreadsheets/d/""&amp;$A197&amp;""/edit#gid=156619080"",V$3)"),6023.1)</f>
        <v>6023.1</v>
      </c>
      <c r="W197" s="16">
        <f>IFERROR(__xludf.DUMMYFUNCTION("IMPORTRANGE(""https://docs.google.com/spreadsheets/d/""&amp;$A197&amp;""/edit#gid=156619080"",W$3)"),6124.3)</f>
        <v>6124.3</v>
      </c>
      <c r="X197" s="2">
        <f>IFERROR(__xludf.DUMMYFUNCTION("IMPORTRANGE(""https://docs.google.com/spreadsheets/d/""&amp;$A197&amp;""/edit#gid=156619080"",X$3)"),6613.7)</f>
        <v>6613.7</v>
      </c>
      <c r="Y197" s="17">
        <f>IFERROR(__xludf.DUMMYFUNCTION("IMPORTRANGE(""https://docs.google.com/spreadsheets/d/""&amp;$A197&amp;""/edit#gid=156619080"",Y$3)"),-0.009271978021978022)</f>
        <v>-0.009271978022</v>
      </c>
      <c r="Z197" s="2">
        <f>IFERROR(__xludf.DUMMYFUNCTION("IMPORTRANGE(""https://docs.google.com/spreadsheets/d/""&amp;$A197&amp;""/edit#gid=156619080"",Z$3)"),6521.7)</f>
        <v>6521.7</v>
      </c>
      <c r="AA197" s="2">
        <f>IFERROR(__xludf.DUMMYFUNCTION("IMPORTRANGE(""https://docs.google.com/spreadsheets/d/""&amp;$A197&amp;""/edit#gid=156619080"",AA$3)"),6472.02)</f>
        <v>6472.02</v>
      </c>
      <c r="AB197" s="2">
        <f>IFERROR(__xludf.DUMMYFUNCTION("IMPORTRANGE(""https://docs.google.com/spreadsheets/d/""&amp;$A197&amp;""/edit#gid=156619080"",AB$3)"),6422.35)</f>
        <v>6422.35</v>
      </c>
      <c r="AC197" s="18">
        <f>IFERROR(__xludf.DUMMYFUNCTION("IMPORTRANGE(""https://docs.google.com/spreadsheets/d/""&amp;$A197&amp;""/edit#gid=156619080"",AC$3)"),6372.67)</f>
        <v>6372.67</v>
      </c>
      <c r="AD197" s="18">
        <f>IFERROR(__xludf.DUMMYFUNCTION("IMPORTRANGE(""https://docs.google.com/spreadsheets/d/""&amp;$A197&amp;""/edit#gid=156619080"",AD$3)"),6323.0)</f>
        <v>6323</v>
      </c>
      <c r="AE197" s="18">
        <f>IFERROR(__xludf.DUMMYFUNCTION("IMPORTRANGE(""https://docs.google.com/spreadsheets/d/""&amp;$A197&amp;""/edit#gid=156619080"",AE$3)"),6124.3)</f>
        <v>6124.3</v>
      </c>
      <c r="AF197" s="2">
        <f>IFERROR(__xludf.DUMMYFUNCTION("IMPORTRANGE(""https://docs.google.com/spreadsheets/d/""&amp;$A197&amp;""/edit#gid=156619080"",AF$3)"),5925.6)</f>
        <v>5925.6</v>
      </c>
      <c r="AG197" s="2">
        <f>IFERROR(__xludf.DUMMYFUNCTION("IMPORTRANGE(""https://docs.google.com/spreadsheets/d/""&amp;$A197&amp;""/edit#gid=156619080"",AG$3)"),5875.93)</f>
        <v>5875.93</v>
      </c>
      <c r="AH197" s="2">
        <f>IFERROR(__xludf.DUMMYFUNCTION("IMPORTRANGE(""https://docs.google.com/spreadsheets/d/""&amp;$A197&amp;""/edit#gid=156619080"",AH$3)"),5826.25)</f>
        <v>5826.25</v>
      </c>
      <c r="AI197" s="2">
        <f>IFERROR(__xludf.DUMMYFUNCTION("IMPORTRANGE(""https://docs.google.com/spreadsheets/d/""&amp;$A197&amp;""/edit#gid=156619080"",AI$3)"),5776.58)</f>
        <v>5776.58</v>
      </c>
      <c r="AJ197" s="2">
        <f>IFERROR(__xludf.DUMMYFUNCTION("IMPORTRANGE(""https://docs.google.com/spreadsheets/d/""&amp;$A197&amp;""/edit#gid=156619080"",AJ$3)"),5726.9)</f>
        <v>5726.9</v>
      </c>
      <c r="AK197" s="2" t="str">
        <f>IFERROR(__xludf.DUMMYFUNCTION("IMPORTRANGE(""https://docs.google.com/spreadsheets/d/""&amp;$A197&amp;""/edit#gid=156619080"",AK$3)"),"-1.75σ〜-2σ")</f>
        <v>-1.75σ〜-2σ</v>
      </c>
      <c r="AL197" s="2">
        <f>IFERROR(__xludf.DUMMYFUNCTION("IMPORTRANGE(""https://docs.google.com/spreadsheets/d/""&amp;$A197&amp;""/edit#gid=156619080"",AL$3)"),-1.0)</f>
        <v>-1</v>
      </c>
      <c r="AM197" s="2" t="str">
        <f>IFERROR(__xludf.DUMMYFUNCTION("IMPORTRANGE(""https://docs.google.com/spreadsheets/d/""&amp;$A197&amp;""/edit#gid=156619080"",AM$3)"),"")</f>
        <v/>
      </c>
      <c r="AN197" s="2">
        <f>IFERROR(__xludf.DUMMYFUNCTION("IMPORTRANGE(""https://docs.google.com/spreadsheets/d/""&amp;$A197&amp;""/edit#gid=156619080"",AN$3)"),-1.0)</f>
        <v>-1</v>
      </c>
      <c r="AO197" s="2" t="str">
        <f>IFERROR(__xludf.DUMMYFUNCTION("IMPORTRANGE(""https://docs.google.com/spreadsheets/d/""&amp;$A197&amp;""/edit#gid=156619080"",AO$3)"),"")</f>
        <v/>
      </c>
      <c r="AP197" s="2">
        <f>IFERROR(__xludf.DUMMYFUNCTION("IMPORTRANGE(""https://docs.google.com/spreadsheets/d/""&amp;$A197&amp;""/edit#gid=156619080"",AP$3)"),-1.0)</f>
        <v>-1</v>
      </c>
      <c r="AQ197" s="2" t="str">
        <f>IFERROR(__xludf.DUMMYFUNCTION("IMPORTRANGE(""https://docs.google.com/spreadsheets/d/""&amp;$A197&amp;""/edit#gid=156619080"",AQ$3)"),"")</f>
        <v/>
      </c>
      <c r="AR197" s="18">
        <f>IFERROR(__xludf.DUMMYFUNCTION("IMPORTRANGE(""https://docs.google.com/spreadsheets/d/""&amp;$A197&amp;""/edit#gid=156619080"",AR$3)"),-70.0)</f>
        <v>-70</v>
      </c>
      <c r="AS197" s="19" t="str">
        <f>IFERROR(__xludf.DUMMYFUNCTION("IMPORTRANGE(""https://docs.google.com/spreadsheets/d/""&amp;$A197&amp;""/edit#gid=156619080"",AS$3)"),"-100
-100
-90
-70
")</f>
        <v>-100
-100
-90
-70
</v>
      </c>
      <c r="AT197" s="18">
        <f>IFERROR(__xludf.DUMMYFUNCTION("IMPORTRANGE(""https://docs.google.com/spreadsheets/d/""&amp;$A197&amp;""/edit#gid=156619080"",AT$3)"),-86.26373626373626)</f>
        <v>-86.26373626</v>
      </c>
      <c r="AU197" s="3" t="str">
        <f>IFERROR(__xludf.DUMMYFUNCTION("IMPORTRANGE(""https://docs.google.com/spreadsheets/d/""&amp;$A197&amp;""/edit#gid=156619080"",AU$3)"),"-67.99
-71.98
-80.22
-81.32
")</f>
        <v>-67.99
-71.98
-80.22
-81.32
</v>
      </c>
      <c r="AV197" s="18">
        <f>IFERROR(__xludf.DUMMYFUNCTION("IMPORTRANGE(""https://docs.google.com/spreadsheets/d/""&amp;$A197&amp;""/edit#gid=156619080"",AV$3)"),-88.14935064935065)</f>
        <v>-88.14935065</v>
      </c>
      <c r="AW197" s="19" t="str">
        <f>IFERROR(__xludf.DUMMYFUNCTION("IMPORTRANGE(""https://docs.google.com/spreadsheets/d/""&amp;$A197&amp;""/edit#gid=156619080"",AW$3)"),"-88.44
-88.44
-88.31
-88.15
")</f>
        <v>-88.44
-88.44
-88.31
-88.15
</v>
      </c>
      <c r="AX197" s="2">
        <f>IFERROR(__xludf.DUMMYFUNCTION("IMPORTRANGE(""https://docs.google.com/spreadsheets/d/""&amp;$A197&amp;""/edit#gid=156619080"",AX$3)"),20.0)</f>
        <v>20</v>
      </c>
      <c r="AY197" s="2">
        <f>IFERROR(__xludf.DUMMYFUNCTION("IMPORTRANGE(""https://docs.google.com/spreadsheets/d/""&amp;$A197&amp;""/edit#gid=156619080"",AY$3)"),29.82)</f>
        <v>29.82</v>
      </c>
      <c r="AZ197" s="2">
        <f>IFERROR(__xludf.DUMMYFUNCTION("IMPORTRANGE(""https://docs.google.com/spreadsheets/d/""&amp;$A197&amp;""/edit#gid=156619080"",AZ$3)"),5846.71)</f>
        <v>5846.71</v>
      </c>
      <c r="BA197" s="2">
        <f>IFERROR(__xludf.DUMMYFUNCTION("IMPORTRANGE(""https://docs.google.com/spreadsheets/d/""&amp;$A197&amp;""/edit#gid=156619080"",BA$3)"),-252.39000000000033)</f>
        <v>-252.39</v>
      </c>
      <c r="BB197" s="2">
        <f>IFERROR(__xludf.DUMMYFUNCTION("IMPORTRANGE(""https://docs.google.com/spreadsheets/d/""&amp;$A197&amp;""/edit#gid=156619080"",BB$3)"),-202.54)</f>
        <v>-202.54</v>
      </c>
      <c r="BC197" s="2" t="str">
        <f>IFERROR(__xludf.DUMMYFUNCTION("IMPORTRANGE(""https://docs.google.com/spreadsheets/d/""&amp;$A197&amp;""/edit#gid=156619080"",BC$3)"),"DC→DC")</f>
        <v>DC→DC</v>
      </c>
    </row>
    <row r="198" ht="51.0" customHeight="1">
      <c r="A198" s="7" t="str">
        <f t="shared" si="5"/>
        <v>1pPwxResXJrQMa2hIjbCoLL6mvieXPBcb4YlicxG1WIA</v>
      </c>
      <c r="B198" s="1" t="s">
        <v>225</v>
      </c>
      <c r="C198" s="2">
        <f>IFERROR(__xludf.DUMMYFUNCTION("IMPORTRANGE(""https://docs.google.com/spreadsheets/d/""&amp;$A198&amp;""/edit#gid=156619080"",C$3)"),132.0)</f>
        <v>132</v>
      </c>
      <c r="D198" s="2">
        <f>IFERROR(__xludf.DUMMYFUNCTION("IMPORTRANGE(""https://docs.google.com/spreadsheets/d/""&amp;$A198&amp;""/edit#gid=156619080"",D$3)"),9009.0)</f>
        <v>9009</v>
      </c>
      <c r="E198" s="15">
        <f>IFERROR(__xludf.DUMMYFUNCTION("IMPORTRANGE(""https://docs.google.com/spreadsheets/d/""&amp;$A198&amp;""/edit#gid=156619080"",E$3)"),43882.0)</f>
        <v>43882</v>
      </c>
      <c r="F198" s="2">
        <f>IFERROR(__xludf.DUMMYFUNCTION("IMPORTRANGE(""https://docs.google.com/spreadsheets/d/""&amp;$A198&amp;""/edit#gid=156619080"",F$3)"),-70.0)</f>
        <v>-70</v>
      </c>
      <c r="G198" s="16">
        <f>IFERROR(__xludf.DUMMYFUNCTION("IMPORTRANGE(""https://docs.google.com/spreadsheets/d/""&amp;$A198&amp;""/edit#gid=156619080"",G$3)"),-1.79)</f>
        <v>-1.79</v>
      </c>
      <c r="H198" s="16">
        <f>IFERROR(__xludf.DUMMYFUNCTION("IMPORTRANGE(""https://docs.google.com/spreadsheets/d/""&amp;$A198&amp;""/edit#gid=156619080"",H$3)"),3890.0)</f>
        <v>3890</v>
      </c>
      <c r="I198" s="16">
        <f>IFERROR(__xludf.DUMMYFUNCTION("IMPORTRANGE(""https://docs.google.com/spreadsheets/d/""&amp;$A198&amp;""/edit#gid=156619080"",I$3)"),25.0)</f>
        <v>25</v>
      </c>
      <c r="J198" s="16">
        <f>IFERROR(__xludf.DUMMYFUNCTION("IMPORTRANGE(""https://docs.google.com/spreadsheets/d/""&amp;$A198&amp;""/edit#gid=156619080"",J$3)"),3915.0)</f>
        <v>3915</v>
      </c>
      <c r="K198" s="16">
        <f>IFERROR(__xludf.DUMMYFUNCTION("IMPORTRANGE(""https://docs.google.com/spreadsheets/d/""&amp;$A198&amp;""/edit#gid=156619080"",K$3)"),0.4)</f>
        <v>0.4</v>
      </c>
      <c r="L198" s="16">
        <f>IFERROR(__xludf.DUMMYFUNCTION("IMPORTRANGE(""https://docs.google.com/spreadsheets/d/""&amp;$A198&amp;""/edit#gid=156619080"",L$3)"),3840.0)</f>
        <v>3840</v>
      </c>
      <c r="M198" s="16">
        <f>IFERROR(__xludf.DUMMYFUNCTION("IMPORTRANGE(""https://docs.google.com/spreadsheets/d/""&amp;$A198&amp;""/edit#gid=156619080"",M$3)"),0.6194444444444445)</f>
        <v>0.6194444444</v>
      </c>
      <c r="N198" s="16">
        <f>IFERROR(__xludf.DUMMYFUNCTION("IMPORTRANGE(""https://docs.google.com/spreadsheets/d/""&amp;$A198&amp;""/edit#gid=156619080"",N$3)"),3845.0)</f>
        <v>3845</v>
      </c>
      <c r="O198" s="16" t="str">
        <f>IFERROR(__xludf.DUMMYFUNCTION("IMPORTRANGE(""https://docs.google.com/spreadsheets/d/""&amp;$A198&amp;""/edit#gid=156619080"",O$3)"),"401300株")</f>
        <v>401300株</v>
      </c>
      <c r="P198" s="16" t="str">
        <f>IFERROR(__xludf.DUMMYFUNCTION("IMPORTRANGE(""https://docs.google.com/spreadsheets/d/""&amp;$A198&amp;""/edit#gid=156619080"",P$3)"),"1550百万円")</f>
        <v>1550百万円</v>
      </c>
      <c r="Q198" s="16" t="str">
        <f>IFERROR(__xludf.DUMMYFUNCTION("IMPORTRANGE(""https://docs.google.com/spreadsheets/d/""&amp;$A198&amp;""/edit#gid=156619080"",Q$3)"),"955回")</f>
        <v>955回</v>
      </c>
      <c r="R198" s="16" t="str">
        <f>IFERROR(__xludf.DUMMYFUNCTION("IMPORTRANGE(""https://docs.google.com/spreadsheets/d/""&amp;$A198&amp;""/edit#gid=156619080"",R$3)"),"6629億円")</f>
        <v>6629億円</v>
      </c>
      <c r="S198" s="16" t="str">
        <f>IFERROR(__xludf.DUMMYFUNCTION("IMPORTRANGE(""https://docs.google.com/spreadsheets/d/""&amp;$A198&amp;""/edit#gid=156619080"",S$3)"),"陰線")</f>
        <v>陰線</v>
      </c>
      <c r="T198" s="16" t="str">
        <f>IFERROR(__xludf.DUMMYFUNCTION("IMPORTRANGE(""https://docs.google.com/spreadsheets/d/""&amp;$A198&amp;""/edit#gid=156619080"",T$3)"),"")</f>
        <v/>
      </c>
      <c r="U198" s="16">
        <f>IFERROR(__xludf.DUMMYFUNCTION("IMPORTRANGE(""https://docs.google.com/spreadsheets/d/""&amp;$A198&amp;""/edit#gid=156619080"",U$3)"),3918.0)</f>
        <v>3918</v>
      </c>
      <c r="V198" s="16">
        <f>IFERROR(__xludf.DUMMYFUNCTION("IMPORTRANGE(""https://docs.google.com/spreadsheets/d/""&amp;$A198&amp;""/edit#gid=156619080"",V$3)"),4007.7)</f>
        <v>4007.7</v>
      </c>
      <c r="W198" s="16">
        <f>IFERROR(__xludf.DUMMYFUNCTION("IMPORTRANGE(""https://docs.google.com/spreadsheets/d/""&amp;$A198&amp;""/edit#gid=156619080"",W$3)"),4032.6)</f>
        <v>4032.6</v>
      </c>
      <c r="X198" s="2">
        <f>IFERROR(__xludf.DUMMYFUNCTION("IMPORTRANGE(""https://docs.google.com/spreadsheets/d/""&amp;$A198&amp;""/edit#gid=156619080"",X$3)"),4315.0)</f>
        <v>4315</v>
      </c>
      <c r="Y198" s="17">
        <f>IFERROR(__xludf.DUMMYFUNCTION("IMPORTRANGE(""https://docs.google.com/spreadsheets/d/""&amp;$A198&amp;""/edit#gid=156619080"",Y$3)"),-0.018631955079122003)</f>
        <v>-0.01863195508</v>
      </c>
      <c r="Z198" s="2">
        <f>IFERROR(__xludf.DUMMYFUNCTION("IMPORTRANGE(""https://docs.google.com/spreadsheets/d/""&amp;$A198&amp;""/edit#gid=156619080"",Z$3)"),4275.94)</f>
        <v>4275.94</v>
      </c>
      <c r="AA198" s="2">
        <f>IFERROR(__xludf.DUMMYFUNCTION("IMPORTRANGE(""https://docs.google.com/spreadsheets/d/""&amp;$A198&amp;""/edit#gid=156619080"",AA$3)"),4245.52)</f>
        <v>4245.52</v>
      </c>
      <c r="AB198" s="2">
        <f>IFERROR(__xludf.DUMMYFUNCTION("IMPORTRANGE(""https://docs.google.com/spreadsheets/d/""&amp;$A198&amp;""/edit#gid=156619080"",AB$3)"),4215.11)</f>
        <v>4215.11</v>
      </c>
      <c r="AC198" s="18">
        <f>IFERROR(__xludf.DUMMYFUNCTION("IMPORTRANGE(""https://docs.google.com/spreadsheets/d/""&amp;$A198&amp;""/edit#gid=156619080"",AC$3)"),4184.69)</f>
        <v>4184.69</v>
      </c>
      <c r="AD198" s="18">
        <f>IFERROR(__xludf.DUMMYFUNCTION("IMPORTRANGE(""https://docs.google.com/spreadsheets/d/""&amp;$A198&amp;""/edit#gid=156619080"",AD$3)"),4154.27)</f>
        <v>4154.27</v>
      </c>
      <c r="AE198" s="18">
        <f>IFERROR(__xludf.DUMMYFUNCTION("IMPORTRANGE(""https://docs.google.com/spreadsheets/d/""&amp;$A198&amp;""/edit#gid=156619080"",AE$3)"),4032.6)</f>
        <v>4032.6</v>
      </c>
      <c r="AF198" s="2">
        <f>IFERROR(__xludf.DUMMYFUNCTION("IMPORTRANGE(""https://docs.google.com/spreadsheets/d/""&amp;$A198&amp;""/edit#gid=156619080"",AF$3)"),3910.93)</f>
        <v>3910.93</v>
      </c>
      <c r="AG198" s="2">
        <f>IFERROR(__xludf.DUMMYFUNCTION("IMPORTRANGE(""https://docs.google.com/spreadsheets/d/""&amp;$A198&amp;""/edit#gid=156619080"",AG$3)"),3880.51)</f>
        <v>3880.51</v>
      </c>
      <c r="AH198" s="2">
        <f>IFERROR(__xludf.DUMMYFUNCTION("IMPORTRANGE(""https://docs.google.com/spreadsheets/d/""&amp;$A198&amp;""/edit#gid=156619080"",AH$3)"),3850.09)</f>
        <v>3850.09</v>
      </c>
      <c r="AI198" s="2">
        <f>IFERROR(__xludf.DUMMYFUNCTION("IMPORTRANGE(""https://docs.google.com/spreadsheets/d/""&amp;$A198&amp;""/edit#gid=156619080"",AI$3)"),3819.68)</f>
        <v>3819.68</v>
      </c>
      <c r="AJ198" s="2">
        <f>IFERROR(__xludf.DUMMYFUNCTION("IMPORTRANGE(""https://docs.google.com/spreadsheets/d/""&amp;$A198&amp;""/edit#gid=156619080"",AJ$3)"),3789.26)</f>
        <v>3789.26</v>
      </c>
      <c r="AK198" s="2" t="str">
        <f>IFERROR(__xludf.DUMMYFUNCTION("IMPORTRANGE(""https://docs.google.com/spreadsheets/d/""&amp;$A198&amp;""/edit#gid=156619080"",AK$3)"),"-1.5σ〜-1.75σ")</f>
        <v>-1.5σ〜-1.75σ</v>
      </c>
      <c r="AL198" s="2">
        <f>IFERROR(__xludf.DUMMYFUNCTION("IMPORTRANGE(""https://docs.google.com/spreadsheets/d/""&amp;$A198&amp;""/edit#gid=156619080"",AL$3)"),-1.0)</f>
        <v>-1</v>
      </c>
      <c r="AM198" s="2" t="str">
        <f>IFERROR(__xludf.DUMMYFUNCTION("IMPORTRANGE(""https://docs.google.com/spreadsheets/d/""&amp;$A198&amp;""/edit#gid=156619080"",AM$3)"),"")</f>
        <v/>
      </c>
      <c r="AN198" s="2">
        <f>IFERROR(__xludf.DUMMYFUNCTION("IMPORTRANGE(""https://docs.google.com/spreadsheets/d/""&amp;$A198&amp;""/edit#gid=156619080"",AN$3)"),-1.0)</f>
        <v>-1</v>
      </c>
      <c r="AO198" s="2" t="str">
        <f>IFERROR(__xludf.DUMMYFUNCTION("IMPORTRANGE(""https://docs.google.com/spreadsheets/d/""&amp;$A198&amp;""/edit#gid=156619080"",AO$3)"),"")</f>
        <v/>
      </c>
      <c r="AP198" s="2">
        <f>IFERROR(__xludf.DUMMYFUNCTION("IMPORTRANGE(""https://docs.google.com/spreadsheets/d/""&amp;$A198&amp;""/edit#gid=156619080"",AP$3)"),-1.0)</f>
        <v>-1</v>
      </c>
      <c r="AQ198" s="2" t="str">
        <f>IFERROR(__xludf.DUMMYFUNCTION("IMPORTRANGE(""https://docs.google.com/spreadsheets/d/""&amp;$A198&amp;""/edit#gid=156619080"",AQ$3)"),"")</f>
        <v/>
      </c>
      <c r="AR198" s="18">
        <f>IFERROR(__xludf.DUMMYFUNCTION("IMPORTRANGE(""https://docs.google.com/spreadsheets/d/""&amp;$A198&amp;""/edit#gid=156619080"",AR$3)"),-70.0)</f>
        <v>-70</v>
      </c>
      <c r="AS198" s="19" t="str">
        <f>IFERROR(__xludf.DUMMYFUNCTION("IMPORTRANGE(""https://docs.google.com/spreadsheets/d/""&amp;$A198&amp;""/edit#gid=156619080"",AS$3)"),"-60
-90
-70
-70
")</f>
        <v>-60
-90
-70
-70
</v>
      </c>
      <c r="AT198" s="18">
        <f>IFERROR(__xludf.DUMMYFUNCTION("IMPORTRANGE(""https://docs.google.com/spreadsheets/d/""&amp;$A198&amp;""/edit#gid=156619080"",AT$3)"),-52.74725274725274)</f>
        <v>-52.74725275</v>
      </c>
      <c r="AU198" s="3" t="str">
        <f>IFERROR(__xludf.DUMMYFUNCTION("IMPORTRANGE(""https://docs.google.com/spreadsheets/d/""&amp;$A198&amp;""/edit#gid=156619080"",AU$3)"),"34.75
20.33
6.59
-9.89
")</f>
        <v>34.75
20.33
6.59
-9.89
</v>
      </c>
      <c r="AV198" s="18">
        <f>IFERROR(__xludf.DUMMYFUNCTION("IMPORTRANGE(""https://docs.google.com/spreadsheets/d/""&amp;$A198&amp;""/edit#gid=156619080"",AV$3)"),-52.17532467532469)</f>
        <v>-52.17532468</v>
      </c>
      <c r="AW198" s="19" t="str">
        <f>IFERROR(__xludf.DUMMYFUNCTION("IMPORTRANGE(""https://docs.google.com/spreadsheets/d/""&amp;$A198&amp;""/edit#gid=156619080"",AW$3)"),"-56.2
-55.68
-53.08
-51.92
")</f>
        <v>-56.2
-55.68
-53.08
-51.92
</v>
      </c>
      <c r="AX198" s="2">
        <f>IFERROR(__xludf.DUMMYFUNCTION("IMPORTRANGE(""https://docs.google.com/spreadsheets/d/""&amp;$A198&amp;""/edit#gid=156619080"",AX$3)"),15.09)</f>
        <v>15.09</v>
      </c>
      <c r="AY198" s="2">
        <f>IFERROR(__xludf.DUMMYFUNCTION("IMPORTRANGE(""https://docs.google.com/spreadsheets/d/""&amp;$A198&amp;""/edit#gid=156619080"",AY$3)"),34.63)</f>
        <v>34.63</v>
      </c>
      <c r="AZ198" s="2">
        <f>IFERROR(__xludf.DUMMYFUNCTION("IMPORTRANGE(""https://docs.google.com/spreadsheets/d/""&amp;$A198&amp;""/edit#gid=156619080"",AZ$3)"),3922.61)</f>
        <v>3922.61</v>
      </c>
      <c r="BA198" s="2">
        <f>IFERROR(__xludf.DUMMYFUNCTION("IMPORTRANGE(""https://docs.google.com/spreadsheets/d/""&amp;$A198&amp;""/edit#gid=156619080"",BA$3)"),-118.42000000000007)</f>
        <v>-118.42</v>
      </c>
      <c r="BB198" s="2">
        <f>IFERROR(__xludf.DUMMYFUNCTION("IMPORTRANGE(""https://docs.google.com/spreadsheets/d/""&amp;$A198&amp;""/edit#gid=156619080"",BB$3)"),-89.41)</f>
        <v>-89.41</v>
      </c>
      <c r="BC198" s="2" t="str">
        <f>IFERROR(__xludf.DUMMYFUNCTION("IMPORTRANGE(""https://docs.google.com/spreadsheets/d/""&amp;$A198&amp;""/edit#gid=156619080"",BC$3)"),"DC→DC")</f>
        <v>DC→DC</v>
      </c>
    </row>
    <row r="199" ht="51.0" customHeight="1">
      <c r="A199" s="7" t="str">
        <f t="shared" si="5"/>
        <v>1rPx28q4N4v4eLTPsTLX5E3SX_zFNPolMpCTgFCt1BoY</v>
      </c>
      <c r="B199" s="1" t="s">
        <v>226</v>
      </c>
      <c r="C199" s="2">
        <f>IFERROR(__xludf.DUMMYFUNCTION("IMPORTRANGE(""https://docs.google.com/spreadsheets/d/""&amp;$A199&amp;""/edit#gid=156619080"",C$3)"),132.0)</f>
        <v>132</v>
      </c>
      <c r="D199" s="2">
        <f>IFERROR(__xludf.DUMMYFUNCTION("IMPORTRANGE(""https://docs.google.com/spreadsheets/d/""&amp;$A199&amp;""/edit#gid=156619080"",D$3)"),9020.0)</f>
        <v>9020</v>
      </c>
      <c r="E199" s="15">
        <f>IFERROR(__xludf.DUMMYFUNCTION("IMPORTRANGE(""https://docs.google.com/spreadsheets/d/""&amp;$A199&amp;""/edit#gid=156619080"",E$3)"),43882.0)</f>
        <v>43882</v>
      </c>
      <c r="F199" s="2">
        <f>IFERROR(__xludf.DUMMYFUNCTION("IMPORTRANGE(""https://docs.google.com/spreadsheets/d/""&amp;$A199&amp;""/edit#gid=156619080"",F$3)"),75.0)</f>
        <v>75</v>
      </c>
      <c r="G199" s="16">
        <f>IFERROR(__xludf.DUMMYFUNCTION("IMPORTRANGE(""https://docs.google.com/spreadsheets/d/""&amp;$A199&amp;""/edit#gid=156619080"",G$3)"),0.83)</f>
        <v>0.83</v>
      </c>
      <c r="H199" s="16">
        <f>IFERROR(__xludf.DUMMYFUNCTION("IMPORTRANGE(""https://docs.google.com/spreadsheets/d/""&amp;$A199&amp;""/edit#gid=156619080"",H$3)"),9015.0)</f>
        <v>9015</v>
      </c>
      <c r="I199" s="16">
        <f>IFERROR(__xludf.DUMMYFUNCTION("IMPORTRANGE(""https://docs.google.com/spreadsheets/d/""&amp;$A199&amp;""/edit#gid=156619080"",I$3)"),-1.0)</f>
        <v>-1</v>
      </c>
      <c r="J199" s="16">
        <f>IFERROR(__xludf.DUMMYFUNCTION("IMPORTRANGE(""https://docs.google.com/spreadsheets/d/""&amp;$A199&amp;""/edit#gid=156619080"",J$3)"),9128.0)</f>
        <v>9128</v>
      </c>
      <c r="K199" s="16">
        <f>IFERROR(__xludf.DUMMYFUNCTION("IMPORTRANGE(""https://docs.google.com/spreadsheets/d/""&amp;$A199&amp;""/edit#gid=156619080"",K$3)"),0.5222222222222223)</f>
        <v>0.5222222222</v>
      </c>
      <c r="L199" s="16">
        <f>IFERROR(__xludf.DUMMYFUNCTION("IMPORTRANGE(""https://docs.google.com/spreadsheets/d/""&amp;$A199&amp;""/edit#gid=156619080"",L$3)"),8981.0)</f>
        <v>8981</v>
      </c>
      <c r="M199" s="16">
        <f>IFERROR(__xludf.DUMMYFUNCTION("IMPORTRANGE(""https://docs.google.com/spreadsheets/d/""&amp;$A199&amp;""/edit#gid=156619080"",M$3)"),0.375)</f>
        <v>0.375</v>
      </c>
      <c r="N199" s="16">
        <f>IFERROR(__xludf.DUMMYFUNCTION("IMPORTRANGE(""https://docs.google.com/spreadsheets/d/""&amp;$A199&amp;""/edit#gid=156619080"",N$3)"),9089.0)</f>
        <v>9089</v>
      </c>
      <c r="O199" s="16" t="str">
        <f>IFERROR(__xludf.DUMMYFUNCTION("IMPORTRANGE(""https://docs.google.com/spreadsheets/d/""&amp;$A199&amp;""/edit#gid=156619080"",O$3)"),"914300株")</f>
        <v>914300株</v>
      </c>
      <c r="P199" s="16" t="str">
        <f>IFERROR(__xludf.DUMMYFUNCTION("IMPORTRANGE(""https://docs.google.com/spreadsheets/d/""&amp;$A199&amp;""/edit#gid=156619080"",P$3)"),"8301百万円")</f>
        <v>8301百万円</v>
      </c>
      <c r="Q199" s="16" t="str">
        <f>IFERROR(__xludf.DUMMYFUNCTION("IMPORTRANGE(""https://docs.google.com/spreadsheets/d/""&amp;$A199&amp;""/edit#gid=156619080"",Q$3)"),"3278回")</f>
        <v>3278回</v>
      </c>
      <c r="R199" s="16" t="str">
        <f>IFERROR(__xludf.DUMMYFUNCTION("IMPORTRANGE(""https://docs.google.com/spreadsheets/d/""&amp;$A199&amp;""/edit#gid=156619080"",R$3)"),"34350億円")</f>
        <v>34350億円</v>
      </c>
      <c r="S199" s="16" t="str">
        <f>IFERROR(__xludf.DUMMYFUNCTION("IMPORTRANGE(""https://docs.google.com/spreadsheets/d/""&amp;$A199&amp;""/edit#gid=156619080"",S$3)"),"陽線")</f>
        <v>陽線</v>
      </c>
      <c r="T199" s="16" t="str">
        <f>IFERROR(__xludf.DUMMYFUNCTION("IMPORTRANGE(""https://docs.google.com/spreadsheets/d/""&amp;$A199&amp;""/edit#gid=156619080"",T$3)"),"")</f>
        <v/>
      </c>
      <c r="U199" s="16">
        <f>IFERROR(__xludf.DUMMYFUNCTION("IMPORTRANGE(""https://docs.google.com/spreadsheets/d/""&amp;$A199&amp;""/edit#gid=156619080"",U$3)"),9117.6)</f>
        <v>9117.6</v>
      </c>
      <c r="V199" s="16">
        <f>IFERROR(__xludf.DUMMYFUNCTION("IMPORTRANGE(""https://docs.google.com/spreadsheets/d/""&amp;$A199&amp;""/edit#gid=156619080"",V$3)"),9436.5)</f>
        <v>9436.5</v>
      </c>
      <c r="W199" s="16">
        <f>IFERROR(__xludf.DUMMYFUNCTION("IMPORTRANGE(""https://docs.google.com/spreadsheets/d/""&amp;$A199&amp;""/edit#gid=156619080"",W$3)"),9593.7)</f>
        <v>9593.7</v>
      </c>
      <c r="X199" s="2">
        <f>IFERROR(__xludf.DUMMYFUNCTION("IMPORTRANGE(""https://docs.google.com/spreadsheets/d/""&amp;$A199&amp;""/edit#gid=156619080"",X$3)"),9902.6)</f>
        <v>9902.6</v>
      </c>
      <c r="Y199" s="17">
        <f>IFERROR(__xludf.DUMMYFUNCTION("IMPORTRANGE(""https://docs.google.com/spreadsheets/d/""&amp;$A199&amp;""/edit#gid=156619080"",Y$3)"),-0.003136790383434277)</f>
        <v>-0.003136790383</v>
      </c>
      <c r="Z199" s="2">
        <f>IFERROR(__xludf.DUMMYFUNCTION("IMPORTRANGE(""https://docs.google.com/spreadsheets/d/""&amp;$A199&amp;""/edit#gid=156619080"",Z$3)"),10209.31)</f>
        <v>10209.31</v>
      </c>
      <c r="AA199" s="2">
        <f>IFERROR(__xludf.DUMMYFUNCTION("IMPORTRANGE(""https://docs.google.com/spreadsheets/d/""&amp;$A199&amp;""/edit#gid=156619080"",AA$3)"),10132.36)</f>
        <v>10132.36</v>
      </c>
      <c r="AB199" s="2">
        <f>IFERROR(__xludf.DUMMYFUNCTION("IMPORTRANGE(""https://docs.google.com/spreadsheets/d/""&amp;$A199&amp;""/edit#gid=156619080"",AB$3)"),10055.4)</f>
        <v>10055.4</v>
      </c>
      <c r="AC199" s="18">
        <f>IFERROR(__xludf.DUMMYFUNCTION("IMPORTRANGE(""https://docs.google.com/spreadsheets/d/""&amp;$A199&amp;""/edit#gid=156619080"",AC$3)"),9978.45)</f>
        <v>9978.45</v>
      </c>
      <c r="AD199" s="18">
        <f>IFERROR(__xludf.DUMMYFUNCTION("IMPORTRANGE(""https://docs.google.com/spreadsheets/d/""&amp;$A199&amp;""/edit#gid=156619080"",AD$3)"),9901.5)</f>
        <v>9901.5</v>
      </c>
      <c r="AE199" s="18">
        <f>IFERROR(__xludf.DUMMYFUNCTION("IMPORTRANGE(""https://docs.google.com/spreadsheets/d/""&amp;$A199&amp;""/edit#gid=156619080"",AE$3)"),9593.7)</f>
        <v>9593.7</v>
      </c>
      <c r="AF199" s="2">
        <f>IFERROR(__xludf.DUMMYFUNCTION("IMPORTRANGE(""https://docs.google.com/spreadsheets/d/""&amp;$A199&amp;""/edit#gid=156619080"",AF$3)"),9285.9)</f>
        <v>9285.9</v>
      </c>
      <c r="AG199" s="2">
        <f>IFERROR(__xludf.DUMMYFUNCTION("IMPORTRANGE(""https://docs.google.com/spreadsheets/d/""&amp;$A199&amp;""/edit#gid=156619080"",AG$3)"),9208.95)</f>
        <v>9208.95</v>
      </c>
      <c r="AH199" s="2">
        <f>IFERROR(__xludf.DUMMYFUNCTION("IMPORTRANGE(""https://docs.google.com/spreadsheets/d/""&amp;$A199&amp;""/edit#gid=156619080"",AH$3)"),9132.0)</f>
        <v>9132</v>
      </c>
      <c r="AI199" s="2">
        <f>IFERROR(__xludf.DUMMYFUNCTION("IMPORTRANGE(""https://docs.google.com/spreadsheets/d/""&amp;$A199&amp;""/edit#gid=156619080"",AI$3)"),9055.04)</f>
        <v>9055.04</v>
      </c>
      <c r="AJ199" s="2">
        <f>IFERROR(__xludf.DUMMYFUNCTION("IMPORTRANGE(""https://docs.google.com/spreadsheets/d/""&amp;$A199&amp;""/edit#gid=156619080"",AJ$3)"),8978.09)</f>
        <v>8978.09</v>
      </c>
      <c r="AK199" s="2" t="str">
        <f>IFERROR(__xludf.DUMMYFUNCTION("IMPORTRANGE(""https://docs.google.com/spreadsheets/d/""&amp;$A199&amp;""/edit#gid=156619080"",AK$3)"),"-1.5σ〜-1.75σ")</f>
        <v>-1.5σ〜-1.75σ</v>
      </c>
      <c r="AL199" s="2">
        <f>IFERROR(__xludf.DUMMYFUNCTION("IMPORTRANGE(""https://docs.google.com/spreadsheets/d/""&amp;$A199&amp;""/edit#gid=156619080"",AL$3)"),-1.0)</f>
        <v>-1</v>
      </c>
      <c r="AM199" s="2" t="str">
        <f>IFERROR(__xludf.DUMMYFUNCTION("IMPORTRANGE(""https://docs.google.com/spreadsheets/d/""&amp;$A199&amp;""/edit#gid=156619080"",AM$3)"),"")</f>
        <v/>
      </c>
      <c r="AN199" s="2">
        <f>IFERROR(__xludf.DUMMYFUNCTION("IMPORTRANGE(""https://docs.google.com/spreadsheets/d/""&amp;$A199&amp;""/edit#gid=156619080"",AN$3)"),-1.0)</f>
        <v>-1</v>
      </c>
      <c r="AO199" s="2" t="str">
        <f>IFERROR(__xludf.DUMMYFUNCTION("IMPORTRANGE(""https://docs.google.com/spreadsheets/d/""&amp;$A199&amp;""/edit#gid=156619080"",AO$3)"),"")</f>
        <v/>
      </c>
      <c r="AP199" s="2">
        <f>IFERROR(__xludf.DUMMYFUNCTION("IMPORTRANGE(""https://docs.google.com/spreadsheets/d/""&amp;$A199&amp;""/edit#gid=156619080"",AP$3)"),-1.0)</f>
        <v>-1</v>
      </c>
      <c r="AQ199" s="2" t="str">
        <f>IFERROR(__xludf.DUMMYFUNCTION("IMPORTRANGE(""https://docs.google.com/spreadsheets/d/""&amp;$A199&amp;""/edit#gid=156619080"",AQ$3)"),"")</f>
        <v/>
      </c>
      <c r="AR199" s="18">
        <f>IFERROR(__xludf.DUMMYFUNCTION("IMPORTRANGE(""https://docs.google.com/spreadsheets/d/""&amp;$A199&amp;""/edit#gid=156619080"",AR$3)"),-62.5)</f>
        <v>-62.5</v>
      </c>
      <c r="AS199" s="19" t="str">
        <f>IFERROR(__xludf.DUMMYFUNCTION("IMPORTRANGE(""https://docs.google.com/spreadsheets/d/""&amp;$A199&amp;""/edit#gid=156619080"",AS$3)"),"-100
-100
-90
-90
")</f>
        <v>-100
-100
-90
-90
</v>
      </c>
      <c r="AT199" s="18">
        <f>IFERROR(__xludf.DUMMYFUNCTION("IMPORTRANGE(""https://docs.google.com/spreadsheets/d/""&amp;$A199&amp;""/edit#gid=156619080"",AT$3)"),-90.79670329670331)</f>
        <v>-90.7967033</v>
      </c>
      <c r="AU199" s="3" t="str">
        <f>IFERROR(__xludf.DUMMYFUNCTION("IMPORTRANGE(""https://docs.google.com/spreadsheets/d/""&amp;$A199&amp;""/edit#gid=156619080"",AU$3)"),"-74.73
-74.73
-74.18
-80.77
")</f>
        <v>-74.73
-74.73
-74.18
-80.77
</v>
      </c>
      <c r="AV199" s="18">
        <f>IFERROR(__xludf.DUMMYFUNCTION("IMPORTRANGE(""https://docs.google.com/spreadsheets/d/""&amp;$A199&amp;""/edit#gid=156619080"",AV$3)"),-92.5)</f>
        <v>-92.5</v>
      </c>
      <c r="AW199" s="19" t="str">
        <f>IFERROR(__xludf.DUMMYFUNCTION("IMPORTRANGE(""https://docs.google.com/spreadsheets/d/""&amp;$A199&amp;""/edit#gid=156619080"",AW$3)"),"-89.06
-91.53
-92.21
-92.6
")</f>
        <v>-89.06
-91.53
-92.21
-92.6
</v>
      </c>
      <c r="AX199" s="2">
        <f>IFERROR(__xludf.DUMMYFUNCTION("IMPORTRANGE(""https://docs.google.com/spreadsheets/d/""&amp;$A199&amp;""/edit#gid=156619080"",AX$3)"),24.75)</f>
        <v>24.75</v>
      </c>
      <c r="AY199" s="2">
        <f>IFERROR(__xludf.DUMMYFUNCTION("IMPORTRANGE(""https://docs.google.com/spreadsheets/d/""&amp;$A199&amp;""/edit#gid=156619080"",AY$3)"),29.880000000000003)</f>
        <v>29.88</v>
      </c>
      <c r="AZ199" s="2">
        <f>IFERROR(__xludf.DUMMYFUNCTION("IMPORTRANGE(""https://docs.google.com/spreadsheets/d/""&amp;$A199&amp;""/edit#gid=156619080"",AZ$3)"),9156.04)</f>
        <v>9156.04</v>
      </c>
      <c r="BA199" s="2">
        <f>IFERROR(__xludf.DUMMYFUNCTION("IMPORTRANGE(""https://docs.google.com/spreadsheets/d/""&amp;$A199&amp;""/edit#gid=156619080"",BA$3)"),-341.35999999999876)</f>
        <v>-341.36</v>
      </c>
      <c r="BB199" s="2">
        <f>IFERROR(__xludf.DUMMYFUNCTION("IMPORTRANGE(""https://docs.google.com/spreadsheets/d/""&amp;$A199&amp;""/edit#gid=156619080"",BB$3)"),-215.71)</f>
        <v>-215.71</v>
      </c>
      <c r="BC199" s="2" t="str">
        <f>IFERROR(__xludf.DUMMYFUNCTION("IMPORTRANGE(""https://docs.google.com/spreadsheets/d/""&amp;$A199&amp;""/edit#gid=156619080"",BC$3)"),"DC→DC")</f>
        <v>DC→DC</v>
      </c>
    </row>
    <row r="200" ht="51.0" customHeight="1">
      <c r="A200" s="7" t="str">
        <f t="shared" si="5"/>
        <v>1o9dx8b2FBfa70SGt4Fcq0yDe1esQzsJ-3VZmY9ITgeI</v>
      </c>
      <c r="B200" s="1" t="s">
        <v>227</v>
      </c>
      <c r="C200" s="2">
        <f>IFERROR(__xludf.DUMMYFUNCTION("IMPORTRANGE(""https://docs.google.com/spreadsheets/d/""&amp;$A200&amp;""/edit#gid=156619080"",C$3)"),132.0)</f>
        <v>132</v>
      </c>
      <c r="D200" s="2">
        <f>IFERROR(__xludf.DUMMYFUNCTION("IMPORTRANGE(""https://docs.google.com/spreadsheets/d/""&amp;$A200&amp;""/edit#gid=156619080"",D$3)"),9021.0)</f>
        <v>9021</v>
      </c>
      <c r="E200" s="15">
        <f>IFERROR(__xludf.DUMMYFUNCTION("IMPORTRANGE(""https://docs.google.com/spreadsheets/d/""&amp;$A200&amp;""/edit#gid=156619080"",E$3)"),43882.0)</f>
        <v>43882</v>
      </c>
      <c r="F200" s="2">
        <f>IFERROR(__xludf.DUMMYFUNCTION("IMPORTRANGE(""https://docs.google.com/spreadsheets/d/""&amp;$A200&amp;""/edit#gid=156619080"",F$3)"),-75.0)</f>
        <v>-75</v>
      </c>
      <c r="G200" s="16">
        <f>IFERROR(__xludf.DUMMYFUNCTION("IMPORTRANGE(""https://docs.google.com/spreadsheets/d/""&amp;$A200&amp;""/edit#gid=156619080"",G$3)"),-0.86)</f>
        <v>-0.86</v>
      </c>
      <c r="H200" s="16">
        <f>IFERROR(__xludf.DUMMYFUNCTION("IMPORTRANGE(""https://docs.google.com/spreadsheets/d/""&amp;$A200&amp;""/edit#gid=156619080"",H$3)"),8651.0)</f>
        <v>8651</v>
      </c>
      <c r="I200" s="16">
        <f>IFERROR(__xludf.DUMMYFUNCTION("IMPORTRANGE(""https://docs.google.com/spreadsheets/d/""&amp;$A200&amp;""/edit#gid=156619080"",I$3)"),81.0)</f>
        <v>81</v>
      </c>
      <c r="J200" s="16">
        <f>IFERROR(__xludf.DUMMYFUNCTION("IMPORTRANGE(""https://docs.google.com/spreadsheets/d/""&amp;$A200&amp;""/edit#gid=156619080"",J$3)"),8706.0)</f>
        <v>8706</v>
      </c>
      <c r="K200" s="16">
        <f>IFERROR(__xludf.DUMMYFUNCTION("IMPORTRANGE(""https://docs.google.com/spreadsheets/d/""&amp;$A200&amp;""/edit#gid=156619080"",K$3)"),0.5444444444444444)</f>
        <v>0.5444444444</v>
      </c>
      <c r="L200" s="16">
        <f>IFERROR(__xludf.DUMMYFUNCTION("IMPORTRANGE(""https://docs.google.com/spreadsheets/d/""&amp;$A200&amp;""/edit#gid=156619080"",L$3)"),8577.0)</f>
        <v>8577</v>
      </c>
      <c r="M200" s="16">
        <f>IFERROR(__xludf.DUMMYFUNCTION("IMPORTRANGE(""https://docs.google.com/spreadsheets/d/""&amp;$A200&amp;""/edit#gid=156619080"",M$3)"),0.375)</f>
        <v>0.375</v>
      </c>
      <c r="N200" s="16">
        <f>IFERROR(__xludf.DUMMYFUNCTION("IMPORTRANGE(""https://docs.google.com/spreadsheets/d/""&amp;$A200&amp;""/edit#gid=156619080"",N$3)"),8657.0)</f>
        <v>8657</v>
      </c>
      <c r="O200" s="16" t="str">
        <f>IFERROR(__xludf.DUMMYFUNCTION("IMPORTRANGE(""https://docs.google.com/spreadsheets/d/""&amp;$A200&amp;""/edit#gid=156619080"",O$3)"),"760600株")</f>
        <v>760600株</v>
      </c>
      <c r="P200" s="16" t="str">
        <f>IFERROR(__xludf.DUMMYFUNCTION("IMPORTRANGE(""https://docs.google.com/spreadsheets/d/""&amp;$A200&amp;""/edit#gid=156619080"",P$3)"),"6581百万円")</f>
        <v>6581百万円</v>
      </c>
      <c r="Q200" s="16" t="str">
        <f>IFERROR(__xludf.DUMMYFUNCTION("IMPORTRANGE(""https://docs.google.com/spreadsheets/d/""&amp;$A200&amp;""/edit#gid=156619080"",Q$3)"),"3811回")</f>
        <v>3811回</v>
      </c>
      <c r="R200" s="16" t="str">
        <f>IFERROR(__xludf.DUMMYFUNCTION("IMPORTRANGE(""https://docs.google.com/spreadsheets/d/""&amp;$A200&amp;""/edit#gid=156619080"",R$3)"),"16564億円")</f>
        <v>16564億円</v>
      </c>
      <c r="S200" s="16" t="str">
        <f>IFERROR(__xludf.DUMMYFUNCTION("IMPORTRANGE(""https://docs.google.com/spreadsheets/d/""&amp;$A200&amp;""/edit#gid=156619080"",S$3)"),"陽線")</f>
        <v>陽線</v>
      </c>
      <c r="T200" s="16" t="str">
        <f>IFERROR(__xludf.DUMMYFUNCTION("IMPORTRANGE(""https://docs.google.com/spreadsheets/d/""&amp;$A200&amp;""/edit#gid=156619080"",T$3)"),"RSV1")</f>
        <v>RSV1</v>
      </c>
      <c r="U200" s="16">
        <f>IFERROR(__xludf.DUMMYFUNCTION("IMPORTRANGE(""https://docs.google.com/spreadsheets/d/""&amp;$A200&amp;""/edit#gid=156619080"",U$3)"),8817.8)</f>
        <v>8817.8</v>
      </c>
      <c r="V200" s="16">
        <f>IFERROR(__xludf.DUMMYFUNCTION("IMPORTRANGE(""https://docs.google.com/spreadsheets/d/""&amp;$A200&amp;""/edit#gid=156619080"",V$3)"),9032.8)</f>
        <v>9032.8</v>
      </c>
      <c r="W200" s="16">
        <f>IFERROR(__xludf.DUMMYFUNCTION("IMPORTRANGE(""https://docs.google.com/spreadsheets/d/""&amp;$A200&amp;""/edit#gid=156619080"",W$3)"),9121.7)</f>
        <v>9121.7</v>
      </c>
      <c r="X200" s="2">
        <f>IFERROR(__xludf.DUMMYFUNCTION("IMPORTRANGE(""https://docs.google.com/spreadsheets/d/""&amp;$A200&amp;""/edit#gid=156619080"",X$3)"),9318.0)</f>
        <v>9318</v>
      </c>
      <c r="Y200" s="17">
        <f>IFERROR(__xludf.DUMMYFUNCTION("IMPORTRANGE(""https://docs.google.com/spreadsheets/d/""&amp;$A200&amp;""/edit#gid=156619080"",Y$3)"),-0.018235841139513178)</f>
        <v>-0.01823584114</v>
      </c>
      <c r="Z200" s="2">
        <f>IFERROR(__xludf.DUMMYFUNCTION("IMPORTRANGE(""https://docs.google.com/spreadsheets/d/""&amp;$A200&amp;""/edit#gid=156619080"",Z$3)"),9539.06)</f>
        <v>9539.06</v>
      </c>
      <c r="AA200" s="2">
        <f>IFERROR(__xludf.DUMMYFUNCTION("IMPORTRANGE(""https://docs.google.com/spreadsheets/d/""&amp;$A200&amp;""/edit#gid=156619080"",AA$3)"),9486.89)</f>
        <v>9486.89</v>
      </c>
      <c r="AB200" s="2">
        <f>IFERROR(__xludf.DUMMYFUNCTION("IMPORTRANGE(""https://docs.google.com/spreadsheets/d/""&amp;$A200&amp;""/edit#gid=156619080"",AB$3)"),9434.72)</f>
        <v>9434.72</v>
      </c>
      <c r="AC200" s="18">
        <f>IFERROR(__xludf.DUMMYFUNCTION("IMPORTRANGE(""https://docs.google.com/spreadsheets/d/""&amp;$A200&amp;""/edit#gid=156619080"",AC$3)"),9382.55)</f>
        <v>9382.55</v>
      </c>
      <c r="AD200" s="18">
        <f>IFERROR(__xludf.DUMMYFUNCTION("IMPORTRANGE(""https://docs.google.com/spreadsheets/d/""&amp;$A200&amp;""/edit#gid=156619080"",AD$3)"),9330.38)</f>
        <v>9330.38</v>
      </c>
      <c r="AE200" s="18">
        <f>IFERROR(__xludf.DUMMYFUNCTION("IMPORTRANGE(""https://docs.google.com/spreadsheets/d/""&amp;$A200&amp;""/edit#gid=156619080"",AE$3)"),9121.7)</f>
        <v>9121.7</v>
      </c>
      <c r="AF200" s="2">
        <f>IFERROR(__xludf.DUMMYFUNCTION("IMPORTRANGE(""https://docs.google.com/spreadsheets/d/""&amp;$A200&amp;""/edit#gid=156619080"",AF$3)"),8913.02)</f>
        <v>8913.02</v>
      </c>
      <c r="AG200" s="2">
        <f>IFERROR(__xludf.DUMMYFUNCTION("IMPORTRANGE(""https://docs.google.com/spreadsheets/d/""&amp;$A200&amp;""/edit#gid=156619080"",AG$3)"),8860.85)</f>
        <v>8860.85</v>
      </c>
      <c r="AH200" s="2">
        <f>IFERROR(__xludf.DUMMYFUNCTION("IMPORTRANGE(""https://docs.google.com/spreadsheets/d/""&amp;$A200&amp;""/edit#gid=156619080"",AH$3)"),8808.68)</f>
        <v>8808.68</v>
      </c>
      <c r="AI200" s="2">
        <f>IFERROR(__xludf.DUMMYFUNCTION("IMPORTRANGE(""https://docs.google.com/spreadsheets/d/""&amp;$A200&amp;""/edit#gid=156619080"",AI$3)"),8756.51)</f>
        <v>8756.51</v>
      </c>
      <c r="AJ200" s="2">
        <f>IFERROR(__xludf.DUMMYFUNCTION("IMPORTRANGE(""https://docs.google.com/spreadsheets/d/""&amp;$A200&amp;""/edit#gid=156619080"",AJ$3)"),8704.34)</f>
        <v>8704.34</v>
      </c>
      <c r="AK200" s="2" t="str">
        <f>IFERROR(__xludf.DUMMYFUNCTION("IMPORTRANGE(""https://docs.google.com/spreadsheets/d/""&amp;$A200&amp;""/edit#gid=156619080"",AK$3)"),"-2σ以下")</f>
        <v>-2σ以下</v>
      </c>
      <c r="AL200" s="2">
        <f>IFERROR(__xludf.DUMMYFUNCTION("IMPORTRANGE(""https://docs.google.com/spreadsheets/d/""&amp;$A200&amp;""/edit#gid=156619080"",AL$3)"),-1.0)</f>
        <v>-1</v>
      </c>
      <c r="AM200" s="2" t="str">
        <f>IFERROR(__xludf.DUMMYFUNCTION("IMPORTRANGE(""https://docs.google.com/spreadsheets/d/""&amp;$A200&amp;""/edit#gid=156619080"",AM$3)"),"")</f>
        <v/>
      </c>
      <c r="AN200" s="2">
        <f>IFERROR(__xludf.DUMMYFUNCTION("IMPORTRANGE(""https://docs.google.com/spreadsheets/d/""&amp;$A200&amp;""/edit#gid=156619080"",AN$3)"),-1.0)</f>
        <v>-1</v>
      </c>
      <c r="AO200" s="2" t="str">
        <f>IFERROR(__xludf.DUMMYFUNCTION("IMPORTRANGE(""https://docs.google.com/spreadsheets/d/""&amp;$A200&amp;""/edit#gid=156619080"",AO$3)"),"")</f>
        <v/>
      </c>
      <c r="AP200" s="2">
        <f>IFERROR(__xludf.DUMMYFUNCTION("IMPORTRANGE(""https://docs.google.com/spreadsheets/d/""&amp;$A200&amp;""/edit#gid=156619080"",AP$3)"),-1.0)</f>
        <v>-1</v>
      </c>
      <c r="AQ200" s="2" t="str">
        <f>IFERROR(__xludf.DUMMYFUNCTION("IMPORTRANGE(""https://docs.google.com/spreadsheets/d/""&amp;$A200&amp;""/edit#gid=156619080"",AQ$3)"),"")</f>
        <v/>
      </c>
      <c r="AR200" s="18">
        <f>IFERROR(__xludf.DUMMYFUNCTION("IMPORTRANGE(""https://docs.google.com/spreadsheets/d/""&amp;$A200&amp;""/edit#gid=156619080"",AR$3)"),-89.99999999999999)</f>
        <v>-90</v>
      </c>
      <c r="AS200" s="19" t="str">
        <f>IFERROR(__xludf.DUMMYFUNCTION("IMPORTRANGE(""https://docs.google.com/spreadsheets/d/""&amp;$A200&amp;""/edit#gid=156619080"",AS$3)"),"-70
-90
-90
-90
")</f>
        <v>-70
-90
-90
-90
</v>
      </c>
      <c r="AT200" s="18">
        <f>IFERROR(__xludf.DUMMYFUNCTION("IMPORTRANGE(""https://docs.google.com/spreadsheets/d/""&amp;$A200&amp;""/edit#gid=156619080"",AT$3)"),-93.4065934065934)</f>
        <v>-93.40659341</v>
      </c>
      <c r="AU200" s="3" t="str">
        <f>IFERROR(__xludf.DUMMYFUNCTION("IMPORTRANGE(""https://docs.google.com/spreadsheets/d/""&amp;$A200&amp;""/edit#gid=156619080"",AU$3)"),"-63.74
-64.29
-63.74
-68.68
")</f>
        <v>-63.74
-64.29
-63.74
-68.68
</v>
      </c>
      <c r="AV200" s="18">
        <f>IFERROR(__xludf.DUMMYFUNCTION("IMPORTRANGE(""https://docs.google.com/spreadsheets/d/""&amp;$A200&amp;""/edit#gid=156619080"",AV$3)"),-88.44155844155843)</f>
        <v>-88.44155844</v>
      </c>
      <c r="AW200" s="19" t="str">
        <f>IFERROR(__xludf.DUMMYFUNCTION("IMPORTRANGE(""https://docs.google.com/spreadsheets/d/""&amp;$A200&amp;""/edit#gid=156619080"",AW$3)"),"-87.01
-88.44
-88.44
-88.44
")</f>
        <v>-87.01
-88.44
-88.44
-88.44
</v>
      </c>
      <c r="AX200" s="2">
        <f>IFERROR(__xludf.DUMMYFUNCTION("IMPORTRANGE(""https://docs.google.com/spreadsheets/d/""&amp;$A200&amp;""/edit#gid=156619080"",AX$3)"),8.85)</f>
        <v>8.85</v>
      </c>
      <c r="AY200" s="2">
        <f>IFERROR(__xludf.DUMMYFUNCTION("IMPORTRANGE(""https://docs.google.com/spreadsheets/d/""&amp;$A200&amp;""/edit#gid=156619080"",AY$3)"),29.98)</f>
        <v>29.98</v>
      </c>
      <c r="AZ200" s="2">
        <f>IFERROR(__xludf.DUMMYFUNCTION("IMPORTRANGE(""https://docs.google.com/spreadsheets/d/""&amp;$A200&amp;""/edit#gid=156619080"",AZ$3)"),8810.07)</f>
        <v>8810.07</v>
      </c>
      <c r="BA200" s="2">
        <f>IFERROR(__xludf.DUMMYFUNCTION("IMPORTRANGE(""https://docs.google.com/spreadsheets/d/""&amp;$A200&amp;""/edit#gid=156619080"",BA$3)"),-267.97000000000116)</f>
        <v>-267.97</v>
      </c>
      <c r="BB200" s="2">
        <f>IFERROR(__xludf.DUMMYFUNCTION("IMPORTRANGE(""https://docs.google.com/spreadsheets/d/""&amp;$A200&amp;""/edit#gid=156619080"",BB$3)"),-164.28)</f>
        <v>-164.28</v>
      </c>
      <c r="BC200" s="2" t="str">
        <f>IFERROR(__xludf.DUMMYFUNCTION("IMPORTRANGE(""https://docs.google.com/spreadsheets/d/""&amp;$A200&amp;""/edit#gid=156619080"",BC$3)"),"DC→DC")</f>
        <v>DC→DC</v>
      </c>
    </row>
    <row r="201" ht="51.0" customHeight="1">
      <c r="A201" s="7" t="str">
        <f t="shared" si="5"/>
        <v>1BdHoUakl6TKqVDIk24VRSFvn8gmqul13D85oDWaINxg</v>
      </c>
      <c r="B201" s="1" t="s">
        <v>228</v>
      </c>
      <c r="C201" s="2">
        <f>IFERROR(__xludf.DUMMYFUNCTION("IMPORTRANGE(""https://docs.google.com/spreadsheets/d/""&amp;$A201&amp;""/edit#gid=156619080"",C$3)"),132.0)</f>
        <v>132</v>
      </c>
      <c r="D201" s="2">
        <f>IFERROR(__xludf.DUMMYFUNCTION("IMPORTRANGE(""https://docs.google.com/spreadsheets/d/""&amp;$A201&amp;""/edit#gid=156619080"",D$3)"),9022.0)</f>
        <v>9022</v>
      </c>
      <c r="E201" s="15">
        <f>IFERROR(__xludf.DUMMYFUNCTION("IMPORTRANGE(""https://docs.google.com/spreadsheets/d/""&amp;$A201&amp;""/edit#gid=156619080"",E$3)"),43882.0)</f>
        <v>43882</v>
      </c>
      <c r="F201" s="2">
        <f>IFERROR(__xludf.DUMMYFUNCTION("IMPORTRANGE(""https://docs.google.com/spreadsheets/d/""&amp;$A201&amp;""/edit#gid=156619080"",F$3)"),-35.0)</f>
        <v>-35</v>
      </c>
      <c r="G201" s="16">
        <f>IFERROR(__xludf.DUMMYFUNCTION("IMPORTRANGE(""https://docs.google.com/spreadsheets/d/""&amp;$A201&amp;""/edit#gid=156619080"",G$3)"),-0.17)</f>
        <v>-0.17</v>
      </c>
      <c r="H201" s="16">
        <f>IFERROR(__xludf.DUMMYFUNCTION("IMPORTRANGE(""https://docs.google.com/spreadsheets/d/""&amp;$A201&amp;""/edit#gid=156619080"",H$3)"),20600.0)</f>
        <v>20600</v>
      </c>
      <c r="I201" s="16">
        <f>IFERROR(__xludf.DUMMYFUNCTION("IMPORTRANGE(""https://docs.google.com/spreadsheets/d/""&amp;$A201&amp;""/edit#gid=156619080"",I$3)"),125.0)</f>
        <v>125</v>
      </c>
      <c r="J201" s="16">
        <f>IFERROR(__xludf.DUMMYFUNCTION("IMPORTRANGE(""https://docs.google.com/spreadsheets/d/""&amp;$A201&amp;""/edit#gid=156619080"",J$3)"),20850.0)</f>
        <v>20850</v>
      </c>
      <c r="K201" s="16">
        <f>IFERROR(__xludf.DUMMYFUNCTION("IMPORTRANGE(""https://docs.google.com/spreadsheets/d/""&amp;$A201&amp;""/edit#gid=156619080"",K$3)"),0.4305555555555556)</f>
        <v>0.4305555556</v>
      </c>
      <c r="L201" s="16">
        <f>IFERROR(__xludf.DUMMYFUNCTION("IMPORTRANGE(""https://docs.google.com/spreadsheets/d/""&amp;$A201&amp;""/edit#gid=156619080"",L$3)"),20565.0)</f>
        <v>20565</v>
      </c>
      <c r="M201" s="16">
        <f>IFERROR(__xludf.DUMMYFUNCTION("IMPORTRANGE(""https://docs.google.com/spreadsheets/d/""&amp;$A201&amp;""/edit#gid=156619080"",M$3)"),0.375)</f>
        <v>0.375</v>
      </c>
      <c r="N201" s="16">
        <f>IFERROR(__xludf.DUMMYFUNCTION("IMPORTRANGE(""https://docs.google.com/spreadsheets/d/""&amp;$A201&amp;""/edit#gid=156619080"",N$3)"),20690.0)</f>
        <v>20690</v>
      </c>
      <c r="O201" s="16" t="str">
        <f>IFERROR(__xludf.DUMMYFUNCTION("IMPORTRANGE(""https://docs.google.com/spreadsheets/d/""&amp;$A201&amp;""/edit#gid=156619080"",O$3)"),"285900株")</f>
        <v>285900株</v>
      </c>
      <c r="P201" s="16" t="str">
        <f>IFERROR(__xludf.DUMMYFUNCTION("IMPORTRANGE(""https://docs.google.com/spreadsheets/d/""&amp;$A201&amp;""/edit#gid=156619080"",P$3)"),"5926百万円")</f>
        <v>5926百万円</v>
      </c>
      <c r="Q201" s="16" t="str">
        <f>IFERROR(__xludf.DUMMYFUNCTION("IMPORTRANGE(""https://docs.google.com/spreadsheets/d/""&amp;$A201&amp;""/edit#gid=156619080"",Q$3)"),"1253回")</f>
        <v>1253回</v>
      </c>
      <c r="R201" s="16" t="str">
        <f>IFERROR(__xludf.DUMMYFUNCTION("IMPORTRANGE(""https://docs.google.com/spreadsheets/d/""&amp;$A201&amp;""/edit#gid=156619080"",R$3)"),"42621億円")</f>
        <v>42621億円</v>
      </c>
      <c r="S201" s="16" t="str">
        <f>IFERROR(__xludf.DUMMYFUNCTION("IMPORTRANGE(""https://docs.google.com/spreadsheets/d/""&amp;$A201&amp;""/edit#gid=156619080"",S$3)"),"陽線")</f>
        <v>陽線</v>
      </c>
      <c r="T201" s="16" t="str">
        <f>IFERROR(__xludf.DUMMYFUNCTION("IMPORTRANGE(""https://docs.google.com/spreadsheets/d/""&amp;$A201&amp;""/edit#gid=156619080"",T$3)"),"RSV1")</f>
        <v>RSV1</v>
      </c>
      <c r="U201" s="16">
        <f>IFERROR(__xludf.DUMMYFUNCTION("IMPORTRANGE(""https://docs.google.com/spreadsheets/d/""&amp;$A201&amp;""/edit#gid=156619080"",U$3)"),20993.0)</f>
        <v>20993</v>
      </c>
      <c r="V201" s="16">
        <f>IFERROR(__xludf.DUMMYFUNCTION("IMPORTRANGE(""https://docs.google.com/spreadsheets/d/""&amp;$A201&amp;""/edit#gid=156619080"",V$3)"),21656.9)</f>
        <v>21656.9</v>
      </c>
      <c r="W201" s="16">
        <f>IFERROR(__xludf.DUMMYFUNCTION("IMPORTRANGE(""https://docs.google.com/spreadsheets/d/""&amp;$A201&amp;""/edit#gid=156619080"",W$3)"),21702.4)</f>
        <v>21702.4</v>
      </c>
      <c r="X201" s="2">
        <f>IFERROR(__xludf.DUMMYFUNCTION("IMPORTRANGE(""https://docs.google.com/spreadsheets/d/""&amp;$A201&amp;""/edit#gid=156619080"",X$3)"),21995.9)</f>
        <v>21995.9</v>
      </c>
      <c r="Y201" s="17">
        <f>IFERROR(__xludf.DUMMYFUNCTION("IMPORTRANGE(""https://docs.google.com/spreadsheets/d/""&amp;$A201&amp;""/edit#gid=156619080"",Y$3)"),-0.014433382556090125)</f>
        <v>-0.01443338256</v>
      </c>
      <c r="Z201" s="2">
        <f>IFERROR(__xludf.DUMMYFUNCTION("IMPORTRANGE(""https://docs.google.com/spreadsheets/d/""&amp;$A201&amp;""/edit#gid=156619080"",Z$3)"),22620.02)</f>
        <v>22620.02</v>
      </c>
      <c r="AA201" s="2">
        <f>IFERROR(__xludf.DUMMYFUNCTION("IMPORTRANGE(""https://docs.google.com/spreadsheets/d/""&amp;$A201&amp;""/edit#gid=156619080"",AA$3)"),22505.32)</f>
        <v>22505.32</v>
      </c>
      <c r="AB201" s="2">
        <f>IFERROR(__xludf.DUMMYFUNCTION("IMPORTRANGE(""https://docs.google.com/spreadsheets/d/""&amp;$A201&amp;""/edit#gid=156619080"",AB$3)"),22390.61)</f>
        <v>22390.61</v>
      </c>
      <c r="AC201" s="18">
        <f>IFERROR(__xludf.DUMMYFUNCTION("IMPORTRANGE(""https://docs.google.com/spreadsheets/d/""&amp;$A201&amp;""/edit#gid=156619080"",AC$3)"),22275.91)</f>
        <v>22275.91</v>
      </c>
      <c r="AD201" s="18">
        <f>IFERROR(__xludf.DUMMYFUNCTION("IMPORTRANGE(""https://docs.google.com/spreadsheets/d/""&amp;$A201&amp;""/edit#gid=156619080"",AD$3)"),22161.21)</f>
        <v>22161.21</v>
      </c>
      <c r="AE201" s="18">
        <f>IFERROR(__xludf.DUMMYFUNCTION("IMPORTRANGE(""https://docs.google.com/spreadsheets/d/""&amp;$A201&amp;""/edit#gid=156619080"",AE$3)"),21702.4)</f>
        <v>21702.4</v>
      </c>
      <c r="AF201" s="2">
        <f>IFERROR(__xludf.DUMMYFUNCTION("IMPORTRANGE(""https://docs.google.com/spreadsheets/d/""&amp;$A201&amp;""/edit#gid=156619080"",AF$3)"),21243.59)</f>
        <v>21243.59</v>
      </c>
      <c r="AG201" s="2">
        <f>IFERROR(__xludf.DUMMYFUNCTION("IMPORTRANGE(""https://docs.google.com/spreadsheets/d/""&amp;$A201&amp;""/edit#gid=156619080"",AG$3)"),21128.89)</f>
        <v>21128.89</v>
      </c>
      <c r="AH201" s="2">
        <f>IFERROR(__xludf.DUMMYFUNCTION("IMPORTRANGE(""https://docs.google.com/spreadsheets/d/""&amp;$A201&amp;""/edit#gid=156619080"",AH$3)"),21014.19)</f>
        <v>21014.19</v>
      </c>
      <c r="AI201" s="2">
        <f>IFERROR(__xludf.DUMMYFUNCTION("IMPORTRANGE(""https://docs.google.com/spreadsheets/d/""&amp;$A201&amp;""/edit#gid=156619080"",AI$3)"),20899.48)</f>
        <v>20899.48</v>
      </c>
      <c r="AJ201" s="2">
        <f>IFERROR(__xludf.DUMMYFUNCTION("IMPORTRANGE(""https://docs.google.com/spreadsheets/d/""&amp;$A201&amp;""/edit#gid=156619080"",AJ$3)"),20784.78)</f>
        <v>20784.78</v>
      </c>
      <c r="AK201" s="2" t="str">
        <f>IFERROR(__xludf.DUMMYFUNCTION("IMPORTRANGE(""https://docs.google.com/spreadsheets/d/""&amp;$A201&amp;""/edit#gid=156619080"",AK$3)"),"-2σ以下")</f>
        <v>-2σ以下</v>
      </c>
      <c r="AL201" s="2">
        <f>IFERROR(__xludf.DUMMYFUNCTION("IMPORTRANGE(""https://docs.google.com/spreadsheets/d/""&amp;$A201&amp;""/edit#gid=156619080"",AL$3)"),-1.0)</f>
        <v>-1</v>
      </c>
      <c r="AM201" s="2" t="str">
        <f>IFERROR(__xludf.DUMMYFUNCTION("IMPORTRANGE(""https://docs.google.com/spreadsheets/d/""&amp;$A201&amp;""/edit#gid=156619080"",AM$3)"),"")</f>
        <v/>
      </c>
      <c r="AN201" s="2">
        <f>IFERROR(__xludf.DUMMYFUNCTION("IMPORTRANGE(""https://docs.google.com/spreadsheets/d/""&amp;$A201&amp;""/edit#gid=156619080"",AN$3)"),-1.0)</f>
        <v>-1</v>
      </c>
      <c r="AO201" s="2" t="str">
        <f>IFERROR(__xludf.DUMMYFUNCTION("IMPORTRANGE(""https://docs.google.com/spreadsheets/d/""&amp;$A201&amp;""/edit#gid=156619080"",AO$3)"),"")</f>
        <v/>
      </c>
      <c r="AP201" s="2">
        <f>IFERROR(__xludf.DUMMYFUNCTION("IMPORTRANGE(""https://docs.google.com/spreadsheets/d/""&amp;$A201&amp;""/edit#gid=156619080"",AP$3)"),-1.0)</f>
        <v>-1</v>
      </c>
      <c r="AQ201" s="2" t="str">
        <f>IFERROR(__xludf.DUMMYFUNCTION("IMPORTRANGE(""https://docs.google.com/spreadsheets/d/""&amp;$A201&amp;""/edit#gid=156619080"",AQ$3)"),"")</f>
        <v/>
      </c>
      <c r="AR201" s="18">
        <f>IFERROR(__xludf.DUMMYFUNCTION("IMPORTRANGE(""https://docs.google.com/spreadsheets/d/""&amp;$A201&amp;""/edit#gid=156619080"",AR$3)"),-89.99999999999999)</f>
        <v>-90</v>
      </c>
      <c r="AS201" s="19" t="str">
        <f>IFERROR(__xludf.DUMMYFUNCTION("IMPORTRANGE(""https://docs.google.com/spreadsheets/d/""&amp;$A201&amp;""/edit#gid=156619080"",AS$3)"),"-90
-100
-90
-90
")</f>
        <v>-90
-100
-90
-90
</v>
      </c>
      <c r="AT201" s="18">
        <f>IFERROR(__xludf.DUMMYFUNCTION("IMPORTRANGE(""https://docs.google.com/spreadsheets/d/""&amp;$A201&amp;""/edit#gid=156619080"",AT$3)"),-85.71428571428572)</f>
        <v>-85.71428571</v>
      </c>
      <c r="AU201" s="3" t="str">
        <f>IFERROR(__xludf.DUMMYFUNCTION("IMPORTRANGE(""https://docs.google.com/spreadsheets/d/""&amp;$A201&amp;""/edit#gid=156619080"",AU$3)"),"13.74
-13.19
-41.21
-65.93
")</f>
        <v>13.74
-13.19
-41.21
-65.93
</v>
      </c>
      <c r="AV201" s="18">
        <f>IFERROR(__xludf.DUMMYFUNCTION("IMPORTRANGE(""https://docs.google.com/spreadsheets/d/""&amp;$A201&amp;""/edit#gid=156619080"",AV$3)"),-42.2077922077922)</f>
        <v>-42.20779221</v>
      </c>
      <c r="AW201" s="19" t="str">
        <f>IFERROR(__xludf.DUMMYFUNCTION("IMPORTRANGE(""https://docs.google.com/spreadsheets/d/""&amp;$A201&amp;""/edit#gid=156619080"",AW$3)"),"-3.34
-16.46
-20.13
-31.04
")</f>
        <v>-3.34
-16.46
-20.13
-31.04
</v>
      </c>
      <c r="AX201" s="2">
        <f>IFERROR(__xludf.DUMMYFUNCTION("IMPORTRANGE(""https://docs.google.com/spreadsheets/d/""&amp;$A201&amp;""/edit#gid=156619080"",AX$3)"),11.790000000000001)</f>
        <v>11.79</v>
      </c>
      <c r="AY201" s="2">
        <f>IFERROR(__xludf.DUMMYFUNCTION("IMPORTRANGE(""https://docs.google.com/spreadsheets/d/""&amp;$A201&amp;""/edit#gid=156619080"",AY$3)"),35.709999999999994)</f>
        <v>35.71</v>
      </c>
      <c r="AZ201" s="2">
        <f>IFERROR(__xludf.DUMMYFUNCTION("IMPORTRANGE(""https://docs.google.com/spreadsheets/d/""&amp;$A201&amp;""/edit#gid=156619080"",AZ$3)"),21018.29)</f>
        <v>21018.29</v>
      </c>
      <c r="BA201" s="2">
        <f>IFERROR(__xludf.DUMMYFUNCTION("IMPORTRANGE(""https://docs.google.com/spreadsheets/d/""&amp;$A201&amp;""/edit#gid=156619080"",BA$3)"),-567.5699999999997)</f>
        <v>-567.57</v>
      </c>
      <c r="BB201" s="2">
        <f>IFERROR(__xludf.DUMMYFUNCTION("IMPORTRANGE(""https://docs.google.com/spreadsheets/d/""&amp;$A201&amp;""/edit#gid=156619080"",BB$3)"),-214.99)</f>
        <v>-214.99</v>
      </c>
      <c r="BC201" s="2" t="str">
        <f>IFERROR(__xludf.DUMMYFUNCTION("IMPORTRANGE(""https://docs.google.com/spreadsheets/d/""&amp;$A201&amp;""/edit#gid=156619080"",BC$3)"),"DC→DC")</f>
        <v>DC→DC</v>
      </c>
    </row>
    <row r="202" ht="51.0" customHeight="1">
      <c r="A202" s="7" t="str">
        <f t="shared" si="5"/>
        <v>13NeJNrVrRkLnTc-Q5XCQgJunyqMk4XjYYkH8c8GBOB0</v>
      </c>
      <c r="B202" s="1" t="s">
        <v>229</v>
      </c>
      <c r="C202" s="2">
        <f>IFERROR(__xludf.DUMMYFUNCTION("IMPORTRANGE(""https://docs.google.com/spreadsheets/d/""&amp;$A202&amp;""/edit#gid=156619080"",C$3)"),132.0)</f>
        <v>132</v>
      </c>
      <c r="D202" s="2">
        <f>IFERROR(__xludf.DUMMYFUNCTION("IMPORTRANGE(""https://docs.google.com/spreadsheets/d/""&amp;$A202&amp;""/edit#gid=156619080"",D$3)"),9062.0)</f>
        <v>9062</v>
      </c>
      <c r="E202" s="15">
        <f>IFERROR(__xludf.DUMMYFUNCTION("IMPORTRANGE(""https://docs.google.com/spreadsheets/d/""&amp;$A202&amp;""/edit#gid=156619080"",E$3)"),43882.0)</f>
        <v>43882</v>
      </c>
      <c r="F202" s="2">
        <f>IFERROR(__xludf.DUMMYFUNCTION("IMPORTRANGE(""https://docs.google.com/spreadsheets/d/""&amp;$A202&amp;""/edit#gid=156619080"",F$3)"),-90.0)</f>
        <v>-90</v>
      </c>
      <c r="G202" s="16">
        <f>IFERROR(__xludf.DUMMYFUNCTION("IMPORTRANGE(""https://docs.google.com/spreadsheets/d/""&amp;$A202&amp;""/edit#gid=156619080"",G$3)"),-1.53)</f>
        <v>-1.53</v>
      </c>
      <c r="H202" s="16">
        <f>IFERROR(__xludf.DUMMYFUNCTION("IMPORTRANGE(""https://docs.google.com/spreadsheets/d/""&amp;$A202&amp;""/edit#gid=156619080"",H$3)"),5850.0)</f>
        <v>5850</v>
      </c>
      <c r="I202" s="16">
        <f>IFERROR(__xludf.DUMMYFUNCTION("IMPORTRANGE(""https://docs.google.com/spreadsheets/d/""&amp;$A202&amp;""/edit#gid=156619080"",I$3)"),40.0)</f>
        <v>40</v>
      </c>
      <c r="J202" s="16">
        <f>IFERROR(__xludf.DUMMYFUNCTION("IMPORTRANGE(""https://docs.google.com/spreadsheets/d/""&amp;$A202&amp;""/edit#gid=156619080"",J$3)"),5890.0)</f>
        <v>5890</v>
      </c>
      <c r="K202" s="16">
        <f>IFERROR(__xludf.DUMMYFUNCTION("IMPORTRANGE(""https://docs.google.com/spreadsheets/d/""&amp;$A202&amp;""/edit#gid=156619080"",K$3)"),0.3763888888888889)</f>
        <v>0.3763888889</v>
      </c>
      <c r="L202" s="16">
        <f>IFERROR(__xludf.DUMMYFUNCTION("IMPORTRANGE(""https://docs.google.com/spreadsheets/d/""&amp;$A202&amp;""/edit#gid=156619080"",L$3)"),5770.0)</f>
        <v>5770</v>
      </c>
      <c r="M202" s="16">
        <f>IFERROR(__xludf.DUMMYFUNCTION("IMPORTRANGE(""https://docs.google.com/spreadsheets/d/""&amp;$A202&amp;""/edit#gid=156619080"",M$3)"),0.47152777777777777)</f>
        <v>0.4715277778</v>
      </c>
      <c r="N202" s="16">
        <f>IFERROR(__xludf.DUMMYFUNCTION("IMPORTRANGE(""https://docs.google.com/spreadsheets/d/""&amp;$A202&amp;""/edit#gid=156619080"",N$3)"),5800.0)</f>
        <v>5800</v>
      </c>
      <c r="O202" s="16" t="str">
        <f>IFERROR(__xludf.DUMMYFUNCTION("IMPORTRANGE(""https://docs.google.com/spreadsheets/d/""&amp;$A202&amp;""/edit#gid=156619080"",O$3)"),"337500株")</f>
        <v>337500株</v>
      </c>
      <c r="P202" s="16" t="str">
        <f>IFERROR(__xludf.DUMMYFUNCTION("IMPORTRANGE(""https://docs.google.com/spreadsheets/d/""&amp;$A202&amp;""/edit#gid=156619080"",P$3)"),"1959百万円")</f>
        <v>1959百万円</v>
      </c>
      <c r="Q202" s="16" t="str">
        <f>IFERROR(__xludf.DUMMYFUNCTION("IMPORTRANGE(""https://docs.google.com/spreadsheets/d/""&amp;$A202&amp;""/edit#gid=156619080"",Q$3)"),"1218回")</f>
        <v>1218回</v>
      </c>
      <c r="R202" s="16" t="str">
        <f>IFERROR(__xludf.DUMMYFUNCTION("IMPORTRANGE(""https://docs.google.com/spreadsheets/d/""&amp;$A202&amp;""/edit#gid=156619080"",R$3)"),"5684億円")</f>
        <v>5684億円</v>
      </c>
      <c r="S202" s="16" t="str">
        <f>IFERROR(__xludf.DUMMYFUNCTION("IMPORTRANGE(""https://docs.google.com/spreadsheets/d/""&amp;$A202&amp;""/edit#gid=156619080"",S$3)"),"陰線")</f>
        <v>陰線</v>
      </c>
      <c r="T202" s="16" t="str">
        <f>IFERROR(__xludf.DUMMYFUNCTION("IMPORTRANGE(""https://docs.google.com/spreadsheets/d/""&amp;$A202&amp;""/edit#gid=156619080"",T$3)"),"")</f>
        <v/>
      </c>
      <c r="U202" s="16">
        <f>IFERROR(__xludf.DUMMYFUNCTION("IMPORTRANGE(""https://docs.google.com/spreadsheets/d/""&amp;$A202&amp;""/edit#gid=156619080"",U$3)"),5878.0)</f>
        <v>5878</v>
      </c>
      <c r="V202" s="16">
        <f>IFERROR(__xludf.DUMMYFUNCTION("IMPORTRANGE(""https://docs.google.com/spreadsheets/d/""&amp;$A202&amp;""/edit#gid=156619080"",V$3)"),5952.3)</f>
        <v>5952.3</v>
      </c>
      <c r="W202" s="16">
        <f>IFERROR(__xludf.DUMMYFUNCTION("IMPORTRANGE(""https://docs.google.com/spreadsheets/d/""&amp;$A202&amp;""/edit#gid=156619080"",W$3)"),6061.9)</f>
        <v>6061.9</v>
      </c>
      <c r="X202" s="2">
        <f>IFERROR(__xludf.DUMMYFUNCTION("IMPORTRANGE(""https://docs.google.com/spreadsheets/d/""&amp;$A202&amp;""/edit#gid=156619080"",X$3)"),6173.3)</f>
        <v>6173.3</v>
      </c>
      <c r="Y202" s="17">
        <f>IFERROR(__xludf.DUMMYFUNCTION("IMPORTRANGE(""https://docs.google.com/spreadsheets/d/""&amp;$A202&amp;""/edit#gid=156619080"",Y$3)"),-0.013269819666553249)</f>
        <v>-0.01326981967</v>
      </c>
      <c r="Z202" s="2">
        <f>IFERROR(__xludf.DUMMYFUNCTION("IMPORTRANGE(""https://docs.google.com/spreadsheets/d/""&amp;$A202&amp;""/edit#gid=156619080"",Z$3)"),6532.91)</f>
        <v>6532.91</v>
      </c>
      <c r="AA202" s="2">
        <f>IFERROR(__xludf.DUMMYFUNCTION("IMPORTRANGE(""https://docs.google.com/spreadsheets/d/""&amp;$A202&amp;""/edit#gid=156619080"",AA$3)"),6474.04)</f>
        <v>6474.04</v>
      </c>
      <c r="AB202" s="2">
        <f>IFERROR(__xludf.DUMMYFUNCTION("IMPORTRANGE(""https://docs.google.com/spreadsheets/d/""&amp;$A202&amp;""/edit#gid=156619080"",AB$3)"),6415.16)</f>
        <v>6415.16</v>
      </c>
      <c r="AC202" s="18">
        <f>IFERROR(__xludf.DUMMYFUNCTION("IMPORTRANGE(""https://docs.google.com/spreadsheets/d/""&amp;$A202&amp;""/edit#gid=156619080"",AC$3)"),6356.28)</f>
        <v>6356.28</v>
      </c>
      <c r="AD202" s="18">
        <f>IFERROR(__xludf.DUMMYFUNCTION("IMPORTRANGE(""https://docs.google.com/spreadsheets/d/""&amp;$A202&amp;""/edit#gid=156619080"",AD$3)"),6297.41)</f>
        <v>6297.41</v>
      </c>
      <c r="AE202" s="18">
        <f>IFERROR(__xludf.DUMMYFUNCTION("IMPORTRANGE(""https://docs.google.com/spreadsheets/d/""&amp;$A202&amp;""/edit#gid=156619080"",AE$3)"),6061.9)</f>
        <v>6061.9</v>
      </c>
      <c r="AF202" s="2">
        <f>IFERROR(__xludf.DUMMYFUNCTION("IMPORTRANGE(""https://docs.google.com/spreadsheets/d/""&amp;$A202&amp;""/edit#gid=156619080"",AF$3)"),5826.39)</f>
        <v>5826.39</v>
      </c>
      <c r="AG202" s="2">
        <f>IFERROR(__xludf.DUMMYFUNCTION("IMPORTRANGE(""https://docs.google.com/spreadsheets/d/""&amp;$A202&amp;""/edit#gid=156619080"",AG$3)"),5767.52)</f>
        <v>5767.52</v>
      </c>
      <c r="AH202" s="2">
        <f>IFERROR(__xludf.DUMMYFUNCTION("IMPORTRANGE(""https://docs.google.com/spreadsheets/d/""&amp;$A202&amp;""/edit#gid=156619080"",AH$3)"),5708.64)</f>
        <v>5708.64</v>
      </c>
      <c r="AI202" s="2">
        <f>IFERROR(__xludf.DUMMYFUNCTION("IMPORTRANGE(""https://docs.google.com/spreadsheets/d/""&amp;$A202&amp;""/edit#gid=156619080"",AI$3)"),5649.76)</f>
        <v>5649.76</v>
      </c>
      <c r="AJ202" s="2">
        <f>IFERROR(__xludf.DUMMYFUNCTION("IMPORTRANGE(""https://docs.google.com/spreadsheets/d/""&amp;$A202&amp;""/edit#gid=156619080"",AJ$3)"),5590.89)</f>
        <v>5590.89</v>
      </c>
      <c r="AK202" s="2" t="str">
        <f>IFERROR(__xludf.DUMMYFUNCTION("IMPORTRANGE(""https://docs.google.com/spreadsheets/d/""&amp;$A202&amp;""/edit#gid=156619080"",AK$3)"),"-1〜-1.25σ")</f>
        <v>-1〜-1.25σ</v>
      </c>
      <c r="AL202" s="2">
        <f>IFERROR(__xludf.DUMMYFUNCTION("IMPORTRANGE(""https://docs.google.com/spreadsheets/d/""&amp;$A202&amp;""/edit#gid=156619080"",AL$3)"),-1.0)</f>
        <v>-1</v>
      </c>
      <c r="AM202" s="2" t="str">
        <f>IFERROR(__xludf.DUMMYFUNCTION("IMPORTRANGE(""https://docs.google.com/spreadsheets/d/""&amp;$A202&amp;""/edit#gid=156619080"",AM$3)"),"")</f>
        <v/>
      </c>
      <c r="AN202" s="2">
        <f>IFERROR(__xludf.DUMMYFUNCTION("IMPORTRANGE(""https://docs.google.com/spreadsheets/d/""&amp;$A202&amp;""/edit#gid=156619080"",AN$3)"),-1.0)</f>
        <v>-1</v>
      </c>
      <c r="AO202" s="2" t="str">
        <f>IFERROR(__xludf.DUMMYFUNCTION("IMPORTRANGE(""https://docs.google.com/spreadsheets/d/""&amp;$A202&amp;""/edit#gid=156619080"",AO$3)"),"")</f>
        <v/>
      </c>
      <c r="AP202" s="2">
        <f>IFERROR(__xludf.DUMMYFUNCTION("IMPORTRANGE(""https://docs.google.com/spreadsheets/d/""&amp;$A202&amp;""/edit#gid=156619080"",AP$3)"),-1.0)</f>
        <v>-1</v>
      </c>
      <c r="AQ202" s="2" t="str">
        <f>IFERROR(__xludf.DUMMYFUNCTION("IMPORTRANGE(""https://docs.google.com/spreadsheets/d/""&amp;$A202&amp;""/edit#gid=156619080"",AQ$3)"),"")</f>
        <v/>
      </c>
      <c r="AR202" s="18">
        <f>IFERROR(__xludf.DUMMYFUNCTION("IMPORTRANGE(""https://docs.google.com/spreadsheets/d/""&amp;$A202&amp;""/edit#gid=156619080"",AR$3)"),-19.999999999999996)</f>
        <v>-20</v>
      </c>
      <c r="AS202" s="19" t="str">
        <f>IFERROR(__xludf.DUMMYFUNCTION("IMPORTRANGE(""https://docs.google.com/spreadsheets/d/""&amp;$A202&amp;""/edit#gid=156619080"",AS$3)"),"-100
-100
-40
10
")</f>
        <v>-100
-100
-40
10
</v>
      </c>
      <c r="AT202" s="18">
        <f>IFERROR(__xludf.DUMMYFUNCTION("IMPORTRANGE(""https://docs.google.com/spreadsheets/d/""&amp;$A202&amp;""/edit#gid=156619080"",AT$3)"),-43.956043956043956)</f>
        <v>-43.95604396</v>
      </c>
      <c r="AU202" s="3" t="str">
        <f>IFERROR(__xludf.DUMMYFUNCTION("IMPORTRANGE(""https://docs.google.com/spreadsheets/d/""&amp;$A202&amp;""/edit#gid=156619080"",AU$3)"),"-16.62
-0.14
26.24
-1.1
")</f>
        <v>-16.62
-0.14
26.24
-1.1
</v>
      </c>
      <c r="AV202" s="18">
        <f>IFERROR(__xludf.DUMMYFUNCTION("IMPORTRANGE(""https://docs.google.com/spreadsheets/d/""&amp;$A202&amp;""/edit#gid=156619080"",AV$3)"),-60.81168831168831)</f>
        <v>-60.81168831</v>
      </c>
      <c r="AW202" s="19" t="str">
        <f>IFERROR(__xludf.DUMMYFUNCTION("IMPORTRANGE(""https://docs.google.com/spreadsheets/d/""&amp;$A202&amp;""/edit#gid=156619080"",AW$3)"),"-77.44
-75.49
-69.51
-64.32
")</f>
        <v>-77.44
-75.49
-69.51
-64.32
</v>
      </c>
      <c r="AX202" s="2">
        <f>IFERROR(__xludf.DUMMYFUNCTION("IMPORTRANGE(""https://docs.google.com/spreadsheets/d/""&amp;$A202&amp;""/edit#gid=156619080"",AX$3)"),29.630000000000003)</f>
        <v>29.63</v>
      </c>
      <c r="AY202" s="2">
        <f>IFERROR(__xludf.DUMMYFUNCTION("IMPORTRANGE(""https://docs.google.com/spreadsheets/d/""&amp;$A202&amp;""/edit#gid=156619080"",AY$3)"),28.27)</f>
        <v>28.27</v>
      </c>
      <c r="AZ202" s="2">
        <f>IFERROR(__xludf.DUMMYFUNCTION("IMPORTRANGE(""https://docs.google.com/spreadsheets/d/""&amp;$A202&amp;""/edit#gid=156619080"",AZ$3)"),5879.29)</f>
        <v>5879.29</v>
      </c>
      <c r="BA202" s="2">
        <f>IFERROR(__xludf.DUMMYFUNCTION("IMPORTRANGE(""https://docs.google.com/spreadsheets/d/""&amp;$A202&amp;""/edit#gid=156619080"",BA$3)"),-167.69999999999982)</f>
        <v>-167.7</v>
      </c>
      <c r="BB202" s="2">
        <f>IFERROR(__xludf.DUMMYFUNCTION("IMPORTRANGE(""https://docs.google.com/spreadsheets/d/""&amp;$A202&amp;""/edit#gid=156619080"",BB$3)"),-162.51)</f>
        <v>-162.51</v>
      </c>
      <c r="BC202" s="2" t="str">
        <f>IFERROR(__xludf.DUMMYFUNCTION("IMPORTRANGE(""https://docs.google.com/spreadsheets/d/""&amp;$A202&amp;""/edit#gid=156619080"",BC$3)"),"GC→DC")</f>
        <v>GC→DC</v>
      </c>
    </row>
    <row r="203" ht="51.0" customHeight="1">
      <c r="A203" s="7" t="str">
        <f t="shared" si="5"/>
        <v>1lMBhioeMmU3SOprJ9g-YeIxUl6Z2lpN63YChYMjH8Qg</v>
      </c>
      <c r="B203" s="1" t="s">
        <v>230</v>
      </c>
      <c r="C203" s="2">
        <f>IFERROR(__xludf.DUMMYFUNCTION("IMPORTRANGE(""https://docs.google.com/spreadsheets/d/""&amp;$A203&amp;""/edit#gid=156619080"",C$3)"),132.0)</f>
        <v>132</v>
      </c>
      <c r="D203" s="2">
        <f>IFERROR(__xludf.DUMMYFUNCTION("IMPORTRANGE(""https://docs.google.com/spreadsheets/d/""&amp;$A203&amp;""/edit#gid=156619080"",D$3)"),9064.0)</f>
        <v>9064</v>
      </c>
      <c r="E203" s="15">
        <f>IFERROR(__xludf.DUMMYFUNCTION("IMPORTRANGE(""https://docs.google.com/spreadsheets/d/""&amp;$A203&amp;""/edit#gid=156619080"",E$3)"),43882.0)</f>
        <v>43882</v>
      </c>
      <c r="F203" s="2">
        <f>IFERROR(__xludf.DUMMYFUNCTION("IMPORTRANGE(""https://docs.google.com/spreadsheets/d/""&amp;$A203&amp;""/edit#gid=156619080"",F$3)"),4.0)</f>
        <v>4</v>
      </c>
      <c r="G203" s="16">
        <f>IFERROR(__xludf.DUMMYFUNCTION("IMPORTRANGE(""https://docs.google.com/spreadsheets/d/""&amp;$A203&amp;""/edit#gid=156619080"",G$3)"),0.21)</f>
        <v>0.21</v>
      </c>
      <c r="H203" s="16">
        <f>IFERROR(__xludf.DUMMYFUNCTION("IMPORTRANGE(""https://docs.google.com/spreadsheets/d/""&amp;$A203&amp;""/edit#gid=156619080"",H$3)"),1927.0)</f>
        <v>1927</v>
      </c>
      <c r="I203" s="16">
        <f>IFERROR(__xludf.DUMMYFUNCTION("IMPORTRANGE(""https://docs.google.com/spreadsheets/d/""&amp;$A203&amp;""/edit#gid=156619080"",I$3)"),0.0)</f>
        <v>0</v>
      </c>
      <c r="J203" s="16">
        <f>IFERROR(__xludf.DUMMYFUNCTION("IMPORTRANGE(""https://docs.google.com/spreadsheets/d/""&amp;$A203&amp;""/edit#gid=156619080"",J$3)"),1939.0)</f>
        <v>1939</v>
      </c>
      <c r="K203" s="16">
        <f>IFERROR(__xludf.DUMMYFUNCTION("IMPORTRANGE(""https://docs.google.com/spreadsheets/d/""&amp;$A203&amp;""/edit#gid=156619080"",K$3)"),0.3958333333333333)</f>
        <v>0.3958333333</v>
      </c>
      <c r="L203" s="16">
        <f>IFERROR(__xludf.DUMMYFUNCTION("IMPORTRANGE(""https://docs.google.com/spreadsheets/d/""&amp;$A203&amp;""/edit#gid=156619080"",L$3)"),1916.0)</f>
        <v>1916</v>
      </c>
      <c r="M203" s="16">
        <f>IFERROR(__xludf.DUMMYFUNCTION("IMPORTRANGE(""https://docs.google.com/spreadsheets/d/""&amp;$A203&amp;""/edit#gid=156619080"",M$3)"),0.47708333333333336)</f>
        <v>0.4770833333</v>
      </c>
      <c r="N203" s="16">
        <f>IFERROR(__xludf.DUMMYFUNCTION("IMPORTRANGE(""https://docs.google.com/spreadsheets/d/""&amp;$A203&amp;""/edit#gid=156619080"",N$3)"),1931.0)</f>
        <v>1931</v>
      </c>
      <c r="O203" s="16" t="str">
        <f>IFERROR(__xludf.DUMMYFUNCTION("IMPORTRANGE(""https://docs.google.com/spreadsheets/d/""&amp;$A203&amp;""/edit#gid=156619080"",O$3)"),"1662300株")</f>
        <v>1662300株</v>
      </c>
      <c r="P203" s="16" t="str">
        <f>IFERROR(__xludf.DUMMYFUNCTION("IMPORTRANGE(""https://docs.google.com/spreadsheets/d/""&amp;$A203&amp;""/edit#gid=156619080"",P$3)"),"3203百万円")</f>
        <v>3203百万円</v>
      </c>
      <c r="Q203" s="16" t="str">
        <f>IFERROR(__xludf.DUMMYFUNCTION("IMPORTRANGE(""https://docs.google.com/spreadsheets/d/""&amp;$A203&amp;""/edit#gid=156619080"",Q$3)"),"2850回")</f>
        <v>2850回</v>
      </c>
      <c r="R203" s="16" t="str">
        <f>IFERROR(__xludf.DUMMYFUNCTION("IMPORTRANGE(""https://docs.google.com/spreadsheets/d/""&amp;$A203&amp;""/edit#gid=156619080"",R$3)"),"7943億円")</f>
        <v>7943億円</v>
      </c>
      <c r="S203" s="16" t="str">
        <f>IFERROR(__xludf.DUMMYFUNCTION("IMPORTRANGE(""https://docs.google.com/spreadsheets/d/""&amp;$A203&amp;""/edit#gid=156619080"",S$3)"),"陽線")</f>
        <v>陽線</v>
      </c>
      <c r="T203" s="16" t="str">
        <f>IFERROR(__xludf.DUMMYFUNCTION("IMPORTRANGE(""https://docs.google.com/spreadsheets/d/""&amp;$A203&amp;""/edit#gid=156619080"",T$3)"),"")</f>
        <v/>
      </c>
      <c r="U203" s="16">
        <f>IFERROR(__xludf.DUMMYFUNCTION("IMPORTRANGE(""https://docs.google.com/spreadsheets/d/""&amp;$A203&amp;""/edit#gid=156619080"",U$3)"),1924.8)</f>
        <v>1924.8</v>
      </c>
      <c r="V203" s="16">
        <f>IFERROR(__xludf.DUMMYFUNCTION("IMPORTRANGE(""https://docs.google.com/spreadsheets/d/""&amp;$A203&amp;""/edit#gid=156619080"",V$3)"),1930.9)</f>
        <v>1930.9</v>
      </c>
      <c r="W203" s="16">
        <f>IFERROR(__xludf.DUMMYFUNCTION("IMPORTRANGE(""https://docs.google.com/spreadsheets/d/""&amp;$A203&amp;""/edit#gid=156619080"",W$3)"),1875.1)</f>
        <v>1875.1</v>
      </c>
      <c r="X203" s="2">
        <f>IFERROR(__xludf.DUMMYFUNCTION("IMPORTRANGE(""https://docs.google.com/spreadsheets/d/""&amp;$A203&amp;""/edit#gid=156619080"",X$3)"),1806.2)</f>
        <v>1806.2</v>
      </c>
      <c r="Y203" s="17">
        <f>IFERROR(__xludf.DUMMYFUNCTION("IMPORTRANGE(""https://docs.google.com/spreadsheets/d/""&amp;$A203&amp;""/edit#gid=156619080"",Y$3)"),0.003221113881961786)</f>
        <v>0.003221113882</v>
      </c>
      <c r="Z203" s="2">
        <f>IFERROR(__xludf.DUMMYFUNCTION("IMPORTRANGE(""https://docs.google.com/spreadsheets/d/""&amp;$A203&amp;""/edit#gid=156619080"",Z$3)"),2030.96)</f>
        <v>2030.96</v>
      </c>
      <c r="AA203" s="2">
        <f>IFERROR(__xludf.DUMMYFUNCTION("IMPORTRANGE(""https://docs.google.com/spreadsheets/d/""&amp;$A203&amp;""/edit#gid=156619080"",AA$3)"),2011.48)</f>
        <v>2011.48</v>
      </c>
      <c r="AB203" s="2">
        <f>IFERROR(__xludf.DUMMYFUNCTION("IMPORTRANGE(""https://docs.google.com/spreadsheets/d/""&amp;$A203&amp;""/edit#gid=156619080"",AB$3)"),1991.99)</f>
        <v>1991.99</v>
      </c>
      <c r="AC203" s="18">
        <f>IFERROR(__xludf.DUMMYFUNCTION("IMPORTRANGE(""https://docs.google.com/spreadsheets/d/""&amp;$A203&amp;""/edit#gid=156619080"",AC$3)"),1972.51)</f>
        <v>1972.51</v>
      </c>
      <c r="AD203" s="18">
        <f>IFERROR(__xludf.DUMMYFUNCTION("IMPORTRANGE(""https://docs.google.com/spreadsheets/d/""&amp;$A203&amp;""/edit#gid=156619080"",AD$3)"),1953.03)</f>
        <v>1953.03</v>
      </c>
      <c r="AE203" s="18">
        <f>IFERROR(__xludf.DUMMYFUNCTION("IMPORTRANGE(""https://docs.google.com/spreadsheets/d/""&amp;$A203&amp;""/edit#gid=156619080"",AE$3)"),1875.1)</f>
        <v>1875.1</v>
      </c>
      <c r="AF203" s="2">
        <f>IFERROR(__xludf.DUMMYFUNCTION("IMPORTRANGE(""https://docs.google.com/spreadsheets/d/""&amp;$A203&amp;""/edit#gid=156619080"",AF$3)"),1797.17)</f>
        <v>1797.17</v>
      </c>
      <c r="AG203" s="2">
        <f>IFERROR(__xludf.DUMMYFUNCTION("IMPORTRANGE(""https://docs.google.com/spreadsheets/d/""&amp;$A203&amp;""/edit#gid=156619080"",AG$3)"),1777.69)</f>
        <v>1777.69</v>
      </c>
      <c r="AH203" s="2">
        <f>IFERROR(__xludf.DUMMYFUNCTION("IMPORTRANGE(""https://docs.google.com/spreadsheets/d/""&amp;$A203&amp;""/edit#gid=156619080"",AH$3)"),1758.21)</f>
        <v>1758.21</v>
      </c>
      <c r="AI203" s="2">
        <f>IFERROR(__xludf.DUMMYFUNCTION("IMPORTRANGE(""https://docs.google.com/spreadsheets/d/""&amp;$A203&amp;""/edit#gid=156619080"",AI$3)"),1738.72)</f>
        <v>1738.72</v>
      </c>
      <c r="AJ203" s="2">
        <f>IFERROR(__xludf.DUMMYFUNCTION("IMPORTRANGE(""https://docs.google.com/spreadsheets/d/""&amp;$A203&amp;""/edit#gid=156619080"",AJ$3)"),1719.24)</f>
        <v>1719.24</v>
      </c>
      <c r="AK203" s="2" t="str">
        <f>IFERROR(__xludf.DUMMYFUNCTION("IMPORTRANGE(""https://docs.google.com/spreadsheets/d/""&amp;$A203&amp;""/edit#gid=156619080"",AK$3)"),"")</f>
        <v/>
      </c>
      <c r="AL203" s="2">
        <f>IFERROR(__xludf.DUMMYFUNCTION("IMPORTRANGE(""https://docs.google.com/spreadsheets/d/""&amp;$A203&amp;""/edit#gid=156619080"",AL$3)"),-1.0)</f>
        <v>-1</v>
      </c>
      <c r="AM203" s="2" t="str">
        <f>IFERROR(__xludf.DUMMYFUNCTION("IMPORTRANGE(""https://docs.google.com/spreadsheets/d/""&amp;$A203&amp;""/edit#gid=156619080"",AM$3)"),"")</f>
        <v/>
      </c>
      <c r="AN203" s="2">
        <f>IFERROR(__xludf.DUMMYFUNCTION("IMPORTRANGE(""https://docs.google.com/spreadsheets/d/""&amp;$A203&amp;""/edit#gid=156619080"",AN$3)"),1.0)</f>
        <v>1</v>
      </c>
      <c r="AO203" s="2" t="str">
        <f>IFERROR(__xludf.DUMMYFUNCTION("IMPORTRANGE(""https://docs.google.com/spreadsheets/d/""&amp;$A203&amp;""/edit#gid=156619080"",AO$3)"),"")</f>
        <v/>
      </c>
      <c r="AP203" s="2">
        <f>IFERROR(__xludf.DUMMYFUNCTION("IMPORTRANGE(""https://docs.google.com/spreadsheets/d/""&amp;$A203&amp;""/edit#gid=156619080"",AP$3)"),1.0)</f>
        <v>1</v>
      </c>
      <c r="AQ203" s="2" t="str">
        <f>IFERROR(__xludf.DUMMYFUNCTION("IMPORTRANGE(""https://docs.google.com/spreadsheets/d/""&amp;$A203&amp;""/edit#gid=156619080"",AQ$3)"),"")</f>
        <v/>
      </c>
      <c r="AR203" s="18">
        <f>IFERROR(__xludf.DUMMYFUNCTION("IMPORTRANGE(""https://docs.google.com/spreadsheets/d/""&amp;$A203&amp;""/edit#gid=156619080"",AR$3)"),12.5)</f>
        <v>12.5</v>
      </c>
      <c r="AS203" s="19" t="str">
        <f>IFERROR(__xludf.DUMMYFUNCTION("IMPORTRANGE(""https://docs.google.com/spreadsheets/d/""&amp;$A203&amp;""/edit#gid=156619080"",AS$3)"),"-60
-90
-90
-20
")</f>
        <v>-60
-90
-90
-20
</v>
      </c>
      <c r="AT203" s="18">
        <f>IFERROR(__xludf.DUMMYFUNCTION("IMPORTRANGE(""https://docs.google.com/spreadsheets/d/""&amp;$A203&amp;""/edit#gid=156619080"",AT$3)"),-3.1593406593406703)</f>
        <v>-3.159340659</v>
      </c>
      <c r="AU203" s="3" t="str">
        <f>IFERROR(__xludf.DUMMYFUNCTION("IMPORTRANGE(""https://docs.google.com/spreadsheets/d/""&amp;$A203&amp;""/edit#gid=156619080"",AU$3)"),"75.82
60.44
40.66
19.78
")</f>
        <v>75.82
60.44
40.66
19.78
</v>
      </c>
      <c r="AV203" s="18">
        <f>IFERROR(__xludf.DUMMYFUNCTION("IMPORTRANGE(""https://docs.google.com/spreadsheets/d/""&amp;$A203&amp;""/edit#gid=156619080"",AV$3)"),70.03246753246754)</f>
        <v>70.03246753</v>
      </c>
      <c r="AW203" s="19" t="str">
        <f>IFERROR(__xludf.DUMMYFUNCTION("IMPORTRANGE(""https://docs.google.com/spreadsheets/d/""&amp;$A203&amp;""/edit#gid=156619080"",AW$3)"),"45.97
49.97
62.18
69.61
")</f>
        <v>45.97
49.97
62.18
69.61
</v>
      </c>
      <c r="AX203" s="2">
        <f>IFERROR(__xludf.DUMMYFUNCTION("IMPORTRANGE(""https://docs.google.com/spreadsheets/d/""&amp;$A203&amp;""/edit#gid=156619080"",AX$3)"),61.9)</f>
        <v>61.9</v>
      </c>
      <c r="AY203" s="2">
        <f>IFERROR(__xludf.DUMMYFUNCTION("IMPORTRANGE(""https://docs.google.com/spreadsheets/d/""&amp;$A203&amp;""/edit#gid=156619080"",AY$3)"),54.72)</f>
        <v>54.72</v>
      </c>
      <c r="AZ203" s="2">
        <f>IFERROR(__xludf.DUMMYFUNCTION("IMPORTRANGE(""https://docs.google.com/spreadsheets/d/""&amp;$A203&amp;""/edit#gid=156619080"",AZ$3)"),1927.24)</f>
        <v>1927.24</v>
      </c>
      <c r="BA203" s="2">
        <f>IFERROR(__xludf.DUMMYFUNCTION("IMPORTRANGE(""https://docs.google.com/spreadsheets/d/""&amp;$A203&amp;""/edit#gid=156619080"",BA$3)"),26.720000000000027)</f>
        <v>26.72</v>
      </c>
      <c r="BB203" s="2">
        <f>IFERROR(__xludf.DUMMYFUNCTION("IMPORTRANGE(""https://docs.google.com/spreadsheets/d/""&amp;$A203&amp;""/edit#gid=156619080"",BB$3)"),29.11)</f>
        <v>29.11</v>
      </c>
      <c r="BC203" s="2" t="str">
        <f>IFERROR(__xludf.DUMMYFUNCTION("IMPORTRANGE(""https://docs.google.com/spreadsheets/d/""&amp;$A203&amp;""/edit#gid=156619080"",BC$3)"),"DC→DC")</f>
        <v>DC→DC</v>
      </c>
    </row>
    <row r="204" ht="51.0" customHeight="1">
      <c r="A204" s="7" t="str">
        <f t="shared" si="5"/>
        <v>1OjK14xqFgxc3ieQ_659QzfDe3laKdXqSgcYN300cQZQ</v>
      </c>
      <c r="B204" s="1" t="s">
        <v>231</v>
      </c>
      <c r="C204" s="2">
        <f>IFERROR(__xludf.DUMMYFUNCTION("IMPORTRANGE(""https://docs.google.com/spreadsheets/d/""&amp;$A204&amp;""/edit#gid=156619080"",C$3)"),132.0)</f>
        <v>132</v>
      </c>
      <c r="D204" s="2">
        <f>IFERROR(__xludf.DUMMYFUNCTION("IMPORTRANGE(""https://docs.google.com/spreadsheets/d/""&amp;$A204&amp;""/edit#gid=156619080"",D$3)"),9101.0)</f>
        <v>9101</v>
      </c>
      <c r="E204" s="15">
        <f>IFERROR(__xludf.DUMMYFUNCTION("IMPORTRANGE(""https://docs.google.com/spreadsheets/d/""&amp;$A204&amp;""/edit#gid=156619080"",E$3)"),43882.0)</f>
        <v>43882</v>
      </c>
      <c r="F204" s="2">
        <f>IFERROR(__xludf.DUMMYFUNCTION("IMPORTRANGE(""https://docs.google.com/spreadsheets/d/""&amp;$A204&amp;""/edit#gid=156619080"",F$3)"),-14.0)</f>
        <v>-14</v>
      </c>
      <c r="G204" s="16">
        <f>IFERROR(__xludf.DUMMYFUNCTION("IMPORTRANGE(""https://docs.google.com/spreadsheets/d/""&amp;$A204&amp;""/edit#gid=156619080"",G$3)"),-0.8)</f>
        <v>-0.8</v>
      </c>
      <c r="H204" s="16">
        <f>IFERROR(__xludf.DUMMYFUNCTION("IMPORTRANGE(""https://docs.google.com/spreadsheets/d/""&amp;$A204&amp;""/edit#gid=156619080"",H$3)"),1738.0)</f>
        <v>1738</v>
      </c>
      <c r="I204" s="16">
        <f>IFERROR(__xludf.DUMMYFUNCTION("IMPORTRANGE(""https://docs.google.com/spreadsheets/d/""&amp;$A204&amp;""/edit#gid=156619080"",I$3)"),8.0)</f>
        <v>8</v>
      </c>
      <c r="J204" s="16">
        <f>IFERROR(__xludf.DUMMYFUNCTION("IMPORTRANGE(""https://docs.google.com/spreadsheets/d/""&amp;$A204&amp;""/edit#gid=156619080"",J$3)"),1750.0)</f>
        <v>1750</v>
      </c>
      <c r="K204" s="16">
        <f>IFERROR(__xludf.DUMMYFUNCTION("IMPORTRANGE(""https://docs.google.com/spreadsheets/d/""&amp;$A204&amp;""/edit#gid=156619080"",K$3)"),0.3798611111111111)</f>
        <v>0.3798611111</v>
      </c>
      <c r="L204" s="16">
        <f>IFERROR(__xludf.DUMMYFUNCTION("IMPORTRANGE(""https://docs.google.com/spreadsheets/d/""&amp;$A204&amp;""/edit#gid=156619080"",L$3)"),1726.0)</f>
        <v>1726</v>
      </c>
      <c r="M204" s="16">
        <f>IFERROR(__xludf.DUMMYFUNCTION("IMPORTRANGE(""https://docs.google.com/spreadsheets/d/""&amp;$A204&amp;""/edit#gid=156619080"",M$3)"),0.47847222222222224)</f>
        <v>0.4784722222</v>
      </c>
      <c r="N204" s="16">
        <f>IFERROR(__xludf.DUMMYFUNCTION("IMPORTRANGE(""https://docs.google.com/spreadsheets/d/""&amp;$A204&amp;""/edit#gid=156619080"",N$3)"),1732.0)</f>
        <v>1732</v>
      </c>
      <c r="O204" s="16" t="str">
        <f>IFERROR(__xludf.DUMMYFUNCTION("IMPORTRANGE(""https://docs.google.com/spreadsheets/d/""&amp;$A204&amp;""/edit#gid=156619080"",O$3)"),"1186700株")</f>
        <v>1186700株</v>
      </c>
      <c r="P204" s="16" t="str">
        <f>IFERROR(__xludf.DUMMYFUNCTION("IMPORTRANGE(""https://docs.google.com/spreadsheets/d/""&amp;$A204&amp;""/edit#gid=156619080"",P$3)"),"2060百万円")</f>
        <v>2060百万円</v>
      </c>
      <c r="Q204" s="16" t="str">
        <f>IFERROR(__xludf.DUMMYFUNCTION("IMPORTRANGE(""https://docs.google.com/spreadsheets/d/""&amp;$A204&amp;""/edit#gid=156619080"",Q$3)"),"2088回")</f>
        <v>2088回</v>
      </c>
      <c r="R204" s="16" t="str">
        <f>IFERROR(__xludf.DUMMYFUNCTION("IMPORTRANGE(""https://docs.google.com/spreadsheets/d/""&amp;$A204&amp;""/edit#gid=156619080"",R$3)"),"2945億円")</f>
        <v>2945億円</v>
      </c>
      <c r="S204" s="16" t="str">
        <f>IFERROR(__xludf.DUMMYFUNCTION("IMPORTRANGE(""https://docs.google.com/spreadsheets/d/""&amp;$A204&amp;""/edit#gid=156619080"",S$3)"),"陰線")</f>
        <v>陰線</v>
      </c>
      <c r="T204" s="16" t="str">
        <f>IFERROR(__xludf.DUMMYFUNCTION("IMPORTRANGE(""https://docs.google.com/spreadsheets/d/""&amp;$A204&amp;""/edit#gid=156619080"",T$3)"),"")</f>
        <v/>
      </c>
      <c r="U204" s="16">
        <f>IFERROR(__xludf.DUMMYFUNCTION("IMPORTRANGE(""https://docs.google.com/spreadsheets/d/""&amp;$A204&amp;""/edit#gid=156619080"",U$3)"),1735.2)</f>
        <v>1735.2</v>
      </c>
      <c r="V204" s="16">
        <f>IFERROR(__xludf.DUMMYFUNCTION("IMPORTRANGE(""https://docs.google.com/spreadsheets/d/""&amp;$A204&amp;""/edit#gid=156619080"",V$3)"),1752.4)</f>
        <v>1752.4</v>
      </c>
      <c r="W204" s="16">
        <f>IFERROR(__xludf.DUMMYFUNCTION("IMPORTRANGE(""https://docs.google.com/spreadsheets/d/""&amp;$A204&amp;""/edit#gid=156619080"",W$3)"),1772.2)</f>
        <v>1772.2</v>
      </c>
      <c r="X204" s="2">
        <f>IFERROR(__xludf.DUMMYFUNCTION("IMPORTRANGE(""https://docs.google.com/spreadsheets/d/""&amp;$A204&amp;""/edit#gid=156619080"",X$3)"),1880.1)</f>
        <v>1880.1</v>
      </c>
      <c r="Y204" s="17">
        <f>IFERROR(__xludf.DUMMYFUNCTION("IMPORTRANGE(""https://docs.google.com/spreadsheets/d/""&amp;$A204&amp;""/edit#gid=156619080"",Y$3)"),-0.00184416781927158)</f>
        <v>-0.001844167819</v>
      </c>
      <c r="Z204" s="2">
        <f>IFERROR(__xludf.DUMMYFUNCTION("IMPORTRANGE(""https://docs.google.com/spreadsheets/d/""&amp;$A204&amp;""/edit#gid=156619080"",Z$3)"),1848.3)</f>
        <v>1848.3</v>
      </c>
      <c r="AA204" s="2">
        <f>IFERROR(__xludf.DUMMYFUNCTION("IMPORTRANGE(""https://docs.google.com/spreadsheets/d/""&amp;$A204&amp;""/edit#gid=156619080"",AA$3)"),1838.78)</f>
        <v>1838.78</v>
      </c>
      <c r="AB204" s="2">
        <f>IFERROR(__xludf.DUMMYFUNCTION("IMPORTRANGE(""https://docs.google.com/spreadsheets/d/""&amp;$A204&amp;""/edit#gid=156619080"",AB$3)"),1829.27)</f>
        <v>1829.27</v>
      </c>
      <c r="AC204" s="18">
        <f>IFERROR(__xludf.DUMMYFUNCTION("IMPORTRANGE(""https://docs.google.com/spreadsheets/d/""&amp;$A204&amp;""/edit#gid=156619080"",AC$3)"),1819.76)</f>
        <v>1819.76</v>
      </c>
      <c r="AD204" s="18">
        <f>IFERROR(__xludf.DUMMYFUNCTION("IMPORTRANGE(""https://docs.google.com/spreadsheets/d/""&amp;$A204&amp;""/edit#gid=156619080"",AD$3)"),1810.25)</f>
        <v>1810.25</v>
      </c>
      <c r="AE204" s="18">
        <f>IFERROR(__xludf.DUMMYFUNCTION("IMPORTRANGE(""https://docs.google.com/spreadsheets/d/""&amp;$A204&amp;""/edit#gid=156619080"",AE$3)"),1772.2)</f>
        <v>1772.2</v>
      </c>
      <c r="AF204" s="2">
        <f>IFERROR(__xludf.DUMMYFUNCTION("IMPORTRANGE(""https://docs.google.com/spreadsheets/d/""&amp;$A204&amp;""/edit#gid=156619080"",AF$3)"),1734.15)</f>
        <v>1734.15</v>
      </c>
      <c r="AG204" s="2">
        <f>IFERROR(__xludf.DUMMYFUNCTION("IMPORTRANGE(""https://docs.google.com/spreadsheets/d/""&amp;$A204&amp;""/edit#gid=156619080"",AG$3)"),1724.64)</f>
        <v>1724.64</v>
      </c>
      <c r="AH204" s="2">
        <f>IFERROR(__xludf.DUMMYFUNCTION("IMPORTRANGE(""https://docs.google.com/spreadsheets/d/""&amp;$A204&amp;""/edit#gid=156619080"",AH$3)"),1715.13)</f>
        <v>1715.13</v>
      </c>
      <c r="AI204" s="2">
        <f>IFERROR(__xludf.DUMMYFUNCTION("IMPORTRANGE(""https://docs.google.com/spreadsheets/d/""&amp;$A204&amp;""/edit#gid=156619080"",AI$3)"),1705.62)</f>
        <v>1705.62</v>
      </c>
      <c r="AJ204" s="2">
        <f>IFERROR(__xludf.DUMMYFUNCTION("IMPORTRANGE(""https://docs.google.com/spreadsheets/d/""&amp;$A204&amp;""/edit#gid=156619080"",AJ$3)"),1696.1)</f>
        <v>1696.1</v>
      </c>
      <c r="AK204" s="2" t="str">
        <f>IFERROR(__xludf.DUMMYFUNCTION("IMPORTRANGE(""https://docs.google.com/spreadsheets/d/""&amp;$A204&amp;""/edit#gid=156619080"",AK$3)"),"-1〜-1.25σ")</f>
        <v>-1〜-1.25σ</v>
      </c>
      <c r="AL204" s="2">
        <f>IFERROR(__xludf.DUMMYFUNCTION("IMPORTRANGE(""https://docs.google.com/spreadsheets/d/""&amp;$A204&amp;""/edit#gid=156619080"",AL$3)"),-1.0)</f>
        <v>-1</v>
      </c>
      <c r="AM204" s="2" t="str">
        <f>IFERROR(__xludf.DUMMYFUNCTION("IMPORTRANGE(""https://docs.google.com/spreadsheets/d/""&amp;$A204&amp;""/edit#gid=156619080"",AM$3)"),"")</f>
        <v/>
      </c>
      <c r="AN204" s="2">
        <f>IFERROR(__xludf.DUMMYFUNCTION("IMPORTRANGE(""https://docs.google.com/spreadsheets/d/""&amp;$A204&amp;""/edit#gid=156619080"",AN$3)"),-1.0)</f>
        <v>-1</v>
      </c>
      <c r="AO204" s="2" t="str">
        <f>IFERROR(__xludf.DUMMYFUNCTION("IMPORTRANGE(""https://docs.google.com/spreadsheets/d/""&amp;$A204&amp;""/edit#gid=156619080"",AO$3)"),"")</f>
        <v/>
      </c>
      <c r="AP204" s="2">
        <f>IFERROR(__xludf.DUMMYFUNCTION("IMPORTRANGE(""https://docs.google.com/spreadsheets/d/""&amp;$A204&amp;""/edit#gid=156619080"",AP$3)"),-1.0)</f>
        <v>-1</v>
      </c>
      <c r="AQ204" s="2" t="str">
        <f>IFERROR(__xludf.DUMMYFUNCTION("IMPORTRANGE(""https://docs.google.com/spreadsheets/d/""&amp;$A204&amp;""/edit#gid=156619080"",AQ$3)"),"")</f>
        <v/>
      </c>
      <c r="AR204" s="18">
        <f>IFERROR(__xludf.DUMMYFUNCTION("IMPORTRANGE(""https://docs.google.com/spreadsheets/d/""&amp;$A204&amp;""/edit#gid=156619080"",AR$3)"),57.49999999999999)</f>
        <v>57.5</v>
      </c>
      <c r="AS204" s="19" t="str">
        <f>IFERROR(__xludf.DUMMYFUNCTION("IMPORTRANGE(""https://docs.google.com/spreadsheets/d/""&amp;$A204&amp;""/edit#gid=156619080"",AS$3)"),"-92.5
-100
0
57.5
")</f>
        <v>-92.5
-100
0
57.5
</v>
      </c>
      <c r="AT204" s="18">
        <f>IFERROR(__xludf.DUMMYFUNCTION("IMPORTRANGE(""https://docs.google.com/spreadsheets/d/""&amp;$A204&amp;""/edit#gid=156619080"",AT$3)"),-53.021978021978015)</f>
        <v>-53.02197802</v>
      </c>
      <c r="AU204" s="3" t="str">
        <f>IFERROR(__xludf.DUMMYFUNCTION("IMPORTRANGE(""https://docs.google.com/spreadsheets/d/""&amp;$A204&amp;""/edit#gid=156619080"",AU$3)"),"-64.01
-64.01
-46.98
-31.18
")</f>
        <v>-64.01
-64.01
-46.98
-31.18
</v>
      </c>
      <c r="AV204" s="18">
        <f>IFERROR(__xludf.DUMMYFUNCTION("IMPORTRANGE(""https://docs.google.com/spreadsheets/d/""&amp;$A204&amp;""/edit#gid=156619080"",AV$3)"),-78.27922077922078)</f>
        <v>-78.27922078</v>
      </c>
      <c r="AW204" s="19" t="str">
        <f>IFERROR(__xludf.DUMMYFUNCTION("IMPORTRANGE(""https://docs.google.com/spreadsheets/d/""&amp;$A204&amp;""/edit#gid=156619080"",AW$3)"),"-87.99
-88.12
-84.09
-79.19
")</f>
        <v>-87.99
-88.12
-84.09
-79.19
</v>
      </c>
      <c r="AX204" s="2">
        <f>IFERROR(__xludf.DUMMYFUNCTION("IMPORTRANGE(""https://docs.google.com/spreadsheets/d/""&amp;$A204&amp;""/edit#gid=156619080"",AX$3)"),43.64)</f>
        <v>43.64</v>
      </c>
      <c r="AY204" s="2">
        <f>IFERROR(__xludf.DUMMYFUNCTION("IMPORTRANGE(""https://docs.google.com/spreadsheets/d/""&amp;$A204&amp;""/edit#gid=156619080"",AY$3)"),30.270000000000003)</f>
        <v>30.27</v>
      </c>
      <c r="AZ204" s="2">
        <f>IFERROR(__xludf.DUMMYFUNCTION("IMPORTRANGE(""https://docs.google.com/spreadsheets/d/""&amp;$A204&amp;""/edit#gid=156619080"",AZ$3)"),1739.12)</f>
        <v>1739.12</v>
      </c>
      <c r="BA204" s="2">
        <f>IFERROR(__xludf.DUMMYFUNCTION("IMPORTRANGE(""https://docs.google.com/spreadsheets/d/""&amp;$A204&amp;""/edit#gid=156619080"",BA$3)"),-41.22000000000003)</f>
        <v>-41.22</v>
      </c>
      <c r="BB204" s="2">
        <f>IFERROR(__xludf.DUMMYFUNCTION("IMPORTRANGE(""https://docs.google.com/spreadsheets/d/""&amp;$A204&amp;""/edit#gid=156619080"",BB$3)"),-49.91)</f>
        <v>-49.91</v>
      </c>
      <c r="BC204" s="2" t="str">
        <f>IFERROR(__xludf.DUMMYFUNCTION("IMPORTRANGE(""https://docs.google.com/spreadsheets/d/""&amp;$A204&amp;""/edit#gid=156619080"",BC$3)"),"GC→GC")</f>
        <v>GC→GC</v>
      </c>
    </row>
    <row r="205" ht="51.0" customHeight="1">
      <c r="A205" s="7" t="str">
        <f t="shared" si="5"/>
        <v>1z3IO4RwGKqZFlrm9p41_kqdhytrm5XaV-zScesz7Vbc</v>
      </c>
      <c r="B205" s="1" t="s">
        <v>232</v>
      </c>
      <c r="C205" s="2">
        <f>IFERROR(__xludf.DUMMYFUNCTION("IMPORTRANGE(""https://docs.google.com/spreadsheets/d/""&amp;$A205&amp;""/edit#gid=156619080"",C$3)"),132.0)</f>
        <v>132</v>
      </c>
      <c r="D205" s="2">
        <f>IFERROR(__xludf.DUMMYFUNCTION("IMPORTRANGE(""https://docs.google.com/spreadsheets/d/""&amp;$A205&amp;""/edit#gid=156619080"",D$3)"),9104.0)</f>
        <v>9104</v>
      </c>
      <c r="E205" s="15">
        <f>IFERROR(__xludf.DUMMYFUNCTION("IMPORTRANGE(""https://docs.google.com/spreadsheets/d/""&amp;$A205&amp;""/edit#gid=156619080"",E$3)"),43882.0)</f>
        <v>43882</v>
      </c>
      <c r="F205" s="2">
        <f>IFERROR(__xludf.DUMMYFUNCTION("IMPORTRANGE(""https://docs.google.com/spreadsheets/d/""&amp;$A205&amp;""/edit#gid=156619080"",F$3)"),-10.0)</f>
        <v>-10</v>
      </c>
      <c r="G205" s="16">
        <f>IFERROR(__xludf.DUMMYFUNCTION("IMPORTRANGE(""https://docs.google.com/spreadsheets/d/""&amp;$A205&amp;""/edit#gid=156619080"",G$3)"),-0.39)</f>
        <v>-0.39</v>
      </c>
      <c r="H205" s="16">
        <f>IFERROR(__xludf.DUMMYFUNCTION("IMPORTRANGE(""https://docs.google.com/spreadsheets/d/""&amp;$A205&amp;""/edit#gid=156619080"",H$3)"),2543.0)</f>
        <v>2543</v>
      </c>
      <c r="I205" s="16">
        <f>IFERROR(__xludf.DUMMYFUNCTION("IMPORTRANGE(""https://docs.google.com/spreadsheets/d/""&amp;$A205&amp;""/edit#gid=156619080"",I$3)"),22.0)</f>
        <v>22</v>
      </c>
      <c r="J205" s="16">
        <f>IFERROR(__xludf.DUMMYFUNCTION("IMPORTRANGE(""https://docs.google.com/spreadsheets/d/""&amp;$A205&amp;""/edit#gid=156619080"",J$3)"),2582.0)</f>
        <v>2582</v>
      </c>
      <c r="K205" s="16">
        <f>IFERROR(__xludf.DUMMYFUNCTION("IMPORTRANGE(""https://docs.google.com/spreadsheets/d/""&amp;$A205&amp;""/edit#gid=156619080"",K$3)"),0.4326388888888889)</f>
        <v>0.4326388889</v>
      </c>
      <c r="L205" s="16">
        <f>IFERROR(__xludf.DUMMYFUNCTION("IMPORTRANGE(""https://docs.google.com/spreadsheets/d/""&amp;$A205&amp;""/edit#gid=156619080"",L$3)"),2533.0)</f>
        <v>2533</v>
      </c>
      <c r="M205" s="16">
        <f>IFERROR(__xludf.DUMMYFUNCTION("IMPORTRANGE(""https://docs.google.com/spreadsheets/d/""&amp;$A205&amp;""/edit#gid=156619080"",M$3)"),0.375)</f>
        <v>0.375</v>
      </c>
      <c r="N205" s="16">
        <f>IFERROR(__xludf.DUMMYFUNCTION("IMPORTRANGE(""https://docs.google.com/spreadsheets/d/""&amp;$A205&amp;""/edit#gid=156619080"",N$3)"),2555.0)</f>
        <v>2555</v>
      </c>
      <c r="O205" s="16" t="str">
        <f>IFERROR(__xludf.DUMMYFUNCTION("IMPORTRANGE(""https://docs.google.com/spreadsheets/d/""&amp;$A205&amp;""/edit#gid=156619080"",O$3)"),"791500株")</f>
        <v>791500株</v>
      </c>
      <c r="P205" s="16" t="str">
        <f>IFERROR(__xludf.DUMMYFUNCTION("IMPORTRANGE(""https://docs.google.com/spreadsheets/d/""&amp;$A205&amp;""/edit#gid=156619080"",P$3)"),"2025百万円")</f>
        <v>2025百万円</v>
      </c>
      <c r="Q205" s="16" t="str">
        <f>IFERROR(__xludf.DUMMYFUNCTION("IMPORTRANGE(""https://docs.google.com/spreadsheets/d/""&amp;$A205&amp;""/edit#gid=156619080"",Q$3)"),"2093回")</f>
        <v>2093回</v>
      </c>
      <c r="R205" s="16" t="str">
        <f>IFERROR(__xludf.DUMMYFUNCTION("IMPORTRANGE(""https://docs.google.com/spreadsheets/d/""&amp;$A205&amp;""/edit#gid=156619080"",R$3)"),"3082億円")</f>
        <v>3082億円</v>
      </c>
      <c r="S205" s="16" t="str">
        <f>IFERROR(__xludf.DUMMYFUNCTION("IMPORTRANGE(""https://docs.google.com/spreadsheets/d/""&amp;$A205&amp;""/edit#gid=156619080"",S$3)"),"陽線")</f>
        <v>陽線</v>
      </c>
      <c r="T205" s="16" t="str">
        <f>IFERROR(__xludf.DUMMYFUNCTION("IMPORTRANGE(""https://docs.google.com/spreadsheets/d/""&amp;$A205&amp;""/edit#gid=156619080"",T$3)"),"")</f>
        <v/>
      </c>
      <c r="U205" s="16">
        <f>IFERROR(__xludf.DUMMYFUNCTION("IMPORTRANGE(""https://docs.google.com/spreadsheets/d/""&amp;$A205&amp;""/edit#gid=156619080"",U$3)"),2528.8)</f>
        <v>2528.8</v>
      </c>
      <c r="V205" s="16">
        <f>IFERROR(__xludf.DUMMYFUNCTION("IMPORTRANGE(""https://docs.google.com/spreadsheets/d/""&amp;$A205&amp;""/edit#gid=156619080"",V$3)"),2551.8)</f>
        <v>2551.8</v>
      </c>
      <c r="W205" s="16">
        <f>IFERROR(__xludf.DUMMYFUNCTION("IMPORTRANGE(""https://docs.google.com/spreadsheets/d/""&amp;$A205&amp;""/edit#gid=156619080"",W$3)"),2619.7)</f>
        <v>2619.7</v>
      </c>
      <c r="X205" s="2">
        <f>IFERROR(__xludf.DUMMYFUNCTION("IMPORTRANGE(""https://docs.google.com/spreadsheets/d/""&amp;$A205&amp;""/edit#gid=156619080"",X$3)"),2842.0)</f>
        <v>2842</v>
      </c>
      <c r="Y205" s="17">
        <f>IFERROR(__xludf.DUMMYFUNCTION("IMPORTRANGE(""https://docs.google.com/spreadsheets/d/""&amp;$A205&amp;""/edit#gid=156619080"",Y$3)"),0.010360645365390626)</f>
        <v>0.01036064537</v>
      </c>
      <c r="Z205" s="2">
        <f>IFERROR(__xludf.DUMMYFUNCTION("IMPORTRANGE(""https://docs.google.com/spreadsheets/d/""&amp;$A205&amp;""/edit#gid=156619080"",Z$3)"),2829.0)</f>
        <v>2829</v>
      </c>
      <c r="AA205" s="2">
        <f>IFERROR(__xludf.DUMMYFUNCTION("IMPORTRANGE(""https://docs.google.com/spreadsheets/d/""&amp;$A205&amp;""/edit#gid=156619080"",AA$3)"),2802.84)</f>
        <v>2802.84</v>
      </c>
      <c r="AB205" s="2">
        <f>IFERROR(__xludf.DUMMYFUNCTION("IMPORTRANGE(""https://docs.google.com/spreadsheets/d/""&amp;$A205&amp;""/edit#gid=156619080"",AB$3)"),2776.68)</f>
        <v>2776.68</v>
      </c>
      <c r="AC205" s="18">
        <f>IFERROR(__xludf.DUMMYFUNCTION("IMPORTRANGE(""https://docs.google.com/spreadsheets/d/""&amp;$A205&amp;""/edit#gid=156619080"",AC$3)"),2750.51)</f>
        <v>2750.51</v>
      </c>
      <c r="AD205" s="18">
        <f>IFERROR(__xludf.DUMMYFUNCTION("IMPORTRANGE(""https://docs.google.com/spreadsheets/d/""&amp;$A205&amp;""/edit#gid=156619080"",AD$3)"),2724.35)</f>
        <v>2724.35</v>
      </c>
      <c r="AE205" s="18">
        <f>IFERROR(__xludf.DUMMYFUNCTION("IMPORTRANGE(""https://docs.google.com/spreadsheets/d/""&amp;$A205&amp;""/edit#gid=156619080"",AE$3)"),2619.7)</f>
        <v>2619.7</v>
      </c>
      <c r="AF205" s="2">
        <f>IFERROR(__xludf.DUMMYFUNCTION("IMPORTRANGE(""https://docs.google.com/spreadsheets/d/""&amp;$A205&amp;""/edit#gid=156619080"",AF$3)"),2515.05)</f>
        <v>2515.05</v>
      </c>
      <c r="AG205" s="2">
        <f>IFERROR(__xludf.DUMMYFUNCTION("IMPORTRANGE(""https://docs.google.com/spreadsheets/d/""&amp;$A205&amp;""/edit#gid=156619080"",AG$3)"),2488.89)</f>
        <v>2488.89</v>
      </c>
      <c r="AH205" s="2">
        <f>IFERROR(__xludf.DUMMYFUNCTION("IMPORTRANGE(""https://docs.google.com/spreadsheets/d/""&amp;$A205&amp;""/edit#gid=156619080"",AH$3)"),2462.72)</f>
        <v>2462.72</v>
      </c>
      <c r="AI205" s="2">
        <f>IFERROR(__xludf.DUMMYFUNCTION("IMPORTRANGE(""https://docs.google.com/spreadsheets/d/""&amp;$A205&amp;""/edit#gid=156619080"",AI$3)"),2436.56)</f>
        <v>2436.56</v>
      </c>
      <c r="AJ205" s="2">
        <f>IFERROR(__xludf.DUMMYFUNCTION("IMPORTRANGE(""https://docs.google.com/spreadsheets/d/""&amp;$A205&amp;""/edit#gid=156619080"",AJ$3)"),2410.4)</f>
        <v>2410.4</v>
      </c>
      <c r="AK205" s="2" t="str">
        <f>IFERROR(__xludf.DUMMYFUNCTION("IMPORTRANGE(""https://docs.google.com/spreadsheets/d/""&amp;$A205&amp;""/edit#gid=156619080"",AK$3)"),"")</f>
        <v/>
      </c>
      <c r="AL205" s="2">
        <f>IFERROR(__xludf.DUMMYFUNCTION("IMPORTRANGE(""https://docs.google.com/spreadsheets/d/""&amp;$A205&amp;""/edit#gid=156619080"",AL$3)"),-1.0)</f>
        <v>-1</v>
      </c>
      <c r="AM205" s="2" t="str">
        <f>IFERROR(__xludf.DUMMYFUNCTION("IMPORTRANGE(""https://docs.google.com/spreadsheets/d/""&amp;$A205&amp;""/edit#gid=156619080"",AM$3)"),"")</f>
        <v/>
      </c>
      <c r="AN205" s="2">
        <f>IFERROR(__xludf.DUMMYFUNCTION("IMPORTRANGE(""https://docs.google.com/spreadsheets/d/""&amp;$A205&amp;""/edit#gid=156619080"",AN$3)"),-1.0)</f>
        <v>-1</v>
      </c>
      <c r="AO205" s="2" t="str">
        <f>IFERROR(__xludf.DUMMYFUNCTION("IMPORTRANGE(""https://docs.google.com/spreadsheets/d/""&amp;$A205&amp;""/edit#gid=156619080"",AO$3)"),"")</f>
        <v/>
      </c>
      <c r="AP205" s="2">
        <f>IFERROR(__xludf.DUMMYFUNCTION("IMPORTRANGE(""https://docs.google.com/spreadsheets/d/""&amp;$A205&amp;""/edit#gid=156619080"",AP$3)"),-1.0)</f>
        <v>-1</v>
      </c>
      <c r="AQ205" s="2" t="str">
        <f>IFERROR(__xludf.DUMMYFUNCTION("IMPORTRANGE(""https://docs.google.com/spreadsheets/d/""&amp;$A205&amp;""/edit#gid=156619080"",AQ$3)"),"")</f>
        <v/>
      </c>
      <c r="AR205" s="18">
        <f>IFERROR(__xludf.DUMMYFUNCTION("IMPORTRANGE(""https://docs.google.com/spreadsheets/d/""&amp;$A205&amp;""/edit#gid=156619080"",AR$3)"),90.0)</f>
        <v>90</v>
      </c>
      <c r="AS205" s="19" t="str">
        <f>IFERROR(__xludf.DUMMYFUNCTION("IMPORTRANGE(""https://docs.google.com/spreadsheets/d/""&amp;$A205&amp;""/edit#gid=156619080"",AS$3)"),"-90
-90
-7.5
70
")</f>
        <v>-90
-90
-7.5
70
</v>
      </c>
      <c r="AT205" s="18">
        <f>IFERROR(__xludf.DUMMYFUNCTION("IMPORTRANGE(""https://docs.google.com/spreadsheets/d/""&amp;$A205&amp;""/edit#gid=156619080"",AT$3)"),-52.6098901098901)</f>
        <v>-52.60989011</v>
      </c>
      <c r="AU205" s="3" t="str">
        <f>IFERROR(__xludf.DUMMYFUNCTION("IMPORTRANGE(""https://docs.google.com/spreadsheets/d/""&amp;$A205&amp;""/edit#gid=156619080"",AU$3)"),"-78.57
-78.02
-73.49
-52.61
")</f>
        <v>-78.57
-78.02
-73.49
-52.61
</v>
      </c>
      <c r="AV205" s="18">
        <f>IFERROR(__xludf.DUMMYFUNCTION("IMPORTRANGE(""https://docs.google.com/spreadsheets/d/""&amp;$A205&amp;""/edit#gid=156619080"",AV$3)"),-83.9935064935065)</f>
        <v>-83.99350649</v>
      </c>
      <c r="AW205" s="19" t="str">
        <f>IFERROR(__xludf.DUMMYFUNCTION("IMPORTRANGE(""https://docs.google.com/spreadsheets/d/""&amp;$A205&amp;""/edit#gid=156619080"",AW$3)"),"-94.16
-94.16
-93.08
-88.15
")</f>
        <v>-94.16
-94.16
-93.08
-88.15
</v>
      </c>
      <c r="AX205" s="2">
        <f>IFERROR(__xludf.DUMMYFUNCTION("IMPORTRANGE(""https://docs.google.com/spreadsheets/d/""&amp;$A205&amp;""/edit#gid=156619080"",AX$3)"),71.58)</f>
        <v>71.58</v>
      </c>
      <c r="AY205" s="2">
        <f>IFERROR(__xludf.DUMMYFUNCTION("IMPORTRANGE(""https://docs.google.com/spreadsheets/d/""&amp;$A205&amp;""/edit#gid=156619080"",AY$3)"),28.689999999999998)</f>
        <v>28.69</v>
      </c>
      <c r="AZ205" s="2">
        <f>IFERROR(__xludf.DUMMYFUNCTION("IMPORTRANGE(""https://docs.google.com/spreadsheets/d/""&amp;$A205&amp;""/edit#gid=156619080"",AZ$3)"),2543.35)</f>
        <v>2543.35</v>
      </c>
      <c r="BA205" s="2">
        <f>IFERROR(__xludf.DUMMYFUNCTION("IMPORTRANGE(""https://docs.google.com/spreadsheets/d/""&amp;$A205&amp;""/edit#gid=156619080"",BA$3)"),-81.24000000000024)</f>
        <v>-81.24</v>
      </c>
      <c r="BB205" s="2">
        <f>IFERROR(__xludf.DUMMYFUNCTION("IMPORTRANGE(""https://docs.google.com/spreadsheets/d/""&amp;$A205&amp;""/edit#gid=156619080"",BB$3)"),-110.34)</f>
        <v>-110.34</v>
      </c>
      <c r="BC205" s="2" t="str">
        <f>IFERROR(__xludf.DUMMYFUNCTION("IMPORTRANGE(""https://docs.google.com/spreadsheets/d/""&amp;$A205&amp;""/edit#gid=156619080"",BC$3)"),"GC→GC")</f>
        <v>GC→GC</v>
      </c>
    </row>
    <row r="206" ht="51.0" customHeight="1">
      <c r="A206" s="7" t="str">
        <f t="shared" si="5"/>
        <v>1bWdovfLm0JxasUCwilDlTaDT5lM-lpzd-RQ6ozJTDUI</v>
      </c>
      <c r="B206" s="1" t="s">
        <v>233</v>
      </c>
      <c r="C206" s="2">
        <f>IFERROR(__xludf.DUMMYFUNCTION("IMPORTRANGE(""https://docs.google.com/spreadsheets/d/""&amp;$A206&amp;""/edit#gid=156619080"",C$3)"),132.0)</f>
        <v>132</v>
      </c>
      <c r="D206" s="2">
        <f>IFERROR(__xludf.DUMMYFUNCTION("IMPORTRANGE(""https://docs.google.com/spreadsheets/d/""&amp;$A206&amp;""/edit#gid=156619080"",D$3)"),9107.0)</f>
        <v>9107</v>
      </c>
      <c r="E206" s="15">
        <f>IFERROR(__xludf.DUMMYFUNCTION("IMPORTRANGE(""https://docs.google.com/spreadsheets/d/""&amp;$A206&amp;""/edit#gid=156619080"",E$3)"),43882.0)</f>
        <v>43882</v>
      </c>
      <c r="F206" s="2">
        <f>IFERROR(__xludf.DUMMYFUNCTION("IMPORTRANGE(""https://docs.google.com/spreadsheets/d/""&amp;$A206&amp;""/edit#gid=156619080"",F$3)"),-22.0)</f>
        <v>-22</v>
      </c>
      <c r="G206" s="16">
        <f>IFERROR(__xludf.DUMMYFUNCTION("IMPORTRANGE(""https://docs.google.com/spreadsheets/d/""&amp;$A206&amp;""/edit#gid=156619080"",G$3)"),-1.48)</f>
        <v>-1.48</v>
      </c>
      <c r="H206" s="16">
        <f>IFERROR(__xludf.DUMMYFUNCTION("IMPORTRANGE(""https://docs.google.com/spreadsheets/d/""&amp;$A206&amp;""/edit#gid=156619080"",H$3)"),1468.0)</f>
        <v>1468</v>
      </c>
      <c r="I206" s="16">
        <f>IFERROR(__xludf.DUMMYFUNCTION("IMPORTRANGE(""https://docs.google.com/spreadsheets/d/""&amp;$A206&amp;""/edit#gid=156619080"",I$3)"),18.0)</f>
        <v>18</v>
      </c>
      <c r="J206" s="16">
        <f>IFERROR(__xludf.DUMMYFUNCTION("IMPORTRANGE(""https://docs.google.com/spreadsheets/d/""&amp;$A206&amp;""/edit#gid=156619080"",J$3)"),1491.0)</f>
        <v>1491</v>
      </c>
      <c r="K206" s="16">
        <f>IFERROR(__xludf.DUMMYFUNCTION("IMPORTRANGE(""https://docs.google.com/spreadsheets/d/""&amp;$A206&amp;""/edit#gid=156619080"",K$3)"),0.38472222222222224)</f>
        <v>0.3847222222</v>
      </c>
      <c r="L206" s="16">
        <f>IFERROR(__xludf.DUMMYFUNCTION("IMPORTRANGE(""https://docs.google.com/spreadsheets/d/""&amp;$A206&amp;""/edit#gid=156619080"",L$3)"),1460.0)</f>
        <v>1460</v>
      </c>
      <c r="M206" s="16">
        <f>IFERROR(__xludf.DUMMYFUNCTION("IMPORTRANGE(""https://docs.google.com/spreadsheets/d/""&amp;$A206&amp;""/edit#gid=156619080"",M$3)"),0.4618055555555556)</f>
        <v>0.4618055556</v>
      </c>
      <c r="N206" s="16">
        <f>IFERROR(__xludf.DUMMYFUNCTION("IMPORTRANGE(""https://docs.google.com/spreadsheets/d/""&amp;$A206&amp;""/edit#gid=156619080"",N$3)"),1464.0)</f>
        <v>1464</v>
      </c>
      <c r="O206" s="16" t="str">
        <f>IFERROR(__xludf.DUMMYFUNCTION("IMPORTRANGE(""https://docs.google.com/spreadsheets/d/""&amp;$A206&amp;""/edit#gid=156619080"",O$3)"),"783800株")</f>
        <v>783800株</v>
      </c>
      <c r="P206" s="16" t="str">
        <f>IFERROR(__xludf.DUMMYFUNCTION("IMPORTRANGE(""https://docs.google.com/spreadsheets/d/""&amp;$A206&amp;""/edit#gid=156619080"",P$3)"),"1151百万円")</f>
        <v>1151百万円</v>
      </c>
      <c r="Q206" s="16" t="str">
        <f>IFERROR(__xludf.DUMMYFUNCTION("IMPORTRANGE(""https://docs.google.com/spreadsheets/d/""&amp;$A206&amp;""/edit#gid=156619080"",Q$3)"),"1465回")</f>
        <v>1465回</v>
      </c>
      <c r="R206" s="16" t="str">
        <f>IFERROR(__xludf.DUMMYFUNCTION("IMPORTRANGE(""https://docs.google.com/spreadsheets/d/""&amp;$A206&amp;""/edit#gid=156619080"",R$3)"),"1375億円")</f>
        <v>1375億円</v>
      </c>
      <c r="S206" s="16" t="str">
        <f>IFERROR(__xludf.DUMMYFUNCTION("IMPORTRANGE(""https://docs.google.com/spreadsheets/d/""&amp;$A206&amp;""/edit#gid=156619080"",S$3)"),"陰線")</f>
        <v>陰線</v>
      </c>
      <c r="T206" s="16" t="str">
        <f>IFERROR(__xludf.DUMMYFUNCTION("IMPORTRANGE(""https://docs.google.com/spreadsheets/d/""&amp;$A206&amp;""/edit#gid=156619080"",T$3)"),"")</f>
        <v/>
      </c>
      <c r="U206" s="16">
        <f>IFERROR(__xludf.DUMMYFUNCTION("IMPORTRANGE(""https://docs.google.com/spreadsheets/d/""&amp;$A206&amp;""/edit#gid=156619080"",U$3)"),1457.6)</f>
        <v>1457.6</v>
      </c>
      <c r="V206" s="16">
        <f>IFERROR(__xludf.DUMMYFUNCTION("IMPORTRANGE(""https://docs.google.com/spreadsheets/d/""&amp;$A206&amp;""/edit#gid=156619080"",V$3)"),1464.6)</f>
        <v>1464.6</v>
      </c>
      <c r="W206" s="16">
        <f>IFERROR(__xludf.DUMMYFUNCTION("IMPORTRANGE(""https://docs.google.com/spreadsheets/d/""&amp;$A206&amp;""/edit#gid=156619080"",W$3)"),1490.3)</f>
        <v>1490.3</v>
      </c>
      <c r="X206" s="2">
        <f>IFERROR(__xludf.DUMMYFUNCTION("IMPORTRANGE(""https://docs.google.com/spreadsheets/d/""&amp;$A206&amp;""/edit#gid=156619080"",X$3)"),1606.4)</f>
        <v>1606.4</v>
      </c>
      <c r="Y206" s="17">
        <f>IFERROR(__xludf.DUMMYFUNCTION("IMPORTRANGE(""https://docs.google.com/spreadsheets/d/""&amp;$A206&amp;""/edit#gid=156619080"",Y$3)"),0.004390779363337055)</f>
        <v>0.004390779363</v>
      </c>
      <c r="Z206" s="2">
        <f>IFERROR(__xludf.DUMMYFUNCTION("IMPORTRANGE(""https://docs.google.com/spreadsheets/d/""&amp;$A206&amp;""/edit#gid=156619080"",Z$3)"),1591.6)</f>
        <v>1591.6</v>
      </c>
      <c r="AA206" s="2">
        <f>IFERROR(__xludf.DUMMYFUNCTION("IMPORTRANGE(""https://docs.google.com/spreadsheets/d/""&amp;$A206&amp;""/edit#gid=156619080"",AA$3)"),1578.94)</f>
        <v>1578.94</v>
      </c>
      <c r="AB206" s="2">
        <f>IFERROR(__xludf.DUMMYFUNCTION("IMPORTRANGE(""https://docs.google.com/spreadsheets/d/""&amp;$A206&amp;""/edit#gid=156619080"",AB$3)"),1566.28)</f>
        <v>1566.28</v>
      </c>
      <c r="AC206" s="18">
        <f>IFERROR(__xludf.DUMMYFUNCTION("IMPORTRANGE(""https://docs.google.com/spreadsheets/d/""&amp;$A206&amp;""/edit#gid=156619080"",AC$3)"),1553.61)</f>
        <v>1553.61</v>
      </c>
      <c r="AD206" s="18">
        <f>IFERROR(__xludf.DUMMYFUNCTION("IMPORTRANGE(""https://docs.google.com/spreadsheets/d/""&amp;$A206&amp;""/edit#gid=156619080"",AD$3)"),1540.95)</f>
        <v>1540.95</v>
      </c>
      <c r="AE206" s="18">
        <f>IFERROR(__xludf.DUMMYFUNCTION("IMPORTRANGE(""https://docs.google.com/spreadsheets/d/""&amp;$A206&amp;""/edit#gid=156619080"",AE$3)"),1490.3)</f>
        <v>1490.3</v>
      </c>
      <c r="AF206" s="2">
        <f>IFERROR(__xludf.DUMMYFUNCTION("IMPORTRANGE(""https://docs.google.com/spreadsheets/d/""&amp;$A206&amp;""/edit#gid=156619080"",AF$3)"),1439.65)</f>
        <v>1439.65</v>
      </c>
      <c r="AG206" s="2">
        <f>IFERROR(__xludf.DUMMYFUNCTION("IMPORTRANGE(""https://docs.google.com/spreadsheets/d/""&amp;$A206&amp;""/edit#gid=156619080"",AG$3)"),1426.99)</f>
        <v>1426.99</v>
      </c>
      <c r="AH206" s="2">
        <f>IFERROR(__xludf.DUMMYFUNCTION("IMPORTRANGE(""https://docs.google.com/spreadsheets/d/""&amp;$A206&amp;""/edit#gid=156619080"",AH$3)"),1414.32)</f>
        <v>1414.32</v>
      </c>
      <c r="AI206" s="2">
        <f>IFERROR(__xludf.DUMMYFUNCTION("IMPORTRANGE(""https://docs.google.com/spreadsheets/d/""&amp;$A206&amp;""/edit#gid=156619080"",AI$3)"),1401.66)</f>
        <v>1401.66</v>
      </c>
      <c r="AJ206" s="2">
        <f>IFERROR(__xludf.DUMMYFUNCTION("IMPORTRANGE(""https://docs.google.com/spreadsheets/d/""&amp;$A206&amp;""/edit#gid=156619080"",AJ$3)"),1389.0)</f>
        <v>1389</v>
      </c>
      <c r="AK206" s="2" t="str">
        <f>IFERROR(__xludf.DUMMYFUNCTION("IMPORTRANGE(""https://docs.google.com/spreadsheets/d/""&amp;$A206&amp;""/edit#gid=156619080"",AK$3)"),"")</f>
        <v/>
      </c>
      <c r="AL206" s="2">
        <f>IFERROR(__xludf.DUMMYFUNCTION("IMPORTRANGE(""https://docs.google.com/spreadsheets/d/""&amp;$A206&amp;""/edit#gid=156619080"",AL$3)"),-1.0)</f>
        <v>-1</v>
      </c>
      <c r="AM206" s="2" t="str">
        <f>IFERROR(__xludf.DUMMYFUNCTION("IMPORTRANGE(""https://docs.google.com/spreadsheets/d/""&amp;$A206&amp;""/edit#gid=156619080"",AM$3)"),"")</f>
        <v/>
      </c>
      <c r="AN206" s="2">
        <f>IFERROR(__xludf.DUMMYFUNCTION("IMPORTRANGE(""https://docs.google.com/spreadsheets/d/""&amp;$A206&amp;""/edit#gid=156619080"",AN$3)"),-1.0)</f>
        <v>-1</v>
      </c>
      <c r="AO206" s="2" t="str">
        <f>IFERROR(__xludf.DUMMYFUNCTION("IMPORTRANGE(""https://docs.google.com/spreadsheets/d/""&amp;$A206&amp;""/edit#gid=156619080"",AO$3)"),"")</f>
        <v/>
      </c>
      <c r="AP206" s="2">
        <f>IFERROR(__xludf.DUMMYFUNCTION("IMPORTRANGE(""https://docs.google.com/spreadsheets/d/""&amp;$A206&amp;""/edit#gid=156619080"",AP$3)"),-1.0)</f>
        <v>-1</v>
      </c>
      <c r="AQ206" s="2" t="str">
        <f>IFERROR(__xludf.DUMMYFUNCTION("IMPORTRANGE(""https://docs.google.com/spreadsheets/d/""&amp;$A206&amp;""/edit#gid=156619080"",AQ$3)"),"")</f>
        <v/>
      </c>
      <c r="AR206" s="18">
        <f>IFERROR(__xludf.DUMMYFUNCTION("IMPORTRANGE(""https://docs.google.com/spreadsheets/d/""&amp;$A206&amp;""/edit#gid=156619080"",AR$3)"),70.0)</f>
        <v>70</v>
      </c>
      <c r="AS206" s="19" t="str">
        <f>IFERROR(__xludf.DUMMYFUNCTION("IMPORTRANGE(""https://docs.google.com/spreadsheets/d/""&amp;$A206&amp;""/edit#gid=156619080"",AS$3)"),"-90
-70
30
90
")</f>
        <v>-90
-70
30
90
</v>
      </c>
      <c r="AT206" s="18">
        <f>IFERROR(__xludf.DUMMYFUNCTION("IMPORTRANGE(""https://docs.google.com/spreadsheets/d/""&amp;$A206&amp;""/edit#gid=156619080"",AT$3)"),-13.736263736263732)</f>
        <v>-13.73626374</v>
      </c>
      <c r="AU206" s="3" t="str">
        <f>IFERROR(__xludf.DUMMYFUNCTION("IMPORTRANGE(""https://docs.google.com/spreadsheets/d/""&amp;$A206&amp;""/edit#gid=156619080"",AU$3)"),"-48.49
-36.4
-16.07
12.5
")</f>
        <v>-48.49
-36.4
-16.07
12.5
</v>
      </c>
      <c r="AV206" s="18">
        <f>IFERROR(__xludf.DUMMYFUNCTION("IMPORTRANGE(""https://docs.google.com/spreadsheets/d/""&amp;$A206&amp;""/edit#gid=156619080"",AV$3)"),-64.44805194805194)</f>
        <v>-64.44805195</v>
      </c>
      <c r="AW206" s="19" t="str">
        <f>IFERROR(__xludf.DUMMYFUNCTION("IMPORTRANGE(""https://docs.google.com/spreadsheets/d/""&amp;$A206&amp;""/edit#gid=156619080"",AW$3)"),"-87.18
-84.45
-79.64
-70.03
")</f>
        <v>-87.18
-84.45
-79.64
-70.03
</v>
      </c>
      <c r="AX206" s="2">
        <f>IFERROR(__xludf.DUMMYFUNCTION("IMPORTRANGE(""https://docs.google.com/spreadsheets/d/""&amp;$A206&amp;""/edit#gid=156619080"",AX$3)"),67.42)</f>
        <v>67.42</v>
      </c>
      <c r="AY206" s="2">
        <f>IFERROR(__xludf.DUMMYFUNCTION("IMPORTRANGE(""https://docs.google.com/spreadsheets/d/""&amp;$A206&amp;""/edit#gid=156619080"",AY$3)"),33.14)</f>
        <v>33.14</v>
      </c>
      <c r="AZ206" s="2">
        <f>IFERROR(__xludf.DUMMYFUNCTION("IMPORTRANGE(""https://docs.google.com/spreadsheets/d/""&amp;$A206&amp;""/edit#gid=156619080"",AZ$3)"),1464.77)</f>
        <v>1464.77</v>
      </c>
      <c r="BA206" s="2">
        <f>IFERROR(__xludf.DUMMYFUNCTION("IMPORTRANGE(""https://docs.google.com/spreadsheets/d/""&amp;$A206&amp;""/edit#gid=156619080"",BA$3)"),-43.960000000000036)</f>
        <v>-43.96</v>
      </c>
      <c r="BB206" s="2">
        <f>IFERROR(__xludf.DUMMYFUNCTION("IMPORTRANGE(""https://docs.google.com/spreadsheets/d/""&amp;$A206&amp;""/edit#gid=156619080"",BB$3)"),-72.15)</f>
        <v>-72.15</v>
      </c>
      <c r="BC206" s="2" t="str">
        <f>IFERROR(__xludf.DUMMYFUNCTION("IMPORTRANGE(""https://docs.google.com/spreadsheets/d/""&amp;$A206&amp;""/edit#gid=156619080"",BC$3)"),"GC→GC")</f>
        <v>GC→GC</v>
      </c>
    </row>
    <row r="207" ht="51.0" customHeight="1">
      <c r="A207" s="7" t="str">
        <f t="shared" si="5"/>
        <v>12EdHQqIvmk2dJ7uOpte7Ana8OZE19B1wWP7AFKrXl6c</v>
      </c>
      <c r="B207" s="1" t="s">
        <v>234</v>
      </c>
      <c r="C207" s="2">
        <f>IFERROR(__xludf.DUMMYFUNCTION("IMPORTRANGE(""https://docs.google.com/spreadsheets/d/""&amp;$A207&amp;""/edit#gid=156619080"",C$3)"),132.0)</f>
        <v>132</v>
      </c>
      <c r="D207" s="2">
        <f>IFERROR(__xludf.DUMMYFUNCTION("IMPORTRANGE(""https://docs.google.com/spreadsheets/d/""&amp;$A207&amp;""/edit#gid=156619080"",D$3)"),9202.0)</f>
        <v>9202</v>
      </c>
      <c r="E207" s="15">
        <f>IFERROR(__xludf.DUMMYFUNCTION("IMPORTRANGE(""https://docs.google.com/spreadsheets/d/""&amp;$A207&amp;""/edit#gid=156619080"",E$3)"),43882.0)</f>
        <v>43882</v>
      </c>
      <c r="F207" s="2">
        <f>IFERROR(__xludf.DUMMYFUNCTION("IMPORTRANGE(""https://docs.google.com/spreadsheets/d/""&amp;$A207&amp;""/edit#gid=156619080"",F$3)"),-26.0)</f>
        <v>-26</v>
      </c>
      <c r="G207" s="16">
        <f>IFERROR(__xludf.DUMMYFUNCTION("IMPORTRANGE(""https://docs.google.com/spreadsheets/d/""&amp;$A207&amp;""/edit#gid=156619080"",G$3)"),-0.79)</f>
        <v>-0.79</v>
      </c>
      <c r="H207" s="16">
        <f>IFERROR(__xludf.DUMMYFUNCTION("IMPORTRANGE(""https://docs.google.com/spreadsheets/d/""&amp;$A207&amp;""/edit#gid=156619080"",H$3)"),3260.0)</f>
        <v>3260</v>
      </c>
      <c r="I207" s="16">
        <f>IFERROR(__xludf.DUMMYFUNCTION("IMPORTRANGE(""https://docs.google.com/spreadsheets/d/""&amp;$A207&amp;""/edit#gid=156619080"",I$3)"),12.0)</f>
        <v>12</v>
      </c>
      <c r="J207" s="16">
        <f>IFERROR(__xludf.DUMMYFUNCTION("IMPORTRANGE(""https://docs.google.com/spreadsheets/d/""&amp;$A207&amp;""/edit#gid=156619080"",J$3)"),3286.0)</f>
        <v>3286</v>
      </c>
      <c r="K207" s="16">
        <f>IFERROR(__xludf.DUMMYFUNCTION("IMPORTRANGE(""https://docs.google.com/spreadsheets/d/""&amp;$A207&amp;""/edit#gid=156619080"",K$3)"),0.3958333333333333)</f>
        <v>0.3958333333</v>
      </c>
      <c r="L207" s="16">
        <f>IFERROR(__xludf.DUMMYFUNCTION("IMPORTRANGE(""https://docs.google.com/spreadsheets/d/""&amp;$A207&amp;""/edit#gid=156619080"",L$3)"),3243.0)</f>
        <v>3243</v>
      </c>
      <c r="M207" s="16">
        <f>IFERROR(__xludf.DUMMYFUNCTION("IMPORTRANGE(""https://docs.google.com/spreadsheets/d/""&amp;$A207&amp;""/edit#gid=156619080"",M$3)"),0.6194444444444445)</f>
        <v>0.6194444444</v>
      </c>
      <c r="N207" s="16">
        <f>IFERROR(__xludf.DUMMYFUNCTION("IMPORTRANGE(""https://docs.google.com/spreadsheets/d/""&amp;$A207&amp;""/edit#gid=156619080"",N$3)"),3246.0)</f>
        <v>3246</v>
      </c>
      <c r="O207" s="16" t="str">
        <f>IFERROR(__xludf.DUMMYFUNCTION("IMPORTRANGE(""https://docs.google.com/spreadsheets/d/""&amp;$A207&amp;""/edit#gid=156619080"",O$3)"),"1428300株")</f>
        <v>1428300株</v>
      </c>
      <c r="P207" s="16" t="str">
        <f>IFERROR(__xludf.DUMMYFUNCTION("IMPORTRANGE(""https://docs.google.com/spreadsheets/d/""&amp;$A207&amp;""/edit#gid=156619080"",P$3)"),"4657百万円")</f>
        <v>4657百万円</v>
      </c>
      <c r="Q207" s="16" t="str">
        <f>IFERROR(__xludf.DUMMYFUNCTION("IMPORTRANGE(""https://docs.google.com/spreadsheets/d/""&amp;$A207&amp;""/edit#gid=156619080"",Q$3)"),"2722回")</f>
        <v>2722回</v>
      </c>
      <c r="R207" s="16" t="str">
        <f>IFERROR(__xludf.DUMMYFUNCTION("IMPORTRANGE(""https://docs.google.com/spreadsheets/d/""&amp;$A207&amp;""/edit#gid=156619080"",R$3)"),"11312億円")</f>
        <v>11312億円</v>
      </c>
      <c r="S207" s="16" t="str">
        <f>IFERROR(__xludf.DUMMYFUNCTION("IMPORTRANGE(""https://docs.google.com/spreadsheets/d/""&amp;$A207&amp;""/edit#gid=156619080"",S$3)"),"陰線")</f>
        <v>陰線</v>
      </c>
      <c r="T207" s="16" t="str">
        <f>IFERROR(__xludf.DUMMYFUNCTION("IMPORTRANGE(""https://docs.google.com/spreadsheets/d/""&amp;$A207&amp;""/edit#gid=156619080"",T$3)"),"")</f>
        <v/>
      </c>
      <c r="U207" s="16">
        <f>IFERROR(__xludf.DUMMYFUNCTION("IMPORTRANGE(""https://docs.google.com/spreadsheets/d/""&amp;$A207&amp;""/edit#gid=156619080"",U$3)"),3291.0)</f>
        <v>3291</v>
      </c>
      <c r="V207" s="16">
        <f>IFERROR(__xludf.DUMMYFUNCTION("IMPORTRANGE(""https://docs.google.com/spreadsheets/d/""&amp;$A207&amp;""/edit#gid=156619080"",V$3)"),3385.5)</f>
        <v>3385.5</v>
      </c>
      <c r="W207" s="16">
        <f>IFERROR(__xludf.DUMMYFUNCTION("IMPORTRANGE(""https://docs.google.com/spreadsheets/d/""&amp;$A207&amp;""/edit#gid=156619080"",W$3)"),3410.4)</f>
        <v>3410.4</v>
      </c>
      <c r="X207" s="2">
        <f>IFERROR(__xludf.DUMMYFUNCTION("IMPORTRANGE(""https://docs.google.com/spreadsheets/d/""&amp;$A207&amp;""/edit#gid=156619080"",X$3)"),3600.7)</f>
        <v>3600.7</v>
      </c>
      <c r="Y207" s="17">
        <f>IFERROR(__xludf.DUMMYFUNCTION("IMPORTRANGE(""https://docs.google.com/spreadsheets/d/""&amp;$A207&amp;""/edit#gid=156619080"",Y$3)"),-0.013673655423883319)</f>
        <v>-0.01367365542</v>
      </c>
      <c r="Z207" s="2">
        <f>IFERROR(__xludf.DUMMYFUNCTION("IMPORTRANGE(""https://docs.google.com/spreadsheets/d/""&amp;$A207&amp;""/edit#gid=156619080"",Z$3)"),3566.67)</f>
        <v>3566.67</v>
      </c>
      <c r="AA207" s="2">
        <f>IFERROR(__xludf.DUMMYFUNCTION("IMPORTRANGE(""https://docs.google.com/spreadsheets/d/""&amp;$A207&amp;""/edit#gid=156619080"",AA$3)"),3547.14)</f>
        <v>3547.14</v>
      </c>
      <c r="AB207" s="2">
        <f>IFERROR(__xludf.DUMMYFUNCTION("IMPORTRANGE(""https://docs.google.com/spreadsheets/d/""&amp;$A207&amp;""/edit#gid=156619080"",AB$3)"),3527.6)</f>
        <v>3527.6</v>
      </c>
      <c r="AC207" s="18">
        <f>IFERROR(__xludf.DUMMYFUNCTION("IMPORTRANGE(""https://docs.google.com/spreadsheets/d/""&amp;$A207&amp;""/edit#gid=156619080"",AC$3)"),3508.07)</f>
        <v>3508.07</v>
      </c>
      <c r="AD207" s="18">
        <f>IFERROR(__xludf.DUMMYFUNCTION("IMPORTRANGE(""https://docs.google.com/spreadsheets/d/""&amp;$A207&amp;""/edit#gid=156619080"",AD$3)"),3488.54)</f>
        <v>3488.54</v>
      </c>
      <c r="AE207" s="18">
        <f>IFERROR(__xludf.DUMMYFUNCTION("IMPORTRANGE(""https://docs.google.com/spreadsheets/d/""&amp;$A207&amp;""/edit#gid=156619080"",AE$3)"),3410.4)</f>
        <v>3410.4</v>
      </c>
      <c r="AF207" s="2">
        <f>IFERROR(__xludf.DUMMYFUNCTION("IMPORTRANGE(""https://docs.google.com/spreadsheets/d/""&amp;$A207&amp;""/edit#gid=156619080"",AF$3)"),3332.26)</f>
        <v>3332.26</v>
      </c>
      <c r="AG207" s="2">
        <f>IFERROR(__xludf.DUMMYFUNCTION("IMPORTRANGE(""https://docs.google.com/spreadsheets/d/""&amp;$A207&amp;""/edit#gid=156619080"",AG$3)"),3312.73)</f>
        <v>3312.73</v>
      </c>
      <c r="AH207" s="2">
        <f>IFERROR(__xludf.DUMMYFUNCTION("IMPORTRANGE(""https://docs.google.com/spreadsheets/d/""&amp;$A207&amp;""/edit#gid=156619080"",AH$3)"),3293.2)</f>
        <v>3293.2</v>
      </c>
      <c r="AI207" s="2">
        <f>IFERROR(__xludf.DUMMYFUNCTION("IMPORTRANGE(""https://docs.google.com/spreadsheets/d/""&amp;$A207&amp;""/edit#gid=156619080"",AI$3)"),3273.66)</f>
        <v>3273.66</v>
      </c>
      <c r="AJ207" s="2">
        <f>IFERROR(__xludf.DUMMYFUNCTION("IMPORTRANGE(""https://docs.google.com/spreadsheets/d/""&amp;$A207&amp;""/edit#gid=156619080"",AJ$3)"),3254.13)</f>
        <v>3254.13</v>
      </c>
      <c r="AK207" s="2" t="str">
        <f>IFERROR(__xludf.DUMMYFUNCTION("IMPORTRANGE(""https://docs.google.com/spreadsheets/d/""&amp;$A207&amp;""/edit#gid=156619080"",AK$3)"),"-2σ以下")</f>
        <v>-2σ以下</v>
      </c>
      <c r="AL207" s="2">
        <f>IFERROR(__xludf.DUMMYFUNCTION("IMPORTRANGE(""https://docs.google.com/spreadsheets/d/""&amp;$A207&amp;""/edit#gid=156619080"",AL$3)"),-1.0)</f>
        <v>-1</v>
      </c>
      <c r="AM207" s="2" t="str">
        <f>IFERROR(__xludf.DUMMYFUNCTION("IMPORTRANGE(""https://docs.google.com/spreadsheets/d/""&amp;$A207&amp;""/edit#gid=156619080"",AM$3)"),"")</f>
        <v/>
      </c>
      <c r="AN207" s="2">
        <f>IFERROR(__xludf.DUMMYFUNCTION("IMPORTRANGE(""https://docs.google.com/spreadsheets/d/""&amp;$A207&amp;""/edit#gid=156619080"",AN$3)"),-1.0)</f>
        <v>-1</v>
      </c>
      <c r="AO207" s="2" t="str">
        <f>IFERROR(__xludf.DUMMYFUNCTION("IMPORTRANGE(""https://docs.google.com/spreadsheets/d/""&amp;$A207&amp;""/edit#gid=156619080"",AO$3)"),"")</f>
        <v/>
      </c>
      <c r="AP207" s="2">
        <f>IFERROR(__xludf.DUMMYFUNCTION("IMPORTRANGE(""https://docs.google.com/spreadsheets/d/""&amp;$A207&amp;""/edit#gid=156619080"",AP$3)"),-1.0)</f>
        <v>-1</v>
      </c>
      <c r="AQ207" s="2" t="str">
        <f>IFERROR(__xludf.DUMMYFUNCTION("IMPORTRANGE(""https://docs.google.com/spreadsheets/d/""&amp;$A207&amp;""/edit#gid=156619080"",AQ$3)"),"")</f>
        <v/>
      </c>
      <c r="AR207" s="18">
        <f>IFERROR(__xludf.DUMMYFUNCTION("IMPORTRANGE(""https://docs.google.com/spreadsheets/d/""&amp;$A207&amp;""/edit#gid=156619080"",AR$3)"),-89.99999999999999)</f>
        <v>-90</v>
      </c>
      <c r="AS207" s="19" t="str">
        <f>IFERROR(__xludf.DUMMYFUNCTION("IMPORTRANGE(""https://docs.google.com/spreadsheets/d/""&amp;$A207&amp;""/edit#gid=156619080"",AS$3)"),"-70
-80
-90
-90
")</f>
        <v>-70
-80
-90
-90
</v>
      </c>
      <c r="AT207" s="18">
        <f>IFERROR(__xludf.DUMMYFUNCTION("IMPORTRANGE(""https://docs.google.com/spreadsheets/d/""&amp;$A207&amp;""/edit#gid=156619080"",AT$3)"),-92.17032967032968)</f>
        <v>-92.17032967</v>
      </c>
      <c r="AU207" s="3" t="str">
        <f>IFERROR(__xludf.DUMMYFUNCTION("IMPORTRANGE(""https://docs.google.com/spreadsheets/d/""&amp;$A207&amp;""/edit#gid=156619080"",AU$3)"),"-27.88
-33.38
-57.01
-72.39
")</f>
        <v>-27.88
-33.38
-57.01
-72.39
</v>
      </c>
      <c r="AV207" s="18">
        <f>IFERROR(__xludf.DUMMYFUNCTION("IMPORTRANGE(""https://docs.google.com/spreadsheets/d/""&amp;$A207&amp;""/edit#gid=156619080"",AV$3)"),-75.03246753246754)</f>
        <v>-75.03246753</v>
      </c>
      <c r="AW207" s="19" t="str">
        <f>IFERROR(__xludf.DUMMYFUNCTION("IMPORTRANGE(""https://docs.google.com/spreadsheets/d/""&amp;$A207&amp;""/edit#gid=156619080"",AW$3)"),"-74.9
-74.9
-74.9
-75.03
")</f>
        <v>-74.9
-74.9
-74.9
-75.03
</v>
      </c>
      <c r="AX207" s="2">
        <f>IFERROR(__xludf.DUMMYFUNCTION("IMPORTRANGE(""https://docs.google.com/spreadsheets/d/""&amp;$A207&amp;""/edit#gid=156619080"",AX$3)"),0.66)</f>
        <v>0.66</v>
      </c>
      <c r="AY207" s="2">
        <f>IFERROR(__xludf.DUMMYFUNCTION("IMPORTRANGE(""https://docs.google.com/spreadsheets/d/""&amp;$A207&amp;""/edit#gid=156619080"",AY$3)"),30.12)</f>
        <v>30.12</v>
      </c>
      <c r="AZ207" s="2">
        <f>IFERROR(__xludf.DUMMYFUNCTION("IMPORTRANGE(""https://docs.google.com/spreadsheets/d/""&amp;$A207&amp;""/edit#gid=156619080"",AZ$3)"),3295.93)</f>
        <v>3295.93</v>
      </c>
      <c r="BA207" s="2">
        <f>IFERROR(__xludf.DUMMYFUNCTION("IMPORTRANGE(""https://docs.google.com/spreadsheets/d/""&amp;$A207&amp;""/edit#gid=156619080"",BA$3)"),-111.18000000000029)</f>
        <v>-111.18</v>
      </c>
      <c r="BB207" s="2">
        <f>IFERROR(__xludf.DUMMYFUNCTION("IMPORTRANGE(""https://docs.google.com/spreadsheets/d/""&amp;$A207&amp;""/edit#gid=156619080"",BB$3)"),-79.26)</f>
        <v>-79.26</v>
      </c>
      <c r="BC207" s="2" t="str">
        <f>IFERROR(__xludf.DUMMYFUNCTION("IMPORTRANGE(""https://docs.google.com/spreadsheets/d/""&amp;$A207&amp;""/edit#gid=156619080"",BC$3)"),"DC→DC")</f>
        <v>DC→DC</v>
      </c>
    </row>
    <row r="208" ht="51.0" customHeight="1">
      <c r="A208" s="7" t="str">
        <f t="shared" si="5"/>
        <v>16jCmXAqLjKd0vu7L49QFhLHbCnABuUkqlreE56nDn1Y</v>
      </c>
      <c r="B208" s="1" t="s">
        <v>235</v>
      </c>
      <c r="C208" s="2">
        <f>IFERROR(__xludf.DUMMYFUNCTION("IMPORTRANGE(""https://docs.google.com/spreadsheets/d/""&amp;$A208&amp;""/edit#gid=156619080"",C$3)"),132.0)</f>
        <v>132</v>
      </c>
      <c r="D208" s="2">
        <f>IFERROR(__xludf.DUMMYFUNCTION("IMPORTRANGE(""https://docs.google.com/spreadsheets/d/""&amp;$A208&amp;""/edit#gid=156619080"",D$3)"),9301.0)</f>
        <v>9301</v>
      </c>
      <c r="E208" s="15">
        <f>IFERROR(__xludf.DUMMYFUNCTION("IMPORTRANGE(""https://docs.google.com/spreadsheets/d/""&amp;$A208&amp;""/edit#gid=156619080"",E$3)"),43882.0)</f>
        <v>43882</v>
      </c>
      <c r="F208" s="2">
        <f>IFERROR(__xludf.DUMMYFUNCTION("IMPORTRANGE(""https://docs.google.com/spreadsheets/d/""&amp;$A208&amp;""/edit#gid=156619080"",F$3)"),-38.0)</f>
        <v>-38</v>
      </c>
      <c r="G208" s="16">
        <f>IFERROR(__xludf.DUMMYFUNCTION("IMPORTRANGE(""https://docs.google.com/spreadsheets/d/""&amp;$A208&amp;""/edit#gid=156619080"",G$3)"),-1.31)</f>
        <v>-1.31</v>
      </c>
      <c r="H208" s="16">
        <f>IFERROR(__xludf.DUMMYFUNCTION("IMPORTRANGE(""https://docs.google.com/spreadsheets/d/""&amp;$A208&amp;""/edit#gid=156619080"",H$3)"),2888.0)</f>
        <v>2888</v>
      </c>
      <c r="I208" s="16">
        <f>IFERROR(__xludf.DUMMYFUNCTION("IMPORTRANGE(""https://docs.google.com/spreadsheets/d/""&amp;$A208&amp;""/edit#gid=156619080"",I$3)"),20.0)</f>
        <v>20</v>
      </c>
      <c r="J208" s="16">
        <f>IFERROR(__xludf.DUMMYFUNCTION("IMPORTRANGE(""https://docs.google.com/spreadsheets/d/""&amp;$A208&amp;""/edit#gid=156619080"",J$3)"),2893.0)</f>
        <v>2893</v>
      </c>
      <c r="K208" s="16">
        <f>IFERROR(__xludf.DUMMYFUNCTION("IMPORTRANGE(""https://docs.google.com/spreadsheets/d/""&amp;$A208&amp;""/edit#gid=156619080"",K$3)"),0.38125)</f>
        <v>0.38125</v>
      </c>
      <c r="L208" s="16">
        <f>IFERROR(__xludf.DUMMYFUNCTION("IMPORTRANGE(""https://docs.google.com/spreadsheets/d/""&amp;$A208&amp;""/edit#gid=156619080"",L$3)"),2870.0)</f>
        <v>2870</v>
      </c>
      <c r="M208" s="16">
        <f>IFERROR(__xludf.DUMMYFUNCTION("IMPORTRANGE(""https://docs.google.com/spreadsheets/d/""&amp;$A208&amp;""/edit#gid=156619080"",M$3)"),0.625)</f>
        <v>0.625</v>
      </c>
      <c r="N208" s="16">
        <f>IFERROR(__xludf.DUMMYFUNCTION("IMPORTRANGE(""https://docs.google.com/spreadsheets/d/""&amp;$A208&amp;""/edit#gid=156619080"",N$3)"),2870.0)</f>
        <v>2870</v>
      </c>
      <c r="O208" s="16" t="str">
        <f>IFERROR(__xludf.DUMMYFUNCTION("IMPORTRANGE(""https://docs.google.com/spreadsheets/d/""&amp;$A208&amp;""/edit#gid=156619080"",O$3)"),"299900株")</f>
        <v>299900株</v>
      </c>
      <c r="P208" s="16" t="str">
        <f>IFERROR(__xludf.DUMMYFUNCTION("IMPORTRANGE(""https://docs.google.com/spreadsheets/d/""&amp;$A208&amp;""/edit#gid=156619080"",P$3)"),"863百万円")</f>
        <v>863百万円</v>
      </c>
      <c r="Q208" s="16" t="str">
        <f>IFERROR(__xludf.DUMMYFUNCTION("IMPORTRANGE(""https://docs.google.com/spreadsheets/d/""&amp;$A208&amp;""/edit#gid=156619080"",Q$3)"),"996回")</f>
        <v>996回</v>
      </c>
      <c r="R208" s="16" t="str">
        <f>IFERROR(__xludf.DUMMYFUNCTION("IMPORTRANGE(""https://docs.google.com/spreadsheets/d/""&amp;$A208&amp;""/edit#gid=156619080"",R$3)"),"2524億円")</f>
        <v>2524億円</v>
      </c>
      <c r="S208" s="16" t="str">
        <f>IFERROR(__xludf.DUMMYFUNCTION("IMPORTRANGE(""https://docs.google.com/spreadsheets/d/""&amp;$A208&amp;""/edit#gid=156619080"",S$3)"),"陰線")</f>
        <v>陰線</v>
      </c>
      <c r="T208" s="16" t="str">
        <f>IFERROR(__xludf.DUMMYFUNCTION("IMPORTRANGE(""https://docs.google.com/spreadsheets/d/""&amp;$A208&amp;""/edit#gid=156619080"",T$3)"),"")</f>
        <v/>
      </c>
      <c r="U208" s="16">
        <f>IFERROR(__xludf.DUMMYFUNCTION("IMPORTRANGE(""https://docs.google.com/spreadsheets/d/""&amp;$A208&amp;""/edit#gid=156619080"",U$3)"),2883.4)</f>
        <v>2883.4</v>
      </c>
      <c r="V208" s="16">
        <f>IFERROR(__xludf.DUMMYFUNCTION("IMPORTRANGE(""https://docs.google.com/spreadsheets/d/""&amp;$A208&amp;""/edit#gid=156619080"",V$3)"),2869.8)</f>
        <v>2869.8</v>
      </c>
      <c r="W208" s="16">
        <f>IFERROR(__xludf.DUMMYFUNCTION("IMPORTRANGE(""https://docs.google.com/spreadsheets/d/""&amp;$A208&amp;""/edit#gid=156619080"",W$3)"),2833.3)</f>
        <v>2833.3</v>
      </c>
      <c r="X208" s="2">
        <f>IFERROR(__xludf.DUMMYFUNCTION("IMPORTRANGE(""https://docs.google.com/spreadsheets/d/""&amp;$A208&amp;""/edit#gid=156619080"",X$3)"),2783.9)</f>
        <v>2783.9</v>
      </c>
      <c r="Y208" s="17">
        <f>IFERROR(__xludf.DUMMYFUNCTION("IMPORTRANGE(""https://docs.google.com/spreadsheets/d/""&amp;$A208&amp;""/edit#gid=156619080"",Y$3)"),-0.0046472913921065725)</f>
        <v>-0.004647291392</v>
      </c>
      <c r="Z208" s="2">
        <f>IFERROR(__xludf.DUMMYFUNCTION("IMPORTRANGE(""https://docs.google.com/spreadsheets/d/""&amp;$A208&amp;""/edit#gid=156619080"",Z$3)"),2976.05)</f>
        <v>2976.05</v>
      </c>
      <c r="AA208" s="2">
        <f>IFERROR(__xludf.DUMMYFUNCTION("IMPORTRANGE(""https://docs.google.com/spreadsheets/d/""&amp;$A208&amp;""/edit#gid=156619080"",AA$3)"),2958.21)</f>
        <v>2958.21</v>
      </c>
      <c r="AB208" s="2">
        <f>IFERROR(__xludf.DUMMYFUNCTION("IMPORTRANGE(""https://docs.google.com/spreadsheets/d/""&amp;$A208&amp;""/edit#gid=156619080"",AB$3)"),2940.36)</f>
        <v>2940.36</v>
      </c>
      <c r="AC208" s="18">
        <f>IFERROR(__xludf.DUMMYFUNCTION("IMPORTRANGE(""https://docs.google.com/spreadsheets/d/""&amp;$A208&amp;""/edit#gid=156619080"",AC$3)"),2922.52)</f>
        <v>2922.52</v>
      </c>
      <c r="AD208" s="18">
        <f>IFERROR(__xludf.DUMMYFUNCTION("IMPORTRANGE(""https://docs.google.com/spreadsheets/d/""&amp;$A208&amp;""/edit#gid=156619080"",AD$3)"),2904.68)</f>
        <v>2904.68</v>
      </c>
      <c r="AE208" s="18">
        <f>IFERROR(__xludf.DUMMYFUNCTION("IMPORTRANGE(""https://docs.google.com/spreadsheets/d/""&amp;$A208&amp;""/edit#gid=156619080"",AE$3)"),2833.3)</f>
        <v>2833.3</v>
      </c>
      <c r="AF208" s="2">
        <f>IFERROR(__xludf.DUMMYFUNCTION("IMPORTRANGE(""https://docs.google.com/spreadsheets/d/""&amp;$A208&amp;""/edit#gid=156619080"",AF$3)"),2761.92)</f>
        <v>2761.92</v>
      </c>
      <c r="AG208" s="2">
        <f>IFERROR(__xludf.DUMMYFUNCTION("IMPORTRANGE(""https://docs.google.com/spreadsheets/d/""&amp;$A208&amp;""/edit#gid=156619080"",AG$3)"),2744.08)</f>
        <v>2744.08</v>
      </c>
      <c r="AH208" s="2">
        <f>IFERROR(__xludf.DUMMYFUNCTION("IMPORTRANGE(""https://docs.google.com/spreadsheets/d/""&amp;$A208&amp;""/edit#gid=156619080"",AH$3)"),2726.24)</f>
        <v>2726.24</v>
      </c>
      <c r="AI208" s="2">
        <f>IFERROR(__xludf.DUMMYFUNCTION("IMPORTRANGE(""https://docs.google.com/spreadsheets/d/""&amp;$A208&amp;""/edit#gid=156619080"",AI$3)"),2708.39)</f>
        <v>2708.39</v>
      </c>
      <c r="AJ208" s="2">
        <f>IFERROR(__xludf.DUMMYFUNCTION("IMPORTRANGE(""https://docs.google.com/spreadsheets/d/""&amp;$A208&amp;""/edit#gid=156619080"",AJ$3)"),2690.55)</f>
        <v>2690.55</v>
      </c>
      <c r="AK208" s="2" t="str">
        <f>IFERROR(__xludf.DUMMYFUNCTION("IMPORTRANGE(""https://docs.google.com/spreadsheets/d/""&amp;$A208&amp;""/edit#gid=156619080"",AK$3)"),"")</f>
        <v/>
      </c>
      <c r="AL208" s="2">
        <f>IFERROR(__xludf.DUMMYFUNCTION("IMPORTRANGE(""https://docs.google.com/spreadsheets/d/""&amp;$A208&amp;""/edit#gid=156619080"",AL$3)"),1.0)</f>
        <v>1</v>
      </c>
      <c r="AM208" s="2" t="str">
        <f>IFERROR(__xludf.DUMMYFUNCTION("IMPORTRANGE(""https://docs.google.com/spreadsheets/d/""&amp;$A208&amp;""/edit#gid=156619080"",AM$3)"),"")</f>
        <v/>
      </c>
      <c r="AN208" s="2">
        <f>IFERROR(__xludf.DUMMYFUNCTION("IMPORTRANGE(""https://docs.google.com/spreadsheets/d/""&amp;$A208&amp;""/edit#gid=156619080"",AN$3)"),1.0)</f>
        <v>1</v>
      </c>
      <c r="AO208" s="2" t="str">
        <f>IFERROR(__xludf.DUMMYFUNCTION("IMPORTRANGE(""https://docs.google.com/spreadsheets/d/""&amp;$A208&amp;""/edit#gid=156619080"",AO$3)"),"")</f>
        <v/>
      </c>
      <c r="AP208" s="2">
        <f>IFERROR(__xludf.DUMMYFUNCTION("IMPORTRANGE(""https://docs.google.com/spreadsheets/d/""&amp;$A208&amp;""/edit#gid=156619080"",AP$3)"),1.0)</f>
        <v>1</v>
      </c>
      <c r="AQ208" s="2" t="str">
        <f>IFERROR(__xludf.DUMMYFUNCTION("IMPORTRANGE(""https://docs.google.com/spreadsheets/d/""&amp;$A208&amp;""/edit#gid=156619080"",AQ$3)"),"")</f>
        <v/>
      </c>
      <c r="AR208" s="18">
        <f>IFERROR(__xludf.DUMMYFUNCTION("IMPORTRANGE(""https://docs.google.com/spreadsheets/d/""&amp;$A208&amp;""/edit#gid=156619080"",AR$3)"),19.999999999999996)</f>
        <v>20</v>
      </c>
      <c r="AS208" s="19" t="str">
        <f>IFERROR(__xludf.DUMMYFUNCTION("IMPORTRANGE(""https://docs.google.com/spreadsheets/d/""&amp;$A208&amp;""/edit#gid=156619080"",AS$3)"),"-60
-90
-70
30
")</f>
        <v>-60
-90
-70
30
</v>
      </c>
      <c r="AT208" s="18">
        <f>IFERROR(__xludf.DUMMYFUNCTION("IMPORTRANGE(""https://docs.google.com/spreadsheets/d/""&amp;$A208&amp;""/edit#gid=156619080"",AT$3)"),7.14285714285714)</f>
        <v>7.142857143</v>
      </c>
      <c r="AU208" s="3" t="str">
        <f>IFERROR(__xludf.DUMMYFUNCTION("IMPORTRANGE(""https://docs.google.com/spreadsheets/d/""&amp;$A208&amp;""/edit#gid=156619080"",AU$3)"),"65.93
57.69
42.31
35.16
")</f>
        <v>65.93
57.69
42.31
35.16
</v>
      </c>
      <c r="AV208" s="18">
        <f>IFERROR(__xludf.DUMMYFUNCTION("IMPORTRANGE(""https://docs.google.com/spreadsheets/d/""&amp;$A208&amp;""/edit#gid=156619080"",AV$3)"),59.350649350649356)</f>
        <v>59.35064935</v>
      </c>
      <c r="AW208" s="19" t="str">
        <f>IFERROR(__xludf.DUMMYFUNCTION("IMPORTRANGE(""https://docs.google.com/spreadsheets/d/""&amp;$A208&amp;""/edit#gid=156619080"",AW$3)"),"39.74
47.4
52.99
58.96
")</f>
        <v>39.74
47.4
52.99
58.96
</v>
      </c>
      <c r="AX208" s="2">
        <f>IFERROR(__xludf.DUMMYFUNCTION("IMPORTRANGE(""https://docs.google.com/spreadsheets/d/""&amp;$A208&amp;""/edit#gid=156619080"",AX$3)"),37.04)</f>
        <v>37.04</v>
      </c>
      <c r="AY208" s="2">
        <f>IFERROR(__xludf.DUMMYFUNCTION("IMPORTRANGE(""https://docs.google.com/spreadsheets/d/""&amp;$A208&amp;""/edit#gid=156619080"",AY$3)"),50.79)</f>
        <v>50.79</v>
      </c>
      <c r="AZ208" s="2">
        <f>IFERROR(__xludf.DUMMYFUNCTION("IMPORTRANGE(""https://docs.google.com/spreadsheets/d/""&amp;$A208&amp;""/edit#gid=156619080"",AZ$3)"),2885.09)</f>
        <v>2885.09</v>
      </c>
      <c r="BA208" s="2">
        <f>IFERROR(__xludf.DUMMYFUNCTION("IMPORTRANGE(""https://docs.google.com/spreadsheets/d/""&amp;$A208&amp;""/edit#gid=156619080"",BA$3)"),28.769999999999982)</f>
        <v>28.77</v>
      </c>
      <c r="BB208" s="2">
        <f>IFERROR(__xludf.DUMMYFUNCTION("IMPORTRANGE(""https://docs.google.com/spreadsheets/d/""&amp;$A208&amp;""/edit#gid=156619080"",BB$3)"),25.51)</f>
        <v>25.51</v>
      </c>
      <c r="BC208" s="2" t="str">
        <f>IFERROR(__xludf.DUMMYFUNCTION("IMPORTRANGE(""https://docs.google.com/spreadsheets/d/""&amp;$A208&amp;""/edit#gid=156619080"",BC$3)"),"GC→GC")</f>
        <v>GC→GC</v>
      </c>
    </row>
    <row r="209" ht="51.0" customHeight="1">
      <c r="A209" s="7" t="str">
        <f t="shared" si="5"/>
        <v>1ops2UyMrL8TmpOU8GB_Uu77q99Tx3SrjfF08NHFp9nA</v>
      </c>
      <c r="B209" s="1" t="s">
        <v>236</v>
      </c>
      <c r="C209" s="2">
        <f>IFERROR(__xludf.DUMMYFUNCTION("IMPORTRANGE(""https://docs.google.com/spreadsheets/d/""&amp;$A209&amp;""/edit#gid=156619080"",C$3)"),132.0)</f>
        <v>132</v>
      </c>
      <c r="D209" s="2">
        <f>IFERROR(__xludf.DUMMYFUNCTION("IMPORTRANGE(""https://docs.google.com/spreadsheets/d/""&amp;$A209&amp;""/edit#gid=156619080"",D$3)"),9412.0)</f>
        <v>9412</v>
      </c>
      <c r="E209" s="15">
        <f>IFERROR(__xludf.DUMMYFUNCTION("IMPORTRANGE(""https://docs.google.com/spreadsheets/d/""&amp;$A209&amp;""/edit#gid=156619080"",E$3)"),43882.0)</f>
        <v>43882</v>
      </c>
      <c r="F209" s="2">
        <f>IFERROR(__xludf.DUMMYFUNCTION("IMPORTRANGE(""https://docs.google.com/spreadsheets/d/""&amp;$A209&amp;""/edit#gid=156619080"",F$3)"),15.0)</f>
        <v>15</v>
      </c>
      <c r="G209" s="16">
        <f>IFERROR(__xludf.DUMMYFUNCTION("IMPORTRANGE(""https://docs.google.com/spreadsheets/d/""&amp;$A209&amp;""/edit#gid=156619080"",G$3)"),3.2)</f>
        <v>3.2</v>
      </c>
      <c r="H209" s="16">
        <f>IFERROR(__xludf.DUMMYFUNCTION("IMPORTRANGE(""https://docs.google.com/spreadsheets/d/""&amp;$A209&amp;""/edit#gid=156619080"",H$3)"),471.0)</f>
        <v>471</v>
      </c>
      <c r="I209" s="16">
        <f>IFERROR(__xludf.DUMMYFUNCTION("IMPORTRANGE(""https://docs.google.com/spreadsheets/d/""&amp;$A209&amp;""/edit#gid=156619080"",I$3)"),-2.0)</f>
        <v>-2</v>
      </c>
      <c r="J209" s="16">
        <f>IFERROR(__xludf.DUMMYFUNCTION("IMPORTRANGE(""https://docs.google.com/spreadsheets/d/""&amp;$A209&amp;""/edit#gid=156619080"",J$3)"),486.0)</f>
        <v>486</v>
      </c>
      <c r="K209" s="16">
        <f>IFERROR(__xludf.DUMMYFUNCTION("IMPORTRANGE(""https://docs.google.com/spreadsheets/d/""&amp;$A209&amp;""/edit#gid=156619080"",K$3)"),0.5208333333333334)</f>
        <v>0.5208333333</v>
      </c>
      <c r="L209" s="16">
        <f>IFERROR(__xludf.DUMMYFUNCTION("IMPORTRANGE(""https://docs.google.com/spreadsheets/d/""&amp;$A209&amp;""/edit#gid=156619080"",L$3)"),470.0)</f>
        <v>470</v>
      </c>
      <c r="M209" s="16">
        <f>IFERROR(__xludf.DUMMYFUNCTION("IMPORTRANGE(""https://docs.google.com/spreadsheets/d/""&amp;$A209&amp;""/edit#gid=156619080"",M$3)"),0.375)</f>
        <v>0.375</v>
      </c>
      <c r="N209" s="16">
        <f>IFERROR(__xludf.DUMMYFUNCTION("IMPORTRANGE(""https://docs.google.com/spreadsheets/d/""&amp;$A209&amp;""/edit#gid=156619080"",N$3)"),484.0)</f>
        <v>484</v>
      </c>
      <c r="O209" s="16" t="str">
        <f>IFERROR(__xludf.DUMMYFUNCTION("IMPORTRANGE(""https://docs.google.com/spreadsheets/d/""&amp;$A209&amp;""/edit#gid=156619080"",O$3)"),"722200株")</f>
        <v>722200株</v>
      </c>
      <c r="P209" s="16" t="str">
        <f>IFERROR(__xludf.DUMMYFUNCTION("IMPORTRANGE(""https://docs.google.com/spreadsheets/d/""&amp;$A209&amp;""/edit#gid=156619080"",P$3)"),"348百万円")</f>
        <v>348百万円</v>
      </c>
      <c r="Q209" s="16" t="str">
        <f>IFERROR(__xludf.DUMMYFUNCTION("IMPORTRANGE(""https://docs.google.com/spreadsheets/d/""&amp;$A209&amp;""/edit#gid=156619080"",Q$3)"),"1106回")</f>
        <v>1106回</v>
      </c>
      <c r="R209" s="16" t="str">
        <f>IFERROR(__xludf.DUMMYFUNCTION("IMPORTRANGE(""https://docs.google.com/spreadsheets/d/""&amp;$A209&amp;""/edit#gid=156619080"",R$3)"),"1438億円")</f>
        <v>1438億円</v>
      </c>
      <c r="S209" s="16" t="str">
        <f>IFERROR(__xludf.DUMMYFUNCTION("IMPORTRANGE(""https://docs.google.com/spreadsheets/d/""&amp;$A209&amp;""/edit#gid=156619080"",S$3)"),"陽線")</f>
        <v>陽線</v>
      </c>
      <c r="T209" s="16" t="str">
        <f>IFERROR(__xludf.DUMMYFUNCTION("IMPORTRANGE(""https://docs.google.com/spreadsheets/d/""&amp;$A209&amp;""/edit#gid=156619080"",T$3)"),"")</f>
        <v/>
      </c>
      <c r="U209" s="16">
        <f>IFERROR(__xludf.DUMMYFUNCTION("IMPORTRANGE(""https://docs.google.com/spreadsheets/d/""&amp;$A209&amp;""/edit#gid=156619080"",U$3)"),464.4)</f>
        <v>464.4</v>
      </c>
      <c r="V209" s="16">
        <f>IFERROR(__xludf.DUMMYFUNCTION("IMPORTRANGE(""https://docs.google.com/spreadsheets/d/""&amp;$A209&amp;""/edit#gid=156619080"",V$3)"),469.3)</f>
        <v>469.3</v>
      </c>
      <c r="W209" s="16">
        <f>IFERROR(__xludf.DUMMYFUNCTION("IMPORTRANGE(""https://docs.google.com/spreadsheets/d/""&amp;$A209&amp;""/edit#gid=156619080"",W$3)"),470.4)</f>
        <v>470.4</v>
      </c>
      <c r="X209" s="2">
        <f>IFERROR(__xludf.DUMMYFUNCTION("IMPORTRANGE(""https://docs.google.com/spreadsheets/d/""&amp;$A209&amp;""/edit#gid=156619080"",X$3)"),459.3)</f>
        <v>459.3</v>
      </c>
      <c r="Y209" s="17">
        <f>IFERROR(__xludf.DUMMYFUNCTION("IMPORTRANGE(""https://docs.google.com/spreadsheets/d/""&amp;$A209&amp;""/edit#gid=156619080"",Y$3)"),0.04220499569336784)</f>
        <v>0.04220499569</v>
      </c>
      <c r="Z209" s="2">
        <f>IFERROR(__xludf.DUMMYFUNCTION("IMPORTRANGE(""https://docs.google.com/spreadsheets/d/""&amp;$A209&amp;""/edit#gid=156619080"",Z$3)"),487.49)</f>
        <v>487.49</v>
      </c>
      <c r="AA209" s="2">
        <f>IFERROR(__xludf.DUMMYFUNCTION("IMPORTRANGE(""https://docs.google.com/spreadsheets/d/""&amp;$A209&amp;""/edit#gid=156619080"",AA$3)"),485.35)</f>
        <v>485.35</v>
      </c>
      <c r="AB209" s="2">
        <f>IFERROR(__xludf.DUMMYFUNCTION("IMPORTRANGE(""https://docs.google.com/spreadsheets/d/""&amp;$A209&amp;""/edit#gid=156619080"",AB$3)"),483.22)</f>
        <v>483.22</v>
      </c>
      <c r="AC209" s="18">
        <f>IFERROR(__xludf.DUMMYFUNCTION("IMPORTRANGE(""https://docs.google.com/spreadsheets/d/""&amp;$A209&amp;""/edit#gid=156619080"",AC$3)"),481.08)</f>
        <v>481.08</v>
      </c>
      <c r="AD209" s="18">
        <f>IFERROR(__xludf.DUMMYFUNCTION("IMPORTRANGE(""https://docs.google.com/spreadsheets/d/""&amp;$A209&amp;""/edit#gid=156619080"",AD$3)"),478.94)</f>
        <v>478.94</v>
      </c>
      <c r="AE209" s="18">
        <f>IFERROR(__xludf.DUMMYFUNCTION("IMPORTRANGE(""https://docs.google.com/spreadsheets/d/""&amp;$A209&amp;""/edit#gid=156619080"",AE$3)"),470.4)</f>
        <v>470.4</v>
      </c>
      <c r="AF209" s="2">
        <f>IFERROR(__xludf.DUMMYFUNCTION("IMPORTRANGE(""https://docs.google.com/spreadsheets/d/""&amp;$A209&amp;""/edit#gid=156619080"",AF$3)"),461.86)</f>
        <v>461.86</v>
      </c>
      <c r="AG209" s="2">
        <f>IFERROR(__xludf.DUMMYFUNCTION("IMPORTRANGE(""https://docs.google.com/spreadsheets/d/""&amp;$A209&amp;""/edit#gid=156619080"",AG$3)"),459.72)</f>
        <v>459.72</v>
      </c>
      <c r="AH209" s="2">
        <f>IFERROR(__xludf.DUMMYFUNCTION("IMPORTRANGE(""https://docs.google.com/spreadsheets/d/""&amp;$A209&amp;""/edit#gid=156619080"",AH$3)"),457.58)</f>
        <v>457.58</v>
      </c>
      <c r="AI209" s="2">
        <f>IFERROR(__xludf.DUMMYFUNCTION("IMPORTRANGE(""https://docs.google.com/spreadsheets/d/""&amp;$A209&amp;""/edit#gid=156619080"",AI$3)"),455.45)</f>
        <v>455.45</v>
      </c>
      <c r="AJ209" s="2">
        <f>IFERROR(__xludf.DUMMYFUNCTION("IMPORTRANGE(""https://docs.google.com/spreadsheets/d/""&amp;$A209&amp;""/edit#gid=156619080"",AJ$3)"),453.31)</f>
        <v>453.31</v>
      </c>
      <c r="AK209" s="2" t="str">
        <f>IFERROR(__xludf.DUMMYFUNCTION("IMPORTRANGE(""https://docs.google.com/spreadsheets/d/""&amp;$A209&amp;""/edit#gid=156619080"",AK$3)"),"1.5σ〜1.75σ")</f>
        <v>1.5σ〜1.75σ</v>
      </c>
      <c r="AL209" s="2">
        <f>IFERROR(__xludf.DUMMYFUNCTION("IMPORTRANGE(""https://docs.google.com/spreadsheets/d/""&amp;$A209&amp;""/edit#gid=156619080"",AL$3)"),-1.0)</f>
        <v>-1</v>
      </c>
      <c r="AM209" s="2" t="str">
        <f>IFERROR(__xludf.DUMMYFUNCTION("IMPORTRANGE(""https://docs.google.com/spreadsheets/d/""&amp;$A209&amp;""/edit#gid=156619080"",AM$3)"),"")</f>
        <v/>
      </c>
      <c r="AN209" s="2">
        <f>IFERROR(__xludf.DUMMYFUNCTION("IMPORTRANGE(""https://docs.google.com/spreadsheets/d/""&amp;$A209&amp;""/edit#gid=156619080"",AN$3)"),-1.0)</f>
        <v>-1</v>
      </c>
      <c r="AO209" s="2" t="str">
        <f>IFERROR(__xludf.DUMMYFUNCTION("IMPORTRANGE(""https://docs.google.com/spreadsheets/d/""&amp;$A209&amp;""/edit#gid=156619080"",AO$3)"),"")</f>
        <v/>
      </c>
      <c r="AP209" s="2">
        <f>IFERROR(__xludf.DUMMYFUNCTION("IMPORTRANGE(""https://docs.google.com/spreadsheets/d/""&amp;$A209&amp;""/edit#gid=156619080"",AP$3)"),-1.0)</f>
        <v>-1</v>
      </c>
      <c r="AQ209" s="2" t="str">
        <f>IFERROR(__xludf.DUMMYFUNCTION("IMPORTRANGE(""https://docs.google.com/spreadsheets/d/""&amp;$A209&amp;""/edit#gid=156619080"",AQ$3)"),"")</f>
        <v/>
      </c>
      <c r="AR209" s="18">
        <f>IFERROR(__xludf.DUMMYFUNCTION("IMPORTRANGE(""https://docs.google.com/spreadsheets/d/""&amp;$A209&amp;""/edit#gid=156619080"",AR$3)"),97.5)</f>
        <v>97.5</v>
      </c>
      <c r="AS209" s="19" t="str">
        <f>IFERROR(__xludf.DUMMYFUNCTION("IMPORTRANGE(""https://docs.google.com/spreadsheets/d/""&amp;$A209&amp;""/edit#gid=156619080"",AS$3)"),"-100
-92.5
-62.5
37.5
")</f>
        <v>-100
-92.5
-62.5
37.5
</v>
      </c>
      <c r="AT209" s="18">
        <f>IFERROR(__xludf.DUMMYFUNCTION("IMPORTRANGE(""https://docs.google.com/spreadsheets/d/""&amp;$A209&amp;""/edit#gid=156619080"",AT$3)"),-21.29120879120878)</f>
        <v>-21.29120879</v>
      </c>
      <c r="AU209" s="3" t="str">
        <f>IFERROR(__xludf.DUMMYFUNCTION("IMPORTRANGE(""https://docs.google.com/spreadsheets/d/""&amp;$A209&amp;""/edit#gid=156619080"",AU$3)"),"-11.54
-28.3
-50.27
-37.23
")</f>
        <v>-11.54
-28.3
-50.27
-37.23
</v>
      </c>
      <c r="AV209" s="18">
        <f>IFERROR(__xludf.DUMMYFUNCTION("IMPORTRANGE(""https://docs.google.com/spreadsheets/d/""&amp;$A209&amp;""/edit#gid=156619080"",AV$3)"),-28.57142857142858)</f>
        <v>-28.57142857</v>
      </c>
      <c r="AW209" s="19" t="str">
        <f>IFERROR(__xludf.DUMMYFUNCTION("IMPORTRANGE(""https://docs.google.com/spreadsheets/d/""&amp;$A209&amp;""/edit#gid=156619080"",AW$3)"),"-35.19
-44.68
-54.9
-52.11
")</f>
        <v>-35.19
-44.68
-54.9
-52.11
</v>
      </c>
      <c r="AX209" s="2">
        <f>IFERROR(__xludf.DUMMYFUNCTION("IMPORTRANGE(""https://docs.google.com/spreadsheets/d/""&amp;$A209&amp;""/edit#gid=156619080"",AX$3)"),90.32)</f>
        <v>90.32</v>
      </c>
      <c r="AY209" s="2">
        <f>IFERROR(__xludf.DUMMYFUNCTION("IMPORTRANGE(""https://docs.google.com/spreadsheets/d/""&amp;$A209&amp;""/edit#gid=156619080"",AY$3)"),51.970000000000006)</f>
        <v>51.97</v>
      </c>
      <c r="AZ209" s="2">
        <f>IFERROR(__xludf.DUMMYFUNCTION("IMPORTRANGE(""https://docs.google.com/spreadsheets/d/""&amp;$A209&amp;""/edit#gid=156619080"",AZ$3)"),470.03)</f>
        <v>470.03</v>
      </c>
      <c r="BA209" s="2">
        <f>IFERROR(__xludf.DUMMYFUNCTION("IMPORTRANGE(""https://docs.google.com/spreadsheets/d/""&amp;$A209&amp;""/edit#gid=156619080"",BA$3)"),-0.20000000000004547)</f>
        <v>-0.2</v>
      </c>
      <c r="BB209" s="2">
        <f>IFERROR(__xludf.DUMMYFUNCTION("IMPORTRANGE(""https://docs.google.com/spreadsheets/d/""&amp;$A209&amp;""/edit#gid=156619080"",BB$3)"),-3.71)</f>
        <v>-3.71</v>
      </c>
      <c r="BC209" s="2" t="str">
        <f>IFERROR(__xludf.DUMMYFUNCTION("IMPORTRANGE(""https://docs.google.com/spreadsheets/d/""&amp;$A209&amp;""/edit#gid=156619080"",BC$3)"),"DC→GC")</f>
        <v>DC→GC</v>
      </c>
    </row>
    <row r="210" ht="51.0" customHeight="1">
      <c r="A210" s="7" t="str">
        <f t="shared" si="5"/>
        <v>1uEq_VJIzT0Y32LbXuRny-DULm6ehQlJUNS4wLXyDtvk</v>
      </c>
      <c r="B210" s="1" t="s">
        <v>237</v>
      </c>
      <c r="C210" s="2">
        <f>IFERROR(__xludf.DUMMYFUNCTION("IMPORTRANGE(""https://docs.google.com/spreadsheets/d/""&amp;$A210&amp;""/edit#gid=156619080"",C$3)"),132.0)</f>
        <v>132</v>
      </c>
      <c r="D210" s="2">
        <f>IFERROR(__xludf.DUMMYFUNCTION("IMPORTRANGE(""https://docs.google.com/spreadsheets/d/""&amp;$A210&amp;""/edit#gid=156619080"",D$3)"),9432.0)</f>
        <v>9432</v>
      </c>
      <c r="E210" s="15">
        <f>IFERROR(__xludf.DUMMYFUNCTION("IMPORTRANGE(""https://docs.google.com/spreadsheets/d/""&amp;$A210&amp;""/edit#gid=156619080"",E$3)"),43882.0)</f>
        <v>43882</v>
      </c>
      <c r="F210" s="2">
        <f>IFERROR(__xludf.DUMMYFUNCTION("IMPORTRANGE(""https://docs.google.com/spreadsheets/d/""&amp;$A210&amp;""/edit#gid=156619080"",F$3)"),35.5)</f>
        <v>35.5</v>
      </c>
      <c r="G210" s="16">
        <f>IFERROR(__xludf.DUMMYFUNCTION("IMPORTRANGE(""https://docs.google.com/spreadsheets/d/""&amp;$A210&amp;""/edit#gid=156619080"",G$3)"),1.28)</f>
        <v>1.28</v>
      </c>
      <c r="H210" s="16">
        <f>IFERROR(__xludf.DUMMYFUNCTION("IMPORTRANGE(""https://docs.google.com/spreadsheets/d/""&amp;$A210&amp;""/edit#gid=156619080"",H$3)"),2785.0)</f>
        <v>2785</v>
      </c>
      <c r="I210" s="16">
        <f>IFERROR(__xludf.DUMMYFUNCTION("IMPORTRANGE(""https://docs.google.com/spreadsheets/d/""&amp;$A210&amp;""/edit#gid=156619080"",I$3)"),-9.0)</f>
        <v>-9</v>
      </c>
      <c r="J210" s="16">
        <f>IFERROR(__xludf.DUMMYFUNCTION("IMPORTRANGE(""https://docs.google.com/spreadsheets/d/""&amp;$A210&amp;""/edit#gid=156619080"",J$3)"),2822.0)</f>
        <v>2822</v>
      </c>
      <c r="K210" s="16">
        <f>IFERROR(__xludf.DUMMYFUNCTION("IMPORTRANGE(""https://docs.google.com/spreadsheets/d/""&amp;$A210&amp;""/edit#gid=156619080"",K$3)"),0.5263888888888889)</f>
        <v>0.5263888889</v>
      </c>
      <c r="L210" s="16">
        <f>IFERROR(__xludf.DUMMYFUNCTION("IMPORTRANGE(""https://docs.google.com/spreadsheets/d/""&amp;$A210&amp;""/edit#gid=156619080"",L$3)"),2785.0)</f>
        <v>2785</v>
      </c>
      <c r="M210" s="16">
        <f>IFERROR(__xludf.DUMMYFUNCTION("IMPORTRANGE(""https://docs.google.com/spreadsheets/d/""&amp;$A210&amp;""/edit#gid=156619080"",M$3)"),0.375)</f>
        <v>0.375</v>
      </c>
      <c r="N210" s="16">
        <f>IFERROR(__xludf.DUMMYFUNCTION("IMPORTRANGE(""https://docs.google.com/spreadsheets/d/""&amp;$A210&amp;""/edit#gid=156619080"",N$3)"),2811.5)</f>
        <v>2811.5</v>
      </c>
      <c r="O210" s="16" t="str">
        <f>IFERROR(__xludf.DUMMYFUNCTION("IMPORTRANGE(""https://docs.google.com/spreadsheets/d/""&amp;$A210&amp;""/edit#gid=156619080"",O$3)"),"3116100株")</f>
        <v>3116100株</v>
      </c>
      <c r="P210" s="16" t="str">
        <f>IFERROR(__xludf.DUMMYFUNCTION("IMPORTRANGE(""https://docs.google.com/spreadsheets/d/""&amp;$A210&amp;""/edit#gid=156619080"",P$3)"),"8752百万円")</f>
        <v>8752百万円</v>
      </c>
      <c r="Q210" s="16" t="str">
        <f>IFERROR(__xludf.DUMMYFUNCTION("IMPORTRANGE(""https://docs.google.com/spreadsheets/d/""&amp;$A210&amp;""/edit#gid=156619080"",Q$3)"),"3887回")</f>
        <v>3887回</v>
      </c>
      <c r="R210" s="16" t="str">
        <f>IFERROR(__xludf.DUMMYFUNCTION("IMPORTRANGE(""https://docs.google.com/spreadsheets/d/""&amp;$A210&amp;""/edit#gid=156619080"",R$3)"),"109671億円")</f>
        <v>109671億円</v>
      </c>
      <c r="S210" s="16" t="str">
        <f>IFERROR(__xludf.DUMMYFUNCTION("IMPORTRANGE(""https://docs.google.com/spreadsheets/d/""&amp;$A210&amp;""/edit#gid=156619080"",S$3)"),"陽線")</f>
        <v>陽線</v>
      </c>
      <c r="T210" s="16" t="str">
        <f>IFERROR(__xludf.DUMMYFUNCTION("IMPORTRANGE(""https://docs.google.com/spreadsheets/d/""&amp;$A210&amp;""/edit#gid=156619080"",T$3)"),"")</f>
        <v/>
      </c>
      <c r="U210" s="16">
        <f>IFERROR(__xludf.DUMMYFUNCTION("IMPORTRANGE(""https://docs.google.com/spreadsheets/d/""&amp;$A210&amp;""/edit#gid=156619080"",U$3)"),2787.8)</f>
        <v>2787.8</v>
      </c>
      <c r="V210" s="16">
        <f>IFERROR(__xludf.DUMMYFUNCTION("IMPORTRANGE(""https://docs.google.com/spreadsheets/d/""&amp;$A210&amp;""/edit#gid=156619080"",V$3)"),2806.8)</f>
        <v>2806.8</v>
      </c>
      <c r="W210" s="16">
        <f>IFERROR(__xludf.DUMMYFUNCTION("IMPORTRANGE(""https://docs.google.com/spreadsheets/d/""&amp;$A210&amp;""/edit#gid=156619080"",W$3)"),2804.6)</f>
        <v>2804.6</v>
      </c>
      <c r="X210" s="2">
        <f>IFERROR(__xludf.DUMMYFUNCTION("IMPORTRANGE(""https://docs.google.com/spreadsheets/d/""&amp;$A210&amp;""/edit#gid=156619080"",X$3)"),4487.1)</f>
        <v>4487.1</v>
      </c>
      <c r="Y210" s="17">
        <f>IFERROR(__xludf.DUMMYFUNCTION("IMPORTRANGE(""https://docs.google.com/spreadsheets/d/""&amp;$A210&amp;""/edit#gid=156619080"",Y$3)"),0.008501327211421127)</f>
        <v>0.008501327211</v>
      </c>
      <c r="Z210" s="2">
        <f>IFERROR(__xludf.DUMMYFUNCTION("IMPORTRANGE(""https://docs.google.com/spreadsheets/d/""&amp;$A210&amp;""/edit#gid=156619080"",Z$3)"),2852.56)</f>
        <v>2852.56</v>
      </c>
      <c r="AA210" s="2">
        <f>IFERROR(__xludf.DUMMYFUNCTION("IMPORTRANGE(""https://docs.google.com/spreadsheets/d/""&amp;$A210&amp;""/edit#gid=156619080"",AA$3)"),2846.56)</f>
        <v>2846.56</v>
      </c>
      <c r="AB210" s="2">
        <f>IFERROR(__xludf.DUMMYFUNCTION("IMPORTRANGE(""https://docs.google.com/spreadsheets/d/""&amp;$A210&amp;""/edit#gid=156619080"",AB$3)"),2840.57)</f>
        <v>2840.57</v>
      </c>
      <c r="AC210" s="18">
        <f>IFERROR(__xludf.DUMMYFUNCTION("IMPORTRANGE(""https://docs.google.com/spreadsheets/d/""&amp;$A210&amp;""/edit#gid=156619080"",AC$3)"),2834.57)</f>
        <v>2834.57</v>
      </c>
      <c r="AD210" s="18">
        <f>IFERROR(__xludf.DUMMYFUNCTION("IMPORTRANGE(""https://docs.google.com/spreadsheets/d/""&amp;$A210&amp;""/edit#gid=156619080"",AD$3)"),2828.58)</f>
        <v>2828.58</v>
      </c>
      <c r="AE210" s="18">
        <f>IFERROR(__xludf.DUMMYFUNCTION("IMPORTRANGE(""https://docs.google.com/spreadsheets/d/""&amp;$A210&amp;""/edit#gid=156619080"",AE$3)"),2804.6)</f>
        <v>2804.6</v>
      </c>
      <c r="AF210" s="2">
        <f>IFERROR(__xludf.DUMMYFUNCTION("IMPORTRANGE(""https://docs.google.com/spreadsheets/d/""&amp;$A210&amp;""/edit#gid=156619080"",AF$3)"),2780.62)</f>
        <v>2780.62</v>
      </c>
      <c r="AG210" s="2">
        <f>IFERROR(__xludf.DUMMYFUNCTION("IMPORTRANGE(""https://docs.google.com/spreadsheets/d/""&amp;$A210&amp;""/edit#gid=156619080"",AG$3)"),2774.63)</f>
        <v>2774.63</v>
      </c>
      <c r="AH210" s="2">
        <f>IFERROR(__xludf.DUMMYFUNCTION("IMPORTRANGE(""https://docs.google.com/spreadsheets/d/""&amp;$A210&amp;""/edit#gid=156619080"",AH$3)"),2768.63)</f>
        <v>2768.63</v>
      </c>
      <c r="AI210" s="2">
        <f>IFERROR(__xludf.DUMMYFUNCTION("IMPORTRANGE(""https://docs.google.com/spreadsheets/d/""&amp;$A210&amp;""/edit#gid=156619080"",AI$3)"),2762.64)</f>
        <v>2762.64</v>
      </c>
      <c r="AJ210" s="2">
        <f>IFERROR(__xludf.DUMMYFUNCTION("IMPORTRANGE(""https://docs.google.com/spreadsheets/d/""&amp;$A210&amp;""/edit#gid=156619080"",AJ$3)"),2756.64)</f>
        <v>2756.64</v>
      </c>
      <c r="AK210" s="2" t="str">
        <f>IFERROR(__xludf.DUMMYFUNCTION("IMPORTRANGE(""https://docs.google.com/spreadsheets/d/""&amp;$A210&amp;""/edit#gid=156619080"",AK$3)"),"")</f>
        <v/>
      </c>
      <c r="AL210" s="2">
        <f>IFERROR(__xludf.DUMMYFUNCTION("IMPORTRANGE(""https://docs.google.com/spreadsheets/d/""&amp;$A210&amp;""/edit#gid=156619080"",AL$3)"),-1.0)</f>
        <v>-1</v>
      </c>
      <c r="AM210" s="2" t="str">
        <f>IFERROR(__xludf.DUMMYFUNCTION("IMPORTRANGE(""https://docs.google.com/spreadsheets/d/""&amp;$A210&amp;""/edit#gid=156619080"",AM$3)"),"")</f>
        <v/>
      </c>
      <c r="AN210" s="2">
        <f>IFERROR(__xludf.DUMMYFUNCTION("IMPORTRANGE(""https://docs.google.com/spreadsheets/d/""&amp;$A210&amp;""/edit#gid=156619080"",AN$3)"),-1.0)</f>
        <v>-1</v>
      </c>
      <c r="AO210" s="2" t="str">
        <f>IFERROR(__xludf.DUMMYFUNCTION("IMPORTRANGE(""https://docs.google.com/spreadsheets/d/""&amp;$A210&amp;""/edit#gid=156619080"",AO$3)"),"")</f>
        <v/>
      </c>
      <c r="AP210" s="2">
        <f>IFERROR(__xludf.DUMMYFUNCTION("IMPORTRANGE(""https://docs.google.com/spreadsheets/d/""&amp;$A210&amp;""/edit#gid=156619080"",AP$3)"),1.0)</f>
        <v>1</v>
      </c>
      <c r="AQ210" s="2" t="str">
        <f>IFERROR(__xludf.DUMMYFUNCTION("IMPORTRANGE(""https://docs.google.com/spreadsheets/d/""&amp;$A210&amp;""/edit#gid=156619080"",AQ$3)"),"ws3")</f>
        <v>ws3</v>
      </c>
      <c r="AR210" s="18">
        <f>IFERROR(__xludf.DUMMYFUNCTION("IMPORTRANGE(""https://docs.google.com/spreadsheets/d/""&amp;$A210&amp;""/edit#gid=156619080"",AR$3)"),30.000000000000004)</f>
        <v>30</v>
      </c>
      <c r="AS210" s="19" t="str">
        <f>IFERROR(__xludf.DUMMYFUNCTION("IMPORTRANGE(""https://docs.google.com/spreadsheets/d/""&amp;$A210&amp;""/edit#gid=156619080"",AS$3)"),"-90
-90
-20
-70
")</f>
        <v>-90
-90
-20
-70
</v>
      </c>
      <c r="AT210" s="18">
        <f>IFERROR(__xludf.DUMMYFUNCTION("IMPORTRANGE(""https://docs.google.com/spreadsheets/d/""&amp;$A210&amp;""/edit#gid=156619080"",AT$3)"),-46.703296703296694)</f>
        <v>-46.7032967</v>
      </c>
      <c r="AU210" s="3" t="str">
        <f>IFERROR(__xludf.DUMMYFUNCTION("IMPORTRANGE(""https://docs.google.com/spreadsheets/d/""&amp;$A210&amp;""/edit#gid=156619080"",AU$3)"),"1.51
-17.72
-17.72
-43.41
")</f>
        <v>1.51
-17.72
-17.72
-43.41
</v>
      </c>
      <c r="AV210" s="18">
        <f>IFERROR(__xludf.DUMMYFUNCTION("IMPORTRANGE(""https://docs.google.com/spreadsheets/d/""&amp;$A210&amp;""/edit#gid=156619080"",AV$3)"),-29.155844155844157)</f>
        <v>-29.15584416</v>
      </c>
      <c r="AW210" s="19" t="str">
        <f>IFERROR(__xludf.DUMMYFUNCTION("IMPORTRANGE(""https://docs.google.com/spreadsheets/d/""&amp;$A210&amp;""/edit#gid=156619080"",AW$3)"),"-36.17
-42.79
-39.16
-42.53
")</f>
        <v>-36.17
-42.79
-39.16
-42.53
</v>
      </c>
      <c r="AX210" s="2">
        <f>IFERROR(__xludf.DUMMYFUNCTION("IMPORTRANGE(""https://docs.google.com/spreadsheets/d/""&amp;$A210&amp;""/edit#gid=156619080"",AX$3)"),58.330000000000005)</f>
        <v>58.33</v>
      </c>
      <c r="AY210" s="2">
        <f>IFERROR(__xludf.DUMMYFUNCTION("IMPORTRANGE(""https://docs.google.com/spreadsheets/d/""&amp;$A210&amp;""/edit#gid=156619080"",AY$3)"),45.4)</f>
        <v>45.4</v>
      </c>
      <c r="AZ210" s="2">
        <f>IFERROR(__xludf.DUMMYFUNCTION("IMPORTRANGE(""https://docs.google.com/spreadsheets/d/""&amp;$A210&amp;""/edit#gid=156619080"",AZ$3)"),2794.87)</f>
        <v>2794.87</v>
      </c>
      <c r="BA210" s="2">
        <f>IFERROR(__xludf.DUMMYFUNCTION("IMPORTRANGE(""https://docs.google.com/spreadsheets/d/""&amp;$A210&amp;""/edit#gid=156619080"",BA$3)"),-105.36000000000013)</f>
        <v>-105.36</v>
      </c>
      <c r="BB210" s="2">
        <f>IFERROR(__xludf.DUMMYFUNCTION("IMPORTRANGE(""https://docs.google.com/spreadsheets/d/""&amp;$A210&amp;""/edit#gid=156619080"",BB$3)"),-210.87)</f>
        <v>-210.87</v>
      </c>
      <c r="BC210" s="2" t="str">
        <f>IFERROR(__xludf.DUMMYFUNCTION("IMPORTRANGE(""https://docs.google.com/spreadsheets/d/""&amp;$A210&amp;""/edit#gid=156619080"",BC$3)"),"GC→GC")</f>
        <v>GC→GC</v>
      </c>
    </row>
    <row r="211" ht="51.0" customHeight="1">
      <c r="A211" s="7" t="str">
        <f t="shared" si="5"/>
        <v>1DthqjvGpK9u4liY5vXj-Q3O1Il_vTo5J6bzDbbBBkis</v>
      </c>
      <c r="B211" s="1" t="s">
        <v>238</v>
      </c>
      <c r="C211" s="2">
        <f>IFERROR(__xludf.DUMMYFUNCTION("IMPORTRANGE(""https://docs.google.com/spreadsheets/d/""&amp;$A211&amp;""/edit#gid=156619080"",C$3)"),132.0)</f>
        <v>132</v>
      </c>
      <c r="D211" s="2">
        <f>IFERROR(__xludf.DUMMYFUNCTION("IMPORTRANGE(""https://docs.google.com/spreadsheets/d/""&amp;$A211&amp;""/edit#gid=156619080"",D$3)"),9433.0)</f>
        <v>9433</v>
      </c>
      <c r="E211" s="15">
        <f>IFERROR(__xludf.DUMMYFUNCTION("IMPORTRANGE(""https://docs.google.com/spreadsheets/d/""&amp;$A211&amp;""/edit#gid=156619080"",E$3)"),43882.0)</f>
        <v>43882</v>
      </c>
      <c r="F211" s="2">
        <f>IFERROR(__xludf.DUMMYFUNCTION("IMPORTRANGE(""https://docs.google.com/spreadsheets/d/""&amp;$A211&amp;""/edit#gid=156619080"",F$3)"),16.0)</f>
        <v>16</v>
      </c>
      <c r="G211" s="16">
        <f>IFERROR(__xludf.DUMMYFUNCTION("IMPORTRANGE(""https://docs.google.com/spreadsheets/d/""&amp;$A211&amp;""/edit#gid=156619080"",G$3)"),0.47)</f>
        <v>0.47</v>
      </c>
      <c r="H211" s="16">
        <f>IFERROR(__xludf.DUMMYFUNCTION("IMPORTRANGE(""https://docs.google.com/spreadsheets/d/""&amp;$A211&amp;""/edit#gid=156619080"",H$3)"),3425.0)</f>
        <v>3425</v>
      </c>
      <c r="I211" s="16">
        <f>IFERROR(__xludf.DUMMYFUNCTION("IMPORTRANGE(""https://docs.google.com/spreadsheets/d/""&amp;$A211&amp;""/edit#gid=156619080"",I$3)"),-16.0)</f>
        <v>-16</v>
      </c>
      <c r="J211" s="16">
        <f>IFERROR(__xludf.DUMMYFUNCTION("IMPORTRANGE(""https://docs.google.com/spreadsheets/d/""&amp;$A211&amp;""/edit#gid=156619080"",J$3)"),3431.0)</f>
        <v>3431</v>
      </c>
      <c r="K211" s="16">
        <f>IFERROR(__xludf.DUMMYFUNCTION("IMPORTRANGE(""https://docs.google.com/spreadsheets/d/""&amp;$A211&amp;""/edit#gid=156619080"",K$3)"),0.5208333333333334)</f>
        <v>0.5208333333</v>
      </c>
      <c r="L211" s="16">
        <f>IFERROR(__xludf.DUMMYFUNCTION("IMPORTRANGE(""https://docs.google.com/spreadsheets/d/""&amp;$A211&amp;""/edit#gid=156619080"",L$3)"),3408.0)</f>
        <v>3408</v>
      </c>
      <c r="M211" s="16">
        <f>IFERROR(__xludf.DUMMYFUNCTION("IMPORTRANGE(""https://docs.google.com/spreadsheets/d/""&amp;$A211&amp;""/edit#gid=156619080"",M$3)"),0.38680555555555557)</f>
        <v>0.3868055556</v>
      </c>
      <c r="N211" s="16">
        <f>IFERROR(__xludf.DUMMYFUNCTION("IMPORTRANGE(""https://docs.google.com/spreadsheets/d/""&amp;$A211&amp;""/edit#gid=156619080"",N$3)"),3425.0)</f>
        <v>3425</v>
      </c>
      <c r="O211" s="16" t="str">
        <f>IFERROR(__xludf.DUMMYFUNCTION("IMPORTRANGE(""https://docs.google.com/spreadsheets/d/""&amp;$A211&amp;""/edit#gid=156619080"",O$3)"),"3761200株")</f>
        <v>3761200株</v>
      </c>
      <c r="P211" s="16" t="str">
        <f>IFERROR(__xludf.DUMMYFUNCTION("IMPORTRANGE(""https://docs.google.com/spreadsheets/d/""&amp;$A211&amp;""/edit#gid=156619080"",P$3)"),"12875百万円")</f>
        <v>12875百万円</v>
      </c>
      <c r="Q211" s="16" t="str">
        <f>IFERROR(__xludf.DUMMYFUNCTION("IMPORTRANGE(""https://docs.google.com/spreadsheets/d/""&amp;$A211&amp;""/edit#gid=156619080"",Q$3)"),"4351回")</f>
        <v>4351回</v>
      </c>
      <c r="R211" s="16" t="str">
        <f>IFERROR(__xludf.DUMMYFUNCTION("IMPORTRANGE(""https://docs.google.com/spreadsheets/d/""&amp;$A211&amp;""/edit#gid=156619080"",R$3)"),"80672億円")</f>
        <v>80672億円</v>
      </c>
      <c r="S211" s="16" t="str">
        <f>IFERROR(__xludf.DUMMYFUNCTION("IMPORTRANGE(""https://docs.google.com/spreadsheets/d/""&amp;$A211&amp;""/edit#gid=156619080"",S$3)"),"一本線")</f>
        <v>一本線</v>
      </c>
      <c r="T211" s="16" t="str">
        <f>IFERROR(__xludf.DUMMYFUNCTION("IMPORTRANGE(""https://docs.google.com/spreadsheets/d/""&amp;$A211&amp;""/edit#gid=156619080"",T$3)"),"")</f>
        <v/>
      </c>
      <c r="U211" s="16">
        <f>IFERROR(__xludf.DUMMYFUNCTION("IMPORTRANGE(""https://docs.google.com/spreadsheets/d/""&amp;$A211&amp;""/edit#gid=156619080"",U$3)"),3410.0)</f>
        <v>3410</v>
      </c>
      <c r="V211" s="16">
        <f>IFERROR(__xludf.DUMMYFUNCTION("IMPORTRANGE(""https://docs.google.com/spreadsheets/d/""&amp;$A211&amp;""/edit#gid=156619080"",V$3)"),3397.4)</f>
        <v>3397.4</v>
      </c>
      <c r="W211" s="16">
        <f>IFERROR(__xludf.DUMMYFUNCTION("IMPORTRANGE(""https://docs.google.com/spreadsheets/d/""&amp;$A211&amp;""/edit#gid=156619080"",W$3)"),3350.4)</f>
        <v>3350.4</v>
      </c>
      <c r="X211" s="2">
        <f>IFERROR(__xludf.DUMMYFUNCTION("IMPORTRANGE(""https://docs.google.com/spreadsheets/d/""&amp;$A211&amp;""/edit#gid=156619080"",X$3)"),3127.7)</f>
        <v>3127.7</v>
      </c>
      <c r="Y211" s="17">
        <f>IFERROR(__xludf.DUMMYFUNCTION("IMPORTRANGE(""https://docs.google.com/spreadsheets/d/""&amp;$A211&amp;""/edit#gid=156619080"",Y$3)"),0.004398826979472141)</f>
        <v>0.004398826979</v>
      </c>
      <c r="Z211" s="2">
        <f>IFERROR(__xludf.DUMMYFUNCTION("IMPORTRANGE(""https://docs.google.com/spreadsheets/d/""&amp;$A211&amp;""/edit#gid=156619080"",Z$3)"),3494.09)</f>
        <v>3494.09</v>
      </c>
      <c r="AA211" s="2">
        <f>IFERROR(__xludf.DUMMYFUNCTION("IMPORTRANGE(""https://docs.google.com/spreadsheets/d/""&amp;$A211&amp;""/edit#gid=156619080"",AA$3)"),3476.12)</f>
        <v>3476.12</v>
      </c>
      <c r="AB211" s="2">
        <f>IFERROR(__xludf.DUMMYFUNCTION("IMPORTRANGE(""https://docs.google.com/spreadsheets/d/""&amp;$A211&amp;""/edit#gid=156619080"",AB$3)"),3458.16)</f>
        <v>3458.16</v>
      </c>
      <c r="AC211" s="18">
        <f>IFERROR(__xludf.DUMMYFUNCTION("IMPORTRANGE(""https://docs.google.com/spreadsheets/d/""&amp;$A211&amp;""/edit#gid=156619080"",AC$3)"),3440.2)</f>
        <v>3440.2</v>
      </c>
      <c r="AD211" s="18">
        <f>IFERROR(__xludf.DUMMYFUNCTION("IMPORTRANGE(""https://docs.google.com/spreadsheets/d/""&amp;$A211&amp;""/edit#gid=156619080"",AD$3)"),3422.24)</f>
        <v>3422.24</v>
      </c>
      <c r="AE211" s="18">
        <f>IFERROR(__xludf.DUMMYFUNCTION("IMPORTRANGE(""https://docs.google.com/spreadsheets/d/""&amp;$A211&amp;""/edit#gid=156619080"",AE$3)"),3350.4)</f>
        <v>3350.4</v>
      </c>
      <c r="AF211" s="2">
        <f>IFERROR(__xludf.DUMMYFUNCTION("IMPORTRANGE(""https://docs.google.com/spreadsheets/d/""&amp;$A211&amp;""/edit#gid=156619080"",AF$3)"),3278.56)</f>
        <v>3278.56</v>
      </c>
      <c r="AG211" s="2">
        <f>IFERROR(__xludf.DUMMYFUNCTION("IMPORTRANGE(""https://docs.google.com/spreadsheets/d/""&amp;$A211&amp;""/edit#gid=156619080"",AG$3)"),3260.6)</f>
        <v>3260.6</v>
      </c>
      <c r="AH211" s="2">
        <f>IFERROR(__xludf.DUMMYFUNCTION("IMPORTRANGE(""https://docs.google.com/spreadsheets/d/""&amp;$A211&amp;""/edit#gid=156619080"",AH$3)"),3242.64)</f>
        <v>3242.64</v>
      </c>
      <c r="AI211" s="2">
        <f>IFERROR(__xludf.DUMMYFUNCTION("IMPORTRANGE(""https://docs.google.com/spreadsheets/d/""&amp;$A211&amp;""/edit#gid=156619080"",AI$3)"),3224.68)</f>
        <v>3224.68</v>
      </c>
      <c r="AJ211" s="2">
        <f>IFERROR(__xludf.DUMMYFUNCTION("IMPORTRANGE(""https://docs.google.com/spreadsheets/d/""&amp;$A211&amp;""/edit#gid=156619080"",AJ$3)"),3206.71)</f>
        <v>3206.71</v>
      </c>
      <c r="AK211" s="2" t="str">
        <f>IFERROR(__xludf.DUMMYFUNCTION("IMPORTRANGE(""https://docs.google.com/spreadsheets/d/""&amp;$A211&amp;""/edit#gid=156619080"",AK$3)"),"1〜1.25σ")</f>
        <v>1〜1.25σ</v>
      </c>
      <c r="AL211" s="2">
        <f>IFERROR(__xludf.DUMMYFUNCTION("IMPORTRANGE(""https://docs.google.com/spreadsheets/d/""&amp;$A211&amp;""/edit#gid=156619080"",AL$3)"),1.0)</f>
        <v>1</v>
      </c>
      <c r="AM211" s="2" t="str">
        <f>IFERROR(__xludf.DUMMYFUNCTION("IMPORTRANGE(""https://docs.google.com/spreadsheets/d/""&amp;$A211&amp;""/edit#gid=156619080"",AM$3)"),"")</f>
        <v/>
      </c>
      <c r="AN211" s="2">
        <f>IFERROR(__xludf.DUMMYFUNCTION("IMPORTRANGE(""https://docs.google.com/spreadsheets/d/""&amp;$A211&amp;""/edit#gid=156619080"",AN$3)"),1.0)</f>
        <v>1</v>
      </c>
      <c r="AO211" s="2" t="str">
        <f>IFERROR(__xludf.DUMMYFUNCTION("IMPORTRANGE(""https://docs.google.com/spreadsheets/d/""&amp;$A211&amp;""/edit#gid=156619080"",AO$3)"),"")</f>
        <v/>
      </c>
      <c r="AP211" s="2">
        <f>IFERROR(__xludf.DUMMYFUNCTION("IMPORTRANGE(""https://docs.google.com/spreadsheets/d/""&amp;$A211&amp;""/edit#gid=156619080"",AP$3)"),1.0)</f>
        <v>1</v>
      </c>
      <c r="AQ211" s="2" t="str">
        <f>IFERROR(__xludf.DUMMYFUNCTION("IMPORTRANGE(""https://docs.google.com/spreadsheets/d/""&amp;$A211&amp;""/edit#gid=156619080"",AQ$3)"),"")</f>
        <v/>
      </c>
      <c r="AR211" s="18">
        <f>IFERROR(__xludf.DUMMYFUNCTION("IMPORTRANGE(""https://docs.google.com/spreadsheets/d/""&amp;$A211&amp;""/edit#gid=156619080"",AR$3)"),-10.000000000000009)</f>
        <v>-10</v>
      </c>
      <c r="AS211" s="19" t="str">
        <f>IFERROR(__xludf.DUMMYFUNCTION("IMPORTRANGE(""https://docs.google.com/spreadsheets/d/""&amp;$A211&amp;""/edit#gid=156619080"",AS$3)"),"20
-80
-90
-60
")</f>
        <v>20
-80
-90
-60
</v>
      </c>
      <c r="AT211" s="18">
        <f>IFERROR(__xludf.DUMMYFUNCTION("IMPORTRANGE(""https://docs.google.com/spreadsheets/d/""&amp;$A211&amp;""/edit#gid=156619080"",AT$3)"),39.972527472527474)</f>
        <v>39.97252747</v>
      </c>
      <c r="AU211" s="3" t="str">
        <f>IFERROR(__xludf.DUMMYFUNCTION("IMPORTRANGE(""https://docs.google.com/spreadsheets/d/""&amp;$A211&amp;""/edit#gid=156619080"",AU$3)"),"87.91
80.22
67.03
50
")</f>
        <v>87.91
80.22
67.03
50
</v>
      </c>
      <c r="AV211" s="18">
        <f>IFERROR(__xludf.DUMMYFUNCTION("IMPORTRANGE(""https://docs.google.com/spreadsheets/d/""&amp;$A211&amp;""/edit#gid=156619080"",AV$3)"),80.48701298701299)</f>
        <v>80.48701299</v>
      </c>
      <c r="AW211" s="19" t="str">
        <f>IFERROR(__xludf.DUMMYFUNCTION("IMPORTRANGE(""https://docs.google.com/spreadsheets/d/""&amp;$A211&amp;""/edit#gid=156619080"",AW$3)"),"76.75
76.72
81.66
78.83
")</f>
        <v>76.75
76.72
81.66
78.83
</v>
      </c>
      <c r="AX211" s="2">
        <f>IFERROR(__xludf.DUMMYFUNCTION("IMPORTRANGE(""https://docs.google.com/spreadsheets/d/""&amp;$A211&amp;""/edit#gid=156619080"",AX$3)"),50.0)</f>
        <v>50</v>
      </c>
      <c r="AY211" s="2">
        <f>IFERROR(__xludf.DUMMYFUNCTION("IMPORTRANGE(""https://docs.google.com/spreadsheets/d/""&amp;$A211&amp;""/edit#gid=156619080"",AY$3)"),67.39)</f>
        <v>67.39</v>
      </c>
      <c r="AZ211" s="2">
        <f>IFERROR(__xludf.DUMMYFUNCTION("IMPORTRANGE(""https://docs.google.com/spreadsheets/d/""&amp;$A211&amp;""/edit#gid=156619080"",AZ$3)"),3412.63)</f>
        <v>3412.63</v>
      </c>
      <c r="BA211" s="2">
        <f>IFERROR(__xludf.DUMMYFUNCTION("IMPORTRANGE(""https://docs.google.com/spreadsheets/d/""&amp;$A211&amp;""/edit#gid=156619080"",BA$3)"),46.76000000000022)</f>
        <v>46.76</v>
      </c>
      <c r="BB211" s="2">
        <f>IFERROR(__xludf.DUMMYFUNCTION("IMPORTRANGE(""https://docs.google.com/spreadsheets/d/""&amp;$A211&amp;""/edit#gid=156619080"",BB$3)"),51.38)</f>
        <v>51.38</v>
      </c>
      <c r="BC211" s="2" t="str">
        <f>IFERROR(__xludf.DUMMYFUNCTION("IMPORTRANGE(""https://docs.google.com/spreadsheets/d/""&amp;$A211&amp;""/edit#gid=156619080"",BC$3)"),"DC→DC")</f>
        <v>DC→DC</v>
      </c>
    </row>
    <row r="212" ht="51.0" customHeight="1">
      <c r="A212" s="7" t="str">
        <f t="shared" si="5"/>
        <v>1_N5dur3Ptxeso7rMqomlSfpS8JtbjFDylKlcnUSjgvs</v>
      </c>
      <c r="B212" s="1" t="s">
        <v>239</v>
      </c>
      <c r="C212" s="2">
        <f>IFERROR(__xludf.DUMMYFUNCTION("IMPORTRANGE(""https://docs.google.com/spreadsheets/d/""&amp;$A212&amp;""/edit#gid=156619080"",C$3)"),132.0)</f>
        <v>132</v>
      </c>
      <c r="D212" s="2">
        <f>IFERROR(__xludf.DUMMYFUNCTION("IMPORTRANGE(""https://docs.google.com/spreadsheets/d/""&amp;$A212&amp;""/edit#gid=156619080"",D$3)"),9437.0)</f>
        <v>9437</v>
      </c>
      <c r="E212" s="15">
        <f>IFERROR(__xludf.DUMMYFUNCTION("IMPORTRANGE(""https://docs.google.com/spreadsheets/d/""&amp;$A212&amp;""/edit#gid=156619080"",E$3)"),43882.0)</f>
        <v>43882</v>
      </c>
      <c r="F212" s="2">
        <f>IFERROR(__xludf.DUMMYFUNCTION("IMPORTRANGE(""https://docs.google.com/spreadsheets/d/""&amp;$A212&amp;""/edit#gid=156619080"",F$3)"),14.0)</f>
        <v>14</v>
      </c>
      <c r="G212" s="16">
        <f>IFERROR(__xludf.DUMMYFUNCTION("IMPORTRANGE(""https://docs.google.com/spreadsheets/d/""&amp;$A212&amp;""/edit#gid=156619080"",G$3)"),0.45)</f>
        <v>0.45</v>
      </c>
      <c r="H212" s="16">
        <f>IFERROR(__xludf.DUMMYFUNCTION("IMPORTRANGE(""https://docs.google.com/spreadsheets/d/""&amp;$A212&amp;""/edit#gid=156619080"",H$3)"),3160.0)</f>
        <v>3160</v>
      </c>
      <c r="I212" s="16">
        <f>IFERROR(__xludf.DUMMYFUNCTION("IMPORTRANGE(""https://docs.google.com/spreadsheets/d/""&amp;$A212&amp;""/edit#gid=156619080"",I$3)"),-29.0)</f>
        <v>-29</v>
      </c>
      <c r="J212" s="16">
        <f>IFERROR(__xludf.DUMMYFUNCTION("IMPORTRANGE(""https://docs.google.com/spreadsheets/d/""&amp;$A212&amp;""/edit#gid=156619080"",J$3)"),3160.0)</f>
        <v>3160</v>
      </c>
      <c r="K212" s="16">
        <f>IFERROR(__xludf.DUMMYFUNCTION("IMPORTRANGE(""https://docs.google.com/spreadsheets/d/""&amp;$A212&amp;""/edit#gid=156619080"",K$3)"),0.375)</f>
        <v>0.375</v>
      </c>
      <c r="L212" s="16">
        <f>IFERROR(__xludf.DUMMYFUNCTION("IMPORTRANGE(""https://docs.google.com/spreadsheets/d/""&amp;$A212&amp;""/edit#gid=156619080"",L$3)"),3137.0)</f>
        <v>3137</v>
      </c>
      <c r="M212" s="16">
        <f>IFERROR(__xludf.DUMMYFUNCTION("IMPORTRANGE(""https://docs.google.com/spreadsheets/d/""&amp;$A212&amp;""/edit#gid=156619080"",M$3)"),0.38680555555555557)</f>
        <v>0.3868055556</v>
      </c>
      <c r="N212" s="16">
        <f>IFERROR(__xludf.DUMMYFUNCTION("IMPORTRANGE(""https://docs.google.com/spreadsheets/d/""&amp;$A212&amp;""/edit#gid=156619080"",N$3)"),3145.0)</f>
        <v>3145</v>
      </c>
      <c r="O212" s="16" t="str">
        <f>IFERROR(__xludf.DUMMYFUNCTION("IMPORTRANGE(""https://docs.google.com/spreadsheets/d/""&amp;$A212&amp;""/edit#gid=156619080"",O$3)"),"4395500株")</f>
        <v>4395500株</v>
      </c>
      <c r="P212" s="16" t="str">
        <f>IFERROR(__xludf.DUMMYFUNCTION("IMPORTRANGE(""https://docs.google.com/spreadsheets/d/""&amp;$A212&amp;""/edit#gid=156619080"",P$3)"),"13843百万円")</f>
        <v>13843百万円</v>
      </c>
      <c r="Q212" s="16" t="str">
        <f>IFERROR(__xludf.DUMMYFUNCTION("IMPORTRANGE(""https://docs.google.com/spreadsheets/d/""&amp;$A212&amp;""/edit#gid=156619080"",Q$3)"),"3592回")</f>
        <v>3592回</v>
      </c>
      <c r="R212" s="16" t="str">
        <f>IFERROR(__xludf.DUMMYFUNCTION("IMPORTRANGE(""https://docs.google.com/spreadsheets/d/""&amp;$A212&amp;""/edit#gid=156619080"",R$3)"),"104893億円")</f>
        <v>104893億円</v>
      </c>
      <c r="S212" s="16" t="str">
        <f>IFERROR(__xludf.DUMMYFUNCTION("IMPORTRANGE(""https://docs.google.com/spreadsheets/d/""&amp;$A212&amp;""/edit#gid=156619080"",S$3)"),"陰線")</f>
        <v>陰線</v>
      </c>
      <c r="T212" s="16" t="str">
        <f>IFERROR(__xludf.DUMMYFUNCTION("IMPORTRANGE(""https://docs.google.com/spreadsheets/d/""&amp;$A212&amp;""/edit#gid=156619080"",T$3)"),"")</f>
        <v/>
      </c>
      <c r="U212" s="16">
        <f>IFERROR(__xludf.DUMMYFUNCTION("IMPORTRANGE(""https://docs.google.com/spreadsheets/d/""&amp;$A212&amp;""/edit#gid=156619080"",U$3)"),3122.2)</f>
        <v>3122.2</v>
      </c>
      <c r="V212" s="16">
        <f>IFERROR(__xludf.DUMMYFUNCTION("IMPORTRANGE(""https://docs.google.com/spreadsheets/d/""&amp;$A212&amp;""/edit#gid=156619080"",V$3)"),3114.2)</f>
        <v>3114.2</v>
      </c>
      <c r="W212" s="16">
        <f>IFERROR(__xludf.DUMMYFUNCTION("IMPORTRANGE(""https://docs.google.com/spreadsheets/d/""&amp;$A212&amp;""/edit#gid=156619080"",W$3)"),3112.5)</f>
        <v>3112.5</v>
      </c>
      <c r="X212" s="2">
        <f>IFERROR(__xludf.DUMMYFUNCTION("IMPORTRANGE(""https://docs.google.com/spreadsheets/d/""&amp;$A212&amp;""/edit#gid=156619080"",X$3)"),2961.1)</f>
        <v>2961.1</v>
      </c>
      <c r="Y212" s="17">
        <f>IFERROR(__xludf.DUMMYFUNCTION("IMPORTRANGE(""https://docs.google.com/spreadsheets/d/""&amp;$A212&amp;""/edit#gid=156619080"",Y$3)"),0.007302543078598483)</f>
        <v>0.007302543079</v>
      </c>
      <c r="Z212" s="2">
        <f>IFERROR(__xludf.DUMMYFUNCTION("IMPORTRANGE(""https://docs.google.com/spreadsheets/d/""&amp;$A212&amp;""/edit#gid=156619080"",Z$3)"),3166.06)</f>
        <v>3166.06</v>
      </c>
      <c r="AA212" s="2">
        <f>IFERROR(__xludf.DUMMYFUNCTION("IMPORTRANGE(""https://docs.google.com/spreadsheets/d/""&amp;$A212&amp;""/edit#gid=156619080"",AA$3)"),3159.37)</f>
        <v>3159.37</v>
      </c>
      <c r="AB212" s="2">
        <f>IFERROR(__xludf.DUMMYFUNCTION("IMPORTRANGE(""https://docs.google.com/spreadsheets/d/""&amp;$A212&amp;""/edit#gid=156619080"",AB$3)"),3152.67)</f>
        <v>3152.67</v>
      </c>
      <c r="AC212" s="18">
        <f>IFERROR(__xludf.DUMMYFUNCTION("IMPORTRANGE(""https://docs.google.com/spreadsheets/d/""&amp;$A212&amp;""/edit#gid=156619080"",AC$3)"),3145.98)</f>
        <v>3145.98</v>
      </c>
      <c r="AD212" s="18">
        <f>IFERROR(__xludf.DUMMYFUNCTION("IMPORTRANGE(""https://docs.google.com/spreadsheets/d/""&amp;$A212&amp;""/edit#gid=156619080"",AD$3)"),3139.28)</f>
        <v>3139.28</v>
      </c>
      <c r="AE212" s="18">
        <f>IFERROR(__xludf.DUMMYFUNCTION("IMPORTRANGE(""https://docs.google.com/spreadsheets/d/""&amp;$A212&amp;""/edit#gid=156619080"",AE$3)"),3112.5)</f>
        <v>3112.5</v>
      </c>
      <c r="AF212" s="2">
        <f>IFERROR(__xludf.DUMMYFUNCTION("IMPORTRANGE(""https://docs.google.com/spreadsheets/d/""&amp;$A212&amp;""/edit#gid=156619080"",AF$3)"),3085.72)</f>
        <v>3085.72</v>
      </c>
      <c r="AG212" s="2">
        <f>IFERROR(__xludf.DUMMYFUNCTION("IMPORTRANGE(""https://docs.google.com/spreadsheets/d/""&amp;$A212&amp;""/edit#gid=156619080"",AG$3)"),3079.02)</f>
        <v>3079.02</v>
      </c>
      <c r="AH212" s="2">
        <f>IFERROR(__xludf.DUMMYFUNCTION("IMPORTRANGE(""https://docs.google.com/spreadsheets/d/""&amp;$A212&amp;""/edit#gid=156619080"",AH$3)"),3072.33)</f>
        <v>3072.33</v>
      </c>
      <c r="AI212" s="2">
        <f>IFERROR(__xludf.DUMMYFUNCTION("IMPORTRANGE(""https://docs.google.com/spreadsheets/d/""&amp;$A212&amp;""/edit#gid=156619080"",AI$3)"),3065.63)</f>
        <v>3065.63</v>
      </c>
      <c r="AJ212" s="2">
        <f>IFERROR(__xludf.DUMMYFUNCTION("IMPORTRANGE(""https://docs.google.com/spreadsheets/d/""&amp;$A212&amp;""/edit#gid=156619080"",AJ$3)"),3058.94)</f>
        <v>3058.94</v>
      </c>
      <c r="AK212" s="2" t="str">
        <f>IFERROR(__xludf.DUMMYFUNCTION("IMPORTRANGE(""https://docs.google.com/spreadsheets/d/""&amp;$A212&amp;""/edit#gid=156619080"",AK$3)"),"1〜1.25σ")</f>
        <v>1〜1.25σ</v>
      </c>
      <c r="AL212" s="2">
        <f>IFERROR(__xludf.DUMMYFUNCTION("IMPORTRANGE(""https://docs.google.com/spreadsheets/d/""&amp;$A212&amp;""/edit#gid=156619080"",AL$3)"),1.0)</f>
        <v>1</v>
      </c>
      <c r="AM212" s="2" t="str">
        <f>IFERROR(__xludf.DUMMYFUNCTION("IMPORTRANGE(""https://docs.google.com/spreadsheets/d/""&amp;$A212&amp;""/edit#gid=156619080"",AM$3)"),"")</f>
        <v/>
      </c>
      <c r="AN212" s="2">
        <f>IFERROR(__xludf.DUMMYFUNCTION("IMPORTRANGE(""https://docs.google.com/spreadsheets/d/""&amp;$A212&amp;""/edit#gid=156619080"",AN$3)"),1.0)</f>
        <v>1</v>
      </c>
      <c r="AO212" s="2" t="str">
        <f>IFERROR(__xludf.DUMMYFUNCTION("IMPORTRANGE(""https://docs.google.com/spreadsheets/d/""&amp;$A212&amp;""/edit#gid=156619080"",AO$3)"),"")</f>
        <v/>
      </c>
      <c r="AP212" s="2">
        <f>IFERROR(__xludf.DUMMYFUNCTION("IMPORTRANGE(""https://docs.google.com/spreadsheets/d/""&amp;$A212&amp;""/edit#gid=156619080"",AP$3)"),1.0)</f>
        <v>1</v>
      </c>
      <c r="AQ212" s="2" t="str">
        <f>IFERROR(__xludf.DUMMYFUNCTION("IMPORTRANGE(""https://docs.google.com/spreadsheets/d/""&amp;$A212&amp;""/edit#gid=156619080"",AQ$3)"),"ws3")</f>
        <v>ws3</v>
      </c>
      <c r="AR212" s="18">
        <f>IFERROR(__xludf.DUMMYFUNCTION("IMPORTRANGE(""https://docs.google.com/spreadsheets/d/""&amp;$A212&amp;""/edit#gid=156619080"",AR$3)"),80.0)</f>
        <v>80</v>
      </c>
      <c r="AS212" s="19" t="str">
        <f>IFERROR(__xludf.DUMMYFUNCTION("IMPORTRANGE(""https://docs.google.com/spreadsheets/d/""&amp;$A212&amp;""/edit#gid=156619080"",AS$3)"),"-80
-90
10
50
")</f>
        <v>-80
-90
10
50
</v>
      </c>
      <c r="AT212" s="18">
        <f>IFERROR(__xludf.DUMMYFUNCTION("IMPORTRANGE(""https://docs.google.com/spreadsheets/d/""&amp;$A212&amp;""/edit#gid=156619080"",AT$3)"),33.51648351648352)</f>
        <v>33.51648352</v>
      </c>
      <c r="AU212" s="3" t="str">
        <f>IFERROR(__xludf.DUMMYFUNCTION("IMPORTRANGE(""https://docs.google.com/spreadsheets/d/""&amp;$A212&amp;""/edit#gid=156619080"",AU$3)"),"38.46
37.36
31.32
32.97
")</f>
        <v>38.46
37.36
31.32
32.97
</v>
      </c>
      <c r="AV212" s="18">
        <f>IFERROR(__xludf.DUMMYFUNCTION("IMPORTRANGE(""https://docs.google.com/spreadsheets/d/""&amp;$A212&amp;""/edit#gid=156619080"",AV$3)"),21.16883116883117)</f>
        <v>21.16883117</v>
      </c>
      <c r="AW212" s="19" t="str">
        <f>IFERROR(__xludf.DUMMYFUNCTION("IMPORTRANGE(""https://docs.google.com/spreadsheets/d/""&amp;$A212&amp;""/edit#gid=156619080"",AW$3)"),"24.64
6.46
12.18
9.19
")</f>
        <v>24.64
6.46
12.18
9.19
</v>
      </c>
      <c r="AX212" s="2">
        <f>IFERROR(__xludf.DUMMYFUNCTION("IMPORTRANGE(""https://docs.google.com/spreadsheets/d/""&amp;$A212&amp;""/edit#gid=156619080"",AX$3)"),76.19)</f>
        <v>76.19</v>
      </c>
      <c r="AY212" s="2">
        <f>IFERROR(__xludf.DUMMYFUNCTION("IMPORTRANGE(""https://docs.google.com/spreadsheets/d/""&amp;$A212&amp;""/edit#gid=156619080"",AY$3)"),54.39000000000001)</f>
        <v>54.39</v>
      </c>
      <c r="AZ212" s="2">
        <f>IFERROR(__xludf.DUMMYFUNCTION("IMPORTRANGE(""https://docs.google.com/spreadsheets/d/""&amp;$A212&amp;""/edit#gid=156619080"",AZ$3)"),3129.09)</f>
        <v>3129.09</v>
      </c>
      <c r="BA212" s="2">
        <f>IFERROR(__xludf.DUMMYFUNCTION("IMPORTRANGE(""https://docs.google.com/spreadsheets/d/""&amp;$A212&amp;""/edit#gid=156619080"",BA$3)"),19.320000000000164)</f>
        <v>19.32</v>
      </c>
      <c r="BB212" s="2">
        <f>IFERROR(__xludf.DUMMYFUNCTION("IMPORTRANGE(""https://docs.google.com/spreadsheets/d/""&amp;$A212&amp;""/edit#gid=156619080"",BB$3)"),15.73)</f>
        <v>15.73</v>
      </c>
      <c r="BC212" s="2" t="str">
        <f>IFERROR(__xludf.DUMMYFUNCTION("IMPORTRANGE(""https://docs.google.com/spreadsheets/d/""&amp;$A212&amp;""/edit#gid=156619080"",BC$3)"),"DC→GC")</f>
        <v>DC→GC</v>
      </c>
    </row>
    <row r="213" ht="51.0" customHeight="1">
      <c r="A213" s="7" t="str">
        <f t="shared" si="5"/>
        <v>1a60iWfO9oP6lAgiloSoPBxQ6AN0bKkWT5tTN85coJ60</v>
      </c>
      <c r="B213" s="1" t="s">
        <v>240</v>
      </c>
      <c r="C213" s="2">
        <f>IFERROR(__xludf.DUMMYFUNCTION("IMPORTRANGE(""https://docs.google.com/spreadsheets/d/""&amp;$A213&amp;""/edit#gid=156619080"",C$3)"),132.0)</f>
        <v>132</v>
      </c>
      <c r="D213" s="2">
        <f>IFERROR(__xludf.DUMMYFUNCTION("IMPORTRANGE(""https://docs.google.com/spreadsheets/d/""&amp;$A213&amp;""/edit#gid=156619080"",D$3)"),9613.0)</f>
        <v>9613</v>
      </c>
      <c r="E213" s="15">
        <f>IFERROR(__xludf.DUMMYFUNCTION("IMPORTRANGE(""https://docs.google.com/spreadsheets/d/""&amp;$A213&amp;""/edit#gid=156619080"",E$3)"),43882.0)</f>
        <v>43882</v>
      </c>
      <c r="F213" s="2">
        <f>IFERROR(__xludf.DUMMYFUNCTION("IMPORTRANGE(""https://docs.google.com/spreadsheets/d/""&amp;$A213&amp;""/edit#gid=156619080"",F$3)"),-12.0)</f>
        <v>-12</v>
      </c>
      <c r="G213" s="16">
        <f>IFERROR(__xludf.DUMMYFUNCTION("IMPORTRANGE(""https://docs.google.com/spreadsheets/d/""&amp;$A213&amp;""/edit#gid=156619080"",G$3)"),-0.82)</f>
        <v>-0.82</v>
      </c>
      <c r="H213" s="16">
        <f>IFERROR(__xludf.DUMMYFUNCTION("IMPORTRANGE(""https://docs.google.com/spreadsheets/d/""&amp;$A213&amp;""/edit#gid=156619080"",H$3)"),1444.0)</f>
        <v>1444</v>
      </c>
      <c r="I213" s="16">
        <f>IFERROR(__xludf.DUMMYFUNCTION("IMPORTRANGE(""https://docs.google.com/spreadsheets/d/""&amp;$A213&amp;""/edit#gid=156619080"",I$3)"),11.0)</f>
        <v>11</v>
      </c>
      <c r="J213" s="16">
        <f>IFERROR(__xludf.DUMMYFUNCTION("IMPORTRANGE(""https://docs.google.com/spreadsheets/d/""&amp;$A213&amp;""/edit#gid=156619080"",J$3)"),1455.0)</f>
        <v>1455</v>
      </c>
      <c r="K213" s="16">
        <f>IFERROR(__xludf.DUMMYFUNCTION("IMPORTRANGE(""https://docs.google.com/spreadsheets/d/""&amp;$A213&amp;""/edit#gid=156619080"",K$3)"),0.40208333333333335)</f>
        <v>0.4020833333</v>
      </c>
      <c r="L213" s="16">
        <f>IFERROR(__xludf.DUMMYFUNCTION("IMPORTRANGE(""https://docs.google.com/spreadsheets/d/""&amp;$A213&amp;""/edit#gid=156619080"",L$3)"),1437.0)</f>
        <v>1437</v>
      </c>
      <c r="M213" s="16">
        <f>IFERROR(__xludf.DUMMYFUNCTION("IMPORTRANGE(""https://docs.google.com/spreadsheets/d/""&amp;$A213&amp;""/edit#gid=156619080"",M$3)"),0.5256944444444445)</f>
        <v>0.5256944444</v>
      </c>
      <c r="N213" s="16">
        <f>IFERROR(__xludf.DUMMYFUNCTION("IMPORTRANGE(""https://docs.google.com/spreadsheets/d/""&amp;$A213&amp;""/edit#gid=156619080"",N$3)"),1443.0)</f>
        <v>1443</v>
      </c>
      <c r="O213" s="16" t="str">
        <f>IFERROR(__xludf.DUMMYFUNCTION("IMPORTRANGE(""https://docs.google.com/spreadsheets/d/""&amp;$A213&amp;""/edit#gid=156619080"",O$3)"),"1897000株")</f>
        <v>1897000株</v>
      </c>
      <c r="P213" s="16" t="str">
        <f>IFERROR(__xludf.DUMMYFUNCTION("IMPORTRANGE(""https://docs.google.com/spreadsheets/d/""&amp;$A213&amp;""/edit#gid=156619080"",P$3)"),"2741百万円")</f>
        <v>2741百万円</v>
      </c>
      <c r="Q213" s="16" t="str">
        <f>IFERROR(__xludf.DUMMYFUNCTION("IMPORTRANGE(""https://docs.google.com/spreadsheets/d/""&amp;$A213&amp;""/edit#gid=156619080"",Q$3)"),"2222回")</f>
        <v>2222回</v>
      </c>
      <c r="R213" s="16" t="str">
        <f>IFERROR(__xludf.DUMMYFUNCTION("IMPORTRANGE(""https://docs.google.com/spreadsheets/d/""&amp;$A213&amp;""/edit#gid=156619080"",R$3)"),"20238億円")</f>
        <v>20238億円</v>
      </c>
      <c r="S213" s="16" t="str">
        <f>IFERROR(__xludf.DUMMYFUNCTION("IMPORTRANGE(""https://docs.google.com/spreadsheets/d/""&amp;$A213&amp;""/edit#gid=156619080"",S$3)"),"陰線")</f>
        <v>陰線</v>
      </c>
      <c r="T213" s="16" t="str">
        <f>IFERROR(__xludf.DUMMYFUNCTION("IMPORTRANGE(""https://docs.google.com/spreadsheets/d/""&amp;$A213&amp;""/edit#gid=156619080"",T$3)"),"")</f>
        <v/>
      </c>
      <c r="U213" s="16">
        <f>IFERROR(__xludf.DUMMYFUNCTION("IMPORTRANGE(""https://docs.google.com/spreadsheets/d/""&amp;$A213&amp;""/edit#gid=156619080"",U$3)"),1447.0)</f>
        <v>1447</v>
      </c>
      <c r="V213" s="16">
        <f>IFERROR(__xludf.DUMMYFUNCTION("IMPORTRANGE(""https://docs.google.com/spreadsheets/d/""&amp;$A213&amp;""/edit#gid=156619080"",V$3)"),1465.4)</f>
        <v>1465.4</v>
      </c>
      <c r="W213" s="16">
        <f>IFERROR(__xludf.DUMMYFUNCTION("IMPORTRANGE(""https://docs.google.com/spreadsheets/d/""&amp;$A213&amp;""/edit#gid=156619080"",W$3)"),1497.4)</f>
        <v>1497.4</v>
      </c>
      <c r="X213" s="2">
        <f>IFERROR(__xludf.DUMMYFUNCTION("IMPORTRANGE(""https://docs.google.com/spreadsheets/d/""&amp;$A213&amp;""/edit#gid=156619080"",X$3)"),1458.5)</f>
        <v>1458.5</v>
      </c>
      <c r="Y213" s="17">
        <f>IFERROR(__xludf.DUMMYFUNCTION("IMPORTRANGE(""https://docs.google.com/spreadsheets/d/""&amp;$A213&amp;""/edit#gid=156619080"",Y$3)"),-0.0027643400138217)</f>
        <v>-0.002764340014</v>
      </c>
      <c r="Z213" s="2">
        <f>IFERROR(__xludf.DUMMYFUNCTION("IMPORTRANGE(""https://docs.google.com/spreadsheets/d/""&amp;$A213&amp;""/edit#gid=156619080"",Z$3)"),1596.7)</f>
        <v>1596.7</v>
      </c>
      <c r="AA213" s="2">
        <f>IFERROR(__xludf.DUMMYFUNCTION("IMPORTRANGE(""https://docs.google.com/spreadsheets/d/""&amp;$A213&amp;""/edit#gid=156619080"",AA$3)"),1584.29)</f>
        <v>1584.29</v>
      </c>
      <c r="AB213" s="2">
        <f>IFERROR(__xludf.DUMMYFUNCTION("IMPORTRANGE(""https://docs.google.com/spreadsheets/d/""&amp;$A213&amp;""/edit#gid=156619080"",AB$3)"),1571.87)</f>
        <v>1571.87</v>
      </c>
      <c r="AC213" s="18">
        <f>IFERROR(__xludf.DUMMYFUNCTION("IMPORTRANGE(""https://docs.google.com/spreadsheets/d/""&amp;$A213&amp;""/edit#gid=156619080"",AC$3)"),1559.46)</f>
        <v>1559.46</v>
      </c>
      <c r="AD213" s="18">
        <f>IFERROR(__xludf.DUMMYFUNCTION("IMPORTRANGE(""https://docs.google.com/spreadsheets/d/""&amp;$A213&amp;""/edit#gid=156619080"",AD$3)"),1547.05)</f>
        <v>1547.05</v>
      </c>
      <c r="AE213" s="18">
        <f>IFERROR(__xludf.DUMMYFUNCTION("IMPORTRANGE(""https://docs.google.com/spreadsheets/d/""&amp;$A213&amp;""/edit#gid=156619080"",AE$3)"),1497.4)</f>
        <v>1497.4</v>
      </c>
      <c r="AF213" s="2">
        <f>IFERROR(__xludf.DUMMYFUNCTION("IMPORTRANGE(""https://docs.google.com/spreadsheets/d/""&amp;$A213&amp;""/edit#gid=156619080"",AF$3)"),1447.75)</f>
        <v>1447.75</v>
      </c>
      <c r="AG213" s="2">
        <f>IFERROR(__xludf.DUMMYFUNCTION("IMPORTRANGE(""https://docs.google.com/spreadsheets/d/""&amp;$A213&amp;""/edit#gid=156619080"",AG$3)"),1435.34)</f>
        <v>1435.34</v>
      </c>
      <c r="AH213" s="2">
        <f>IFERROR(__xludf.DUMMYFUNCTION("IMPORTRANGE(""https://docs.google.com/spreadsheets/d/""&amp;$A213&amp;""/edit#gid=156619080"",AH$3)"),1422.93)</f>
        <v>1422.93</v>
      </c>
      <c r="AI213" s="2">
        <f>IFERROR(__xludf.DUMMYFUNCTION("IMPORTRANGE(""https://docs.google.com/spreadsheets/d/""&amp;$A213&amp;""/edit#gid=156619080"",AI$3)"),1410.51)</f>
        <v>1410.51</v>
      </c>
      <c r="AJ213" s="2">
        <f>IFERROR(__xludf.DUMMYFUNCTION("IMPORTRANGE(""https://docs.google.com/spreadsheets/d/""&amp;$A213&amp;""/edit#gid=156619080"",AJ$3)"),1398.1)</f>
        <v>1398.1</v>
      </c>
      <c r="AK213" s="2" t="str">
        <f>IFERROR(__xludf.DUMMYFUNCTION("IMPORTRANGE(""https://docs.google.com/spreadsheets/d/""&amp;$A213&amp;""/edit#gid=156619080"",AK$3)"),"-1〜-1.25σ")</f>
        <v>-1〜-1.25σ</v>
      </c>
      <c r="AL213" s="2">
        <f>IFERROR(__xludf.DUMMYFUNCTION("IMPORTRANGE(""https://docs.google.com/spreadsheets/d/""&amp;$A213&amp;""/edit#gid=156619080"",AL$3)"),-1.0)</f>
        <v>-1</v>
      </c>
      <c r="AM213" s="2" t="str">
        <f>IFERROR(__xludf.DUMMYFUNCTION("IMPORTRANGE(""https://docs.google.com/spreadsheets/d/""&amp;$A213&amp;""/edit#gid=156619080"",AM$3)"),"")</f>
        <v/>
      </c>
      <c r="AN213" s="2">
        <f>IFERROR(__xludf.DUMMYFUNCTION("IMPORTRANGE(""https://docs.google.com/spreadsheets/d/""&amp;$A213&amp;""/edit#gid=156619080"",AN$3)"),-1.0)</f>
        <v>-1</v>
      </c>
      <c r="AO213" s="2" t="str">
        <f>IFERROR(__xludf.DUMMYFUNCTION("IMPORTRANGE(""https://docs.google.com/spreadsheets/d/""&amp;$A213&amp;""/edit#gid=156619080"",AO$3)"),"")</f>
        <v/>
      </c>
      <c r="AP213" s="2">
        <f>IFERROR(__xludf.DUMMYFUNCTION("IMPORTRANGE(""https://docs.google.com/spreadsheets/d/""&amp;$A213&amp;""/edit#gid=156619080"",AP$3)"),-1.0)</f>
        <v>-1</v>
      </c>
      <c r="AQ213" s="2" t="str">
        <f>IFERROR(__xludf.DUMMYFUNCTION("IMPORTRANGE(""https://docs.google.com/spreadsheets/d/""&amp;$A213&amp;""/edit#gid=156619080"",AQ$3)"),"")</f>
        <v/>
      </c>
      <c r="AR213" s="18">
        <f>IFERROR(__xludf.DUMMYFUNCTION("IMPORTRANGE(""https://docs.google.com/spreadsheets/d/""&amp;$A213&amp;""/edit#gid=156619080"",AR$3)"),50.0)</f>
        <v>50</v>
      </c>
      <c r="AS213" s="19" t="str">
        <f>IFERROR(__xludf.DUMMYFUNCTION("IMPORTRANGE(""https://docs.google.com/spreadsheets/d/""&amp;$A213&amp;""/edit#gid=156619080"",AS$3)"),"-27.5
-40
-40
50
")</f>
        <v>-27.5
-40
-40
50
</v>
      </c>
      <c r="AT213" s="18">
        <f>IFERROR(__xludf.DUMMYFUNCTION("IMPORTRANGE(""https://docs.google.com/spreadsheets/d/""&amp;$A213&amp;""/edit#gid=156619080"",AT$3)"),-63.04945054945055)</f>
        <v>-63.04945055</v>
      </c>
      <c r="AU213" s="3" t="str">
        <f>IFERROR(__xludf.DUMMYFUNCTION("IMPORTRANGE(""https://docs.google.com/spreadsheets/d/""&amp;$A213&amp;""/edit#gid=156619080"",AU$3)"),"-80.08
-85.03
-77.34
-70.19
")</f>
        <v>-80.08
-85.03
-77.34
-70.19
</v>
      </c>
      <c r="AV213" s="18">
        <f>IFERROR(__xludf.DUMMYFUNCTION("IMPORTRANGE(""https://docs.google.com/spreadsheets/d/""&amp;$A213&amp;""/edit#gid=156619080"",AV$3)"),-83.05194805194805)</f>
        <v>-83.05194805</v>
      </c>
      <c r="AW213" s="19" t="str">
        <f>IFERROR(__xludf.DUMMYFUNCTION("IMPORTRANGE(""https://docs.google.com/spreadsheets/d/""&amp;$A213&amp;""/edit#gid=156619080"",AW$3)"),"-83.18
-85.13
-84.22
-83.7
")</f>
        <v>-83.18
-85.13
-84.22
-83.7
</v>
      </c>
      <c r="AX213" s="2">
        <f>IFERROR(__xludf.DUMMYFUNCTION("IMPORTRANGE(""https://docs.google.com/spreadsheets/d/""&amp;$A213&amp;""/edit#gid=156619080"",AX$3)"),48.480000000000004)</f>
        <v>48.48</v>
      </c>
      <c r="AY213" s="2">
        <f>IFERROR(__xludf.DUMMYFUNCTION("IMPORTRANGE(""https://docs.google.com/spreadsheets/d/""&amp;$A213&amp;""/edit#gid=156619080"",AY$3)"),34.760000000000005)</f>
        <v>34.76</v>
      </c>
      <c r="AZ213" s="2">
        <f>IFERROR(__xludf.DUMMYFUNCTION("IMPORTRANGE(""https://docs.google.com/spreadsheets/d/""&amp;$A213&amp;""/edit#gid=156619080"",AZ$3)"),1450.21)</f>
        <v>1450.21</v>
      </c>
      <c r="BA213" s="2">
        <f>IFERROR(__xludf.DUMMYFUNCTION("IMPORTRANGE(""https://docs.google.com/spreadsheets/d/""&amp;$A213&amp;""/edit#gid=156619080"",BA$3)"),-31.389999999999873)</f>
        <v>-31.39</v>
      </c>
      <c r="BB213" s="2">
        <f>IFERROR(__xludf.DUMMYFUNCTION("IMPORTRANGE(""https://docs.google.com/spreadsheets/d/""&amp;$A213&amp;""/edit#gid=156619080"",BB$3)"),-26.11)</f>
        <v>-26.11</v>
      </c>
      <c r="BC213" s="2" t="str">
        <f>IFERROR(__xludf.DUMMYFUNCTION("IMPORTRANGE(""https://docs.google.com/spreadsheets/d/""&amp;$A213&amp;""/edit#gid=156619080"",BC$3)"),"DC→DC")</f>
        <v>DC→DC</v>
      </c>
    </row>
    <row r="214" ht="51.0" customHeight="1">
      <c r="A214" s="7" t="str">
        <f t="shared" si="5"/>
        <v>1xvchrqOQfEDyWDGlzfqCZk4ucslVtuQVSPzbgr652Sk</v>
      </c>
      <c r="B214" s="1" t="s">
        <v>241</v>
      </c>
      <c r="C214" s="2">
        <f>IFERROR(__xludf.DUMMYFUNCTION("IMPORTRANGE(""https://docs.google.com/spreadsheets/d/""&amp;$A214&amp;""/edit#gid=156619080"",C$3)"),131.0)</f>
        <v>131</v>
      </c>
      <c r="D214" s="2">
        <f>IFERROR(__xludf.DUMMYFUNCTION("IMPORTRANGE(""https://docs.google.com/spreadsheets/d/""&amp;$A214&amp;""/edit#gid=156619080"",D$3)"),9984.0)</f>
        <v>9984</v>
      </c>
      <c r="E214" s="15">
        <f>IFERROR(__xludf.DUMMYFUNCTION("IMPORTRANGE(""https://docs.google.com/spreadsheets/d/""&amp;$A214&amp;""/edit#gid=156619080"",E$3)"),43882.0)</f>
        <v>43882</v>
      </c>
      <c r="F214" s="2">
        <f>IFERROR(__xludf.DUMMYFUNCTION("IMPORTRANGE(""https://docs.google.com/spreadsheets/d/""&amp;$A214&amp;""/edit#gid=156619080"",F$3)"),133.0)</f>
        <v>133</v>
      </c>
      <c r="G214" s="16">
        <f>IFERROR(__xludf.DUMMYFUNCTION("IMPORTRANGE(""https://docs.google.com/spreadsheets/d/""&amp;$A214&amp;""/edit#gid=156619080"",G$3)"),2.4)</f>
        <v>2.4</v>
      </c>
      <c r="H214" s="16">
        <f>IFERROR(__xludf.DUMMYFUNCTION("IMPORTRANGE(""https://docs.google.com/spreadsheets/d/""&amp;$A214&amp;""/edit#gid=156619080"",H$3)"),5595.0)</f>
        <v>5595</v>
      </c>
      <c r="I214" s="16">
        <f>IFERROR(__xludf.DUMMYFUNCTION("IMPORTRANGE(""https://docs.google.com/spreadsheets/d/""&amp;$A214&amp;""/edit#gid=156619080"",I$3)"),-64.0)</f>
        <v>-64</v>
      </c>
      <c r="J214" s="16">
        <f>IFERROR(__xludf.DUMMYFUNCTION("IMPORTRANGE(""https://docs.google.com/spreadsheets/d/""&amp;$A214&amp;""/edit#gid=156619080"",J$3)"),5711.0)</f>
        <v>5711</v>
      </c>
      <c r="K214" s="16">
        <f>IFERROR(__xludf.DUMMYFUNCTION("IMPORTRANGE(""https://docs.google.com/spreadsheets/d/""&amp;$A214&amp;""/edit#gid=156619080"",K$3)"),0.40069444444444446)</f>
        <v>0.4006944444</v>
      </c>
      <c r="L214" s="16">
        <f>IFERROR(__xludf.DUMMYFUNCTION("IMPORTRANGE(""https://docs.google.com/spreadsheets/d/""&amp;$A214&amp;""/edit#gid=156619080"",L$3)"),5570.0)</f>
        <v>5570</v>
      </c>
      <c r="M214" s="16">
        <f>IFERROR(__xludf.DUMMYFUNCTION("IMPORTRANGE(""https://docs.google.com/spreadsheets/d/""&amp;$A214&amp;""/edit#gid=156619080"",M$3)"),0.3784722222222222)</f>
        <v>0.3784722222</v>
      </c>
      <c r="N214" s="16">
        <f>IFERROR(__xludf.DUMMYFUNCTION("IMPORTRANGE(""https://docs.google.com/spreadsheets/d/""&amp;$A214&amp;""/edit#gid=156619080"",N$3)"),5664.0)</f>
        <v>5664</v>
      </c>
      <c r="O214" s="16" t="str">
        <f>IFERROR(__xludf.DUMMYFUNCTION("IMPORTRANGE(""https://docs.google.com/spreadsheets/d/""&amp;$A214&amp;""/edit#gid=156619080"",O$3)"),"20695300株")</f>
        <v>20695300株</v>
      </c>
      <c r="P214" s="16" t="str">
        <f>IFERROR(__xludf.DUMMYFUNCTION("IMPORTRANGE(""https://docs.google.com/spreadsheets/d/""&amp;$A214&amp;""/edit#gid=156619080"",P$3)"),"116934百万円")</f>
        <v>116934百万円</v>
      </c>
      <c r="Q214" s="16" t="str">
        <f>IFERROR(__xludf.DUMMYFUNCTION("IMPORTRANGE(""https://docs.google.com/spreadsheets/d/""&amp;$A214&amp;""/edit#gid=156619080"",Q$3)"),"27920回")</f>
        <v>27920回</v>
      </c>
      <c r="R214" s="16" t="str">
        <f>IFERROR(__xludf.DUMMYFUNCTION("IMPORTRANGE(""https://docs.google.com/spreadsheets/d/""&amp;$A214&amp;""/edit#gid=156619080"",R$3)"),"118367億円")</f>
        <v>118367億円</v>
      </c>
      <c r="S214" s="16" t="str">
        <f>IFERROR(__xludf.DUMMYFUNCTION("IMPORTRANGE(""https://docs.google.com/spreadsheets/d/""&amp;$A214&amp;""/edit#gid=156619080"",S$3)"),"陽線")</f>
        <v>陽線</v>
      </c>
      <c r="T214" s="16" t="str">
        <f>IFERROR(__xludf.DUMMYFUNCTION("IMPORTRANGE(""https://docs.google.com/spreadsheets/d/""&amp;$A214&amp;""/edit#gid=156619080"",T$3)"),"")</f>
        <v/>
      </c>
      <c r="U214" s="16">
        <f>IFERROR(__xludf.DUMMYFUNCTION("IMPORTRANGE(""https://docs.google.com/spreadsheets/d/""&amp;$A214&amp;""/edit#gid=156619080"",U$3)"),5471.0)</f>
        <v>5471</v>
      </c>
      <c r="V214" s="16">
        <f>IFERROR(__xludf.DUMMYFUNCTION("IMPORTRANGE(""https://docs.google.com/spreadsheets/d/""&amp;$A214&amp;""/edit#gid=156619080"",V$3)"),5238.9)</f>
        <v>5238.9</v>
      </c>
      <c r="W214" s="16">
        <f>IFERROR(__xludf.DUMMYFUNCTION("IMPORTRANGE(""https://docs.google.com/spreadsheets/d/""&amp;$A214&amp;""/edit#gid=156619080"",W$3)"),5003.7)</f>
        <v>5003.7</v>
      </c>
      <c r="X214" s="2">
        <f>IFERROR(__xludf.DUMMYFUNCTION("IMPORTRANGE(""https://docs.google.com/spreadsheets/d/""&amp;$A214&amp;""/edit#gid=156619080"",X$3)"),4473.5)</f>
        <v>4473.5</v>
      </c>
      <c r="Y214" s="17">
        <f>IFERROR(__xludf.DUMMYFUNCTION("IMPORTRANGE(""https://docs.google.com/spreadsheets/d/""&amp;$A214&amp;""/edit#gid=156619080"",Y$3)"),0.03527691464083348)</f>
        <v>0.03527691464</v>
      </c>
      <c r="Z214" s="2">
        <f>IFERROR(__xludf.DUMMYFUNCTION("IMPORTRANGE(""https://docs.google.com/spreadsheets/d/""&amp;$A214&amp;""/edit#gid=156619080"",Z$3)"),5875.37)</f>
        <v>5875.37</v>
      </c>
      <c r="AA214" s="2">
        <f>IFERROR(__xludf.DUMMYFUNCTION("IMPORTRANGE(""https://docs.google.com/spreadsheets/d/""&amp;$A214&amp;""/edit#gid=156619080"",AA$3)"),5766.41)</f>
        <v>5766.41</v>
      </c>
      <c r="AB214" s="2">
        <f>IFERROR(__xludf.DUMMYFUNCTION("IMPORTRANGE(""https://docs.google.com/spreadsheets/d/""&amp;$A214&amp;""/edit#gid=156619080"",AB$3)"),5657.45)</f>
        <v>5657.45</v>
      </c>
      <c r="AC214" s="18">
        <f>IFERROR(__xludf.DUMMYFUNCTION("IMPORTRANGE(""https://docs.google.com/spreadsheets/d/""&amp;$A214&amp;""/edit#gid=156619080"",AC$3)"),5548.49)</f>
        <v>5548.49</v>
      </c>
      <c r="AD214" s="18">
        <f>IFERROR(__xludf.DUMMYFUNCTION("IMPORTRANGE(""https://docs.google.com/spreadsheets/d/""&amp;$A214&amp;""/edit#gid=156619080"",AD$3)"),5439.53)</f>
        <v>5439.53</v>
      </c>
      <c r="AE214" s="18">
        <f>IFERROR(__xludf.DUMMYFUNCTION("IMPORTRANGE(""https://docs.google.com/spreadsheets/d/""&amp;$A214&amp;""/edit#gid=156619080"",AE$3)"),5003.7)</f>
        <v>5003.7</v>
      </c>
      <c r="AF214" s="2">
        <f>IFERROR(__xludf.DUMMYFUNCTION("IMPORTRANGE(""https://docs.google.com/spreadsheets/d/""&amp;$A214&amp;""/edit#gid=156619080"",AF$3)"),4567.87)</f>
        <v>4567.87</v>
      </c>
      <c r="AG214" s="2">
        <f>IFERROR(__xludf.DUMMYFUNCTION("IMPORTRANGE(""https://docs.google.com/spreadsheets/d/""&amp;$A214&amp;""/edit#gid=156619080"",AG$3)"),4458.91)</f>
        <v>4458.91</v>
      </c>
      <c r="AH214" s="2">
        <f>IFERROR(__xludf.DUMMYFUNCTION("IMPORTRANGE(""https://docs.google.com/spreadsheets/d/""&amp;$A214&amp;""/edit#gid=156619080"",AH$3)"),4349.95)</f>
        <v>4349.95</v>
      </c>
      <c r="AI214" s="2">
        <f>IFERROR(__xludf.DUMMYFUNCTION("IMPORTRANGE(""https://docs.google.com/spreadsheets/d/""&amp;$A214&amp;""/edit#gid=156619080"",AI$3)"),4240.99)</f>
        <v>4240.99</v>
      </c>
      <c r="AJ214" s="2">
        <f>IFERROR(__xludf.DUMMYFUNCTION("IMPORTRANGE(""https://docs.google.com/spreadsheets/d/""&amp;$A214&amp;""/edit#gid=156619080"",AJ$3)"),4132.03)</f>
        <v>4132.03</v>
      </c>
      <c r="AK214" s="2" t="str">
        <f>IFERROR(__xludf.DUMMYFUNCTION("IMPORTRANGE(""https://docs.google.com/spreadsheets/d/""&amp;$A214&amp;""/edit#gid=156619080"",AK$3)"),"1.5σ〜1.75σ")</f>
        <v>1.5σ〜1.75σ</v>
      </c>
      <c r="AL214" s="2">
        <f>IFERROR(__xludf.DUMMYFUNCTION("IMPORTRANGE(""https://docs.google.com/spreadsheets/d/""&amp;$A214&amp;""/edit#gid=156619080"",AL$3)"),1.0)</f>
        <v>1</v>
      </c>
      <c r="AM214" s="2" t="str">
        <f>IFERROR(__xludf.DUMMYFUNCTION("IMPORTRANGE(""https://docs.google.com/spreadsheets/d/""&amp;$A214&amp;""/edit#gid=156619080"",AM$3)"),"")</f>
        <v/>
      </c>
      <c r="AN214" s="2">
        <f>IFERROR(__xludf.DUMMYFUNCTION("IMPORTRANGE(""https://docs.google.com/spreadsheets/d/""&amp;$A214&amp;""/edit#gid=156619080"",AN$3)"),1.0)</f>
        <v>1</v>
      </c>
      <c r="AO214" s="2" t="str">
        <f>IFERROR(__xludf.DUMMYFUNCTION("IMPORTRANGE(""https://docs.google.com/spreadsheets/d/""&amp;$A214&amp;""/edit#gid=156619080"",AO$3)"),"")</f>
        <v/>
      </c>
      <c r="AP214" s="2">
        <f>IFERROR(__xludf.DUMMYFUNCTION("IMPORTRANGE(""https://docs.google.com/spreadsheets/d/""&amp;$A214&amp;""/edit#gid=156619080"",AP$3)"),1.0)</f>
        <v>1</v>
      </c>
      <c r="AQ214" s="2" t="str">
        <f>IFERROR(__xludf.DUMMYFUNCTION("IMPORTRANGE(""https://docs.google.com/spreadsheets/d/""&amp;$A214&amp;""/edit#gid=156619080"",AQ$3)"),"")</f>
        <v/>
      </c>
      <c r="AR214" s="18">
        <f>IFERROR(__xludf.DUMMYFUNCTION("IMPORTRANGE(""https://docs.google.com/spreadsheets/d/""&amp;$A214&amp;""/edit#gid=156619080"",AR$3)"),40.0)</f>
        <v>40</v>
      </c>
      <c r="AS214" s="19" t="str">
        <f>IFERROR(__xludf.DUMMYFUNCTION("IMPORTRANGE(""https://docs.google.com/spreadsheets/d/""&amp;$A214&amp;""/edit#gid=156619080"",AS$3)"),"40
-60
-50
-10
")</f>
        <v>40
-60
-50
-10
</v>
      </c>
      <c r="AT214" s="18">
        <f>IFERROR(__xludf.DUMMYFUNCTION("IMPORTRANGE(""https://docs.google.com/spreadsheets/d/""&amp;$A214&amp;""/edit#gid=156619080"",AT$3)"),74.72527472527473)</f>
        <v>74.72527473</v>
      </c>
      <c r="AU214" s="3" t="str">
        <f>IFERROR(__xludf.DUMMYFUNCTION("IMPORTRANGE(""https://docs.google.com/spreadsheets/d/""&amp;$A214&amp;""/edit#gid=156619080"",AU$3)"),"83.52
86.26
81.87
78.57
")</f>
        <v>83.52
86.26
81.87
78.57
</v>
      </c>
      <c r="AV214" s="18">
        <f>IFERROR(__xludf.DUMMYFUNCTION("IMPORTRANGE(""https://docs.google.com/spreadsheets/d/""&amp;$A214&amp;""/edit#gid=156619080"",AV$3)"),73.11688311688312)</f>
        <v>73.11688312</v>
      </c>
      <c r="AW214" s="19" t="str">
        <f>IFERROR(__xludf.DUMMYFUNCTION("IMPORTRANGE(""https://docs.google.com/spreadsheets/d/""&amp;$A214&amp;""/edit#gid=156619080"",AW$3)"),"35.06
47.01
56.62
65.45
")</f>
        <v>35.06
47.01
56.62
65.45
</v>
      </c>
      <c r="AX214" s="2">
        <f>IFERROR(__xludf.DUMMYFUNCTION("IMPORTRANGE(""https://docs.google.com/spreadsheets/d/""&amp;$A214&amp;""/edit#gid=156619080"",AX$3)"),60.67)</f>
        <v>60.67</v>
      </c>
      <c r="AY214" s="2">
        <f>IFERROR(__xludf.DUMMYFUNCTION("IMPORTRANGE(""https://docs.google.com/spreadsheets/d/""&amp;$A214&amp;""/edit#gid=156619080"",AY$3)"),63.39)</f>
        <v>63.39</v>
      </c>
      <c r="AZ214" s="2">
        <f>IFERROR(__xludf.DUMMYFUNCTION("IMPORTRANGE(""https://docs.google.com/spreadsheets/d/""&amp;$A214&amp;""/edit#gid=156619080"",AZ$3)"),5499.92)</f>
        <v>5499.92</v>
      </c>
      <c r="BA214" s="2">
        <f>IFERROR(__xludf.DUMMYFUNCTION("IMPORTRANGE(""https://docs.google.com/spreadsheets/d/""&amp;$A214&amp;""/edit#gid=156619080"",BA$3)"),353.6300000000001)</f>
        <v>353.63</v>
      </c>
      <c r="BB214" s="2">
        <f>IFERROR(__xludf.DUMMYFUNCTION("IMPORTRANGE(""https://docs.google.com/spreadsheets/d/""&amp;$A214&amp;""/edit#gid=156619080"",BB$3)"),257.66)</f>
        <v>257.66</v>
      </c>
      <c r="BC214" s="2" t="str">
        <f>IFERROR(__xludf.DUMMYFUNCTION("IMPORTRANGE(""https://docs.google.com/spreadsheets/d/""&amp;$A214&amp;""/edit#gid=156619080"",BC$3)"),"GC→GC")</f>
        <v>GC→GC</v>
      </c>
    </row>
    <row r="215" ht="51.0" customHeight="1">
      <c r="A215" s="7" t="str">
        <f t="shared" si="5"/>
        <v>1clPhO5xaLECi6p7HqCEf4aakb75KCVKybYWuM6xD7Ag</v>
      </c>
      <c r="B215" s="1" t="s">
        <v>242</v>
      </c>
      <c r="C215" s="2">
        <f>IFERROR(__xludf.DUMMYFUNCTION("IMPORTRANGE(""https://docs.google.com/spreadsheets/d/""&amp;$A215&amp;""/edit#gid=156619080"",C$3)"),131.0)</f>
        <v>131</v>
      </c>
      <c r="D215" s="2">
        <f>IFERROR(__xludf.DUMMYFUNCTION("IMPORTRANGE(""https://docs.google.com/spreadsheets/d/""&amp;$A215&amp;""/edit#gid=156619080"",D$3)"),9501.0)</f>
        <v>9501</v>
      </c>
      <c r="E215" s="15">
        <f>IFERROR(__xludf.DUMMYFUNCTION("IMPORTRANGE(""https://docs.google.com/spreadsheets/d/""&amp;$A215&amp;""/edit#gid=156619080"",E$3)"),43882.0)</f>
        <v>43882</v>
      </c>
      <c r="F215" s="2">
        <f>IFERROR(__xludf.DUMMYFUNCTION("IMPORTRANGE(""https://docs.google.com/spreadsheets/d/""&amp;$A215&amp;""/edit#gid=156619080"",F$3)"),-1.0)</f>
        <v>-1</v>
      </c>
      <c r="G215" s="16">
        <f>IFERROR(__xludf.DUMMYFUNCTION("IMPORTRANGE(""https://docs.google.com/spreadsheets/d/""&amp;$A215&amp;""/edit#gid=156619080"",G$3)"),-0.23)</f>
        <v>-0.23</v>
      </c>
      <c r="H215" s="16">
        <f>IFERROR(__xludf.DUMMYFUNCTION("IMPORTRANGE(""https://docs.google.com/spreadsheets/d/""&amp;$A215&amp;""/edit#gid=156619080"",H$3)"),437.0)</f>
        <v>437</v>
      </c>
      <c r="I215" s="16">
        <f>IFERROR(__xludf.DUMMYFUNCTION("IMPORTRANGE(""https://docs.google.com/spreadsheets/d/""&amp;$A215&amp;""/edit#gid=156619080"",I$3)"),-1.0)</f>
        <v>-1</v>
      </c>
      <c r="J215" s="16">
        <f>IFERROR(__xludf.DUMMYFUNCTION("IMPORTRANGE(""https://docs.google.com/spreadsheets/d/""&amp;$A215&amp;""/edit#gid=156619080"",J$3)"),438.0)</f>
        <v>438</v>
      </c>
      <c r="K215" s="16">
        <f>IFERROR(__xludf.DUMMYFUNCTION("IMPORTRANGE(""https://docs.google.com/spreadsheets/d/""&amp;$A215&amp;""/edit#gid=156619080"",K$3)"),0.3763888888888889)</f>
        <v>0.3763888889</v>
      </c>
      <c r="L215" s="16">
        <f>IFERROR(__xludf.DUMMYFUNCTION("IMPORTRANGE(""https://docs.google.com/spreadsheets/d/""&amp;$A215&amp;""/edit#gid=156619080"",L$3)"),434.0)</f>
        <v>434</v>
      </c>
      <c r="M215" s="16">
        <f>IFERROR(__xludf.DUMMYFUNCTION("IMPORTRANGE(""https://docs.google.com/spreadsheets/d/""&amp;$A215&amp;""/edit#gid=156619080"",M$3)"),0.38333333333333336)</f>
        <v>0.3833333333</v>
      </c>
      <c r="N215" s="16">
        <f>IFERROR(__xludf.DUMMYFUNCTION("IMPORTRANGE(""https://docs.google.com/spreadsheets/d/""&amp;$A215&amp;""/edit#gid=156619080"",N$3)"),435.0)</f>
        <v>435</v>
      </c>
      <c r="O215" s="16" t="str">
        <f>IFERROR(__xludf.DUMMYFUNCTION("IMPORTRANGE(""https://docs.google.com/spreadsheets/d/""&amp;$A215&amp;""/edit#gid=156619080"",O$3)"),"4634400株")</f>
        <v>4634400株</v>
      </c>
      <c r="P215" s="16" t="str">
        <f>IFERROR(__xludf.DUMMYFUNCTION("IMPORTRANGE(""https://docs.google.com/spreadsheets/d/""&amp;$A215&amp;""/edit#gid=156619080"",P$3)"),"2021百万円")</f>
        <v>2021百万円</v>
      </c>
      <c r="Q215" s="16" t="str">
        <f>IFERROR(__xludf.DUMMYFUNCTION("IMPORTRANGE(""https://docs.google.com/spreadsheets/d/""&amp;$A215&amp;""/edit#gid=156619080"",Q$3)"),"867回")</f>
        <v>867回</v>
      </c>
      <c r="R215" s="16" t="str">
        <f>IFERROR(__xludf.DUMMYFUNCTION("IMPORTRANGE(""https://docs.google.com/spreadsheets/d/""&amp;$A215&amp;""/edit#gid=156619080"",R$3)"),"6991億円")</f>
        <v>6991億円</v>
      </c>
      <c r="S215" s="16" t="str">
        <f>IFERROR(__xludf.DUMMYFUNCTION("IMPORTRANGE(""https://docs.google.com/spreadsheets/d/""&amp;$A215&amp;""/edit#gid=156619080"",S$3)"),"陰線")</f>
        <v>陰線</v>
      </c>
      <c r="T215" s="16" t="str">
        <f>IFERROR(__xludf.DUMMYFUNCTION("IMPORTRANGE(""https://docs.google.com/spreadsheets/d/""&amp;$A215&amp;""/edit#gid=156619080"",T$3)"),"")</f>
        <v/>
      </c>
      <c r="U215" s="16">
        <f>IFERROR(__xludf.DUMMYFUNCTION("IMPORTRANGE(""https://docs.google.com/spreadsheets/d/""&amp;$A215&amp;""/edit#gid=156619080"",U$3)"),437.0)</f>
        <v>437</v>
      </c>
      <c r="V215" s="16">
        <f>IFERROR(__xludf.DUMMYFUNCTION("IMPORTRANGE(""https://docs.google.com/spreadsheets/d/""&amp;$A215&amp;""/edit#gid=156619080"",V$3)"),443.2)</f>
        <v>443.2</v>
      </c>
      <c r="W215" s="16">
        <f>IFERROR(__xludf.DUMMYFUNCTION("IMPORTRANGE(""https://docs.google.com/spreadsheets/d/""&amp;$A215&amp;""/edit#gid=156619080"",W$3)"),439.2)</f>
        <v>439.2</v>
      </c>
      <c r="X215" s="2">
        <f>IFERROR(__xludf.DUMMYFUNCTION("IMPORTRANGE(""https://docs.google.com/spreadsheets/d/""&amp;$A215&amp;""/edit#gid=156619080"",X$3)"),480.9)</f>
        <v>480.9</v>
      </c>
      <c r="Y215" s="17">
        <f>IFERROR(__xludf.DUMMYFUNCTION("IMPORTRANGE(""https://docs.google.com/spreadsheets/d/""&amp;$A215&amp;""/edit#gid=156619080"",Y$3)"),-0.004576659038901602)</f>
        <v>-0.004576659039</v>
      </c>
      <c r="Z215" s="2">
        <f>IFERROR(__xludf.DUMMYFUNCTION("IMPORTRANGE(""https://docs.google.com/spreadsheets/d/""&amp;$A215&amp;""/edit#gid=156619080"",Z$3)"),457.29)</f>
        <v>457.29</v>
      </c>
      <c r="AA215" s="2">
        <f>IFERROR(__xludf.DUMMYFUNCTION("IMPORTRANGE(""https://docs.google.com/spreadsheets/d/""&amp;$A215&amp;""/edit#gid=156619080"",AA$3)"),455.03)</f>
        <v>455.03</v>
      </c>
      <c r="AB215" s="2">
        <f>IFERROR(__xludf.DUMMYFUNCTION("IMPORTRANGE(""https://docs.google.com/spreadsheets/d/""&amp;$A215&amp;""/edit#gid=156619080"",AB$3)"),452.77)</f>
        <v>452.77</v>
      </c>
      <c r="AC215" s="18">
        <f>IFERROR(__xludf.DUMMYFUNCTION("IMPORTRANGE(""https://docs.google.com/spreadsheets/d/""&amp;$A215&amp;""/edit#gid=156619080"",AC$3)"),450.51)</f>
        <v>450.51</v>
      </c>
      <c r="AD215" s="18">
        <f>IFERROR(__xludf.DUMMYFUNCTION("IMPORTRANGE(""https://docs.google.com/spreadsheets/d/""&amp;$A215&amp;""/edit#gid=156619080"",AD$3)"),448.24)</f>
        <v>448.24</v>
      </c>
      <c r="AE215" s="18">
        <f>IFERROR(__xludf.DUMMYFUNCTION("IMPORTRANGE(""https://docs.google.com/spreadsheets/d/""&amp;$A215&amp;""/edit#gid=156619080"",AE$3)"),439.2)</f>
        <v>439.2</v>
      </c>
      <c r="AF215" s="2">
        <f>IFERROR(__xludf.DUMMYFUNCTION("IMPORTRANGE(""https://docs.google.com/spreadsheets/d/""&amp;$A215&amp;""/edit#gid=156619080"",AF$3)"),430.16)</f>
        <v>430.16</v>
      </c>
      <c r="AG215" s="2">
        <f>IFERROR(__xludf.DUMMYFUNCTION("IMPORTRANGE(""https://docs.google.com/spreadsheets/d/""&amp;$A215&amp;""/edit#gid=156619080"",AG$3)"),427.89)</f>
        <v>427.89</v>
      </c>
      <c r="AH215" s="2">
        <f>IFERROR(__xludf.DUMMYFUNCTION("IMPORTRANGE(""https://docs.google.com/spreadsheets/d/""&amp;$A215&amp;""/edit#gid=156619080"",AH$3)"),425.63)</f>
        <v>425.63</v>
      </c>
      <c r="AI215" s="2">
        <f>IFERROR(__xludf.DUMMYFUNCTION("IMPORTRANGE(""https://docs.google.com/spreadsheets/d/""&amp;$A215&amp;""/edit#gid=156619080"",AI$3)"),423.37)</f>
        <v>423.37</v>
      </c>
      <c r="AJ215" s="2">
        <f>IFERROR(__xludf.DUMMYFUNCTION("IMPORTRANGE(""https://docs.google.com/spreadsheets/d/""&amp;$A215&amp;""/edit#gid=156619080"",AJ$3)"),421.11)</f>
        <v>421.11</v>
      </c>
      <c r="AK215" s="2" t="str">
        <f>IFERROR(__xludf.DUMMYFUNCTION("IMPORTRANGE(""https://docs.google.com/spreadsheets/d/""&amp;$A215&amp;""/edit#gid=156619080"",AK$3)"),"")</f>
        <v/>
      </c>
      <c r="AL215" s="2">
        <f>IFERROR(__xludf.DUMMYFUNCTION("IMPORTRANGE(""https://docs.google.com/spreadsheets/d/""&amp;$A215&amp;""/edit#gid=156619080"",AL$3)"),-1.0)</f>
        <v>-1</v>
      </c>
      <c r="AM215" s="2" t="str">
        <f>IFERROR(__xludf.DUMMYFUNCTION("IMPORTRANGE(""https://docs.google.com/spreadsheets/d/""&amp;$A215&amp;""/edit#gid=156619080"",AM$3)"),"")</f>
        <v/>
      </c>
      <c r="AN215" s="2">
        <f>IFERROR(__xludf.DUMMYFUNCTION("IMPORTRANGE(""https://docs.google.com/spreadsheets/d/""&amp;$A215&amp;""/edit#gid=156619080"",AN$3)"),-1.0)</f>
        <v>-1</v>
      </c>
      <c r="AO215" s="2" t="str">
        <f>IFERROR(__xludf.DUMMYFUNCTION("IMPORTRANGE(""https://docs.google.com/spreadsheets/d/""&amp;$A215&amp;""/edit#gid=156619080"",AO$3)"),"")</f>
        <v/>
      </c>
      <c r="AP215" s="2">
        <f>IFERROR(__xludf.DUMMYFUNCTION("IMPORTRANGE(""https://docs.google.com/spreadsheets/d/""&amp;$A215&amp;""/edit#gid=156619080"",AP$3)"),1.0)</f>
        <v>1</v>
      </c>
      <c r="AQ215" s="2" t="str">
        <f>IFERROR(__xludf.DUMMYFUNCTION("IMPORTRANGE(""https://docs.google.com/spreadsheets/d/""&amp;$A215&amp;""/edit#gid=156619080"",AQ$3)"),"")</f>
        <v/>
      </c>
      <c r="AR215" s="18">
        <f>IFERROR(__xludf.DUMMYFUNCTION("IMPORTRANGE(""https://docs.google.com/spreadsheets/d/""&amp;$A215&amp;""/edit#gid=156619080"",AR$3)"),-89.99999999999999)</f>
        <v>-90</v>
      </c>
      <c r="AS215" s="19" t="str">
        <f>IFERROR(__xludf.DUMMYFUNCTION("IMPORTRANGE(""https://docs.google.com/spreadsheets/d/""&amp;$A215&amp;""/edit#gid=156619080"",AS$3)"),"-70
-10
42.5
10
")</f>
        <v>-70
-10
42.5
10
</v>
      </c>
      <c r="AT215" s="18">
        <f>IFERROR(__xludf.DUMMYFUNCTION("IMPORTRANGE(""https://docs.google.com/spreadsheets/d/""&amp;$A215&amp;""/edit#gid=156619080"",AT$3)"),-86.81318681318682)</f>
        <v>-86.81318681</v>
      </c>
      <c r="AU215" s="3" t="str">
        <f>IFERROR(__xludf.DUMMYFUNCTION("IMPORTRANGE(""https://docs.google.com/spreadsheets/d/""&amp;$A215&amp;""/edit#gid=156619080"",AU$3)"),"15.25
-11.13
-44.51
-82.83
")</f>
        <v>15.25
-11.13
-44.51
-82.83
</v>
      </c>
      <c r="AV215" s="18">
        <f>IFERROR(__xludf.DUMMYFUNCTION("IMPORTRANGE(""https://docs.google.com/spreadsheets/d/""&amp;$A215&amp;""/edit#gid=156619080"",AV$3)"),42.3051948051948)</f>
        <v>42.30519481</v>
      </c>
      <c r="AW215" s="19" t="str">
        <f>IFERROR(__xludf.DUMMYFUNCTION("IMPORTRANGE(""https://docs.google.com/spreadsheets/d/""&amp;$A215&amp;""/edit#gid=156619080"",AW$3)"),"47.73
46.43
47.4
50.49
")</f>
        <v>47.73
46.43
47.4
50.49
</v>
      </c>
      <c r="AX215" s="2">
        <f>IFERROR(__xludf.DUMMYFUNCTION("IMPORTRANGE(""https://docs.google.com/spreadsheets/d/""&amp;$A215&amp;""/edit#gid=156619080"",AX$3)"),50.0)</f>
        <v>50</v>
      </c>
      <c r="AY215" s="2">
        <f>IFERROR(__xludf.DUMMYFUNCTION("IMPORTRANGE(""https://docs.google.com/spreadsheets/d/""&amp;$A215&amp;""/edit#gid=156619080"",AY$3)"),50.0)</f>
        <v>50</v>
      </c>
      <c r="AZ215" s="2">
        <f>IFERROR(__xludf.DUMMYFUNCTION("IMPORTRANGE(""https://docs.google.com/spreadsheets/d/""&amp;$A215&amp;""/edit#gid=156619080"",AZ$3)"),436.86)</f>
        <v>436.86</v>
      </c>
      <c r="BA215" s="2">
        <f>IFERROR(__xludf.DUMMYFUNCTION("IMPORTRANGE(""https://docs.google.com/spreadsheets/d/""&amp;$A215&amp;""/edit#gid=156619080"",BA$3)"),-4.3700000000000045)</f>
        <v>-4.37</v>
      </c>
      <c r="BB215" s="2">
        <f>IFERROR(__xludf.DUMMYFUNCTION("IMPORTRANGE(""https://docs.google.com/spreadsheets/d/""&amp;$A215&amp;""/edit#gid=156619080"",BB$3)"),-3.46)</f>
        <v>-3.46</v>
      </c>
      <c r="BC215" s="2" t="str">
        <f>IFERROR(__xludf.DUMMYFUNCTION("IMPORTRANGE(""https://docs.google.com/spreadsheets/d/""&amp;$A215&amp;""/edit#gid=156619080"",BC$3)"),"DC→DC")</f>
        <v>DC→DC</v>
      </c>
    </row>
    <row r="216" ht="51.0" customHeight="1">
      <c r="A216" s="7" t="str">
        <f t="shared" si="5"/>
        <v>1kT17REKVMW7FYq-I-laOwsTgpwEqF39tEQ2QfYQG1gY</v>
      </c>
      <c r="B216" s="1" t="s">
        <v>243</v>
      </c>
      <c r="C216" s="2">
        <f>IFERROR(__xludf.DUMMYFUNCTION("IMPORTRANGE(""https://docs.google.com/spreadsheets/d/""&amp;$A216&amp;""/edit#gid=156619080"",C$3)"),131.0)</f>
        <v>131</v>
      </c>
      <c r="D216" s="2">
        <f>IFERROR(__xludf.DUMMYFUNCTION("IMPORTRANGE(""https://docs.google.com/spreadsheets/d/""&amp;$A216&amp;""/edit#gid=156619080"",D$3)"),9502.0)</f>
        <v>9502</v>
      </c>
      <c r="E216" s="15">
        <f>IFERROR(__xludf.DUMMYFUNCTION("IMPORTRANGE(""https://docs.google.com/spreadsheets/d/""&amp;$A216&amp;""/edit#gid=156619080"",E$3)"),43882.0)</f>
        <v>43882</v>
      </c>
      <c r="F216" s="2">
        <f>IFERROR(__xludf.DUMMYFUNCTION("IMPORTRANGE(""https://docs.google.com/spreadsheets/d/""&amp;$A216&amp;""/edit#gid=156619080"",F$3)"),-0.5)</f>
        <v>-0.5</v>
      </c>
      <c r="G216" s="16">
        <f>IFERROR(__xludf.DUMMYFUNCTION("IMPORTRANGE(""https://docs.google.com/spreadsheets/d/""&amp;$A216&amp;""/edit#gid=156619080"",G$3)"),-0.03)</f>
        <v>-0.03</v>
      </c>
      <c r="H216" s="16">
        <f>IFERROR(__xludf.DUMMYFUNCTION("IMPORTRANGE(""https://docs.google.com/spreadsheets/d/""&amp;$A216&amp;""/edit#gid=156619080"",H$3)"),1520.0)</f>
        <v>1520</v>
      </c>
      <c r="I216" s="16">
        <f>IFERROR(__xludf.DUMMYFUNCTION("IMPORTRANGE(""https://docs.google.com/spreadsheets/d/""&amp;$A216&amp;""/edit#gid=156619080"",I$3)"),1.0)</f>
        <v>1</v>
      </c>
      <c r="J216" s="16">
        <f>IFERROR(__xludf.DUMMYFUNCTION("IMPORTRANGE(""https://docs.google.com/spreadsheets/d/""&amp;$A216&amp;""/edit#gid=156619080"",J$3)"),1528.5)</f>
        <v>1528.5</v>
      </c>
      <c r="K216" s="16">
        <f>IFERROR(__xludf.DUMMYFUNCTION("IMPORTRANGE(""https://docs.google.com/spreadsheets/d/""&amp;$A216&amp;""/edit#gid=156619080"",K$3)"),0.43472222222222223)</f>
        <v>0.4347222222</v>
      </c>
      <c r="L216" s="16">
        <f>IFERROR(__xludf.DUMMYFUNCTION("IMPORTRANGE(""https://docs.google.com/spreadsheets/d/""&amp;$A216&amp;""/edit#gid=156619080"",L$3)"),1518.5)</f>
        <v>1518.5</v>
      </c>
      <c r="M216" s="16">
        <f>IFERROR(__xludf.DUMMYFUNCTION("IMPORTRANGE(""https://docs.google.com/spreadsheets/d/""&amp;$A216&amp;""/edit#gid=156619080"",M$3)"),0.5298611111111111)</f>
        <v>0.5298611111</v>
      </c>
      <c r="N216" s="16">
        <f>IFERROR(__xludf.DUMMYFUNCTION("IMPORTRANGE(""https://docs.google.com/spreadsheets/d/""&amp;$A216&amp;""/edit#gid=156619080"",N$3)"),1520.5)</f>
        <v>1520.5</v>
      </c>
      <c r="O216" s="16" t="str">
        <f>IFERROR(__xludf.DUMMYFUNCTION("IMPORTRANGE(""https://docs.google.com/spreadsheets/d/""&amp;$A216&amp;""/edit#gid=156619080"",O$3)"),"1098100株")</f>
        <v>1098100株</v>
      </c>
      <c r="P216" s="16" t="str">
        <f>IFERROR(__xludf.DUMMYFUNCTION("IMPORTRANGE(""https://docs.google.com/spreadsheets/d/""&amp;$A216&amp;""/edit#gid=156619080"",P$3)"),"1672百万円")</f>
        <v>1672百万円</v>
      </c>
      <c r="Q216" s="16" t="str">
        <f>IFERROR(__xludf.DUMMYFUNCTION("IMPORTRANGE(""https://docs.google.com/spreadsheets/d/""&amp;$A216&amp;""/edit#gid=156619080"",Q$3)"),"2194回")</f>
        <v>2194回</v>
      </c>
      <c r="R216" s="16" t="str">
        <f>IFERROR(__xludf.DUMMYFUNCTION("IMPORTRANGE(""https://docs.google.com/spreadsheets/d/""&amp;$A216&amp;""/edit#gid=156619080"",R$3)"),"11525億円")</f>
        <v>11525億円</v>
      </c>
      <c r="S216" s="16" t="str">
        <f>IFERROR(__xludf.DUMMYFUNCTION("IMPORTRANGE(""https://docs.google.com/spreadsheets/d/""&amp;$A216&amp;""/edit#gid=156619080"",S$3)"),"陽線")</f>
        <v>陽線</v>
      </c>
      <c r="T216" s="16" t="str">
        <f>IFERROR(__xludf.DUMMYFUNCTION("IMPORTRANGE(""https://docs.google.com/spreadsheets/d/""&amp;$A216&amp;""/edit#gid=156619080"",T$3)"),"")</f>
        <v/>
      </c>
      <c r="U216" s="16">
        <f>IFERROR(__xludf.DUMMYFUNCTION("IMPORTRANGE(""https://docs.google.com/spreadsheets/d/""&amp;$A216&amp;""/edit#gid=156619080"",U$3)"),1522.2)</f>
        <v>1522.2</v>
      </c>
      <c r="V216" s="16">
        <f>IFERROR(__xludf.DUMMYFUNCTION("IMPORTRANGE(""https://docs.google.com/spreadsheets/d/""&amp;$A216&amp;""/edit#gid=156619080"",V$3)"),1536.3)</f>
        <v>1536.3</v>
      </c>
      <c r="W216" s="16">
        <f>IFERROR(__xludf.DUMMYFUNCTION("IMPORTRANGE(""https://docs.google.com/spreadsheets/d/""&amp;$A216&amp;""/edit#gid=156619080"",W$3)"),1512.6)</f>
        <v>1512.6</v>
      </c>
      <c r="X216" s="2">
        <f>IFERROR(__xludf.DUMMYFUNCTION("IMPORTRANGE(""https://docs.google.com/spreadsheets/d/""&amp;$A216&amp;""/edit#gid=156619080"",X$3)"),1539.3)</f>
        <v>1539.3</v>
      </c>
      <c r="Y216" s="17">
        <f>IFERROR(__xludf.DUMMYFUNCTION("IMPORTRANGE(""https://docs.google.com/spreadsheets/d/""&amp;$A216&amp;""/edit#gid=156619080"",Y$3)"),-0.0011168046248850646)</f>
        <v>-0.001116804625</v>
      </c>
      <c r="Z216" s="2">
        <f>IFERROR(__xludf.DUMMYFUNCTION("IMPORTRANGE(""https://docs.google.com/spreadsheets/d/""&amp;$A216&amp;""/edit#gid=156619080"",Z$3)"),1586.31)</f>
        <v>1586.31</v>
      </c>
      <c r="AA216" s="2">
        <f>IFERROR(__xludf.DUMMYFUNCTION("IMPORTRANGE(""https://docs.google.com/spreadsheets/d/""&amp;$A216&amp;""/edit#gid=156619080"",AA$3)"),1577.1)</f>
        <v>1577.1</v>
      </c>
      <c r="AB216" s="2">
        <f>IFERROR(__xludf.DUMMYFUNCTION("IMPORTRANGE(""https://docs.google.com/spreadsheets/d/""&amp;$A216&amp;""/edit#gid=156619080"",AB$3)"),1567.88)</f>
        <v>1567.88</v>
      </c>
      <c r="AC216" s="18">
        <f>IFERROR(__xludf.DUMMYFUNCTION("IMPORTRANGE(""https://docs.google.com/spreadsheets/d/""&amp;$A216&amp;""/edit#gid=156619080"",AC$3)"),1558.67)</f>
        <v>1558.67</v>
      </c>
      <c r="AD216" s="18">
        <f>IFERROR(__xludf.DUMMYFUNCTION("IMPORTRANGE(""https://docs.google.com/spreadsheets/d/""&amp;$A216&amp;""/edit#gid=156619080"",AD$3)"),1549.46)</f>
        <v>1549.46</v>
      </c>
      <c r="AE216" s="18">
        <f>IFERROR(__xludf.DUMMYFUNCTION("IMPORTRANGE(""https://docs.google.com/spreadsheets/d/""&amp;$A216&amp;""/edit#gid=156619080"",AE$3)"),1512.6)</f>
        <v>1512.6</v>
      </c>
      <c r="AF216" s="2">
        <f>IFERROR(__xludf.DUMMYFUNCTION("IMPORTRANGE(""https://docs.google.com/spreadsheets/d/""&amp;$A216&amp;""/edit#gid=156619080"",AF$3)"),1475.74)</f>
        <v>1475.74</v>
      </c>
      <c r="AG216" s="2">
        <f>IFERROR(__xludf.DUMMYFUNCTION("IMPORTRANGE(""https://docs.google.com/spreadsheets/d/""&amp;$A216&amp;""/edit#gid=156619080"",AG$3)"),1466.53)</f>
        <v>1466.53</v>
      </c>
      <c r="AH216" s="2">
        <f>IFERROR(__xludf.DUMMYFUNCTION("IMPORTRANGE(""https://docs.google.com/spreadsheets/d/""&amp;$A216&amp;""/edit#gid=156619080"",AH$3)"),1457.32)</f>
        <v>1457.32</v>
      </c>
      <c r="AI216" s="2">
        <f>IFERROR(__xludf.DUMMYFUNCTION("IMPORTRANGE(""https://docs.google.com/spreadsheets/d/""&amp;$A216&amp;""/edit#gid=156619080"",AI$3)"),1448.1)</f>
        <v>1448.1</v>
      </c>
      <c r="AJ216" s="2">
        <f>IFERROR(__xludf.DUMMYFUNCTION("IMPORTRANGE(""https://docs.google.com/spreadsheets/d/""&amp;$A216&amp;""/edit#gid=156619080"",AJ$3)"),1438.89)</f>
        <v>1438.89</v>
      </c>
      <c r="AK216" s="2" t="str">
        <f>IFERROR(__xludf.DUMMYFUNCTION("IMPORTRANGE(""https://docs.google.com/spreadsheets/d/""&amp;$A216&amp;""/edit#gid=156619080"",AK$3)"),"")</f>
        <v/>
      </c>
      <c r="AL216" s="2">
        <f>IFERROR(__xludf.DUMMYFUNCTION("IMPORTRANGE(""https://docs.google.com/spreadsheets/d/""&amp;$A216&amp;""/edit#gid=156619080"",AL$3)"),-1.0)</f>
        <v>-1</v>
      </c>
      <c r="AM216" s="2" t="str">
        <f>IFERROR(__xludf.DUMMYFUNCTION("IMPORTRANGE(""https://docs.google.com/spreadsheets/d/""&amp;$A216&amp;""/edit#gid=156619080"",AM$3)"),"")</f>
        <v/>
      </c>
      <c r="AN216" s="2">
        <f>IFERROR(__xludf.DUMMYFUNCTION("IMPORTRANGE(""https://docs.google.com/spreadsheets/d/""&amp;$A216&amp;""/edit#gid=156619080"",AN$3)"),1.0)</f>
        <v>1</v>
      </c>
      <c r="AO216" s="2" t="str">
        <f>IFERROR(__xludf.DUMMYFUNCTION("IMPORTRANGE(""https://docs.google.com/spreadsheets/d/""&amp;$A216&amp;""/edit#gid=156619080"",AO$3)"),"")</f>
        <v/>
      </c>
      <c r="AP216" s="2">
        <f>IFERROR(__xludf.DUMMYFUNCTION("IMPORTRANGE(""https://docs.google.com/spreadsheets/d/""&amp;$A216&amp;""/edit#gid=156619080"",AP$3)"),1.0)</f>
        <v>1</v>
      </c>
      <c r="AQ216" s="2" t="str">
        <f>IFERROR(__xludf.DUMMYFUNCTION("IMPORTRANGE(""https://docs.google.com/spreadsheets/d/""&amp;$A216&amp;""/edit#gid=156619080"",AQ$3)"),"")</f>
        <v/>
      </c>
      <c r="AR216" s="18">
        <f>IFERROR(__xludf.DUMMYFUNCTION("IMPORTRANGE(""https://docs.google.com/spreadsheets/d/""&amp;$A216&amp;""/edit#gid=156619080"",AR$3)"),-19.999999999999996)</f>
        <v>-20</v>
      </c>
      <c r="AS216" s="19" t="str">
        <f>IFERROR(__xludf.DUMMYFUNCTION("IMPORTRANGE(""https://docs.google.com/spreadsheets/d/""&amp;$A216&amp;""/edit#gid=156619080"",AS$3)"),"-60
-10
90
50
")</f>
        <v>-60
-10
90
50
</v>
      </c>
      <c r="AT216" s="18">
        <f>IFERROR(__xludf.DUMMYFUNCTION("IMPORTRANGE(""https://docs.google.com/spreadsheets/d/""&amp;$A216&amp;""/edit#gid=156619080"",AT$3)"),-67.03296703296704)</f>
        <v>-67.03296703</v>
      </c>
      <c r="AU216" s="3" t="str">
        <f>IFERROR(__xludf.DUMMYFUNCTION("IMPORTRANGE(""https://docs.google.com/spreadsheets/d/""&amp;$A216&amp;""/edit#gid=156619080"",AU$3)"),"36.81
9.34
-15.38
-45.6
")</f>
        <v>36.81
9.34
-15.38
-45.6
</v>
      </c>
      <c r="AV216" s="18">
        <f>IFERROR(__xludf.DUMMYFUNCTION("IMPORTRANGE(""https://docs.google.com/spreadsheets/d/""&amp;$A216&amp;""/edit#gid=156619080"",AV$3)"),57.14285714285714)</f>
        <v>57.14285714</v>
      </c>
      <c r="AW216" s="19" t="str">
        <f>IFERROR(__xludf.DUMMYFUNCTION("IMPORTRANGE(""https://docs.google.com/spreadsheets/d/""&amp;$A216&amp;""/edit#gid=156619080"",AW$3)"),"81.07
74.58
69.64
64.45
")</f>
        <v>81.07
74.58
69.64
64.45
</v>
      </c>
      <c r="AX216" s="2">
        <f>IFERROR(__xludf.DUMMYFUNCTION("IMPORTRANGE(""https://docs.google.com/spreadsheets/d/""&amp;$A216&amp;""/edit#gid=156619080"",AX$3)"),55.559999999999995)</f>
        <v>55.56</v>
      </c>
      <c r="AY216" s="2">
        <f>IFERROR(__xludf.DUMMYFUNCTION("IMPORTRANGE(""https://docs.google.com/spreadsheets/d/""&amp;$A216&amp;""/edit#gid=156619080"",AY$3)"),63.22)</f>
        <v>63.22</v>
      </c>
      <c r="AZ216" s="2">
        <f>IFERROR(__xludf.DUMMYFUNCTION("IMPORTRANGE(""https://docs.google.com/spreadsheets/d/""&amp;$A216&amp;""/edit#gid=156619080"",AZ$3)"),1522.78)</f>
        <v>1522.78</v>
      </c>
      <c r="BA216" s="2">
        <f>IFERROR(__xludf.DUMMYFUNCTION("IMPORTRANGE(""https://docs.google.com/spreadsheets/d/""&amp;$A216&amp;""/edit#gid=156619080"",BA$3)"),4.6099999999999)</f>
        <v>4.61</v>
      </c>
      <c r="BB216" s="2">
        <f>IFERROR(__xludf.DUMMYFUNCTION("IMPORTRANGE(""https://docs.google.com/spreadsheets/d/""&amp;$A216&amp;""/edit#gid=156619080"",BB$3)"),9.89)</f>
        <v>9.89</v>
      </c>
      <c r="BC216" s="2" t="str">
        <f>IFERROR(__xludf.DUMMYFUNCTION("IMPORTRANGE(""https://docs.google.com/spreadsheets/d/""&amp;$A216&amp;""/edit#gid=156619080"",BC$3)"),"DC→DC")</f>
        <v>DC→DC</v>
      </c>
    </row>
    <row r="217" ht="51.0" customHeight="1">
      <c r="A217" s="7" t="str">
        <f t="shared" si="5"/>
        <v>1shKkEfDVeiP3vhPaFXHD-ikzCLYAnGBT14ImTyVGaZ8</v>
      </c>
      <c r="B217" s="1" t="s">
        <v>244</v>
      </c>
      <c r="C217" s="2">
        <f>IFERROR(__xludf.DUMMYFUNCTION("IMPORTRANGE(""https://docs.google.com/spreadsheets/d/""&amp;$A217&amp;""/edit#gid=156619080"",C$3)"),131.0)</f>
        <v>131</v>
      </c>
      <c r="D217" s="2">
        <f>IFERROR(__xludf.DUMMYFUNCTION("IMPORTRANGE(""https://docs.google.com/spreadsheets/d/""&amp;$A217&amp;""/edit#gid=156619080"",D$3)"),9503.0)</f>
        <v>9503</v>
      </c>
      <c r="E217" s="15">
        <f>IFERROR(__xludf.DUMMYFUNCTION("IMPORTRANGE(""https://docs.google.com/spreadsheets/d/""&amp;$A217&amp;""/edit#gid=156619080"",E$3)"),43882.0)</f>
        <v>43882</v>
      </c>
      <c r="F217" s="2">
        <f>IFERROR(__xludf.DUMMYFUNCTION("IMPORTRANGE(""https://docs.google.com/spreadsheets/d/""&amp;$A217&amp;""/edit#gid=156619080"",F$3)"),8.0)</f>
        <v>8</v>
      </c>
      <c r="G217" s="16">
        <f>IFERROR(__xludf.DUMMYFUNCTION("IMPORTRANGE(""https://docs.google.com/spreadsheets/d/""&amp;$A217&amp;""/edit#gid=156619080"",G$3)"),0.63)</f>
        <v>0.63</v>
      </c>
      <c r="H217" s="16">
        <f>IFERROR(__xludf.DUMMYFUNCTION("IMPORTRANGE(""https://docs.google.com/spreadsheets/d/""&amp;$A217&amp;""/edit#gid=156619080"",H$3)"),1267.0)</f>
        <v>1267</v>
      </c>
      <c r="I217" s="16">
        <f>IFERROR(__xludf.DUMMYFUNCTION("IMPORTRANGE(""https://docs.google.com/spreadsheets/d/""&amp;$A217&amp;""/edit#gid=156619080"",I$3)"),1.0)</f>
        <v>1</v>
      </c>
      <c r="J217" s="16">
        <f>IFERROR(__xludf.DUMMYFUNCTION("IMPORTRANGE(""https://docs.google.com/spreadsheets/d/""&amp;$A217&amp;""/edit#gid=156619080"",J$3)"),1277.0)</f>
        <v>1277</v>
      </c>
      <c r="K217" s="16">
        <f>IFERROR(__xludf.DUMMYFUNCTION("IMPORTRANGE(""https://docs.google.com/spreadsheets/d/""&amp;$A217&amp;""/edit#gid=156619080"",K$3)"),0.5979166666666667)</f>
        <v>0.5979166667</v>
      </c>
      <c r="L217" s="16">
        <f>IFERROR(__xludf.DUMMYFUNCTION("IMPORTRANGE(""https://docs.google.com/spreadsheets/d/""&amp;$A217&amp;""/edit#gid=156619080"",L$3)"),1265.0)</f>
        <v>1265</v>
      </c>
      <c r="M217" s="16">
        <f>IFERROR(__xludf.DUMMYFUNCTION("IMPORTRANGE(""https://docs.google.com/spreadsheets/d/""&amp;$A217&amp;""/edit#gid=156619080"",M$3)"),0.3840277777777778)</f>
        <v>0.3840277778</v>
      </c>
      <c r="N217" s="16">
        <f>IFERROR(__xludf.DUMMYFUNCTION("IMPORTRANGE(""https://docs.google.com/spreadsheets/d/""&amp;$A217&amp;""/edit#gid=156619080"",N$3)"),1276.0)</f>
        <v>1276</v>
      </c>
      <c r="O217" s="16" t="str">
        <f>IFERROR(__xludf.DUMMYFUNCTION("IMPORTRANGE(""https://docs.google.com/spreadsheets/d/""&amp;$A217&amp;""/edit#gid=156619080"",O$3)"),"2312300株")</f>
        <v>2312300株</v>
      </c>
      <c r="P217" s="16" t="str">
        <f>IFERROR(__xludf.DUMMYFUNCTION("IMPORTRANGE(""https://docs.google.com/spreadsheets/d/""&amp;$A217&amp;""/edit#gid=156619080"",P$3)"),"2942百万円")</f>
        <v>2942百万円</v>
      </c>
      <c r="Q217" s="16" t="str">
        <f>IFERROR(__xludf.DUMMYFUNCTION("IMPORTRANGE(""https://docs.google.com/spreadsheets/d/""&amp;$A217&amp;""/edit#gid=156619080"",Q$3)"),"3772回")</f>
        <v>3772回</v>
      </c>
      <c r="R217" s="16" t="str">
        <f>IFERROR(__xludf.DUMMYFUNCTION("IMPORTRANGE(""https://docs.google.com/spreadsheets/d/""&amp;$A217&amp;""/edit#gid=156619080"",R$3)"),"11978億円")</f>
        <v>11978億円</v>
      </c>
      <c r="S217" s="16" t="str">
        <f>IFERROR(__xludf.DUMMYFUNCTION("IMPORTRANGE(""https://docs.google.com/spreadsheets/d/""&amp;$A217&amp;""/edit#gid=156619080"",S$3)"),"陽線")</f>
        <v>陽線</v>
      </c>
      <c r="T217" s="16" t="str">
        <f>IFERROR(__xludf.DUMMYFUNCTION("IMPORTRANGE(""https://docs.google.com/spreadsheets/d/""&amp;$A217&amp;""/edit#gid=156619080"",T$3)"),"")</f>
        <v/>
      </c>
      <c r="U217" s="16">
        <f>IFERROR(__xludf.DUMMYFUNCTION("IMPORTRANGE(""https://docs.google.com/spreadsheets/d/""&amp;$A217&amp;""/edit#gid=156619080"",U$3)"),1264.3)</f>
        <v>1264.3</v>
      </c>
      <c r="V217" s="16">
        <f>IFERROR(__xludf.DUMMYFUNCTION("IMPORTRANGE(""https://docs.google.com/spreadsheets/d/""&amp;$A217&amp;""/edit#gid=156619080"",V$3)"),1277.8)</f>
        <v>1277.8</v>
      </c>
      <c r="W217" s="16">
        <f>IFERROR(__xludf.DUMMYFUNCTION("IMPORTRANGE(""https://docs.google.com/spreadsheets/d/""&amp;$A217&amp;""/edit#gid=156619080"",W$3)"),1257.4)</f>
        <v>1257.4</v>
      </c>
      <c r="X217" s="2">
        <f>IFERROR(__xludf.DUMMYFUNCTION("IMPORTRANGE(""https://docs.google.com/spreadsheets/d/""&amp;$A217&amp;""/edit#gid=156619080"",X$3)"),1247.9)</f>
        <v>1247.9</v>
      </c>
      <c r="Y217" s="17">
        <f>IFERROR(__xludf.DUMMYFUNCTION("IMPORTRANGE(""https://docs.google.com/spreadsheets/d/""&amp;$A217&amp;""/edit#gid=156619080"",Y$3)"),0.009254132721664199)</f>
        <v>0.009254132722</v>
      </c>
      <c r="Z217" s="2">
        <f>IFERROR(__xludf.DUMMYFUNCTION("IMPORTRANGE(""https://docs.google.com/spreadsheets/d/""&amp;$A217&amp;""/edit#gid=156619080"",Z$3)"),1318.63)</f>
        <v>1318.63</v>
      </c>
      <c r="AA217" s="2">
        <f>IFERROR(__xludf.DUMMYFUNCTION("IMPORTRANGE(""https://docs.google.com/spreadsheets/d/""&amp;$A217&amp;""/edit#gid=156619080"",AA$3)"),1310.97)</f>
        <v>1310.97</v>
      </c>
      <c r="AB217" s="2">
        <f>IFERROR(__xludf.DUMMYFUNCTION("IMPORTRANGE(""https://docs.google.com/spreadsheets/d/""&amp;$A217&amp;""/edit#gid=156619080"",AB$3)"),1303.32)</f>
        <v>1303.32</v>
      </c>
      <c r="AC217" s="18">
        <f>IFERROR(__xludf.DUMMYFUNCTION("IMPORTRANGE(""https://docs.google.com/spreadsheets/d/""&amp;$A217&amp;""/edit#gid=156619080"",AC$3)"),1295.67)</f>
        <v>1295.67</v>
      </c>
      <c r="AD217" s="18">
        <f>IFERROR(__xludf.DUMMYFUNCTION("IMPORTRANGE(""https://docs.google.com/spreadsheets/d/""&amp;$A217&amp;""/edit#gid=156619080"",AD$3)"),1288.01)</f>
        <v>1288.01</v>
      </c>
      <c r="AE217" s="18">
        <f>IFERROR(__xludf.DUMMYFUNCTION("IMPORTRANGE(""https://docs.google.com/spreadsheets/d/""&amp;$A217&amp;""/edit#gid=156619080"",AE$3)"),1257.4)</f>
        <v>1257.4</v>
      </c>
      <c r="AF217" s="2">
        <f>IFERROR(__xludf.DUMMYFUNCTION("IMPORTRANGE(""https://docs.google.com/spreadsheets/d/""&amp;$A217&amp;""/edit#gid=156619080"",AF$3)"),1226.79)</f>
        <v>1226.79</v>
      </c>
      <c r="AG217" s="2">
        <f>IFERROR(__xludf.DUMMYFUNCTION("IMPORTRANGE(""https://docs.google.com/spreadsheets/d/""&amp;$A217&amp;""/edit#gid=156619080"",AG$3)"),1219.13)</f>
        <v>1219.13</v>
      </c>
      <c r="AH217" s="2">
        <f>IFERROR(__xludf.DUMMYFUNCTION("IMPORTRANGE(""https://docs.google.com/spreadsheets/d/""&amp;$A217&amp;""/edit#gid=156619080"",AH$3)"),1211.48)</f>
        <v>1211.48</v>
      </c>
      <c r="AI217" s="2">
        <f>IFERROR(__xludf.DUMMYFUNCTION("IMPORTRANGE(""https://docs.google.com/spreadsheets/d/""&amp;$A217&amp;""/edit#gid=156619080"",AI$3)"),1203.83)</f>
        <v>1203.83</v>
      </c>
      <c r="AJ217" s="2">
        <f>IFERROR(__xludf.DUMMYFUNCTION("IMPORTRANGE(""https://docs.google.com/spreadsheets/d/""&amp;$A217&amp;""/edit#gid=156619080"",AJ$3)"),1196.17)</f>
        <v>1196.17</v>
      </c>
      <c r="AK217" s="2" t="str">
        <f>IFERROR(__xludf.DUMMYFUNCTION("IMPORTRANGE(""https://docs.google.com/spreadsheets/d/""&amp;$A217&amp;""/edit#gid=156619080"",AK$3)"),"")</f>
        <v/>
      </c>
      <c r="AL217" s="2">
        <f>IFERROR(__xludf.DUMMYFUNCTION("IMPORTRANGE(""https://docs.google.com/spreadsheets/d/""&amp;$A217&amp;""/edit#gid=156619080"",AL$3)"),-1.0)</f>
        <v>-1</v>
      </c>
      <c r="AM217" s="2" t="str">
        <f>IFERROR(__xludf.DUMMYFUNCTION("IMPORTRANGE(""https://docs.google.com/spreadsheets/d/""&amp;$A217&amp;""/edit#gid=156619080"",AM$3)"),"")</f>
        <v/>
      </c>
      <c r="AN217" s="2">
        <f>IFERROR(__xludf.DUMMYFUNCTION("IMPORTRANGE(""https://docs.google.com/spreadsheets/d/""&amp;$A217&amp;""/edit#gid=156619080"",AN$3)"),1.0)</f>
        <v>1</v>
      </c>
      <c r="AO217" s="2" t="str">
        <f>IFERROR(__xludf.DUMMYFUNCTION("IMPORTRANGE(""https://docs.google.com/spreadsheets/d/""&amp;$A217&amp;""/edit#gid=156619080"",AO$3)"),"")</f>
        <v/>
      </c>
      <c r="AP217" s="2">
        <f>IFERROR(__xludf.DUMMYFUNCTION("IMPORTRANGE(""https://docs.google.com/spreadsheets/d/""&amp;$A217&amp;""/edit#gid=156619080"",AP$3)"),1.0)</f>
        <v>1</v>
      </c>
      <c r="AQ217" s="2" t="str">
        <f>IFERROR(__xludf.DUMMYFUNCTION("IMPORTRANGE(""https://docs.google.com/spreadsheets/d/""&amp;$A217&amp;""/edit#gid=156619080"",AQ$3)"),"")</f>
        <v/>
      </c>
      <c r="AR217" s="18">
        <f>IFERROR(__xludf.DUMMYFUNCTION("IMPORTRANGE(""https://docs.google.com/spreadsheets/d/""&amp;$A217&amp;""/edit#gid=156619080"",AR$3)"),90.0)</f>
        <v>90</v>
      </c>
      <c r="AS217" s="19" t="str">
        <f>IFERROR(__xludf.DUMMYFUNCTION("IMPORTRANGE(""https://docs.google.com/spreadsheets/d/""&amp;$A217&amp;""/edit#gid=156619080"",AS$3)"),"-70
-70
0
30
")</f>
        <v>-70
-70
0
30
</v>
      </c>
      <c r="AT217" s="18">
        <f>IFERROR(__xludf.DUMMYFUNCTION("IMPORTRANGE(""https://docs.google.com/spreadsheets/d/""&amp;$A217&amp;""/edit#gid=156619080"",AT$3)"),-65.38461538461537)</f>
        <v>-65.38461538</v>
      </c>
      <c r="AU217" s="3" t="str">
        <f>IFERROR(__xludf.DUMMYFUNCTION("IMPORTRANGE(""https://docs.google.com/spreadsheets/d/""&amp;$A217&amp;""/edit#gid=156619080"",AU$3)"),"44.51
14.29
-11.54
-39.56
")</f>
        <v>44.51
14.29
-11.54
-39.56
</v>
      </c>
      <c r="AV217" s="18">
        <f>IFERROR(__xludf.DUMMYFUNCTION("IMPORTRANGE(""https://docs.google.com/spreadsheets/d/""&amp;$A217&amp;""/edit#gid=156619080"",AV$3)"),57.27272727272727)</f>
        <v>57.27272727</v>
      </c>
      <c r="AW217" s="19" t="str">
        <f>IFERROR(__xludf.DUMMYFUNCTION("IMPORTRANGE(""https://docs.google.com/spreadsheets/d/""&amp;$A217&amp;""/edit#gid=156619080"",AW$3)"),"72.34
65.19
64.68
62.73
")</f>
        <v>72.34
65.19
64.68
62.73
</v>
      </c>
      <c r="AX217" s="2">
        <f>IFERROR(__xludf.DUMMYFUNCTION("IMPORTRANGE(""https://docs.google.com/spreadsheets/d/""&amp;$A217&amp;""/edit#gid=156619080"",AX$3)"),67.16)</f>
        <v>67.16</v>
      </c>
      <c r="AY217" s="2">
        <f>IFERROR(__xludf.DUMMYFUNCTION("IMPORTRANGE(""https://docs.google.com/spreadsheets/d/""&amp;$A217&amp;""/edit#gid=156619080"",AY$3)"),63.38)</f>
        <v>63.38</v>
      </c>
      <c r="AZ217" s="2">
        <f>IFERROR(__xludf.DUMMYFUNCTION("IMPORTRANGE(""https://docs.google.com/spreadsheets/d/""&amp;$A217&amp;""/edit#gid=156619080"",AZ$3)"),1268.73)</f>
        <v>1268.73</v>
      </c>
      <c r="BA217" s="2">
        <f>IFERROR(__xludf.DUMMYFUNCTION("IMPORTRANGE(""https://docs.google.com/spreadsheets/d/""&amp;$A217&amp;""/edit#gid=156619080"",BA$3)"),6.240000000000009)</f>
        <v>6.24</v>
      </c>
      <c r="BB217" s="2">
        <f>IFERROR(__xludf.DUMMYFUNCTION("IMPORTRANGE(""https://docs.google.com/spreadsheets/d/""&amp;$A217&amp;""/edit#gid=156619080"",BB$3)"),8.59)</f>
        <v>8.59</v>
      </c>
      <c r="BC217" s="2" t="str">
        <f>IFERROR(__xludf.DUMMYFUNCTION("IMPORTRANGE(""https://docs.google.com/spreadsheets/d/""&amp;$A217&amp;""/edit#gid=156619080"",BC$3)"),"DC→DC")</f>
        <v>DC→DC</v>
      </c>
    </row>
    <row r="218" ht="51.0" customHeight="1">
      <c r="A218" s="7" t="str">
        <f t="shared" si="5"/>
        <v>1krNhqJqtuvDWMhkQsSOYBJAPqcb7iG2Iur-2TWxZPrM</v>
      </c>
      <c r="B218" s="1" t="s">
        <v>245</v>
      </c>
      <c r="C218" s="2">
        <f>IFERROR(__xludf.DUMMYFUNCTION("IMPORTRANGE(""https://docs.google.com/spreadsheets/d/""&amp;$A218&amp;""/edit#gid=156619080"",C$3)"),131.0)</f>
        <v>131</v>
      </c>
      <c r="D218" s="2">
        <f>IFERROR(__xludf.DUMMYFUNCTION("IMPORTRANGE(""https://docs.google.com/spreadsheets/d/""&amp;$A218&amp;""/edit#gid=156619080"",D$3)"),9531.0)</f>
        <v>9531</v>
      </c>
      <c r="E218" s="15">
        <f>IFERROR(__xludf.DUMMYFUNCTION("IMPORTRANGE(""https://docs.google.com/spreadsheets/d/""&amp;$A218&amp;""/edit#gid=156619080"",E$3)"),43882.0)</f>
        <v>43882</v>
      </c>
      <c r="F218" s="2">
        <f>IFERROR(__xludf.DUMMYFUNCTION("IMPORTRANGE(""https://docs.google.com/spreadsheets/d/""&amp;$A218&amp;""/edit#gid=156619080"",F$3)"),9.5)</f>
        <v>9.5</v>
      </c>
      <c r="G218" s="16">
        <f>IFERROR(__xludf.DUMMYFUNCTION("IMPORTRANGE(""https://docs.google.com/spreadsheets/d/""&amp;$A218&amp;""/edit#gid=156619080"",G$3)"),0.4)</f>
        <v>0.4</v>
      </c>
      <c r="H218" s="16">
        <f>IFERROR(__xludf.DUMMYFUNCTION("IMPORTRANGE(""https://docs.google.com/spreadsheets/d/""&amp;$A218&amp;""/edit#gid=156619080"",H$3)"),2380.0)</f>
        <v>2380</v>
      </c>
      <c r="I218" s="16">
        <f>IFERROR(__xludf.DUMMYFUNCTION("IMPORTRANGE(""https://docs.google.com/spreadsheets/d/""&amp;$A218&amp;""/edit#gid=156619080"",I$3)"),-1.0)</f>
        <v>-1</v>
      </c>
      <c r="J218" s="16">
        <f>IFERROR(__xludf.DUMMYFUNCTION("IMPORTRANGE(""https://docs.google.com/spreadsheets/d/""&amp;$A218&amp;""/edit#gid=156619080"",J$3)"),2396.5)</f>
        <v>2396.5</v>
      </c>
      <c r="K218" s="16">
        <f>IFERROR(__xludf.DUMMYFUNCTION("IMPORTRANGE(""https://docs.google.com/spreadsheets/d/""&amp;$A218&amp;""/edit#gid=156619080"",K$3)"),0.58125)</f>
        <v>0.58125</v>
      </c>
      <c r="L218" s="16">
        <f>IFERROR(__xludf.DUMMYFUNCTION("IMPORTRANGE(""https://docs.google.com/spreadsheets/d/""&amp;$A218&amp;""/edit#gid=156619080"",L$3)"),2376.0)</f>
        <v>2376</v>
      </c>
      <c r="M218" s="16">
        <f>IFERROR(__xludf.DUMMYFUNCTION("IMPORTRANGE(""https://docs.google.com/spreadsheets/d/""&amp;$A218&amp;""/edit#gid=156619080"",M$3)"),0.375)</f>
        <v>0.375</v>
      </c>
      <c r="N218" s="16">
        <f>IFERROR(__xludf.DUMMYFUNCTION("IMPORTRANGE(""https://docs.google.com/spreadsheets/d/""&amp;$A218&amp;""/edit#gid=156619080"",N$3)"),2388.5)</f>
        <v>2388.5</v>
      </c>
      <c r="O218" s="16" t="str">
        <f>IFERROR(__xludf.DUMMYFUNCTION("IMPORTRANGE(""https://docs.google.com/spreadsheets/d/""&amp;$A218&amp;""/edit#gid=156619080"",O$3)"),"850100株")</f>
        <v>850100株</v>
      </c>
      <c r="P218" s="16" t="str">
        <f>IFERROR(__xludf.DUMMYFUNCTION("IMPORTRANGE(""https://docs.google.com/spreadsheets/d/""&amp;$A218&amp;""/edit#gid=156619080"",P$3)"),"2031百万円")</f>
        <v>2031百万円</v>
      </c>
      <c r="Q218" s="16" t="str">
        <f>IFERROR(__xludf.DUMMYFUNCTION("IMPORTRANGE(""https://docs.google.com/spreadsheets/d/""&amp;$A218&amp;""/edit#gid=156619080"",Q$3)"),"2031回")</f>
        <v>2031回</v>
      </c>
      <c r="R218" s="16" t="str">
        <f>IFERROR(__xludf.DUMMYFUNCTION("IMPORTRANGE(""https://docs.google.com/spreadsheets/d/""&amp;$A218&amp;""/edit#gid=156619080"",R$3)"),"10568億円")</f>
        <v>10568億円</v>
      </c>
      <c r="S218" s="16" t="str">
        <f>IFERROR(__xludf.DUMMYFUNCTION("IMPORTRANGE(""https://docs.google.com/spreadsheets/d/""&amp;$A218&amp;""/edit#gid=156619080"",S$3)"),"陽線")</f>
        <v>陽線</v>
      </c>
      <c r="T218" s="16" t="str">
        <f>IFERROR(__xludf.DUMMYFUNCTION("IMPORTRANGE(""https://docs.google.com/spreadsheets/d/""&amp;$A218&amp;""/edit#gid=156619080"",T$3)"),"")</f>
        <v/>
      </c>
      <c r="U218" s="16">
        <f>IFERROR(__xludf.DUMMYFUNCTION("IMPORTRANGE(""https://docs.google.com/spreadsheets/d/""&amp;$A218&amp;""/edit#gid=156619080"",U$3)"),2384.2)</f>
        <v>2384.2</v>
      </c>
      <c r="V218" s="16">
        <f>IFERROR(__xludf.DUMMYFUNCTION("IMPORTRANGE(""https://docs.google.com/spreadsheets/d/""&amp;$A218&amp;""/edit#gid=156619080"",V$3)"),2407.8)</f>
        <v>2407.8</v>
      </c>
      <c r="W218" s="16">
        <f>IFERROR(__xludf.DUMMYFUNCTION("IMPORTRANGE(""https://docs.google.com/spreadsheets/d/""&amp;$A218&amp;""/edit#gid=156619080"",W$3)"),2424.6)</f>
        <v>2424.6</v>
      </c>
      <c r="X218" s="2">
        <f>IFERROR(__xludf.DUMMYFUNCTION("IMPORTRANGE(""https://docs.google.com/spreadsheets/d/""&amp;$A218&amp;""/edit#gid=156619080"",X$3)"),2599.7)</f>
        <v>2599.7</v>
      </c>
      <c r="Y218" s="17">
        <f>IFERROR(__xludf.DUMMYFUNCTION("IMPORTRANGE(""https://docs.google.com/spreadsheets/d/""&amp;$A218&amp;""/edit#gid=156619080"",Y$3)"),0.0018035399714789791)</f>
        <v>0.001803539971</v>
      </c>
      <c r="Z218" s="2">
        <f>IFERROR(__xludf.DUMMYFUNCTION("IMPORTRANGE(""https://docs.google.com/spreadsheets/d/""&amp;$A218&amp;""/edit#gid=156619080"",Z$3)"),2498.18)</f>
        <v>2498.18</v>
      </c>
      <c r="AA218" s="2">
        <f>IFERROR(__xludf.DUMMYFUNCTION("IMPORTRANGE(""https://docs.google.com/spreadsheets/d/""&amp;$A218&amp;""/edit#gid=156619080"",AA$3)"),2488.98)</f>
        <v>2488.98</v>
      </c>
      <c r="AB218" s="2">
        <f>IFERROR(__xludf.DUMMYFUNCTION("IMPORTRANGE(""https://docs.google.com/spreadsheets/d/""&amp;$A218&amp;""/edit#gid=156619080"",AB$3)"),2479.78)</f>
        <v>2479.78</v>
      </c>
      <c r="AC218" s="18">
        <f>IFERROR(__xludf.DUMMYFUNCTION("IMPORTRANGE(""https://docs.google.com/spreadsheets/d/""&amp;$A218&amp;""/edit#gid=156619080"",AC$3)"),2470.58)</f>
        <v>2470.58</v>
      </c>
      <c r="AD218" s="18">
        <f>IFERROR(__xludf.DUMMYFUNCTION("IMPORTRANGE(""https://docs.google.com/spreadsheets/d/""&amp;$A218&amp;""/edit#gid=156619080"",AD$3)"),2461.39)</f>
        <v>2461.39</v>
      </c>
      <c r="AE218" s="18">
        <f>IFERROR(__xludf.DUMMYFUNCTION("IMPORTRANGE(""https://docs.google.com/spreadsheets/d/""&amp;$A218&amp;""/edit#gid=156619080"",AE$3)"),2424.6)</f>
        <v>2424.6</v>
      </c>
      <c r="AF218" s="2">
        <f>IFERROR(__xludf.DUMMYFUNCTION("IMPORTRANGE(""https://docs.google.com/spreadsheets/d/""&amp;$A218&amp;""/edit#gid=156619080"",AF$3)"),2387.81)</f>
        <v>2387.81</v>
      </c>
      <c r="AG218" s="2">
        <f>IFERROR(__xludf.DUMMYFUNCTION("IMPORTRANGE(""https://docs.google.com/spreadsheets/d/""&amp;$A218&amp;""/edit#gid=156619080"",AG$3)"),2378.62)</f>
        <v>2378.62</v>
      </c>
      <c r="AH218" s="2">
        <f>IFERROR(__xludf.DUMMYFUNCTION("IMPORTRANGE(""https://docs.google.com/spreadsheets/d/""&amp;$A218&amp;""/edit#gid=156619080"",AH$3)"),2369.42)</f>
        <v>2369.42</v>
      </c>
      <c r="AI218" s="2">
        <f>IFERROR(__xludf.DUMMYFUNCTION("IMPORTRANGE(""https://docs.google.com/spreadsheets/d/""&amp;$A218&amp;""/edit#gid=156619080"",AI$3)"),2360.22)</f>
        <v>2360.22</v>
      </c>
      <c r="AJ218" s="2">
        <f>IFERROR(__xludf.DUMMYFUNCTION("IMPORTRANGE(""https://docs.google.com/spreadsheets/d/""&amp;$A218&amp;""/edit#gid=156619080"",AJ$3)"),2351.02)</f>
        <v>2351.02</v>
      </c>
      <c r="AK218" s="2" t="str">
        <f>IFERROR(__xludf.DUMMYFUNCTION("IMPORTRANGE(""https://docs.google.com/spreadsheets/d/""&amp;$A218&amp;""/edit#gid=156619080"",AK$3)"),"")</f>
        <v/>
      </c>
      <c r="AL218" s="2">
        <f>IFERROR(__xludf.DUMMYFUNCTION("IMPORTRANGE(""https://docs.google.com/spreadsheets/d/""&amp;$A218&amp;""/edit#gid=156619080"",AL$3)"),-1.0)</f>
        <v>-1</v>
      </c>
      <c r="AM218" s="2" t="str">
        <f>IFERROR(__xludf.DUMMYFUNCTION("IMPORTRANGE(""https://docs.google.com/spreadsheets/d/""&amp;$A218&amp;""/edit#gid=156619080"",AM$3)"),"")</f>
        <v/>
      </c>
      <c r="AN218" s="2">
        <f>IFERROR(__xludf.DUMMYFUNCTION("IMPORTRANGE(""https://docs.google.com/spreadsheets/d/""&amp;$A218&amp;""/edit#gid=156619080"",AN$3)"),-1.0)</f>
        <v>-1</v>
      </c>
      <c r="AO218" s="2" t="str">
        <f>IFERROR(__xludf.DUMMYFUNCTION("IMPORTRANGE(""https://docs.google.com/spreadsheets/d/""&amp;$A218&amp;""/edit#gid=156619080"",AO$3)"),"")</f>
        <v/>
      </c>
      <c r="AP218" s="2">
        <f>IFERROR(__xludf.DUMMYFUNCTION("IMPORTRANGE(""https://docs.google.com/spreadsheets/d/""&amp;$A218&amp;""/edit#gid=156619080"",AP$3)"),-1.0)</f>
        <v>-1</v>
      </c>
      <c r="AQ218" s="2" t="str">
        <f>IFERROR(__xludf.DUMMYFUNCTION("IMPORTRANGE(""https://docs.google.com/spreadsheets/d/""&amp;$A218&amp;""/edit#gid=156619080"",AQ$3)"),"")</f>
        <v/>
      </c>
      <c r="AR218" s="18">
        <f>IFERROR(__xludf.DUMMYFUNCTION("IMPORTRANGE(""https://docs.google.com/spreadsheets/d/""&amp;$A218&amp;""/edit#gid=156619080"",AR$3)"),30.000000000000004)</f>
        <v>30</v>
      </c>
      <c r="AS218" s="19" t="str">
        <f>IFERROR(__xludf.DUMMYFUNCTION("IMPORTRANGE(""https://docs.google.com/spreadsheets/d/""&amp;$A218&amp;""/edit#gid=156619080"",AS$3)"),"-100
-100
0
-20
")</f>
        <v>-100
-100
0
-20
</v>
      </c>
      <c r="AT218" s="18">
        <f>IFERROR(__xludf.DUMMYFUNCTION("IMPORTRANGE(""https://docs.google.com/spreadsheets/d/""&amp;$A218&amp;""/edit#gid=156619080"",AT$3)"),-70.32967032967032)</f>
        <v>-70.32967033</v>
      </c>
      <c r="AU218" s="3" t="str">
        <f>IFERROR(__xludf.DUMMYFUNCTION("IMPORTRANGE(""https://docs.google.com/spreadsheets/d/""&amp;$A218&amp;""/edit#gid=156619080"",AU$3)"),"-41.21
-53.3
-57.69
-70.88
")</f>
        <v>-41.21
-53.3
-57.69
-70.88
</v>
      </c>
      <c r="AV218" s="18">
        <f>IFERROR(__xludf.DUMMYFUNCTION("IMPORTRANGE(""https://docs.google.com/spreadsheets/d/""&amp;$A218&amp;""/edit#gid=156619080"",AV$3)"),-78.27922077922078)</f>
        <v>-78.27922078</v>
      </c>
      <c r="AW218" s="19" t="str">
        <f>IFERROR(__xludf.DUMMYFUNCTION("IMPORTRANGE(""https://docs.google.com/spreadsheets/d/""&amp;$A218&amp;""/edit#gid=156619080"",AW$3)"),"-80.62
-81.4
-80.23
-79.97
")</f>
        <v>-80.62
-81.4
-80.23
-79.97
</v>
      </c>
      <c r="AX218" s="2">
        <f>IFERROR(__xludf.DUMMYFUNCTION("IMPORTRANGE(""https://docs.google.com/spreadsheets/d/""&amp;$A218&amp;""/edit#gid=156619080"",AX$3)"),51.61)</f>
        <v>51.61</v>
      </c>
      <c r="AY218" s="2">
        <f>IFERROR(__xludf.DUMMYFUNCTION("IMPORTRANGE(""https://docs.google.com/spreadsheets/d/""&amp;$A218&amp;""/edit#gid=156619080"",AY$3)"),28.83)</f>
        <v>28.83</v>
      </c>
      <c r="AZ218" s="2">
        <f>IFERROR(__xludf.DUMMYFUNCTION("IMPORTRANGE(""https://docs.google.com/spreadsheets/d/""&amp;$A218&amp;""/edit#gid=156619080"",AZ$3)"),2388.39)</f>
        <v>2388.39</v>
      </c>
      <c r="BA218" s="2">
        <f>IFERROR(__xludf.DUMMYFUNCTION("IMPORTRANGE(""https://docs.google.com/spreadsheets/d/""&amp;$A218&amp;""/edit#gid=156619080"",BA$3)"),-47.14000000000033)</f>
        <v>-47.14</v>
      </c>
      <c r="BB218" s="2">
        <f>IFERROR(__xludf.DUMMYFUNCTION("IMPORTRANGE(""https://docs.google.com/spreadsheets/d/""&amp;$A218&amp;""/edit#gid=156619080"",BB$3)"),-55.64)</f>
        <v>-55.64</v>
      </c>
      <c r="BC218" s="2" t="str">
        <f>IFERROR(__xludf.DUMMYFUNCTION("IMPORTRANGE(""https://docs.google.com/spreadsheets/d/""&amp;$A218&amp;""/edit#gid=156619080"",BC$3)"),"GC→GC")</f>
        <v>GC→GC</v>
      </c>
    </row>
    <row r="219" ht="51.0" customHeight="1">
      <c r="A219" s="7" t="str">
        <f t="shared" si="5"/>
        <v>1b1bnLLLWVVuKQ9QUZu4_wXObXboMnZSuV44YxfVvD6M</v>
      </c>
      <c r="B219" s="1" t="s">
        <v>246</v>
      </c>
      <c r="C219" s="2">
        <f>IFERROR(__xludf.DUMMYFUNCTION("IMPORTRANGE(""https://docs.google.com/spreadsheets/d/""&amp;$A219&amp;""/edit#gid=156619080"",C$3)"),131.0)</f>
        <v>131</v>
      </c>
      <c r="D219" s="2">
        <f>IFERROR(__xludf.DUMMYFUNCTION("IMPORTRANGE(""https://docs.google.com/spreadsheets/d/""&amp;$A219&amp;""/edit#gid=156619080"",D$3)"),9532.0)</f>
        <v>9532</v>
      </c>
      <c r="E219" s="15">
        <f>IFERROR(__xludf.DUMMYFUNCTION("IMPORTRANGE(""https://docs.google.com/spreadsheets/d/""&amp;$A219&amp;""/edit#gid=156619080"",E$3)"),43882.0)</f>
        <v>43882</v>
      </c>
      <c r="F219" s="2">
        <f>IFERROR(__xludf.DUMMYFUNCTION("IMPORTRANGE(""https://docs.google.com/spreadsheets/d/""&amp;$A219&amp;""/edit#gid=156619080"",F$3)"),18.0)</f>
        <v>18</v>
      </c>
      <c r="G219" s="16">
        <f>IFERROR(__xludf.DUMMYFUNCTION("IMPORTRANGE(""https://docs.google.com/spreadsheets/d/""&amp;$A219&amp;""/edit#gid=156619080"",G$3)"),0.96)</f>
        <v>0.96</v>
      </c>
      <c r="H219" s="16">
        <f>IFERROR(__xludf.DUMMYFUNCTION("IMPORTRANGE(""https://docs.google.com/spreadsheets/d/""&amp;$A219&amp;""/edit#gid=156619080"",H$3)"),1884.0)</f>
        <v>1884</v>
      </c>
      <c r="I219" s="16">
        <f>IFERROR(__xludf.DUMMYFUNCTION("IMPORTRANGE(""https://docs.google.com/spreadsheets/d/""&amp;$A219&amp;""/edit#gid=156619080"",I$3)"),-9.0)</f>
        <v>-9</v>
      </c>
      <c r="J219" s="16">
        <f>IFERROR(__xludf.DUMMYFUNCTION("IMPORTRANGE(""https://docs.google.com/spreadsheets/d/""&amp;$A219&amp;""/edit#gid=156619080"",J$3)"),1904.0)</f>
        <v>1904</v>
      </c>
      <c r="K219" s="16">
        <f>IFERROR(__xludf.DUMMYFUNCTION("IMPORTRANGE(""https://docs.google.com/spreadsheets/d/""&amp;$A219&amp;""/edit#gid=156619080"",K$3)"),0.525)</f>
        <v>0.525</v>
      </c>
      <c r="L219" s="16">
        <f>IFERROR(__xludf.DUMMYFUNCTION("IMPORTRANGE(""https://docs.google.com/spreadsheets/d/""&amp;$A219&amp;""/edit#gid=156619080"",L$3)"),1878.0)</f>
        <v>1878</v>
      </c>
      <c r="M219" s="16">
        <f>IFERROR(__xludf.DUMMYFUNCTION("IMPORTRANGE(""https://docs.google.com/spreadsheets/d/""&amp;$A219&amp;""/edit#gid=156619080"",M$3)"),0.38680555555555557)</f>
        <v>0.3868055556</v>
      </c>
      <c r="N219" s="16">
        <f>IFERROR(__xludf.DUMMYFUNCTION("IMPORTRANGE(""https://docs.google.com/spreadsheets/d/""&amp;$A219&amp;""/edit#gid=156619080"",N$3)"),1893.0)</f>
        <v>1893</v>
      </c>
      <c r="O219" s="16" t="str">
        <f>IFERROR(__xludf.DUMMYFUNCTION("IMPORTRANGE(""https://docs.google.com/spreadsheets/d/""&amp;$A219&amp;""/edit#gid=156619080"",O$3)"),"964800株")</f>
        <v>964800株</v>
      </c>
      <c r="P219" s="16" t="str">
        <f>IFERROR(__xludf.DUMMYFUNCTION("IMPORTRANGE(""https://docs.google.com/spreadsheets/d/""&amp;$A219&amp;""/edit#gid=156619080"",P$3)"),"1827百万円")</f>
        <v>1827百万円</v>
      </c>
      <c r="Q219" s="16" t="str">
        <f>IFERROR(__xludf.DUMMYFUNCTION("IMPORTRANGE(""https://docs.google.com/spreadsheets/d/""&amp;$A219&amp;""/edit#gid=156619080"",Q$3)"),"1491回")</f>
        <v>1491回</v>
      </c>
      <c r="R219" s="16" t="str">
        <f>IFERROR(__xludf.DUMMYFUNCTION("IMPORTRANGE(""https://docs.google.com/spreadsheets/d/""&amp;$A219&amp;""/edit#gid=156619080"",R$3)"),"7888億円")</f>
        <v>7888億円</v>
      </c>
      <c r="S219" s="16" t="str">
        <f>IFERROR(__xludf.DUMMYFUNCTION("IMPORTRANGE(""https://docs.google.com/spreadsheets/d/""&amp;$A219&amp;""/edit#gid=156619080"",S$3)"),"陽線")</f>
        <v>陽線</v>
      </c>
      <c r="T219" s="16" t="str">
        <f>IFERROR(__xludf.DUMMYFUNCTION("IMPORTRANGE(""https://docs.google.com/spreadsheets/d/""&amp;$A219&amp;""/edit#gid=156619080"",T$3)"),"")</f>
        <v/>
      </c>
      <c r="U219" s="16">
        <f>IFERROR(__xludf.DUMMYFUNCTION("IMPORTRANGE(""https://docs.google.com/spreadsheets/d/""&amp;$A219&amp;""/edit#gid=156619080"",U$3)"),1884.6)</f>
        <v>1884.6</v>
      </c>
      <c r="V219" s="16">
        <f>IFERROR(__xludf.DUMMYFUNCTION("IMPORTRANGE(""https://docs.google.com/spreadsheets/d/""&amp;$A219&amp;""/edit#gid=156619080"",V$3)"),1892.2)</f>
        <v>1892.2</v>
      </c>
      <c r="W219" s="16">
        <f>IFERROR(__xludf.DUMMYFUNCTION("IMPORTRANGE(""https://docs.google.com/spreadsheets/d/""&amp;$A219&amp;""/edit#gid=156619080"",W$3)"),1895.8)</f>
        <v>1895.8</v>
      </c>
      <c r="X219" s="2">
        <f>IFERROR(__xludf.DUMMYFUNCTION("IMPORTRANGE(""https://docs.google.com/spreadsheets/d/""&amp;$A219&amp;""/edit#gid=156619080"",X$3)"),2023.9)</f>
        <v>2023.9</v>
      </c>
      <c r="Y219" s="17">
        <f>IFERROR(__xludf.DUMMYFUNCTION("IMPORTRANGE(""https://docs.google.com/spreadsheets/d/""&amp;$A219&amp;""/edit#gid=156619080"",Y$3)"),0.004457179242279577)</f>
        <v>0.004457179242</v>
      </c>
      <c r="Z219" s="2">
        <f>IFERROR(__xludf.DUMMYFUNCTION("IMPORTRANGE(""https://docs.google.com/spreadsheets/d/""&amp;$A219&amp;""/edit#gid=156619080"",Z$3)"),1944.88)</f>
        <v>1944.88</v>
      </c>
      <c r="AA219" s="2">
        <f>IFERROR(__xludf.DUMMYFUNCTION("IMPORTRANGE(""https://docs.google.com/spreadsheets/d/""&amp;$A219&amp;""/edit#gid=156619080"",AA$3)"),1938.75)</f>
        <v>1938.75</v>
      </c>
      <c r="AB219" s="2">
        <f>IFERROR(__xludf.DUMMYFUNCTION("IMPORTRANGE(""https://docs.google.com/spreadsheets/d/""&amp;$A219&amp;""/edit#gid=156619080"",AB$3)"),1932.61)</f>
        <v>1932.61</v>
      </c>
      <c r="AC219" s="18">
        <f>IFERROR(__xludf.DUMMYFUNCTION("IMPORTRANGE(""https://docs.google.com/spreadsheets/d/""&amp;$A219&amp;""/edit#gid=156619080"",AC$3)"),1926.48)</f>
        <v>1926.48</v>
      </c>
      <c r="AD219" s="18">
        <f>IFERROR(__xludf.DUMMYFUNCTION("IMPORTRANGE(""https://docs.google.com/spreadsheets/d/""&amp;$A219&amp;""/edit#gid=156619080"",AD$3)"),1920.34)</f>
        <v>1920.34</v>
      </c>
      <c r="AE219" s="18">
        <f>IFERROR(__xludf.DUMMYFUNCTION("IMPORTRANGE(""https://docs.google.com/spreadsheets/d/""&amp;$A219&amp;""/edit#gid=156619080"",AE$3)"),1895.8)</f>
        <v>1895.8</v>
      </c>
      <c r="AF219" s="2">
        <f>IFERROR(__xludf.DUMMYFUNCTION("IMPORTRANGE(""https://docs.google.com/spreadsheets/d/""&amp;$A219&amp;""/edit#gid=156619080"",AF$3)"),1871.26)</f>
        <v>1871.26</v>
      </c>
      <c r="AG219" s="2">
        <f>IFERROR(__xludf.DUMMYFUNCTION("IMPORTRANGE(""https://docs.google.com/spreadsheets/d/""&amp;$A219&amp;""/edit#gid=156619080"",AG$3)"),1865.12)</f>
        <v>1865.12</v>
      </c>
      <c r="AH219" s="2">
        <f>IFERROR(__xludf.DUMMYFUNCTION("IMPORTRANGE(""https://docs.google.com/spreadsheets/d/""&amp;$A219&amp;""/edit#gid=156619080"",AH$3)"),1858.99)</f>
        <v>1858.99</v>
      </c>
      <c r="AI219" s="2">
        <f>IFERROR(__xludf.DUMMYFUNCTION("IMPORTRANGE(""https://docs.google.com/spreadsheets/d/""&amp;$A219&amp;""/edit#gid=156619080"",AI$3)"),1852.85)</f>
        <v>1852.85</v>
      </c>
      <c r="AJ219" s="2">
        <f>IFERROR(__xludf.DUMMYFUNCTION("IMPORTRANGE(""https://docs.google.com/spreadsheets/d/""&amp;$A219&amp;""/edit#gid=156619080"",AJ$3)"),1846.72)</f>
        <v>1846.72</v>
      </c>
      <c r="AK219" s="2" t="str">
        <f>IFERROR(__xludf.DUMMYFUNCTION("IMPORTRANGE(""https://docs.google.com/spreadsheets/d/""&amp;$A219&amp;""/edit#gid=156619080"",AK$3)"),"")</f>
        <v/>
      </c>
      <c r="AL219" s="2">
        <f>IFERROR(__xludf.DUMMYFUNCTION("IMPORTRANGE(""https://docs.google.com/spreadsheets/d/""&amp;$A219&amp;""/edit#gid=156619080"",AL$3)"),-1.0)</f>
        <v>-1</v>
      </c>
      <c r="AM219" s="2" t="str">
        <f>IFERROR(__xludf.DUMMYFUNCTION("IMPORTRANGE(""https://docs.google.com/spreadsheets/d/""&amp;$A219&amp;""/edit#gid=156619080"",AM$3)"),"")</f>
        <v/>
      </c>
      <c r="AN219" s="2">
        <f>IFERROR(__xludf.DUMMYFUNCTION("IMPORTRANGE(""https://docs.google.com/spreadsheets/d/""&amp;$A219&amp;""/edit#gid=156619080"",AN$3)"),-1.0)</f>
        <v>-1</v>
      </c>
      <c r="AO219" s="2" t="str">
        <f>IFERROR(__xludf.DUMMYFUNCTION("IMPORTRANGE(""https://docs.google.com/spreadsheets/d/""&amp;$A219&amp;""/edit#gid=156619080"",AO$3)"),"")</f>
        <v/>
      </c>
      <c r="AP219" s="2">
        <f>IFERROR(__xludf.DUMMYFUNCTION("IMPORTRANGE(""https://docs.google.com/spreadsheets/d/""&amp;$A219&amp;""/edit#gid=156619080"",AP$3)"),-1.0)</f>
        <v>-1</v>
      </c>
      <c r="AQ219" s="2" t="str">
        <f>IFERROR(__xludf.DUMMYFUNCTION("IMPORTRANGE(""https://docs.google.com/spreadsheets/d/""&amp;$A219&amp;""/edit#gid=156619080"",AQ$3)"),"")</f>
        <v/>
      </c>
      <c r="AR219" s="18">
        <f>IFERROR(__xludf.DUMMYFUNCTION("IMPORTRANGE(""https://docs.google.com/spreadsheets/d/""&amp;$A219&amp;""/edit#gid=156619080"",AR$3)"),0.0)</f>
        <v>0</v>
      </c>
      <c r="AS219" s="19" t="str">
        <f>IFERROR(__xludf.DUMMYFUNCTION("IMPORTRANGE(""https://docs.google.com/spreadsheets/d/""&amp;$A219&amp;""/edit#gid=156619080"",AS$3)"),"-20
32.5
0
-100
")</f>
        <v>-20
32.5
0
-100
</v>
      </c>
      <c r="AT219" s="18">
        <f>IFERROR(__xludf.DUMMYFUNCTION("IMPORTRANGE(""https://docs.google.com/spreadsheets/d/""&amp;$A219&amp;""/edit#gid=156619080"",AT$3)"),5.631868131868134)</f>
        <v>5.631868132</v>
      </c>
      <c r="AU219" s="3" t="str">
        <f>IFERROR(__xludf.DUMMYFUNCTION("IMPORTRANGE(""https://docs.google.com/spreadsheets/d/""&amp;$A219&amp;""/edit#gid=156619080"",AU$3)"),"27.47
39.7
43.54
21.57
")</f>
        <v>27.47
39.7
43.54
21.57
</v>
      </c>
      <c r="AV219" s="18">
        <f>IFERROR(__xludf.DUMMYFUNCTION("IMPORTRANGE(""https://docs.google.com/spreadsheets/d/""&amp;$A219&amp;""/edit#gid=156619080"",AV$3)"),-34.51298701298702)</f>
        <v>-34.51298701</v>
      </c>
      <c r="AW219" s="19" t="str">
        <f>IFERROR(__xludf.DUMMYFUNCTION("IMPORTRANGE(""https://docs.google.com/spreadsheets/d/""&amp;$A219&amp;""/edit#gid=156619080"",AW$3)"),"-63.64
-58.41
-52.56
-45.94
")</f>
        <v>-63.64
-58.41
-52.56
-45.94
</v>
      </c>
      <c r="AX219" s="2">
        <f>IFERROR(__xludf.DUMMYFUNCTION("IMPORTRANGE(""https://docs.google.com/spreadsheets/d/""&amp;$A219&amp;""/edit#gid=156619080"",AX$3)"),45.0)</f>
        <v>45</v>
      </c>
      <c r="AY219" s="2">
        <f>IFERROR(__xludf.DUMMYFUNCTION("IMPORTRANGE(""https://docs.google.com/spreadsheets/d/""&amp;$A219&amp;""/edit#gid=156619080"",AY$3)"),38.6)</f>
        <v>38.6</v>
      </c>
      <c r="AZ219" s="2">
        <f>IFERROR(__xludf.DUMMYFUNCTION("IMPORTRANGE(""https://docs.google.com/spreadsheets/d/""&amp;$A219&amp;""/edit#gid=156619080"",AZ$3)"),1886.57)</f>
        <v>1886.57</v>
      </c>
      <c r="BA219" s="2">
        <f>IFERROR(__xludf.DUMMYFUNCTION("IMPORTRANGE(""https://docs.google.com/spreadsheets/d/""&amp;$A219&amp;""/edit#gid=156619080"",BA$3)"),-24.37000000000012)</f>
        <v>-24.37</v>
      </c>
      <c r="BB219" s="2">
        <f>IFERROR(__xludf.DUMMYFUNCTION("IMPORTRANGE(""https://docs.google.com/spreadsheets/d/""&amp;$A219&amp;""/edit#gid=156619080"",BB$3)"),-36.71)</f>
        <v>-36.71</v>
      </c>
      <c r="BC219" s="2" t="str">
        <f>IFERROR(__xludf.DUMMYFUNCTION("IMPORTRANGE(""https://docs.google.com/spreadsheets/d/""&amp;$A219&amp;""/edit#gid=156619080"",BC$3)"),"GC→GC")</f>
        <v>GC→GC</v>
      </c>
    </row>
    <row r="220" ht="51.0" customHeight="1">
      <c r="A220" s="7" t="str">
        <f t="shared" si="5"/>
        <v>1zH5cJZ8deJxeF2rnY-DA5jrqlHxQio9Xy5Q3LmJ_FQU</v>
      </c>
      <c r="B220" s="1" t="s">
        <v>247</v>
      </c>
      <c r="C220" s="2">
        <f>IFERROR(__xludf.DUMMYFUNCTION("IMPORTRANGE(""https://docs.google.com/spreadsheets/d/""&amp;$A220&amp;""/edit#gid=156619080"",C$3)"),131.0)</f>
        <v>131</v>
      </c>
      <c r="D220" s="2">
        <f>IFERROR(__xludf.DUMMYFUNCTION("IMPORTRANGE(""https://docs.google.com/spreadsheets/d/""&amp;$A220&amp;""/edit#gid=156619080"",D$3)"),2432.0)</f>
        <v>2432</v>
      </c>
      <c r="E220" s="15">
        <f>IFERROR(__xludf.DUMMYFUNCTION("IMPORTRANGE(""https://docs.google.com/spreadsheets/d/""&amp;$A220&amp;""/edit#gid=156619080"",E$3)"),43882.0)</f>
        <v>43882</v>
      </c>
      <c r="F220" s="2">
        <f>IFERROR(__xludf.DUMMYFUNCTION("IMPORTRANGE(""https://docs.google.com/spreadsheets/d/""&amp;$A220&amp;""/edit#gid=156619080"",F$3)"),9.0)</f>
        <v>9</v>
      </c>
      <c r="G220" s="16">
        <f>IFERROR(__xludf.DUMMYFUNCTION("IMPORTRANGE(""https://docs.google.com/spreadsheets/d/""&amp;$A220&amp;""/edit#gid=156619080"",G$3)"),0.57)</f>
        <v>0.57</v>
      </c>
      <c r="H220" s="16">
        <f>IFERROR(__xludf.DUMMYFUNCTION("IMPORTRANGE(""https://docs.google.com/spreadsheets/d/""&amp;$A220&amp;""/edit#gid=156619080"",H$3)"),1578.0)</f>
        <v>1578</v>
      </c>
      <c r="I220" s="16">
        <f>IFERROR(__xludf.DUMMYFUNCTION("IMPORTRANGE(""https://docs.google.com/spreadsheets/d/""&amp;$A220&amp;""/edit#gid=156619080"",I$3)"),-5.0)</f>
        <v>-5</v>
      </c>
      <c r="J220" s="16">
        <f>IFERROR(__xludf.DUMMYFUNCTION("IMPORTRANGE(""https://docs.google.com/spreadsheets/d/""&amp;$A220&amp;""/edit#gid=156619080"",J$3)"),1604.0)</f>
        <v>1604</v>
      </c>
      <c r="K220" s="16">
        <f>IFERROR(__xludf.DUMMYFUNCTION("IMPORTRANGE(""https://docs.google.com/spreadsheets/d/""&amp;$A220&amp;""/edit#gid=156619080"",K$3)"),0.5319444444444444)</f>
        <v>0.5319444444</v>
      </c>
      <c r="L220" s="16">
        <f>IFERROR(__xludf.DUMMYFUNCTION("IMPORTRANGE(""https://docs.google.com/spreadsheets/d/""&amp;$A220&amp;""/edit#gid=156619080"",L$3)"),1574.0)</f>
        <v>1574</v>
      </c>
      <c r="M220" s="16">
        <f>IFERROR(__xludf.DUMMYFUNCTION("IMPORTRANGE(""https://docs.google.com/spreadsheets/d/""&amp;$A220&amp;""/edit#gid=156619080"",M$3)"),0.375)</f>
        <v>0.375</v>
      </c>
      <c r="N220" s="16">
        <f>IFERROR(__xludf.DUMMYFUNCTION("IMPORTRANGE(""https://docs.google.com/spreadsheets/d/""&amp;$A220&amp;""/edit#gid=156619080"",N$3)"),1582.0)</f>
        <v>1582</v>
      </c>
      <c r="O220" s="16" t="str">
        <f>IFERROR(__xludf.DUMMYFUNCTION("IMPORTRANGE(""https://docs.google.com/spreadsheets/d/""&amp;$A220&amp;""/edit#gid=156619080"",O$3)"),"1021400株")</f>
        <v>1021400株</v>
      </c>
      <c r="P220" s="16" t="str">
        <f>IFERROR(__xludf.DUMMYFUNCTION("IMPORTRANGE(""https://docs.google.com/spreadsheets/d/""&amp;$A220&amp;""/edit#gid=156619080"",P$3)"),"1623百万円")</f>
        <v>1623百万円</v>
      </c>
      <c r="Q220" s="16" t="str">
        <f>IFERROR(__xludf.DUMMYFUNCTION("IMPORTRANGE(""https://docs.google.com/spreadsheets/d/""&amp;$A220&amp;""/edit#gid=156619080"",Q$3)"),"2001回")</f>
        <v>2001回</v>
      </c>
      <c r="R220" s="16" t="str">
        <f>IFERROR(__xludf.DUMMYFUNCTION("IMPORTRANGE(""https://docs.google.com/spreadsheets/d/""&amp;$A220&amp;""/edit#gid=156619080"",R$3)"),"2386億円")</f>
        <v>2386億円</v>
      </c>
      <c r="S220" s="16" t="str">
        <f>IFERROR(__xludf.DUMMYFUNCTION("IMPORTRANGE(""https://docs.google.com/spreadsheets/d/""&amp;$A220&amp;""/edit#gid=156619080"",S$3)"),"陽線")</f>
        <v>陽線</v>
      </c>
      <c r="T220" s="16" t="str">
        <f>IFERROR(__xludf.DUMMYFUNCTION("IMPORTRANGE(""https://docs.google.com/spreadsheets/d/""&amp;$A220&amp;""/edit#gid=156619080"",T$3)"),"")</f>
        <v/>
      </c>
      <c r="U220" s="16">
        <f>IFERROR(__xludf.DUMMYFUNCTION("IMPORTRANGE(""https://docs.google.com/spreadsheets/d/""&amp;$A220&amp;""/edit#gid=156619080"",U$3)"),1586.6)</f>
        <v>1586.6</v>
      </c>
      <c r="V220" s="16">
        <f>IFERROR(__xludf.DUMMYFUNCTION("IMPORTRANGE(""https://docs.google.com/spreadsheets/d/""&amp;$A220&amp;""/edit#gid=156619080"",V$3)"),1608.3)</f>
        <v>1608.3</v>
      </c>
      <c r="W220" s="16">
        <f>IFERROR(__xludf.DUMMYFUNCTION("IMPORTRANGE(""https://docs.google.com/spreadsheets/d/""&amp;$A220&amp;""/edit#gid=156619080"",W$3)"),1684.6)</f>
        <v>1684.6</v>
      </c>
      <c r="X220" s="2">
        <f>IFERROR(__xludf.DUMMYFUNCTION("IMPORTRANGE(""https://docs.google.com/spreadsheets/d/""&amp;$A220&amp;""/edit#gid=156619080"",X$3)"),1786.9)</f>
        <v>1786.9</v>
      </c>
      <c r="Y220" s="17">
        <f>IFERROR(__xludf.DUMMYFUNCTION("IMPORTRANGE(""https://docs.google.com/spreadsheets/d/""&amp;$A220&amp;""/edit#gid=156619080"",Y$3)"),-0.0028992814824151704)</f>
        <v>-0.002899281482</v>
      </c>
      <c r="Z220" s="2">
        <f>IFERROR(__xludf.DUMMYFUNCTION("IMPORTRANGE(""https://docs.google.com/spreadsheets/d/""&amp;$A220&amp;""/edit#gid=156619080"",Z$3)"),1904.09)</f>
        <v>1904.09</v>
      </c>
      <c r="AA220" s="2">
        <f>IFERROR(__xludf.DUMMYFUNCTION("IMPORTRANGE(""https://docs.google.com/spreadsheets/d/""&amp;$A220&amp;""/edit#gid=156619080"",AA$3)"),1876.65)</f>
        <v>1876.65</v>
      </c>
      <c r="AB220" s="2">
        <f>IFERROR(__xludf.DUMMYFUNCTION("IMPORTRANGE(""https://docs.google.com/spreadsheets/d/""&amp;$A220&amp;""/edit#gid=156619080"",AB$3)"),1849.21)</f>
        <v>1849.21</v>
      </c>
      <c r="AC220" s="18">
        <f>IFERROR(__xludf.DUMMYFUNCTION("IMPORTRANGE(""https://docs.google.com/spreadsheets/d/""&amp;$A220&amp;""/edit#gid=156619080"",AC$3)"),1821.78)</f>
        <v>1821.78</v>
      </c>
      <c r="AD220" s="18">
        <f>IFERROR(__xludf.DUMMYFUNCTION("IMPORTRANGE(""https://docs.google.com/spreadsheets/d/""&amp;$A220&amp;""/edit#gid=156619080"",AD$3)"),1794.34)</f>
        <v>1794.34</v>
      </c>
      <c r="AE220" s="18">
        <f>IFERROR(__xludf.DUMMYFUNCTION("IMPORTRANGE(""https://docs.google.com/spreadsheets/d/""&amp;$A220&amp;""/edit#gid=156619080"",AE$3)"),1684.6)</f>
        <v>1684.6</v>
      </c>
      <c r="AF220" s="2">
        <f>IFERROR(__xludf.DUMMYFUNCTION("IMPORTRANGE(""https://docs.google.com/spreadsheets/d/""&amp;$A220&amp;""/edit#gid=156619080"",AF$3)"),1574.86)</f>
        <v>1574.86</v>
      </c>
      <c r="AG220" s="2">
        <f>IFERROR(__xludf.DUMMYFUNCTION("IMPORTRANGE(""https://docs.google.com/spreadsheets/d/""&amp;$A220&amp;""/edit#gid=156619080"",AG$3)"),1547.42)</f>
        <v>1547.42</v>
      </c>
      <c r="AH220" s="2">
        <f>IFERROR(__xludf.DUMMYFUNCTION("IMPORTRANGE(""https://docs.google.com/spreadsheets/d/""&amp;$A220&amp;""/edit#gid=156619080"",AH$3)"),1519.99)</f>
        <v>1519.99</v>
      </c>
      <c r="AI220" s="2">
        <f>IFERROR(__xludf.DUMMYFUNCTION("IMPORTRANGE(""https://docs.google.com/spreadsheets/d/""&amp;$A220&amp;""/edit#gid=156619080"",AI$3)"),1492.55)</f>
        <v>1492.55</v>
      </c>
      <c r="AJ220" s="2">
        <f>IFERROR(__xludf.DUMMYFUNCTION("IMPORTRANGE(""https://docs.google.com/spreadsheets/d/""&amp;$A220&amp;""/edit#gid=156619080"",AJ$3)"),1465.11)</f>
        <v>1465.11</v>
      </c>
      <c r="AK220" s="2" t="str">
        <f>IFERROR(__xludf.DUMMYFUNCTION("IMPORTRANGE(""https://docs.google.com/spreadsheets/d/""&amp;$A220&amp;""/edit#gid=156619080"",AK$3)"),"")</f>
        <v/>
      </c>
      <c r="AL220" s="2">
        <f>IFERROR(__xludf.DUMMYFUNCTION("IMPORTRANGE(""https://docs.google.com/spreadsheets/d/""&amp;$A220&amp;""/edit#gid=156619080"",AL$3)"),-1.0)</f>
        <v>-1</v>
      </c>
      <c r="AM220" s="2" t="str">
        <f>IFERROR(__xludf.DUMMYFUNCTION("IMPORTRANGE(""https://docs.google.com/spreadsheets/d/""&amp;$A220&amp;""/edit#gid=156619080"",AM$3)"),"")</f>
        <v/>
      </c>
      <c r="AN220" s="2">
        <f>IFERROR(__xludf.DUMMYFUNCTION("IMPORTRANGE(""https://docs.google.com/spreadsheets/d/""&amp;$A220&amp;""/edit#gid=156619080"",AN$3)"),-1.0)</f>
        <v>-1</v>
      </c>
      <c r="AO220" s="2" t="str">
        <f>IFERROR(__xludf.DUMMYFUNCTION("IMPORTRANGE(""https://docs.google.com/spreadsheets/d/""&amp;$A220&amp;""/edit#gid=156619080"",AO$3)"),"")</f>
        <v/>
      </c>
      <c r="AP220" s="2">
        <f>IFERROR(__xludf.DUMMYFUNCTION("IMPORTRANGE(""https://docs.google.com/spreadsheets/d/""&amp;$A220&amp;""/edit#gid=156619080"",AP$3)"),-1.0)</f>
        <v>-1</v>
      </c>
      <c r="AQ220" s="2" t="str">
        <f>IFERROR(__xludf.DUMMYFUNCTION("IMPORTRANGE(""https://docs.google.com/spreadsheets/d/""&amp;$A220&amp;""/edit#gid=156619080"",AQ$3)"),"")</f>
        <v/>
      </c>
      <c r="AR220" s="18">
        <f>IFERROR(__xludf.DUMMYFUNCTION("IMPORTRANGE(""https://docs.google.com/spreadsheets/d/""&amp;$A220&amp;""/edit#gid=156619080"",AR$3)"),-50.0)</f>
        <v>-50</v>
      </c>
      <c r="AS220" s="19" t="str">
        <f>IFERROR(__xludf.DUMMYFUNCTION("IMPORTRANGE(""https://docs.google.com/spreadsheets/d/""&amp;$A220&amp;""/edit#gid=156619080"",AS$3)"),"67.5
-32.5
-82.5
-82.5
")</f>
        <v>67.5
-32.5
-82.5
-82.5
</v>
      </c>
      <c r="AT220" s="18">
        <f>IFERROR(__xludf.DUMMYFUNCTION("IMPORTRANGE(""https://docs.google.com/spreadsheets/d/""&amp;$A220&amp;""/edit#gid=156619080"",AT$3)"),-37.5)</f>
        <v>-37.5</v>
      </c>
      <c r="AU220" s="3" t="str">
        <f>IFERROR(__xludf.DUMMYFUNCTION("IMPORTRANGE(""https://docs.google.com/spreadsheets/d/""&amp;$A220&amp;""/edit#gid=156619080"",AU$3)"),"-72.66
-66.62
-56.18
-47.94
")</f>
        <v>-72.66
-66.62
-56.18
-47.94
</v>
      </c>
      <c r="AV220" s="18">
        <f>IFERROR(__xludf.DUMMYFUNCTION("IMPORTRANGE(""https://docs.google.com/spreadsheets/d/""&amp;$A220&amp;""/edit#gid=156619080"",AV$3)"),-84.48051948051949)</f>
        <v>-84.48051948</v>
      </c>
      <c r="AW220" s="19" t="str">
        <f>IFERROR(__xludf.DUMMYFUNCTION("IMPORTRANGE(""https://docs.google.com/spreadsheets/d/""&amp;$A220&amp;""/edit#gid=156619080"",AW$3)"),"-87.08
-88.64
-88.38
-87.21
")</f>
        <v>-87.08
-88.64
-88.38
-87.21
</v>
      </c>
      <c r="AX220" s="2">
        <f>IFERROR(__xludf.DUMMYFUNCTION("IMPORTRANGE(""https://docs.google.com/spreadsheets/d/""&amp;$A220&amp;""/edit#gid=156619080"",AX$3)"),34.72)</f>
        <v>34.72</v>
      </c>
      <c r="AY220" s="2">
        <f>IFERROR(__xludf.DUMMYFUNCTION("IMPORTRANGE(""https://docs.google.com/spreadsheets/d/""&amp;$A220&amp;""/edit#gid=156619080"",AY$3)"),27.41)</f>
        <v>27.41</v>
      </c>
      <c r="AZ220" s="2">
        <f>IFERROR(__xludf.DUMMYFUNCTION("IMPORTRANGE(""https://docs.google.com/spreadsheets/d/""&amp;$A220&amp;""/edit#gid=156619080"",AZ$3)"),1586.41)</f>
        <v>1586.41</v>
      </c>
      <c r="BA220" s="2">
        <f>IFERROR(__xludf.DUMMYFUNCTION("IMPORTRANGE(""https://docs.google.com/spreadsheets/d/""&amp;$A220&amp;""/edit#gid=156619080"",BA$3)"),-70.33999999999992)</f>
        <v>-70.34</v>
      </c>
      <c r="BB220" s="2">
        <f>IFERROR(__xludf.DUMMYFUNCTION("IMPORTRANGE(""https://docs.google.com/spreadsheets/d/""&amp;$A220&amp;""/edit#gid=156619080"",BB$3)"),-68.49)</f>
        <v>-68.49</v>
      </c>
      <c r="BC220" s="2" t="str">
        <f>IFERROR(__xludf.DUMMYFUNCTION("IMPORTRANGE(""https://docs.google.com/spreadsheets/d/""&amp;$A220&amp;""/edit#gid=156619080"",BC$3)"),"DC→DC")</f>
        <v>DC→DC</v>
      </c>
    </row>
    <row r="221" ht="51.0" customHeight="1">
      <c r="A221" s="7" t="str">
        <f t="shared" si="5"/>
        <v>1Qvxg9BCby9dj9Nl_cYxNAYqkTluV2336aTPwz_kyNMk</v>
      </c>
      <c r="B221" s="1" t="s">
        <v>248</v>
      </c>
      <c r="C221" s="2">
        <f>IFERROR(__xludf.DUMMYFUNCTION("IMPORTRANGE(""https://docs.google.com/spreadsheets/d/""&amp;$A221&amp;""/edit#gid=156619080"",C$3)"),131.0)</f>
        <v>131</v>
      </c>
      <c r="D221" s="2">
        <f>IFERROR(__xludf.DUMMYFUNCTION("IMPORTRANGE(""https://docs.google.com/spreadsheets/d/""&amp;$A221&amp;""/edit#gid=156619080"",D$3)"),4324.0)</f>
        <v>4324</v>
      </c>
      <c r="E221" s="15">
        <f>IFERROR(__xludf.DUMMYFUNCTION("IMPORTRANGE(""https://docs.google.com/spreadsheets/d/""&amp;$A221&amp;""/edit#gid=156619080"",E$3)"),43882.0)</f>
        <v>43882</v>
      </c>
      <c r="F221" s="2">
        <f>IFERROR(__xludf.DUMMYFUNCTION("IMPORTRANGE(""https://docs.google.com/spreadsheets/d/""&amp;$A221&amp;""/edit#gid=156619080"",F$3)"),-55.0)</f>
        <v>-55</v>
      </c>
      <c r="G221" s="16">
        <f>IFERROR(__xludf.DUMMYFUNCTION("IMPORTRANGE(""https://docs.google.com/spreadsheets/d/""&amp;$A221&amp;""/edit#gid=156619080"",G$3)"),-1.63)</f>
        <v>-1.63</v>
      </c>
      <c r="H221" s="16">
        <f>IFERROR(__xludf.DUMMYFUNCTION("IMPORTRANGE(""https://docs.google.com/spreadsheets/d/""&amp;$A221&amp;""/edit#gid=156619080"",H$3)"),3385.0)</f>
        <v>3385</v>
      </c>
      <c r="I221" s="16">
        <f>IFERROR(__xludf.DUMMYFUNCTION("IMPORTRANGE(""https://docs.google.com/spreadsheets/d/""&amp;$A221&amp;""/edit#gid=156619080"",I$3)"),-5.0)</f>
        <v>-5</v>
      </c>
      <c r="J221" s="16">
        <f>IFERROR(__xludf.DUMMYFUNCTION("IMPORTRANGE(""https://docs.google.com/spreadsheets/d/""&amp;$A221&amp;""/edit#gid=156619080"",J$3)"),3420.0)</f>
        <v>3420</v>
      </c>
      <c r="K221" s="16">
        <f>IFERROR(__xludf.DUMMYFUNCTION("IMPORTRANGE(""https://docs.google.com/spreadsheets/d/""&amp;$A221&amp;""/edit#gid=156619080"",K$3)"),0.3798611111111111)</f>
        <v>0.3798611111</v>
      </c>
      <c r="L221" s="16">
        <f>IFERROR(__xludf.DUMMYFUNCTION("IMPORTRANGE(""https://docs.google.com/spreadsheets/d/""&amp;$A221&amp;""/edit#gid=156619080"",L$3)"),3320.0)</f>
        <v>3320</v>
      </c>
      <c r="M221" s="16">
        <f>IFERROR(__xludf.DUMMYFUNCTION("IMPORTRANGE(""https://docs.google.com/spreadsheets/d/""&amp;$A221&amp;""/edit#gid=156619080"",M$3)"),0.6243055555555556)</f>
        <v>0.6243055556</v>
      </c>
      <c r="N221" s="16">
        <f>IFERROR(__xludf.DUMMYFUNCTION("IMPORTRANGE(""https://docs.google.com/spreadsheets/d/""&amp;$A221&amp;""/edit#gid=156619080"",N$3)"),3325.0)</f>
        <v>3325</v>
      </c>
      <c r="O221" s="16" t="str">
        <f>IFERROR(__xludf.DUMMYFUNCTION("IMPORTRANGE(""https://docs.google.com/spreadsheets/d/""&amp;$A221&amp;""/edit#gid=156619080"",O$3)"),"1090300株")</f>
        <v>1090300株</v>
      </c>
      <c r="P221" s="16" t="str">
        <f>IFERROR(__xludf.DUMMYFUNCTION("IMPORTRANGE(""https://docs.google.com/spreadsheets/d/""&amp;$A221&amp;""/edit#gid=156619080"",P$3)"),"3661百万円")</f>
        <v>3661百万円</v>
      </c>
      <c r="Q221" s="16" t="str">
        <f>IFERROR(__xludf.DUMMYFUNCTION("IMPORTRANGE(""https://docs.google.com/spreadsheets/d/""&amp;$A221&amp;""/edit#gid=156619080"",Q$3)"),"1654回")</f>
        <v>1654回</v>
      </c>
      <c r="R221" s="16" t="str">
        <f>IFERROR(__xludf.DUMMYFUNCTION("IMPORTRANGE(""https://docs.google.com/spreadsheets/d/""&amp;$A221&amp;""/edit#gid=156619080"",R$3)"),"9590億円")</f>
        <v>9590億円</v>
      </c>
      <c r="S221" s="16" t="str">
        <f>IFERROR(__xludf.DUMMYFUNCTION("IMPORTRANGE(""https://docs.google.com/spreadsheets/d/""&amp;$A221&amp;""/edit#gid=156619080"",S$3)"),"陰線")</f>
        <v>陰線</v>
      </c>
      <c r="T221" s="16" t="str">
        <f>IFERROR(__xludf.DUMMYFUNCTION("IMPORTRANGE(""https://docs.google.com/spreadsheets/d/""&amp;$A221&amp;""/edit#gid=156619080"",T$3)"),"")</f>
        <v/>
      </c>
      <c r="U221" s="16">
        <f>IFERROR(__xludf.DUMMYFUNCTION("IMPORTRANGE(""https://docs.google.com/spreadsheets/d/""&amp;$A221&amp;""/edit#gid=156619080"",U$3)"),3440.0)</f>
        <v>3440</v>
      </c>
      <c r="V221" s="16">
        <f>IFERROR(__xludf.DUMMYFUNCTION("IMPORTRANGE(""https://docs.google.com/spreadsheets/d/""&amp;$A221&amp;""/edit#gid=156619080"",V$3)"),3560.4)</f>
        <v>3560.4</v>
      </c>
      <c r="W221" s="16">
        <f>IFERROR(__xludf.DUMMYFUNCTION("IMPORTRANGE(""https://docs.google.com/spreadsheets/d/""&amp;$A221&amp;""/edit#gid=156619080"",W$3)"),3604.5)</f>
        <v>3604.5</v>
      </c>
      <c r="X221" s="2">
        <f>IFERROR(__xludf.DUMMYFUNCTION("IMPORTRANGE(""https://docs.google.com/spreadsheets/d/""&amp;$A221&amp;""/edit#gid=156619080"",X$3)"),3795.5)</f>
        <v>3795.5</v>
      </c>
      <c r="Y221" s="17">
        <f>IFERROR(__xludf.DUMMYFUNCTION("IMPORTRANGE(""https://docs.google.com/spreadsheets/d/""&amp;$A221&amp;""/edit#gid=156619080"",Y$3)"),-0.03343023255813953)</f>
        <v>-0.03343023256</v>
      </c>
      <c r="Z221" s="2">
        <f>IFERROR(__xludf.DUMMYFUNCTION("IMPORTRANGE(""https://docs.google.com/spreadsheets/d/""&amp;$A221&amp;""/edit#gid=156619080"",Z$3)"),3836.65)</f>
        <v>3836.65</v>
      </c>
      <c r="AA221" s="2">
        <f>IFERROR(__xludf.DUMMYFUNCTION("IMPORTRANGE(""https://docs.google.com/spreadsheets/d/""&amp;$A221&amp;""/edit#gid=156619080"",AA$3)"),3807.63)</f>
        <v>3807.63</v>
      </c>
      <c r="AB221" s="2">
        <f>IFERROR(__xludf.DUMMYFUNCTION("IMPORTRANGE(""https://docs.google.com/spreadsheets/d/""&amp;$A221&amp;""/edit#gid=156619080"",AB$3)"),3778.61)</f>
        <v>3778.61</v>
      </c>
      <c r="AC221" s="18">
        <f>IFERROR(__xludf.DUMMYFUNCTION("IMPORTRANGE(""https://docs.google.com/spreadsheets/d/""&amp;$A221&amp;""/edit#gid=156619080"",AC$3)"),3749.59)</f>
        <v>3749.59</v>
      </c>
      <c r="AD221" s="18">
        <f>IFERROR(__xludf.DUMMYFUNCTION("IMPORTRANGE(""https://docs.google.com/spreadsheets/d/""&amp;$A221&amp;""/edit#gid=156619080"",AD$3)"),3720.58)</f>
        <v>3720.58</v>
      </c>
      <c r="AE221" s="18">
        <f>IFERROR(__xludf.DUMMYFUNCTION("IMPORTRANGE(""https://docs.google.com/spreadsheets/d/""&amp;$A221&amp;""/edit#gid=156619080"",AE$3)"),3604.5)</f>
        <v>3604.5</v>
      </c>
      <c r="AF221" s="2">
        <f>IFERROR(__xludf.DUMMYFUNCTION("IMPORTRANGE(""https://docs.google.com/spreadsheets/d/""&amp;$A221&amp;""/edit#gid=156619080"",AF$3)"),3488.42)</f>
        <v>3488.42</v>
      </c>
      <c r="AG221" s="2">
        <f>IFERROR(__xludf.DUMMYFUNCTION("IMPORTRANGE(""https://docs.google.com/spreadsheets/d/""&amp;$A221&amp;""/edit#gid=156619080"",AG$3)"),3459.41)</f>
        <v>3459.41</v>
      </c>
      <c r="AH221" s="2">
        <f>IFERROR(__xludf.DUMMYFUNCTION("IMPORTRANGE(""https://docs.google.com/spreadsheets/d/""&amp;$A221&amp;""/edit#gid=156619080"",AH$3)"),3430.39)</f>
        <v>3430.39</v>
      </c>
      <c r="AI221" s="2">
        <f>IFERROR(__xludf.DUMMYFUNCTION("IMPORTRANGE(""https://docs.google.com/spreadsheets/d/""&amp;$A221&amp;""/edit#gid=156619080"",AI$3)"),3401.37)</f>
        <v>3401.37</v>
      </c>
      <c r="AJ221" s="2">
        <f>IFERROR(__xludf.DUMMYFUNCTION("IMPORTRANGE(""https://docs.google.com/spreadsheets/d/""&amp;$A221&amp;""/edit#gid=156619080"",AJ$3)"),3372.35)</f>
        <v>3372.35</v>
      </c>
      <c r="AK221" s="2" t="str">
        <f>IFERROR(__xludf.DUMMYFUNCTION("IMPORTRANGE(""https://docs.google.com/spreadsheets/d/""&amp;$A221&amp;""/edit#gid=156619080"",AK$3)"),"-2σ以下")</f>
        <v>-2σ以下</v>
      </c>
      <c r="AL221" s="2">
        <f>IFERROR(__xludf.DUMMYFUNCTION("IMPORTRANGE(""https://docs.google.com/spreadsheets/d/""&amp;$A221&amp;""/edit#gid=156619080"",AL$3)"),-1.0)</f>
        <v>-1</v>
      </c>
      <c r="AM221" s="2" t="str">
        <f>IFERROR(__xludf.DUMMYFUNCTION("IMPORTRANGE(""https://docs.google.com/spreadsheets/d/""&amp;$A221&amp;""/edit#gid=156619080"",AM$3)"),"")</f>
        <v/>
      </c>
      <c r="AN221" s="2">
        <f>IFERROR(__xludf.DUMMYFUNCTION("IMPORTRANGE(""https://docs.google.com/spreadsheets/d/""&amp;$A221&amp;""/edit#gid=156619080"",AN$3)"),-1.0)</f>
        <v>-1</v>
      </c>
      <c r="AO221" s="2" t="str">
        <f>IFERROR(__xludf.DUMMYFUNCTION("IMPORTRANGE(""https://docs.google.com/spreadsheets/d/""&amp;$A221&amp;""/edit#gid=156619080"",AO$3)"),"")</f>
        <v/>
      </c>
      <c r="AP221" s="2">
        <f>IFERROR(__xludf.DUMMYFUNCTION("IMPORTRANGE(""https://docs.google.com/spreadsheets/d/""&amp;$A221&amp;""/edit#gid=156619080"",AP$3)"),-1.0)</f>
        <v>-1</v>
      </c>
      <c r="AQ221" s="2" t="str">
        <f>IFERROR(__xludf.DUMMYFUNCTION("IMPORTRANGE(""https://docs.google.com/spreadsheets/d/""&amp;$A221&amp;""/edit#gid=156619080"",AQ$3)"),"")</f>
        <v/>
      </c>
      <c r="AR221" s="18">
        <f>IFERROR(__xludf.DUMMYFUNCTION("IMPORTRANGE(""https://docs.google.com/spreadsheets/d/""&amp;$A221&amp;""/edit#gid=156619080"",AR$3)"),-100.0)</f>
        <v>-100</v>
      </c>
      <c r="AS221" s="19" t="str">
        <f>IFERROR(__xludf.DUMMYFUNCTION("IMPORTRANGE(""https://docs.google.com/spreadsheets/d/""&amp;$A221&amp;""/edit#gid=156619080"",AS$3)"),"-90
-70
-70
-70
")</f>
        <v>-90
-70
-70
-70
</v>
      </c>
      <c r="AT221" s="18">
        <f>IFERROR(__xludf.DUMMYFUNCTION("IMPORTRANGE(""https://docs.google.com/spreadsheets/d/""&amp;$A221&amp;""/edit#gid=156619080"",AT$3)"),-92.3076923076923)</f>
        <v>-92.30769231</v>
      </c>
      <c r="AU221" s="3" t="str">
        <f>IFERROR(__xludf.DUMMYFUNCTION("IMPORTRANGE(""https://docs.google.com/spreadsheets/d/""&amp;$A221&amp;""/edit#gid=156619080"",AU$3)"),"-55.22
-58.93
-78.71
-84.07
")</f>
        <v>-55.22
-58.93
-78.71
-84.07
</v>
      </c>
      <c r="AV221" s="18">
        <f>IFERROR(__xludf.DUMMYFUNCTION("IMPORTRANGE(""https://docs.google.com/spreadsheets/d/""&amp;$A221&amp;""/edit#gid=156619080"",AV$3)"),-83.21428571428571)</f>
        <v>-83.21428571</v>
      </c>
      <c r="AW221" s="19" t="str">
        <f>IFERROR(__xludf.DUMMYFUNCTION("IMPORTRANGE(""https://docs.google.com/spreadsheets/d/""&amp;$A221&amp;""/edit#gid=156619080"",AW$3)"),"-83.34
-83.08
-83.08
-83.21
")</f>
        <v>-83.34
-83.08
-83.08
-83.21
</v>
      </c>
      <c r="AX221" s="2">
        <f>IFERROR(__xludf.DUMMYFUNCTION("IMPORTRANGE(""https://docs.google.com/spreadsheets/d/""&amp;$A221&amp;""/edit#gid=156619080"",AX$3)"),11.540000000000001)</f>
        <v>11.54</v>
      </c>
      <c r="AY221" s="2">
        <f>IFERROR(__xludf.DUMMYFUNCTION("IMPORTRANGE(""https://docs.google.com/spreadsheets/d/""&amp;$A221&amp;""/edit#gid=156619080"",AY$3)"),24.73)</f>
        <v>24.73</v>
      </c>
      <c r="AZ221" s="2">
        <f>IFERROR(__xludf.DUMMYFUNCTION("IMPORTRANGE(""https://docs.google.com/spreadsheets/d/""&amp;$A221&amp;""/edit#gid=156619080"",AZ$3)"),3419.63)</f>
        <v>3419.63</v>
      </c>
      <c r="BA221" s="2">
        <f>IFERROR(__xludf.DUMMYFUNCTION("IMPORTRANGE(""https://docs.google.com/spreadsheets/d/""&amp;$A221&amp;""/edit#gid=156619080"",BA$3)"),-163.85999999999967)</f>
        <v>-163.86</v>
      </c>
      <c r="BB221" s="2">
        <f>IFERROR(__xludf.DUMMYFUNCTION("IMPORTRANGE(""https://docs.google.com/spreadsheets/d/""&amp;$A221&amp;""/edit#gid=156619080"",BB$3)"),-97.89)</f>
        <v>-97.89</v>
      </c>
      <c r="BC221" s="2" t="str">
        <f>IFERROR(__xludf.DUMMYFUNCTION("IMPORTRANGE(""https://docs.google.com/spreadsheets/d/""&amp;$A221&amp;""/edit#gid=156619080"",BC$3)"),"DC→DC")</f>
        <v>DC→DC</v>
      </c>
    </row>
    <row r="222" ht="51.0" customHeight="1">
      <c r="A222" s="7" t="str">
        <f t="shared" si="5"/>
        <v>12Hy3ijW5hdDQGQcPa3eL8DW-mzDTNU7HXDMlOntOGIE</v>
      </c>
      <c r="B222" s="1" t="s">
        <v>249</v>
      </c>
      <c r="C222" s="2">
        <f>IFERROR(__xludf.DUMMYFUNCTION("IMPORTRANGE(""https://docs.google.com/spreadsheets/d/""&amp;$A222&amp;""/edit#gid=156619080"",C$3)"),131.0)</f>
        <v>131</v>
      </c>
      <c r="D222" s="2">
        <f>IFERROR(__xludf.DUMMYFUNCTION("IMPORTRANGE(""https://docs.google.com/spreadsheets/d/""&amp;$A222&amp;""/edit#gid=156619080"",D$3)"),4689.0)</f>
        <v>4689</v>
      </c>
      <c r="E222" s="15">
        <f>IFERROR(__xludf.DUMMYFUNCTION("IMPORTRANGE(""https://docs.google.com/spreadsheets/d/""&amp;$A222&amp;""/edit#gid=156619080"",E$3)"),43882.0)</f>
        <v>43882</v>
      </c>
      <c r="F222" s="2">
        <f>IFERROR(__xludf.DUMMYFUNCTION("IMPORTRANGE(""https://docs.google.com/spreadsheets/d/""&amp;$A222&amp;""/edit#gid=156619080"",F$3)"),19.0)</f>
        <v>19</v>
      </c>
      <c r="G222" s="16">
        <f>IFERROR(__xludf.DUMMYFUNCTION("IMPORTRANGE(""https://docs.google.com/spreadsheets/d/""&amp;$A222&amp;""/edit#gid=156619080"",G$3)"),4.49)</f>
        <v>4.49</v>
      </c>
      <c r="H222" s="16">
        <f>IFERROR(__xludf.DUMMYFUNCTION("IMPORTRANGE(""https://docs.google.com/spreadsheets/d/""&amp;$A222&amp;""/edit#gid=156619080"",H$3)"),423.0)</f>
        <v>423</v>
      </c>
      <c r="I222" s="16">
        <f>IFERROR(__xludf.DUMMYFUNCTION("IMPORTRANGE(""https://docs.google.com/spreadsheets/d/""&amp;$A222&amp;""/edit#gid=156619080"",I$3)"),0.0)</f>
        <v>0</v>
      </c>
      <c r="J222" s="16">
        <f>IFERROR(__xludf.DUMMYFUNCTION("IMPORTRANGE(""https://docs.google.com/spreadsheets/d/""&amp;$A222&amp;""/edit#gid=156619080"",J$3)"),447.0)</f>
        <v>447</v>
      </c>
      <c r="K222" s="16">
        <f>IFERROR(__xludf.DUMMYFUNCTION("IMPORTRANGE(""https://docs.google.com/spreadsheets/d/""&amp;$A222&amp;""/edit#gid=156619080"",K$3)"),0.5381944444444444)</f>
        <v>0.5381944444</v>
      </c>
      <c r="L222" s="16">
        <f>IFERROR(__xludf.DUMMYFUNCTION("IMPORTRANGE(""https://docs.google.com/spreadsheets/d/""&amp;$A222&amp;""/edit#gid=156619080"",L$3)"),423.0)</f>
        <v>423</v>
      </c>
      <c r="M222" s="16">
        <f>IFERROR(__xludf.DUMMYFUNCTION("IMPORTRANGE(""https://docs.google.com/spreadsheets/d/""&amp;$A222&amp;""/edit#gid=156619080"",M$3)"),0.375)</f>
        <v>0.375</v>
      </c>
      <c r="N222" s="16">
        <f>IFERROR(__xludf.DUMMYFUNCTION("IMPORTRANGE(""https://docs.google.com/spreadsheets/d/""&amp;$A222&amp;""/edit#gid=156619080"",N$3)"),442.0)</f>
        <v>442</v>
      </c>
      <c r="O222" s="16" t="str">
        <f>IFERROR(__xludf.DUMMYFUNCTION("IMPORTRANGE(""https://docs.google.com/spreadsheets/d/""&amp;$A222&amp;""/edit#gid=156619080"",O$3)"),"26923600株")</f>
        <v>26923600株</v>
      </c>
      <c r="P222" s="16" t="str">
        <f>IFERROR(__xludf.DUMMYFUNCTION("IMPORTRANGE(""https://docs.google.com/spreadsheets/d/""&amp;$A222&amp;""/edit#gid=156619080"",P$3)"),"11809百万円")</f>
        <v>11809百万円</v>
      </c>
      <c r="Q222" s="16" t="str">
        <f>IFERROR(__xludf.DUMMYFUNCTION("IMPORTRANGE(""https://docs.google.com/spreadsheets/d/""&amp;$A222&amp;""/edit#gid=156619080"",Q$3)"),"4020回")</f>
        <v>4020回</v>
      </c>
      <c r="R222" s="16" t="str">
        <f>IFERROR(__xludf.DUMMYFUNCTION("IMPORTRANGE(""https://docs.google.com/spreadsheets/d/""&amp;$A222&amp;""/edit#gid=156619080"",R$3)"),"21315億円")</f>
        <v>21315億円</v>
      </c>
      <c r="S222" s="16" t="str">
        <f>IFERROR(__xludf.DUMMYFUNCTION("IMPORTRANGE(""https://docs.google.com/spreadsheets/d/""&amp;$A222&amp;""/edit#gid=156619080"",S$3)"),"陽線")</f>
        <v>陽線</v>
      </c>
      <c r="T222" s="16" t="str">
        <f>IFERROR(__xludf.DUMMYFUNCTION("IMPORTRANGE(""https://docs.google.com/spreadsheets/d/""&amp;$A222&amp;""/edit#gid=156619080"",T$3)"),"")</f>
        <v/>
      </c>
      <c r="U222" s="16">
        <f>IFERROR(__xludf.DUMMYFUNCTION("IMPORTRANGE(""https://docs.google.com/spreadsheets/d/""&amp;$A222&amp;""/edit#gid=156619080"",U$3)"),435.6)</f>
        <v>435.6</v>
      </c>
      <c r="V222" s="16">
        <f>IFERROR(__xludf.DUMMYFUNCTION("IMPORTRANGE(""https://docs.google.com/spreadsheets/d/""&amp;$A222&amp;""/edit#gid=156619080"",V$3)"),438.4)</f>
        <v>438.4</v>
      </c>
      <c r="W222" s="16">
        <f>IFERROR(__xludf.DUMMYFUNCTION("IMPORTRANGE(""https://docs.google.com/spreadsheets/d/""&amp;$A222&amp;""/edit#gid=156619080"",W$3)"),439.9)</f>
        <v>439.9</v>
      </c>
      <c r="X222" s="2">
        <f>IFERROR(__xludf.DUMMYFUNCTION("IMPORTRANGE(""https://docs.google.com/spreadsheets/d/""&amp;$A222&amp;""/edit#gid=156619080"",X$3)"),387.7)</f>
        <v>387.7</v>
      </c>
      <c r="Y222" s="17">
        <f>IFERROR(__xludf.DUMMYFUNCTION("IMPORTRANGE(""https://docs.google.com/spreadsheets/d/""&amp;$A222&amp;""/edit#gid=156619080"",Y$3)"),0.014692378328741913)</f>
        <v>0.01469237833</v>
      </c>
      <c r="Z222" s="2">
        <f>IFERROR(__xludf.DUMMYFUNCTION("IMPORTRANGE(""https://docs.google.com/spreadsheets/d/""&amp;$A222&amp;""/edit#gid=156619080"",Z$3)"),461.39)</f>
        <v>461.39</v>
      </c>
      <c r="AA222" s="2">
        <f>IFERROR(__xludf.DUMMYFUNCTION("IMPORTRANGE(""https://docs.google.com/spreadsheets/d/""&amp;$A222&amp;""/edit#gid=156619080"",AA$3)"),458.7)</f>
        <v>458.7</v>
      </c>
      <c r="AB222" s="2">
        <f>IFERROR(__xludf.DUMMYFUNCTION("IMPORTRANGE(""https://docs.google.com/spreadsheets/d/""&amp;$A222&amp;""/edit#gid=156619080"",AB$3)"),456.02)</f>
        <v>456.02</v>
      </c>
      <c r="AC222" s="18">
        <f>IFERROR(__xludf.DUMMYFUNCTION("IMPORTRANGE(""https://docs.google.com/spreadsheets/d/""&amp;$A222&amp;""/edit#gid=156619080"",AC$3)"),453.33)</f>
        <v>453.33</v>
      </c>
      <c r="AD222" s="18">
        <f>IFERROR(__xludf.DUMMYFUNCTION("IMPORTRANGE(""https://docs.google.com/spreadsheets/d/""&amp;$A222&amp;""/edit#gid=156619080"",AD$3)"),450.64)</f>
        <v>450.64</v>
      </c>
      <c r="AE222" s="18">
        <f>IFERROR(__xludf.DUMMYFUNCTION("IMPORTRANGE(""https://docs.google.com/spreadsheets/d/""&amp;$A222&amp;""/edit#gid=156619080"",AE$3)"),439.9)</f>
        <v>439.9</v>
      </c>
      <c r="AF222" s="2">
        <f>IFERROR(__xludf.DUMMYFUNCTION("IMPORTRANGE(""https://docs.google.com/spreadsheets/d/""&amp;$A222&amp;""/edit#gid=156619080"",AF$3)"),429.16)</f>
        <v>429.16</v>
      </c>
      <c r="AG222" s="2">
        <f>IFERROR(__xludf.DUMMYFUNCTION("IMPORTRANGE(""https://docs.google.com/spreadsheets/d/""&amp;$A222&amp;""/edit#gid=156619080"",AG$3)"),426.47)</f>
        <v>426.47</v>
      </c>
      <c r="AH222" s="2">
        <f>IFERROR(__xludf.DUMMYFUNCTION("IMPORTRANGE(""https://docs.google.com/spreadsheets/d/""&amp;$A222&amp;""/edit#gid=156619080"",AH$3)"),423.78)</f>
        <v>423.78</v>
      </c>
      <c r="AI222" s="2">
        <f>IFERROR(__xludf.DUMMYFUNCTION("IMPORTRANGE(""https://docs.google.com/spreadsheets/d/""&amp;$A222&amp;""/edit#gid=156619080"",AI$3)"),421.1)</f>
        <v>421.1</v>
      </c>
      <c r="AJ222" s="2">
        <f>IFERROR(__xludf.DUMMYFUNCTION("IMPORTRANGE(""https://docs.google.com/spreadsheets/d/""&amp;$A222&amp;""/edit#gid=156619080"",AJ$3)"),418.41)</f>
        <v>418.41</v>
      </c>
      <c r="AK222" s="2" t="str">
        <f>IFERROR(__xludf.DUMMYFUNCTION("IMPORTRANGE(""https://docs.google.com/spreadsheets/d/""&amp;$A222&amp;""/edit#gid=156619080"",AK$3)"),"")</f>
        <v/>
      </c>
      <c r="AL222" s="2">
        <f>IFERROR(__xludf.DUMMYFUNCTION("IMPORTRANGE(""https://docs.google.com/spreadsheets/d/""&amp;$A222&amp;""/edit#gid=156619080"",AL$3)"),-1.0)</f>
        <v>-1</v>
      </c>
      <c r="AM222" s="2" t="str">
        <f>IFERROR(__xludf.DUMMYFUNCTION("IMPORTRANGE(""https://docs.google.com/spreadsheets/d/""&amp;$A222&amp;""/edit#gid=156619080"",AM$3)"),"bs1")</f>
        <v>bs1</v>
      </c>
      <c r="AN222" s="2">
        <f>IFERROR(__xludf.DUMMYFUNCTION("IMPORTRANGE(""https://docs.google.com/spreadsheets/d/""&amp;$A222&amp;""/edit#gid=156619080"",AN$3)"),-1.0)</f>
        <v>-1</v>
      </c>
      <c r="AO222" s="2" t="str">
        <f>IFERROR(__xludf.DUMMYFUNCTION("IMPORTRANGE(""https://docs.google.com/spreadsheets/d/""&amp;$A222&amp;""/edit#gid=156619080"",AO$3)"),"")</f>
        <v/>
      </c>
      <c r="AP222" s="2">
        <f>IFERROR(__xludf.DUMMYFUNCTION("IMPORTRANGE(""https://docs.google.com/spreadsheets/d/""&amp;$A222&amp;""/edit#gid=156619080"",AP$3)"),-1.0)</f>
        <v>-1</v>
      </c>
      <c r="AQ222" s="2" t="str">
        <f>IFERROR(__xludf.DUMMYFUNCTION("IMPORTRANGE(""https://docs.google.com/spreadsheets/d/""&amp;$A222&amp;""/edit#gid=156619080"",AQ$3)"),"")</f>
        <v/>
      </c>
      <c r="AR222" s="18">
        <f>IFERROR(__xludf.DUMMYFUNCTION("IMPORTRANGE(""https://docs.google.com/spreadsheets/d/""&amp;$A222&amp;""/edit#gid=156619080"",AR$3)"),-39.99999999999999)</f>
        <v>-40</v>
      </c>
      <c r="AS222" s="19" t="str">
        <f>IFERROR(__xludf.DUMMYFUNCTION("IMPORTRANGE(""https://docs.google.com/spreadsheets/d/""&amp;$A222&amp;""/edit#gid=156619080"",AS$3)"),"30
-70
-100
-100
")</f>
        <v>30
-70
-100
-100
</v>
      </c>
      <c r="AT222" s="18">
        <f>IFERROR(__xludf.DUMMYFUNCTION("IMPORTRANGE(""https://docs.google.com/spreadsheets/d/""&amp;$A222&amp;""/edit#gid=156619080"",AT$3)"),12.08791208791209)</f>
        <v>12.08791209</v>
      </c>
      <c r="AU222" s="3" t="str">
        <f>IFERROR(__xludf.DUMMYFUNCTION("IMPORTRANGE(""https://docs.google.com/spreadsheets/d/""&amp;$A222&amp;""/edit#gid=156619080"",AU$3)"),"60.03
51.79
38.46
25.82
")</f>
        <v>60.03
51.79
38.46
25.82
</v>
      </c>
      <c r="AV222" s="18">
        <f>IFERROR(__xludf.DUMMYFUNCTION("IMPORTRANGE(""https://docs.google.com/spreadsheets/d/""&amp;$A222&amp;""/edit#gid=156619080"",AV$3)"),-21.525974025974026)</f>
        <v>-21.52597403</v>
      </c>
      <c r="AW222" s="19" t="str">
        <f>IFERROR(__xludf.DUMMYFUNCTION("IMPORTRANGE(""https://docs.google.com/spreadsheets/d/""&amp;$A222&amp;""/edit#gid=156619080"",AW$3)"),"-27.47
-30.49
-30.91
-31.92
")</f>
        <v>-27.47
-30.49
-30.91
-31.92
</v>
      </c>
      <c r="AX222" s="2">
        <f>IFERROR(__xludf.DUMMYFUNCTION("IMPORTRANGE(""https://docs.google.com/spreadsheets/d/""&amp;$A222&amp;""/edit#gid=156619080"",AX$3)"),39.58)</f>
        <v>39.58</v>
      </c>
      <c r="AY222" s="2">
        <f>IFERROR(__xludf.DUMMYFUNCTION("IMPORTRANGE(""https://docs.google.com/spreadsheets/d/""&amp;$A222&amp;""/edit#gid=156619080"",AY$3)"),44.3)</f>
        <v>44.3</v>
      </c>
      <c r="AZ222" s="2">
        <f>IFERROR(__xludf.DUMMYFUNCTION("IMPORTRANGE(""https://docs.google.com/spreadsheets/d/""&amp;$A222&amp;""/edit#gid=156619080"",AZ$3)"),436.41)</f>
        <v>436.41</v>
      </c>
      <c r="BA222" s="2">
        <f>IFERROR(__xludf.DUMMYFUNCTION("IMPORTRANGE(""https://docs.google.com/spreadsheets/d/""&amp;$A222&amp;""/edit#gid=156619080"",BA$3)"),-3.6199999999999477)</f>
        <v>-3.62</v>
      </c>
      <c r="BB222" s="2">
        <f>IFERROR(__xludf.DUMMYFUNCTION("IMPORTRANGE(""https://docs.google.com/spreadsheets/d/""&amp;$A222&amp;""/edit#gid=156619080"",BB$3)"),-1.01)</f>
        <v>-1.01</v>
      </c>
      <c r="BC222" s="2" t="str">
        <f>IFERROR(__xludf.DUMMYFUNCTION("IMPORTRANGE(""https://docs.google.com/spreadsheets/d/""&amp;$A222&amp;""/edit#gid=156619080"",BC$3)"),"DC→DC")</f>
        <v>DC→DC</v>
      </c>
    </row>
    <row r="223" ht="51.0" customHeight="1">
      <c r="A223" s="7" t="str">
        <f t="shared" si="5"/>
        <v>1mIJwsEHs51aH5YxKxbt4hygTs6ASp7n_nhSf7oAN0is</v>
      </c>
      <c r="B223" s="1" t="s">
        <v>250</v>
      </c>
      <c r="C223" s="2">
        <f>IFERROR(__xludf.DUMMYFUNCTION("IMPORTRANGE(""https://docs.google.com/spreadsheets/d/""&amp;$A223&amp;""/edit#gid=156619080"",C$3)"),131.0)</f>
        <v>131</v>
      </c>
      <c r="D223" s="2">
        <f>IFERROR(__xludf.DUMMYFUNCTION("IMPORTRANGE(""https://docs.google.com/spreadsheets/d/""&amp;$A223&amp;""/edit#gid=156619080"",D$3)"),4704.0)</f>
        <v>4704</v>
      </c>
      <c r="E223" s="15">
        <f>IFERROR(__xludf.DUMMYFUNCTION("IMPORTRANGE(""https://docs.google.com/spreadsheets/d/""&amp;$A223&amp;""/edit#gid=156619080"",E$3)"),43882.0)</f>
        <v>43882</v>
      </c>
      <c r="F223" s="2">
        <f>IFERROR(__xludf.DUMMYFUNCTION("IMPORTRANGE(""https://docs.google.com/spreadsheets/d/""&amp;$A223&amp;""/edit#gid=156619080"",F$3)"),0.0)</f>
        <v>0</v>
      </c>
      <c r="G223" s="16">
        <f>IFERROR(__xludf.DUMMYFUNCTION("IMPORTRANGE(""https://docs.google.com/spreadsheets/d/""&amp;$A223&amp;""/edit#gid=156619080"",G$3)"),0.0)</f>
        <v>0</v>
      </c>
      <c r="H223" s="16">
        <f>IFERROR(__xludf.DUMMYFUNCTION("IMPORTRANGE(""https://docs.google.com/spreadsheets/d/""&amp;$A223&amp;""/edit#gid=156619080"",H$3)"),5860.0)</f>
        <v>5860</v>
      </c>
      <c r="I223" s="16">
        <f>IFERROR(__xludf.DUMMYFUNCTION("IMPORTRANGE(""https://docs.google.com/spreadsheets/d/""&amp;$A223&amp;""/edit#gid=156619080"",I$3)"),30.0)</f>
        <v>30</v>
      </c>
      <c r="J223" s="16">
        <f>IFERROR(__xludf.DUMMYFUNCTION("IMPORTRANGE(""https://docs.google.com/spreadsheets/d/""&amp;$A223&amp;""/edit#gid=156619080"",J$3)"),5890.0)</f>
        <v>5890</v>
      </c>
      <c r="K223" s="16">
        <f>IFERROR(__xludf.DUMMYFUNCTION("IMPORTRANGE(""https://docs.google.com/spreadsheets/d/""&amp;$A223&amp;""/edit#gid=156619080"",K$3)"),0.3770833333333333)</f>
        <v>0.3770833333</v>
      </c>
      <c r="L223" s="16">
        <f>IFERROR(__xludf.DUMMYFUNCTION("IMPORTRANGE(""https://docs.google.com/spreadsheets/d/""&amp;$A223&amp;""/edit#gid=156619080"",L$3)"),5840.0)</f>
        <v>5840</v>
      </c>
      <c r="M223" s="16">
        <f>IFERROR(__xludf.DUMMYFUNCTION("IMPORTRANGE(""https://docs.google.com/spreadsheets/d/""&amp;$A223&amp;""/edit#gid=156619080"",M$3)"),0.375)</f>
        <v>0.375</v>
      </c>
      <c r="N223" s="16">
        <f>IFERROR(__xludf.DUMMYFUNCTION("IMPORTRANGE(""https://docs.google.com/spreadsheets/d/""&amp;$A223&amp;""/edit#gid=156619080"",N$3)"),5890.0)</f>
        <v>5890</v>
      </c>
      <c r="O223" s="16" t="str">
        <f>IFERROR(__xludf.DUMMYFUNCTION("IMPORTRANGE(""https://docs.google.com/spreadsheets/d/""&amp;$A223&amp;""/edit#gid=156619080"",O$3)"),"645200株")</f>
        <v>645200株</v>
      </c>
      <c r="P223" s="16" t="str">
        <f>IFERROR(__xludf.DUMMYFUNCTION("IMPORTRANGE(""https://docs.google.com/spreadsheets/d/""&amp;$A223&amp;""/edit#gid=156619080"",P$3)"),"3791百万円")</f>
        <v>3791百万円</v>
      </c>
      <c r="Q223" s="16" t="str">
        <f>IFERROR(__xludf.DUMMYFUNCTION("IMPORTRANGE(""https://docs.google.com/spreadsheets/d/""&amp;$A223&amp;""/edit#gid=156619080"",Q$3)"),"1220回")</f>
        <v>1220回</v>
      </c>
      <c r="R223" s="16" t="str">
        <f>IFERROR(__xludf.DUMMYFUNCTION("IMPORTRANGE(""https://docs.google.com/spreadsheets/d/""&amp;$A223&amp;""/edit#gid=156619080"",R$3)"),"8276億円")</f>
        <v>8276億円</v>
      </c>
      <c r="S223" s="16" t="str">
        <f>IFERROR(__xludf.DUMMYFUNCTION("IMPORTRANGE(""https://docs.google.com/spreadsheets/d/""&amp;$A223&amp;""/edit#gid=156619080"",S$3)"),"陽線")</f>
        <v>陽線</v>
      </c>
      <c r="T223" s="16" t="str">
        <f>IFERROR(__xludf.DUMMYFUNCTION("IMPORTRANGE(""https://docs.google.com/spreadsheets/d/""&amp;$A223&amp;""/edit#gid=156619080"",T$3)"),"")</f>
        <v/>
      </c>
      <c r="U223" s="16">
        <f>IFERROR(__xludf.DUMMYFUNCTION("IMPORTRANGE(""https://docs.google.com/spreadsheets/d/""&amp;$A223&amp;""/edit#gid=156619080"",U$3)"),5892.0)</f>
        <v>5892</v>
      </c>
      <c r="V223" s="16">
        <f>IFERROR(__xludf.DUMMYFUNCTION("IMPORTRANGE(""https://docs.google.com/spreadsheets/d/""&amp;$A223&amp;""/edit#gid=156619080"",V$3)"),5935.4)</f>
        <v>5935.4</v>
      </c>
      <c r="W223" s="16">
        <f>IFERROR(__xludf.DUMMYFUNCTION("IMPORTRANGE(""https://docs.google.com/spreadsheets/d/""&amp;$A223&amp;""/edit#gid=156619080"",W$3)"),5869.0)</f>
        <v>5869</v>
      </c>
      <c r="X223" s="2">
        <f>IFERROR(__xludf.DUMMYFUNCTION("IMPORTRANGE(""https://docs.google.com/spreadsheets/d/""&amp;$A223&amp;""/edit#gid=156619080"",X$3)"),5573.7)</f>
        <v>5573.7</v>
      </c>
      <c r="Y223" s="17">
        <f>IFERROR(__xludf.DUMMYFUNCTION("IMPORTRANGE(""https://docs.google.com/spreadsheets/d/""&amp;$A223&amp;""/edit#gid=156619080"",Y$3)"),-3.3944331296673454E-4)</f>
        <v>-0.000339443313</v>
      </c>
      <c r="Z223" s="2">
        <f>IFERROR(__xludf.DUMMYFUNCTION("IMPORTRANGE(""https://docs.google.com/spreadsheets/d/""&amp;$A223&amp;""/edit#gid=156619080"",Z$3)"),6087.38)</f>
        <v>6087.38</v>
      </c>
      <c r="AA223" s="2">
        <f>IFERROR(__xludf.DUMMYFUNCTION("IMPORTRANGE(""https://docs.google.com/spreadsheets/d/""&amp;$A223&amp;""/edit#gid=156619080"",AA$3)"),6060.09)</f>
        <v>6060.09</v>
      </c>
      <c r="AB223" s="2">
        <f>IFERROR(__xludf.DUMMYFUNCTION("IMPORTRANGE(""https://docs.google.com/spreadsheets/d/""&amp;$A223&amp;""/edit#gid=156619080"",AB$3)"),6032.79)</f>
        <v>6032.79</v>
      </c>
      <c r="AC223" s="18">
        <f>IFERROR(__xludf.DUMMYFUNCTION("IMPORTRANGE(""https://docs.google.com/spreadsheets/d/""&amp;$A223&amp;""/edit#gid=156619080"",AC$3)"),6005.49)</f>
        <v>6005.49</v>
      </c>
      <c r="AD223" s="18">
        <f>IFERROR(__xludf.DUMMYFUNCTION("IMPORTRANGE(""https://docs.google.com/spreadsheets/d/""&amp;$A223&amp;""/edit#gid=156619080"",AD$3)"),5978.19)</f>
        <v>5978.19</v>
      </c>
      <c r="AE223" s="18">
        <f>IFERROR(__xludf.DUMMYFUNCTION("IMPORTRANGE(""https://docs.google.com/spreadsheets/d/""&amp;$A223&amp;""/edit#gid=156619080"",AE$3)"),5869.0)</f>
        <v>5869</v>
      </c>
      <c r="AF223" s="2">
        <f>IFERROR(__xludf.DUMMYFUNCTION("IMPORTRANGE(""https://docs.google.com/spreadsheets/d/""&amp;$A223&amp;""/edit#gid=156619080"",AF$3)"),5759.81)</f>
        <v>5759.81</v>
      </c>
      <c r="AG223" s="2">
        <f>IFERROR(__xludf.DUMMYFUNCTION("IMPORTRANGE(""https://docs.google.com/spreadsheets/d/""&amp;$A223&amp;""/edit#gid=156619080"",AG$3)"),5732.51)</f>
        <v>5732.51</v>
      </c>
      <c r="AH223" s="2">
        <f>IFERROR(__xludf.DUMMYFUNCTION("IMPORTRANGE(""https://docs.google.com/spreadsheets/d/""&amp;$A223&amp;""/edit#gid=156619080"",AH$3)"),5705.21)</f>
        <v>5705.21</v>
      </c>
      <c r="AI223" s="2">
        <f>IFERROR(__xludf.DUMMYFUNCTION("IMPORTRANGE(""https://docs.google.com/spreadsheets/d/""&amp;$A223&amp;""/edit#gid=156619080"",AI$3)"),5677.91)</f>
        <v>5677.91</v>
      </c>
      <c r="AJ223" s="2">
        <f>IFERROR(__xludf.DUMMYFUNCTION("IMPORTRANGE(""https://docs.google.com/spreadsheets/d/""&amp;$A223&amp;""/edit#gid=156619080"",AJ$3)"),5650.62)</f>
        <v>5650.62</v>
      </c>
      <c r="AK223" s="2" t="str">
        <f>IFERROR(__xludf.DUMMYFUNCTION("IMPORTRANGE(""https://docs.google.com/spreadsheets/d/""&amp;$A223&amp;""/edit#gid=156619080"",AK$3)"),"")</f>
        <v/>
      </c>
      <c r="AL223" s="2">
        <f>IFERROR(__xludf.DUMMYFUNCTION("IMPORTRANGE(""https://docs.google.com/spreadsheets/d/""&amp;$A223&amp;""/edit#gid=156619080"",AL$3)"),-1.0)</f>
        <v>-1</v>
      </c>
      <c r="AM223" s="2" t="str">
        <f>IFERROR(__xludf.DUMMYFUNCTION("IMPORTRANGE(""https://docs.google.com/spreadsheets/d/""&amp;$A223&amp;""/edit#gid=156619080"",AM$3)"),"")</f>
        <v/>
      </c>
      <c r="AN223" s="2">
        <f>IFERROR(__xludf.DUMMYFUNCTION("IMPORTRANGE(""https://docs.google.com/spreadsheets/d/""&amp;$A223&amp;""/edit#gid=156619080"",AN$3)"),1.0)</f>
        <v>1</v>
      </c>
      <c r="AO223" s="2" t="str">
        <f>IFERROR(__xludf.DUMMYFUNCTION("IMPORTRANGE(""https://docs.google.com/spreadsheets/d/""&amp;$A223&amp;""/edit#gid=156619080"",AO$3)"),"")</f>
        <v/>
      </c>
      <c r="AP223" s="2">
        <f>IFERROR(__xludf.DUMMYFUNCTION("IMPORTRANGE(""https://docs.google.com/spreadsheets/d/""&amp;$A223&amp;""/edit#gid=156619080"",AP$3)"),1.0)</f>
        <v>1</v>
      </c>
      <c r="AQ223" s="2" t="str">
        <f>IFERROR(__xludf.DUMMYFUNCTION("IMPORTRANGE(""https://docs.google.com/spreadsheets/d/""&amp;$A223&amp;""/edit#gid=156619080"",AQ$3)"),"")</f>
        <v/>
      </c>
      <c r="AR223" s="18">
        <f>IFERROR(__xludf.DUMMYFUNCTION("IMPORTRANGE(""https://docs.google.com/spreadsheets/d/""&amp;$A223&amp;""/edit#gid=156619080"",AR$3)"),-12.5)</f>
        <v>-12.5</v>
      </c>
      <c r="AS223" s="19" t="str">
        <f>IFERROR(__xludf.DUMMYFUNCTION("IMPORTRANGE(""https://docs.google.com/spreadsheets/d/""&amp;$A223&amp;""/edit#gid=156619080"",AS$3)"),"-50
-70
-100
-70
")</f>
        <v>-50
-70
-100
-70
</v>
      </c>
      <c r="AT223" s="18">
        <f>IFERROR(__xludf.DUMMYFUNCTION("IMPORTRANGE(""https://docs.google.com/spreadsheets/d/""&amp;$A223&amp;""/edit#gid=156619080"",AT$3)"),-10.30219780219781)</f>
        <v>-10.3021978</v>
      </c>
      <c r="AU223" s="3" t="str">
        <f>IFERROR(__xludf.DUMMYFUNCTION("IMPORTRANGE(""https://docs.google.com/spreadsheets/d/""&amp;$A223&amp;""/edit#gid=156619080"",AU$3)"),"72.53
61.4
39.29
16.76
")</f>
        <v>72.53
61.4
39.29
16.76
</v>
      </c>
      <c r="AV223" s="18">
        <f>IFERROR(__xludf.DUMMYFUNCTION("IMPORTRANGE(""https://docs.google.com/spreadsheets/d/""&amp;$A223&amp;""/edit#gid=156619080"",AV$3)"),60.29220779220778)</f>
        <v>60.29220779</v>
      </c>
      <c r="AW223" s="19" t="str">
        <f>IFERROR(__xludf.DUMMYFUNCTION("IMPORTRANGE(""https://docs.google.com/spreadsheets/d/""&amp;$A223&amp;""/edit#gid=156619080"",AW$3)"),"48.18
54.55
59.45
60.84
")</f>
        <v>48.18
54.55
59.45
60.84
</v>
      </c>
      <c r="AX223" s="2">
        <f>IFERROR(__xludf.DUMMYFUNCTION("IMPORTRANGE(""https://docs.google.com/spreadsheets/d/""&amp;$A223&amp;""/edit#gid=156619080"",AX$3)"),21.05)</f>
        <v>21.05</v>
      </c>
      <c r="AY223" s="2">
        <f>IFERROR(__xludf.DUMMYFUNCTION("IMPORTRANGE(""https://docs.google.com/spreadsheets/d/""&amp;$A223&amp;""/edit#gid=156619080"",AY$3)"),54.55)</f>
        <v>54.55</v>
      </c>
      <c r="AZ223" s="2">
        <f>IFERROR(__xludf.DUMMYFUNCTION("IMPORTRANGE(""https://docs.google.com/spreadsheets/d/""&amp;$A223&amp;""/edit#gid=156619080"",AZ$3)"),5900.25)</f>
        <v>5900.25</v>
      </c>
      <c r="BA223" s="2">
        <f>IFERROR(__xludf.DUMMYFUNCTION("IMPORTRANGE(""https://docs.google.com/spreadsheets/d/""&amp;$A223&amp;""/edit#gid=156619080"",BA$3)"),20.68000000000029)</f>
        <v>20.68</v>
      </c>
      <c r="BB223" s="2">
        <f>IFERROR(__xludf.DUMMYFUNCTION("IMPORTRANGE(""https://docs.google.com/spreadsheets/d/""&amp;$A223&amp;""/edit#gid=156619080"",BB$3)"),56.84)</f>
        <v>56.84</v>
      </c>
      <c r="BC223" s="2" t="str">
        <f>IFERROR(__xludf.DUMMYFUNCTION("IMPORTRANGE(""https://docs.google.com/spreadsheets/d/""&amp;$A223&amp;""/edit#gid=156619080"",BC$3)"),"DC→DC")</f>
        <v>DC→DC</v>
      </c>
    </row>
    <row r="224" ht="51.0" customHeight="1">
      <c r="A224" s="7" t="str">
        <f t="shared" si="5"/>
        <v>1UX6nJGmYtbS55NRT4ufKulj6TvHbXBycr4Qt-Bo1Ko8</v>
      </c>
      <c r="B224" s="1" t="s">
        <v>251</v>
      </c>
      <c r="C224" s="2">
        <f>IFERROR(__xludf.DUMMYFUNCTION("IMPORTRANGE(""https://docs.google.com/spreadsheets/d/""&amp;$A224&amp;""/edit#gid=156619080"",C$3)"),131.0)</f>
        <v>131</v>
      </c>
      <c r="D224" s="2">
        <f>IFERROR(__xludf.DUMMYFUNCTION("IMPORTRANGE(""https://docs.google.com/spreadsheets/d/""&amp;$A224&amp;""/edit#gid=156619080"",D$3)"),4751.0)</f>
        <v>4751</v>
      </c>
      <c r="E224" s="15">
        <f>IFERROR(__xludf.DUMMYFUNCTION("IMPORTRANGE(""https://docs.google.com/spreadsheets/d/""&amp;$A224&amp;""/edit#gid=156619080"",E$3)"),43882.0)</f>
        <v>43882</v>
      </c>
      <c r="F224" s="2">
        <f>IFERROR(__xludf.DUMMYFUNCTION("IMPORTRANGE(""https://docs.google.com/spreadsheets/d/""&amp;$A224&amp;""/edit#gid=156619080"",F$3)"),-60.0)</f>
        <v>-60</v>
      </c>
      <c r="G224" s="16">
        <f>IFERROR(__xludf.DUMMYFUNCTION("IMPORTRANGE(""https://docs.google.com/spreadsheets/d/""&amp;$A224&amp;""/edit#gid=156619080"",G$3)"),-1.36)</f>
        <v>-1.36</v>
      </c>
      <c r="H224" s="16">
        <f>IFERROR(__xludf.DUMMYFUNCTION("IMPORTRANGE(""https://docs.google.com/spreadsheets/d/""&amp;$A224&amp;""/edit#gid=156619080"",H$3)"),4395.0)</f>
        <v>4395</v>
      </c>
      <c r="I224" s="16">
        <f>IFERROR(__xludf.DUMMYFUNCTION("IMPORTRANGE(""https://docs.google.com/spreadsheets/d/""&amp;$A224&amp;""/edit#gid=156619080"",I$3)"),15.0)</f>
        <v>15</v>
      </c>
      <c r="J224" s="16">
        <f>IFERROR(__xludf.DUMMYFUNCTION("IMPORTRANGE(""https://docs.google.com/spreadsheets/d/""&amp;$A224&amp;""/edit#gid=156619080"",J$3)"),4410.0)</f>
        <v>4410</v>
      </c>
      <c r="K224" s="16">
        <f>IFERROR(__xludf.DUMMYFUNCTION("IMPORTRANGE(""https://docs.google.com/spreadsheets/d/""&amp;$A224&amp;""/edit#gid=156619080"",K$3)"),0.375)</f>
        <v>0.375</v>
      </c>
      <c r="L224" s="16">
        <f>IFERROR(__xludf.DUMMYFUNCTION("IMPORTRANGE(""https://docs.google.com/spreadsheets/d/""&amp;$A224&amp;""/edit#gid=156619080"",L$3)"),4335.0)</f>
        <v>4335</v>
      </c>
      <c r="M224" s="16">
        <f>IFERROR(__xludf.DUMMYFUNCTION("IMPORTRANGE(""https://docs.google.com/spreadsheets/d/""&amp;$A224&amp;""/edit#gid=156619080"",M$3)"),0.6020833333333333)</f>
        <v>0.6020833333</v>
      </c>
      <c r="N224" s="16">
        <f>IFERROR(__xludf.DUMMYFUNCTION("IMPORTRANGE(""https://docs.google.com/spreadsheets/d/""&amp;$A224&amp;""/edit#gid=156619080"",N$3)"),4350.0)</f>
        <v>4350</v>
      </c>
      <c r="O224" s="16" t="str">
        <f>IFERROR(__xludf.DUMMYFUNCTION("IMPORTRANGE(""https://docs.google.com/spreadsheets/d/""&amp;$A224&amp;""/edit#gid=156619080"",O$3)"),"790300株")</f>
        <v>790300株</v>
      </c>
      <c r="P224" s="16" t="str">
        <f>IFERROR(__xludf.DUMMYFUNCTION("IMPORTRANGE(""https://docs.google.com/spreadsheets/d/""&amp;$A224&amp;""/edit#gid=156619080"",P$3)"),"3445百万円")</f>
        <v>3445百万円</v>
      </c>
      <c r="Q224" s="16" t="str">
        <f>IFERROR(__xludf.DUMMYFUNCTION("IMPORTRANGE(""https://docs.google.com/spreadsheets/d/""&amp;$A224&amp;""/edit#gid=156619080"",Q$3)"),"1518回")</f>
        <v>1518回</v>
      </c>
      <c r="R224" s="16" t="str">
        <f>IFERROR(__xludf.DUMMYFUNCTION("IMPORTRANGE(""https://docs.google.com/spreadsheets/d/""&amp;$A224&amp;""/edit#gid=156619080"",R$3)"),"5500億円")</f>
        <v>5500億円</v>
      </c>
      <c r="S224" s="16" t="str">
        <f>IFERROR(__xludf.DUMMYFUNCTION("IMPORTRANGE(""https://docs.google.com/spreadsheets/d/""&amp;$A224&amp;""/edit#gid=156619080"",S$3)"),"陰線")</f>
        <v>陰線</v>
      </c>
      <c r="T224" s="16" t="str">
        <f>IFERROR(__xludf.DUMMYFUNCTION("IMPORTRANGE(""https://docs.google.com/spreadsheets/d/""&amp;$A224&amp;""/edit#gid=156619080"",T$3)"),"")</f>
        <v/>
      </c>
      <c r="U224" s="16">
        <f>IFERROR(__xludf.DUMMYFUNCTION("IMPORTRANGE(""https://docs.google.com/spreadsheets/d/""&amp;$A224&amp;""/edit#gid=156619080"",U$3)"),4333.0)</f>
        <v>4333</v>
      </c>
      <c r="V224" s="16">
        <f>IFERROR(__xludf.DUMMYFUNCTION("IMPORTRANGE(""https://docs.google.com/spreadsheets/d/""&amp;$A224&amp;""/edit#gid=156619080"",V$3)"),4351.2)</f>
        <v>4351.2</v>
      </c>
      <c r="W224" s="16">
        <f>IFERROR(__xludf.DUMMYFUNCTION("IMPORTRANGE(""https://docs.google.com/spreadsheets/d/""&amp;$A224&amp;""/edit#gid=156619080"",W$3)"),4209.5)</f>
        <v>4209.5</v>
      </c>
      <c r="X224" s="2">
        <f>IFERROR(__xludf.DUMMYFUNCTION("IMPORTRANGE(""https://docs.google.com/spreadsheets/d/""&amp;$A224&amp;""/edit#gid=156619080"",X$3)"),3905.7)</f>
        <v>3905.7</v>
      </c>
      <c r="Y224" s="17">
        <f>IFERROR(__xludf.DUMMYFUNCTION("IMPORTRANGE(""https://docs.google.com/spreadsheets/d/""&amp;$A224&amp;""/edit#gid=156619080"",Y$3)"),0.003923378721440111)</f>
        <v>0.003923378721</v>
      </c>
      <c r="Z224" s="2">
        <f>IFERROR(__xludf.DUMMYFUNCTION("IMPORTRANGE(""https://docs.google.com/spreadsheets/d/""&amp;$A224&amp;""/edit#gid=156619080"",Z$3)"),4731.02)</f>
        <v>4731.02</v>
      </c>
      <c r="AA224" s="2">
        <f>IFERROR(__xludf.DUMMYFUNCTION("IMPORTRANGE(""https://docs.google.com/spreadsheets/d/""&amp;$A224&amp;""/edit#gid=156619080"",AA$3)"),4665.83)</f>
        <v>4665.83</v>
      </c>
      <c r="AB224" s="2">
        <f>IFERROR(__xludf.DUMMYFUNCTION("IMPORTRANGE(""https://docs.google.com/spreadsheets/d/""&amp;$A224&amp;""/edit#gid=156619080"",AB$3)"),4600.64)</f>
        <v>4600.64</v>
      </c>
      <c r="AC224" s="18">
        <f>IFERROR(__xludf.DUMMYFUNCTION("IMPORTRANGE(""https://docs.google.com/spreadsheets/d/""&amp;$A224&amp;""/edit#gid=156619080"",AC$3)"),4535.45)</f>
        <v>4535.45</v>
      </c>
      <c r="AD224" s="18">
        <f>IFERROR(__xludf.DUMMYFUNCTION("IMPORTRANGE(""https://docs.google.com/spreadsheets/d/""&amp;$A224&amp;""/edit#gid=156619080"",AD$3)"),4470.26)</f>
        <v>4470.26</v>
      </c>
      <c r="AE224" s="18">
        <f>IFERROR(__xludf.DUMMYFUNCTION("IMPORTRANGE(""https://docs.google.com/spreadsheets/d/""&amp;$A224&amp;""/edit#gid=156619080"",AE$3)"),4209.5)</f>
        <v>4209.5</v>
      </c>
      <c r="AF224" s="2">
        <f>IFERROR(__xludf.DUMMYFUNCTION("IMPORTRANGE(""https://docs.google.com/spreadsheets/d/""&amp;$A224&amp;""/edit#gid=156619080"",AF$3)"),3948.74)</f>
        <v>3948.74</v>
      </c>
      <c r="AG224" s="2">
        <f>IFERROR(__xludf.DUMMYFUNCTION("IMPORTRANGE(""https://docs.google.com/spreadsheets/d/""&amp;$A224&amp;""/edit#gid=156619080"",AG$3)"),3883.55)</f>
        <v>3883.55</v>
      </c>
      <c r="AH224" s="2">
        <f>IFERROR(__xludf.DUMMYFUNCTION("IMPORTRANGE(""https://docs.google.com/spreadsheets/d/""&amp;$A224&amp;""/edit#gid=156619080"",AH$3)"),3818.36)</f>
        <v>3818.36</v>
      </c>
      <c r="AI224" s="2">
        <f>IFERROR(__xludf.DUMMYFUNCTION("IMPORTRANGE(""https://docs.google.com/spreadsheets/d/""&amp;$A224&amp;""/edit#gid=156619080"",AI$3)"),3753.17)</f>
        <v>3753.17</v>
      </c>
      <c r="AJ224" s="2">
        <f>IFERROR(__xludf.DUMMYFUNCTION("IMPORTRANGE(""https://docs.google.com/spreadsheets/d/""&amp;$A224&amp;""/edit#gid=156619080"",AJ$3)"),3687.98)</f>
        <v>3687.98</v>
      </c>
      <c r="AK224" s="2" t="str">
        <f>IFERROR(__xludf.DUMMYFUNCTION("IMPORTRANGE(""https://docs.google.com/spreadsheets/d/""&amp;$A224&amp;""/edit#gid=156619080"",AK$3)"),"")</f>
        <v/>
      </c>
      <c r="AL224" s="2">
        <f>IFERROR(__xludf.DUMMYFUNCTION("IMPORTRANGE(""https://docs.google.com/spreadsheets/d/""&amp;$A224&amp;""/edit#gid=156619080"",AL$3)"),-1.0)</f>
        <v>-1</v>
      </c>
      <c r="AM224" s="2" t="str">
        <f>IFERROR(__xludf.DUMMYFUNCTION("IMPORTRANGE(""https://docs.google.com/spreadsheets/d/""&amp;$A224&amp;""/edit#gid=156619080"",AM$3)"),"")</f>
        <v/>
      </c>
      <c r="AN224" s="2">
        <f>IFERROR(__xludf.DUMMYFUNCTION("IMPORTRANGE(""https://docs.google.com/spreadsheets/d/""&amp;$A224&amp;""/edit#gid=156619080"",AN$3)"),1.0)</f>
        <v>1</v>
      </c>
      <c r="AO224" s="2" t="str">
        <f>IFERROR(__xludf.DUMMYFUNCTION("IMPORTRANGE(""https://docs.google.com/spreadsheets/d/""&amp;$A224&amp;""/edit#gid=156619080"",AO$3)"),"")</f>
        <v/>
      </c>
      <c r="AP224" s="2">
        <f>IFERROR(__xludf.DUMMYFUNCTION("IMPORTRANGE(""https://docs.google.com/spreadsheets/d/""&amp;$A224&amp;""/edit#gid=156619080"",AP$3)"),1.0)</f>
        <v>1</v>
      </c>
      <c r="AQ224" s="2" t="str">
        <f>IFERROR(__xludf.DUMMYFUNCTION("IMPORTRANGE(""https://docs.google.com/spreadsheets/d/""&amp;$A224&amp;""/edit#gid=156619080"",AQ$3)"),"")</f>
        <v/>
      </c>
      <c r="AR224" s="18">
        <f>IFERROR(__xludf.DUMMYFUNCTION("IMPORTRANGE(""https://docs.google.com/spreadsheets/d/""&amp;$A224&amp;""/edit#gid=156619080"",AR$3)"),80.0)</f>
        <v>80</v>
      </c>
      <c r="AS224" s="19" t="str">
        <f>IFERROR(__xludf.DUMMYFUNCTION("IMPORTRANGE(""https://docs.google.com/spreadsheets/d/""&amp;$A224&amp;""/edit#gid=156619080"",AS$3)"),"-70
-40
50
80
")</f>
        <v>-70
-40
50
80
</v>
      </c>
      <c r="AT224" s="18">
        <f>IFERROR(__xludf.DUMMYFUNCTION("IMPORTRANGE(""https://docs.google.com/spreadsheets/d/""&amp;$A224&amp;""/edit#gid=156619080"",AT$3)"),-43.956043956043956)</f>
        <v>-43.95604396</v>
      </c>
      <c r="AU224" s="3" t="str">
        <f>IFERROR(__xludf.DUMMYFUNCTION("IMPORTRANGE(""https://docs.google.com/spreadsheets/d/""&amp;$A224&amp;""/edit#gid=156619080"",AU$3)"),"-19.92
-50.14
-78.71
-49.45
")</f>
        <v>-19.92
-50.14
-78.71
-49.45
</v>
      </c>
      <c r="AV224" s="18">
        <f>IFERROR(__xludf.DUMMYFUNCTION("IMPORTRANGE(""https://docs.google.com/spreadsheets/d/""&amp;$A224&amp;""/edit#gid=156619080"",AV$3)"),39.83766233766234)</f>
        <v>39.83766234</v>
      </c>
      <c r="AW224" s="19" t="str">
        <f>IFERROR(__xludf.DUMMYFUNCTION("IMPORTRANGE(""https://docs.google.com/spreadsheets/d/""&amp;$A224&amp;""/edit#gid=156619080"",AW$3)"),"61.92
55.81
49.71
47.89
")</f>
        <v>61.92
55.81
49.71
47.89
</v>
      </c>
      <c r="AX224" s="2">
        <f>IFERROR(__xludf.DUMMYFUNCTION("IMPORTRANGE(""https://docs.google.com/spreadsheets/d/""&amp;$A224&amp;""/edit#gid=156619080"",AX$3)"),66.10000000000001)</f>
        <v>66.1</v>
      </c>
      <c r="AY224" s="2">
        <f>IFERROR(__xludf.DUMMYFUNCTION("IMPORTRANGE(""https://docs.google.com/spreadsheets/d/""&amp;$A224&amp;""/edit#gid=156619080"",AY$3)"),64.12)</f>
        <v>64.12</v>
      </c>
      <c r="AZ224" s="2">
        <f>IFERROR(__xludf.DUMMYFUNCTION("IMPORTRANGE(""https://docs.google.com/spreadsheets/d/""&amp;$A224&amp;""/edit#gid=156619080"",AZ$3)"),4347.91)</f>
        <v>4347.91</v>
      </c>
      <c r="BA224" s="2">
        <f>IFERROR(__xludf.DUMMYFUNCTION("IMPORTRANGE(""https://docs.google.com/spreadsheets/d/""&amp;$A224&amp;""/edit#gid=156619080"",BA$3)"),124.03999999999996)</f>
        <v>124.04</v>
      </c>
      <c r="BB224" s="2">
        <f>IFERROR(__xludf.DUMMYFUNCTION("IMPORTRANGE(""https://docs.google.com/spreadsheets/d/""&amp;$A224&amp;""/edit#gid=156619080"",BB$3)"),153.29)</f>
        <v>153.29</v>
      </c>
      <c r="BC224" s="2" t="str">
        <f>IFERROR(__xludf.DUMMYFUNCTION("IMPORTRANGE(""https://docs.google.com/spreadsheets/d/""&amp;$A224&amp;""/edit#gid=156619080"",BC$3)"),"DC→DC")</f>
        <v>DC→DC</v>
      </c>
    </row>
    <row r="225" ht="51.0" customHeight="1">
      <c r="A225" s="7" t="str">
        <f t="shared" si="5"/>
        <v>1iCiZuc2wg87UKEMt9IrVNIQiCEnQ344V8zf_NFTlMpk</v>
      </c>
      <c r="B225" s="1" t="s">
        <v>252</v>
      </c>
      <c r="C225" s="2">
        <f>IFERROR(__xludf.DUMMYFUNCTION("IMPORTRANGE(""https://docs.google.com/spreadsheets/d/""&amp;$A225&amp;""/edit#gid=156619080"",C$3)"),131.0)</f>
        <v>131</v>
      </c>
      <c r="D225" s="2">
        <f>IFERROR(__xludf.DUMMYFUNCTION("IMPORTRANGE(""https://docs.google.com/spreadsheets/d/""&amp;$A225&amp;""/edit#gid=156619080"",D$3)"),4755.0)</f>
        <v>4755</v>
      </c>
      <c r="E225" s="15">
        <f>IFERROR(__xludf.DUMMYFUNCTION("IMPORTRANGE(""https://docs.google.com/spreadsheets/d/""&amp;$A225&amp;""/edit#gid=156619080"",E$3)"),43882.0)</f>
        <v>43882</v>
      </c>
      <c r="F225" s="2">
        <f>IFERROR(__xludf.DUMMYFUNCTION("IMPORTRANGE(""https://docs.google.com/spreadsheets/d/""&amp;$A225&amp;""/edit#gid=156619080"",F$3)"),39.0)</f>
        <v>39</v>
      </c>
      <c r="G225" s="16">
        <f>IFERROR(__xludf.DUMMYFUNCTION("IMPORTRANGE(""https://docs.google.com/spreadsheets/d/""&amp;$A225&amp;""/edit#gid=156619080"",G$3)"),4.11)</f>
        <v>4.11</v>
      </c>
      <c r="H225" s="16">
        <f>IFERROR(__xludf.DUMMYFUNCTION("IMPORTRANGE(""https://docs.google.com/spreadsheets/d/""&amp;$A225&amp;""/edit#gid=156619080"",H$3)"),950.0)</f>
        <v>950</v>
      </c>
      <c r="I225" s="16">
        <f>IFERROR(__xludf.DUMMYFUNCTION("IMPORTRANGE(""https://docs.google.com/spreadsheets/d/""&amp;$A225&amp;""/edit#gid=156619080"",I$3)"),-2.0)</f>
        <v>-2</v>
      </c>
      <c r="J225" s="16">
        <f>IFERROR(__xludf.DUMMYFUNCTION("IMPORTRANGE(""https://docs.google.com/spreadsheets/d/""&amp;$A225&amp;""/edit#gid=156619080"",J$3)"),997.0)</f>
        <v>997</v>
      </c>
      <c r="K225" s="16">
        <f>IFERROR(__xludf.DUMMYFUNCTION("IMPORTRANGE(""https://docs.google.com/spreadsheets/d/""&amp;$A225&amp;""/edit#gid=156619080"",K$3)"),0.5326388888888889)</f>
        <v>0.5326388889</v>
      </c>
      <c r="L225" s="16">
        <f>IFERROR(__xludf.DUMMYFUNCTION("IMPORTRANGE(""https://docs.google.com/spreadsheets/d/""&amp;$A225&amp;""/edit#gid=156619080"",L$3)"),950.0)</f>
        <v>950</v>
      </c>
      <c r="M225" s="16">
        <f>IFERROR(__xludf.DUMMYFUNCTION("IMPORTRANGE(""https://docs.google.com/spreadsheets/d/""&amp;$A225&amp;""/edit#gid=156619080"",M$3)"),0.375)</f>
        <v>0.375</v>
      </c>
      <c r="N225" s="16">
        <f>IFERROR(__xludf.DUMMYFUNCTION("IMPORTRANGE(""https://docs.google.com/spreadsheets/d/""&amp;$A225&amp;""/edit#gid=156619080"",N$3)"),987.0)</f>
        <v>987</v>
      </c>
      <c r="O225" s="16" t="str">
        <f>IFERROR(__xludf.DUMMYFUNCTION("IMPORTRANGE(""https://docs.google.com/spreadsheets/d/""&amp;$A225&amp;""/edit#gid=156619080"",O$3)"),"20693900株")</f>
        <v>20693900株</v>
      </c>
      <c r="P225" s="16" t="str">
        <f>IFERROR(__xludf.DUMMYFUNCTION("IMPORTRANGE(""https://docs.google.com/spreadsheets/d/""&amp;$A225&amp;""/edit#gid=156619080"",P$3)"),"20346百万円")</f>
        <v>20346百万円</v>
      </c>
      <c r="Q225" s="16" t="str">
        <f>IFERROR(__xludf.DUMMYFUNCTION("IMPORTRANGE(""https://docs.google.com/spreadsheets/d/""&amp;$A225&amp;""/edit#gid=156619080"",Q$3)"),"8671回")</f>
        <v>8671回</v>
      </c>
      <c r="R225" s="16" t="str">
        <f>IFERROR(__xludf.DUMMYFUNCTION("IMPORTRANGE(""https://docs.google.com/spreadsheets/d/""&amp;$A225&amp;""/edit#gid=156619080"",R$3)"),"14159億円")</f>
        <v>14159億円</v>
      </c>
      <c r="S225" s="16" t="str">
        <f>IFERROR(__xludf.DUMMYFUNCTION("IMPORTRANGE(""https://docs.google.com/spreadsheets/d/""&amp;$A225&amp;""/edit#gid=156619080"",S$3)"),"陽線")</f>
        <v>陽線</v>
      </c>
      <c r="T225" s="16" t="str">
        <f>IFERROR(__xludf.DUMMYFUNCTION("IMPORTRANGE(""https://docs.google.com/spreadsheets/d/""&amp;$A225&amp;""/edit#gid=156619080"",T$3)"),"")</f>
        <v/>
      </c>
      <c r="U225" s="16">
        <f>IFERROR(__xludf.DUMMYFUNCTION("IMPORTRANGE(""https://docs.google.com/spreadsheets/d/""&amp;$A225&amp;""/edit#gid=156619080"",U$3)"),948.0)</f>
        <v>948</v>
      </c>
      <c r="V225" s="16">
        <f>IFERROR(__xludf.DUMMYFUNCTION("IMPORTRANGE(""https://docs.google.com/spreadsheets/d/""&amp;$A225&amp;""/edit#gid=156619080"",V$3)"),901.8)</f>
        <v>901.8</v>
      </c>
      <c r="W225" s="16">
        <f>IFERROR(__xludf.DUMMYFUNCTION("IMPORTRANGE(""https://docs.google.com/spreadsheets/d/""&amp;$A225&amp;""/edit#gid=156619080"",W$3)"),889.1)</f>
        <v>889.1</v>
      </c>
      <c r="X225" s="2">
        <f>IFERROR(__xludf.DUMMYFUNCTION("IMPORTRANGE(""https://docs.google.com/spreadsheets/d/""&amp;$A225&amp;""/edit#gid=156619080"",X$3)"),954.0)</f>
        <v>954</v>
      </c>
      <c r="Y225" s="17">
        <f>IFERROR(__xludf.DUMMYFUNCTION("IMPORTRANGE(""https://docs.google.com/spreadsheets/d/""&amp;$A225&amp;""/edit#gid=156619080"",Y$3)"),0.04113924050632911)</f>
        <v>0.04113924051</v>
      </c>
      <c r="Z225" s="2">
        <f>IFERROR(__xludf.DUMMYFUNCTION("IMPORTRANGE(""https://docs.google.com/spreadsheets/d/""&amp;$A225&amp;""/edit#gid=156619080"",Z$3)"),962.72)</f>
        <v>962.72</v>
      </c>
      <c r="AA225" s="2">
        <f>IFERROR(__xludf.DUMMYFUNCTION("IMPORTRANGE(""https://docs.google.com/spreadsheets/d/""&amp;$A225&amp;""/edit#gid=156619080"",AA$3)"),953.52)</f>
        <v>953.52</v>
      </c>
      <c r="AB225" s="2">
        <f>IFERROR(__xludf.DUMMYFUNCTION("IMPORTRANGE(""https://docs.google.com/spreadsheets/d/""&amp;$A225&amp;""/edit#gid=156619080"",AB$3)"),944.32)</f>
        <v>944.32</v>
      </c>
      <c r="AC225" s="18">
        <f>IFERROR(__xludf.DUMMYFUNCTION("IMPORTRANGE(""https://docs.google.com/spreadsheets/d/""&amp;$A225&amp;""/edit#gid=156619080"",AC$3)"),935.11)</f>
        <v>935.11</v>
      </c>
      <c r="AD225" s="18">
        <f>IFERROR(__xludf.DUMMYFUNCTION("IMPORTRANGE(""https://docs.google.com/spreadsheets/d/""&amp;$A225&amp;""/edit#gid=156619080"",AD$3)"),925.91)</f>
        <v>925.91</v>
      </c>
      <c r="AE225" s="18">
        <f>IFERROR(__xludf.DUMMYFUNCTION("IMPORTRANGE(""https://docs.google.com/spreadsheets/d/""&amp;$A225&amp;""/edit#gid=156619080"",AE$3)"),889.1)</f>
        <v>889.1</v>
      </c>
      <c r="AF225" s="2">
        <f>IFERROR(__xludf.DUMMYFUNCTION("IMPORTRANGE(""https://docs.google.com/spreadsheets/d/""&amp;$A225&amp;""/edit#gid=156619080"",AF$3)"),852.29)</f>
        <v>852.29</v>
      </c>
      <c r="AG225" s="2">
        <f>IFERROR(__xludf.DUMMYFUNCTION("IMPORTRANGE(""https://docs.google.com/spreadsheets/d/""&amp;$A225&amp;""/edit#gid=156619080"",AG$3)"),843.09)</f>
        <v>843.09</v>
      </c>
      <c r="AH225" s="2">
        <f>IFERROR(__xludf.DUMMYFUNCTION("IMPORTRANGE(""https://docs.google.com/spreadsheets/d/""&amp;$A225&amp;""/edit#gid=156619080"",AH$3)"),833.88)</f>
        <v>833.88</v>
      </c>
      <c r="AI225" s="2">
        <f>IFERROR(__xludf.DUMMYFUNCTION("IMPORTRANGE(""https://docs.google.com/spreadsheets/d/""&amp;$A225&amp;""/edit#gid=156619080"",AI$3)"),824.68)</f>
        <v>824.68</v>
      </c>
      <c r="AJ225" s="2">
        <f>IFERROR(__xludf.DUMMYFUNCTION("IMPORTRANGE(""https://docs.google.com/spreadsheets/d/""&amp;$A225&amp;""/edit#gid=156619080"",AJ$3)"),815.48)</f>
        <v>815.48</v>
      </c>
      <c r="AK225" s="2" t="str">
        <f>IFERROR(__xludf.DUMMYFUNCTION("IMPORTRANGE(""https://docs.google.com/spreadsheets/d/""&amp;$A225&amp;""/edit#gid=156619080"",AK$3)"),"2σ以上")</f>
        <v>2σ以上</v>
      </c>
      <c r="AL225" s="2">
        <f>IFERROR(__xludf.DUMMYFUNCTION("IMPORTRANGE(""https://docs.google.com/spreadsheets/d/""&amp;$A225&amp;""/edit#gid=156619080"",AL$3)"),1.0)</f>
        <v>1</v>
      </c>
      <c r="AM225" s="2" t="str">
        <f>IFERROR(__xludf.DUMMYFUNCTION("IMPORTRANGE(""https://docs.google.com/spreadsheets/d/""&amp;$A225&amp;""/edit#gid=156619080"",AM$3)"),"")</f>
        <v/>
      </c>
      <c r="AN225" s="2">
        <f>IFERROR(__xludf.DUMMYFUNCTION("IMPORTRANGE(""https://docs.google.com/spreadsheets/d/""&amp;$A225&amp;""/edit#gid=156619080"",AN$3)"),1.0)</f>
        <v>1</v>
      </c>
      <c r="AO225" s="2" t="str">
        <f>IFERROR(__xludf.DUMMYFUNCTION("IMPORTRANGE(""https://docs.google.com/spreadsheets/d/""&amp;$A225&amp;""/edit#gid=156619080"",AO$3)"),"")</f>
        <v/>
      </c>
      <c r="AP225" s="2">
        <f>IFERROR(__xludf.DUMMYFUNCTION("IMPORTRANGE(""https://docs.google.com/spreadsheets/d/""&amp;$A225&amp;""/edit#gid=156619080"",AP$3)"),1.0)</f>
        <v>1</v>
      </c>
      <c r="AQ225" s="2" t="str">
        <f>IFERROR(__xludf.DUMMYFUNCTION("IMPORTRANGE(""https://docs.google.com/spreadsheets/d/""&amp;$A225&amp;""/edit#gid=156619080"",AQ$3)"),"")</f>
        <v/>
      </c>
      <c r="AR225" s="18">
        <f>IFERROR(__xludf.DUMMYFUNCTION("IMPORTRANGE(""https://docs.google.com/spreadsheets/d/""&amp;$A225&amp;""/edit#gid=156619080"",AR$3)"),100.0)</f>
        <v>100</v>
      </c>
      <c r="AS225" s="19" t="str">
        <f>IFERROR(__xludf.DUMMYFUNCTION("IMPORTRANGE(""https://docs.google.com/spreadsheets/d/""&amp;$A225&amp;""/edit#gid=156619080"",AS$3)"),"97.5
97.5
100
100
")</f>
        <v>97.5
97.5
100
100
</v>
      </c>
      <c r="AT225" s="18">
        <f>IFERROR(__xludf.DUMMYFUNCTION("IMPORTRANGE(""https://docs.google.com/spreadsheets/d/""&amp;$A225&amp;""/edit#gid=156619080"",AT$3)"),95.6043956043956)</f>
        <v>95.6043956</v>
      </c>
      <c r="AU225" s="3" t="str">
        <f>IFERROR(__xludf.DUMMYFUNCTION("IMPORTRANGE(""https://docs.google.com/spreadsheets/d/""&amp;$A225&amp;""/edit#gid=156619080"",AU$3)"),"72.8
95.05
95.05
95.6
")</f>
        <v>72.8
95.05
95.05
95.6
</v>
      </c>
      <c r="AV225" s="18">
        <f>IFERROR(__xludf.DUMMYFUNCTION("IMPORTRANGE(""https://docs.google.com/spreadsheets/d/""&amp;$A225&amp;""/edit#gid=156619080"",AV$3)"),51.81818181818182)</f>
        <v>51.81818182</v>
      </c>
      <c r="AW225" s="19" t="str">
        <f>IFERROR(__xludf.DUMMYFUNCTION("IMPORTRANGE(""https://docs.google.com/spreadsheets/d/""&amp;$A225&amp;""/edit#gid=156619080"",AW$3)"),"-37.56
-12.99
14.29
34.16
")</f>
        <v>-37.56
-12.99
14.29
34.16
</v>
      </c>
      <c r="AX225" s="2">
        <f>IFERROR(__xludf.DUMMYFUNCTION("IMPORTRANGE(""https://docs.google.com/spreadsheets/d/""&amp;$A225&amp;""/edit#gid=156619080"",AX$3)"),100.0)</f>
        <v>100</v>
      </c>
      <c r="AY225" s="2">
        <f>IFERROR(__xludf.DUMMYFUNCTION("IMPORTRANGE(""https://docs.google.com/spreadsheets/d/""&amp;$A225&amp;""/edit#gid=156619080"",AY$3)"),62.22)</f>
        <v>62.22</v>
      </c>
      <c r="AZ225" s="2">
        <f>IFERROR(__xludf.DUMMYFUNCTION("IMPORTRANGE(""https://docs.google.com/spreadsheets/d/""&amp;$A225&amp;""/edit#gid=156619080"",AZ$3)"),948.73)</f>
        <v>948.73</v>
      </c>
      <c r="BA225" s="2">
        <f>IFERROR(__xludf.DUMMYFUNCTION("IMPORTRANGE(""https://docs.google.com/spreadsheets/d/""&amp;$A225&amp;""/edit#gid=156619080"",BA$3)"),38.80000000000007)</f>
        <v>38.8</v>
      </c>
      <c r="BB225" s="2">
        <f>IFERROR(__xludf.DUMMYFUNCTION("IMPORTRANGE(""https://docs.google.com/spreadsheets/d/""&amp;$A225&amp;""/edit#gid=156619080"",BB$3)"),4.69)</f>
        <v>4.69</v>
      </c>
      <c r="BC225" s="2" t="str">
        <f>IFERROR(__xludf.DUMMYFUNCTION("IMPORTRANGE(""https://docs.google.com/spreadsheets/d/""&amp;$A225&amp;""/edit#gid=156619080"",BC$3)"),"GC→GC")</f>
        <v>GC→GC</v>
      </c>
    </row>
    <row r="226" ht="51.0" customHeight="1">
      <c r="A226" s="7" t="str">
        <f t="shared" si="5"/>
        <v>14POMy3QOfuZAQxBuGu7Cn2CbgrOJeN4WVQqWydDmz44</v>
      </c>
      <c r="B226" s="1" t="s">
        <v>253</v>
      </c>
      <c r="C226" s="2">
        <f>IFERROR(__xludf.DUMMYFUNCTION("IMPORTRANGE(""https://docs.google.com/spreadsheets/d/""&amp;$A226&amp;""/edit#gid=156619080"",C$3)"),131.0)</f>
        <v>131</v>
      </c>
      <c r="D226" s="2">
        <f>IFERROR(__xludf.DUMMYFUNCTION("IMPORTRANGE(""https://docs.google.com/spreadsheets/d/""&amp;$A226&amp;""/edit#gid=156619080"",D$3)"),6098.0)</f>
        <v>6098</v>
      </c>
      <c r="E226" s="15">
        <f>IFERROR(__xludf.DUMMYFUNCTION("IMPORTRANGE(""https://docs.google.com/spreadsheets/d/""&amp;$A226&amp;""/edit#gid=156619080"",E$3)"),43882.0)</f>
        <v>43882</v>
      </c>
      <c r="F226" s="2">
        <f>IFERROR(__xludf.DUMMYFUNCTION("IMPORTRANGE(""https://docs.google.com/spreadsheets/d/""&amp;$A226&amp;""/edit#gid=156619080"",F$3)"),-64.0)</f>
        <v>-64</v>
      </c>
      <c r="G226" s="16">
        <f>IFERROR(__xludf.DUMMYFUNCTION("IMPORTRANGE(""https://docs.google.com/spreadsheets/d/""&amp;$A226&amp;""/edit#gid=156619080"",G$3)"),-1.41)</f>
        <v>-1.41</v>
      </c>
      <c r="H226" s="16">
        <f>IFERROR(__xludf.DUMMYFUNCTION("IMPORTRANGE(""https://docs.google.com/spreadsheets/d/""&amp;$A226&amp;""/edit#gid=156619080"",H$3)"),4509.0)</f>
        <v>4509</v>
      </c>
      <c r="I226" s="16">
        <f>IFERROR(__xludf.DUMMYFUNCTION("IMPORTRANGE(""https://docs.google.com/spreadsheets/d/""&amp;$A226&amp;""/edit#gid=156619080"",I$3)"),43.0)</f>
        <v>43</v>
      </c>
      <c r="J226" s="16">
        <f>IFERROR(__xludf.DUMMYFUNCTION("IMPORTRANGE(""https://docs.google.com/spreadsheets/d/""&amp;$A226&amp;""/edit#gid=156619080"",J$3)"),4530.0)</f>
        <v>4530</v>
      </c>
      <c r="K226" s="16">
        <f>IFERROR(__xludf.DUMMYFUNCTION("IMPORTRANGE(""https://docs.google.com/spreadsheets/d/""&amp;$A226&amp;""/edit#gid=156619080"",K$3)"),0.40902777777777777)</f>
        <v>0.4090277778</v>
      </c>
      <c r="L226" s="16">
        <f>IFERROR(__xludf.DUMMYFUNCTION("IMPORTRANGE(""https://docs.google.com/spreadsheets/d/""&amp;$A226&amp;""/edit#gid=156619080"",L$3)"),4478.0)</f>
        <v>4478</v>
      </c>
      <c r="M226" s="16">
        <f>IFERROR(__xludf.DUMMYFUNCTION("IMPORTRANGE(""https://docs.google.com/spreadsheets/d/""&amp;$A226&amp;""/edit#gid=156619080"",M$3)"),0.47430555555555554)</f>
        <v>0.4743055556</v>
      </c>
      <c r="N226" s="16">
        <f>IFERROR(__xludf.DUMMYFUNCTION("IMPORTRANGE(""https://docs.google.com/spreadsheets/d/""&amp;$A226&amp;""/edit#gid=156619080"",N$3)"),4488.0)</f>
        <v>4488</v>
      </c>
      <c r="O226" s="16" t="str">
        <f>IFERROR(__xludf.DUMMYFUNCTION("IMPORTRANGE(""https://docs.google.com/spreadsheets/d/""&amp;$A226&amp;""/edit#gid=156619080"",O$3)"),"3212900株")</f>
        <v>3212900株</v>
      </c>
      <c r="P226" s="16" t="str">
        <f>IFERROR(__xludf.DUMMYFUNCTION("IMPORTRANGE(""https://docs.google.com/spreadsheets/d/""&amp;$A226&amp;""/edit#gid=156619080"",P$3)"),"14445百万円")</f>
        <v>14445百万円</v>
      </c>
      <c r="Q226" s="16" t="str">
        <f>IFERROR(__xludf.DUMMYFUNCTION("IMPORTRANGE(""https://docs.google.com/spreadsheets/d/""&amp;$A226&amp;""/edit#gid=156619080"",Q$3)"),"4811回")</f>
        <v>4811回</v>
      </c>
      <c r="R226" s="16" t="str">
        <f>IFERROR(__xludf.DUMMYFUNCTION("IMPORTRANGE(""https://docs.google.com/spreadsheets/d/""&amp;$A226&amp;""/edit#gid=156619080"",R$3)"),"76115億円")</f>
        <v>76115億円</v>
      </c>
      <c r="S226" s="16" t="str">
        <f>IFERROR(__xludf.DUMMYFUNCTION("IMPORTRANGE(""https://docs.google.com/spreadsheets/d/""&amp;$A226&amp;""/edit#gid=156619080"",S$3)"),"陰線")</f>
        <v>陰線</v>
      </c>
      <c r="T226" s="16" t="str">
        <f>IFERROR(__xludf.DUMMYFUNCTION("IMPORTRANGE(""https://docs.google.com/spreadsheets/d/""&amp;$A226&amp;""/edit#gid=156619080"",T$3)"),"")</f>
        <v/>
      </c>
      <c r="U226" s="16">
        <f>IFERROR(__xludf.DUMMYFUNCTION("IMPORTRANGE(""https://docs.google.com/spreadsheets/d/""&amp;$A226&amp;""/edit#gid=156619080"",U$3)"),4518.4)</f>
        <v>4518.4</v>
      </c>
      <c r="V226" s="16">
        <f>IFERROR(__xludf.DUMMYFUNCTION("IMPORTRANGE(""https://docs.google.com/spreadsheets/d/""&amp;$A226&amp;""/edit#gid=156619080"",V$3)"),4505.5)</f>
        <v>4505.5</v>
      </c>
      <c r="W226" s="16">
        <f>IFERROR(__xludf.DUMMYFUNCTION("IMPORTRANGE(""https://docs.google.com/spreadsheets/d/""&amp;$A226&amp;""/edit#gid=156619080"",W$3)"),4444.7)</f>
        <v>4444.7</v>
      </c>
      <c r="X226" s="2">
        <f>IFERROR(__xludf.DUMMYFUNCTION("IMPORTRANGE(""https://docs.google.com/spreadsheets/d/""&amp;$A226&amp;""/edit#gid=156619080"",X$3)"),3886.8)</f>
        <v>3886.8</v>
      </c>
      <c r="Y226" s="17">
        <f>IFERROR(__xludf.DUMMYFUNCTION("IMPORTRANGE(""https://docs.google.com/spreadsheets/d/""&amp;$A226&amp;""/edit#gid=156619080"",Y$3)"),-0.006728045325778957)</f>
        <v>-0.006728045326</v>
      </c>
      <c r="Z226" s="2">
        <f>IFERROR(__xludf.DUMMYFUNCTION("IMPORTRANGE(""https://docs.google.com/spreadsheets/d/""&amp;$A226&amp;""/edit#gid=156619080"",Z$3)"),4628.09)</f>
        <v>4628.09</v>
      </c>
      <c r="AA226" s="2">
        <f>IFERROR(__xludf.DUMMYFUNCTION("IMPORTRANGE(""https://docs.google.com/spreadsheets/d/""&amp;$A226&amp;""/edit#gid=156619080"",AA$3)"),4605.17)</f>
        <v>4605.17</v>
      </c>
      <c r="AB226" s="2">
        <f>IFERROR(__xludf.DUMMYFUNCTION("IMPORTRANGE(""https://docs.google.com/spreadsheets/d/""&amp;$A226&amp;""/edit#gid=156619080"",AB$3)"),4582.24)</f>
        <v>4582.24</v>
      </c>
      <c r="AC226" s="18">
        <f>IFERROR(__xludf.DUMMYFUNCTION("IMPORTRANGE(""https://docs.google.com/spreadsheets/d/""&amp;$A226&amp;""/edit#gid=156619080"",AC$3)"),4559.32)</f>
        <v>4559.32</v>
      </c>
      <c r="AD226" s="18">
        <f>IFERROR(__xludf.DUMMYFUNCTION("IMPORTRANGE(""https://docs.google.com/spreadsheets/d/""&amp;$A226&amp;""/edit#gid=156619080"",AD$3)"),4536.39)</f>
        <v>4536.39</v>
      </c>
      <c r="AE226" s="18">
        <f>IFERROR(__xludf.DUMMYFUNCTION("IMPORTRANGE(""https://docs.google.com/spreadsheets/d/""&amp;$A226&amp;""/edit#gid=156619080"",AE$3)"),4444.7)</f>
        <v>4444.7</v>
      </c>
      <c r="AF226" s="2">
        <f>IFERROR(__xludf.DUMMYFUNCTION("IMPORTRANGE(""https://docs.google.com/spreadsheets/d/""&amp;$A226&amp;""/edit#gid=156619080"",AF$3)"),4353.01)</f>
        <v>4353.01</v>
      </c>
      <c r="AG226" s="2">
        <f>IFERROR(__xludf.DUMMYFUNCTION("IMPORTRANGE(""https://docs.google.com/spreadsheets/d/""&amp;$A226&amp;""/edit#gid=156619080"",AG$3)"),4330.08)</f>
        <v>4330.08</v>
      </c>
      <c r="AH226" s="2">
        <f>IFERROR(__xludf.DUMMYFUNCTION("IMPORTRANGE(""https://docs.google.com/spreadsheets/d/""&amp;$A226&amp;""/edit#gid=156619080"",AH$3)"),4307.16)</f>
        <v>4307.16</v>
      </c>
      <c r="AI226" s="2">
        <f>IFERROR(__xludf.DUMMYFUNCTION("IMPORTRANGE(""https://docs.google.com/spreadsheets/d/""&amp;$A226&amp;""/edit#gid=156619080"",AI$3)"),4284.23)</f>
        <v>4284.23</v>
      </c>
      <c r="AJ226" s="2">
        <f>IFERROR(__xludf.DUMMYFUNCTION("IMPORTRANGE(""https://docs.google.com/spreadsheets/d/""&amp;$A226&amp;""/edit#gid=156619080"",AJ$3)"),4261.31)</f>
        <v>4261.31</v>
      </c>
      <c r="AK226" s="2" t="str">
        <f>IFERROR(__xludf.DUMMYFUNCTION("IMPORTRANGE(""https://docs.google.com/spreadsheets/d/""&amp;$A226&amp;""/edit#gid=156619080"",AK$3)"),"")</f>
        <v/>
      </c>
      <c r="AL226" s="2">
        <f>IFERROR(__xludf.DUMMYFUNCTION("IMPORTRANGE(""https://docs.google.com/spreadsheets/d/""&amp;$A226&amp;""/edit#gid=156619080"",AL$3)"),1.0)</f>
        <v>1</v>
      </c>
      <c r="AM226" s="2" t="str">
        <f>IFERROR(__xludf.DUMMYFUNCTION("IMPORTRANGE(""https://docs.google.com/spreadsheets/d/""&amp;$A226&amp;""/edit#gid=156619080"",AM$3)"),"")</f>
        <v/>
      </c>
      <c r="AN226" s="2">
        <f>IFERROR(__xludf.DUMMYFUNCTION("IMPORTRANGE(""https://docs.google.com/spreadsheets/d/""&amp;$A226&amp;""/edit#gid=156619080"",AN$3)"),1.0)</f>
        <v>1</v>
      </c>
      <c r="AO226" s="2" t="str">
        <f>IFERROR(__xludf.DUMMYFUNCTION("IMPORTRANGE(""https://docs.google.com/spreadsheets/d/""&amp;$A226&amp;""/edit#gid=156619080"",AO$3)"),"")</f>
        <v/>
      </c>
      <c r="AP226" s="2">
        <f>IFERROR(__xludf.DUMMYFUNCTION("IMPORTRANGE(""https://docs.google.com/spreadsheets/d/""&amp;$A226&amp;""/edit#gid=156619080"",AP$3)"),1.0)</f>
        <v>1</v>
      </c>
      <c r="AQ226" s="2" t="str">
        <f>IFERROR(__xludf.DUMMYFUNCTION("IMPORTRANGE(""https://docs.google.com/spreadsheets/d/""&amp;$A226&amp;""/edit#gid=156619080"",AQ$3)"),"")</f>
        <v/>
      </c>
      <c r="AR226" s="18">
        <f>IFERROR(__xludf.DUMMYFUNCTION("IMPORTRANGE(""https://docs.google.com/spreadsheets/d/""&amp;$A226&amp;""/edit#gid=156619080"",AR$3)"),-10.000000000000009)</f>
        <v>-10</v>
      </c>
      <c r="AS226" s="19" t="str">
        <f>IFERROR(__xludf.DUMMYFUNCTION("IMPORTRANGE(""https://docs.google.com/spreadsheets/d/""&amp;$A226&amp;""/edit#gid=156619080"",AS$3)"),"-60
-80
10
60
")</f>
        <v>-60
-80
10
60
</v>
      </c>
      <c r="AT226" s="18">
        <f>IFERROR(__xludf.DUMMYFUNCTION("IMPORTRANGE(""https://docs.google.com/spreadsheets/d/""&amp;$A226&amp;""/edit#gid=156619080"",AT$3)"),19.23076923076923)</f>
        <v>19.23076923</v>
      </c>
      <c r="AU226" s="3" t="str">
        <f>IFERROR(__xludf.DUMMYFUNCTION("IMPORTRANGE(""https://docs.google.com/spreadsheets/d/""&amp;$A226&amp;""/edit#gid=156619080"",AU$3)"),"70.88
59.34
54.95
49.45
")</f>
        <v>70.88
59.34
54.95
49.45
</v>
      </c>
      <c r="AV226" s="18">
        <f>IFERROR(__xludf.DUMMYFUNCTION("IMPORTRANGE(""https://docs.google.com/spreadsheets/d/""&amp;$A226&amp;""/edit#gid=156619080"",AV$3)"),70.3896103896104)</f>
        <v>70.38961039</v>
      </c>
      <c r="AW226" s="19" t="str">
        <f>IFERROR(__xludf.DUMMYFUNCTION("IMPORTRANGE(""https://docs.google.com/spreadsheets/d/""&amp;$A226&amp;""/edit#gid=156619080"",AW$3)"),"79.48
76.36
75.45
74.16
")</f>
        <v>79.48
76.36
75.45
74.16
</v>
      </c>
      <c r="AX226" s="2">
        <f>IFERROR(__xludf.DUMMYFUNCTION("IMPORTRANGE(""https://docs.google.com/spreadsheets/d/""&amp;$A226&amp;""/edit#gid=156619080"",AX$3)"),44.629999999999995)</f>
        <v>44.63</v>
      </c>
      <c r="AY226" s="2">
        <f>IFERROR(__xludf.DUMMYFUNCTION("IMPORTRANGE(""https://docs.google.com/spreadsheets/d/""&amp;$A226&amp;""/edit#gid=156619080"",AY$3)"),57.769999999999996)</f>
        <v>57.77</v>
      </c>
      <c r="AZ226" s="2">
        <f>IFERROR(__xludf.DUMMYFUNCTION("IMPORTRANGE(""https://docs.google.com/spreadsheets/d/""&amp;$A226&amp;""/edit#gid=156619080"",AZ$3)"),4516.46)</f>
        <v>4516.46</v>
      </c>
      <c r="BA226" s="2">
        <f>IFERROR(__xludf.DUMMYFUNCTION("IMPORTRANGE(""https://docs.google.com/spreadsheets/d/""&amp;$A226&amp;""/edit#gid=156619080"",BA$3)"),77.55000000000018)</f>
        <v>77.55</v>
      </c>
      <c r="BB226" s="2">
        <f>IFERROR(__xludf.DUMMYFUNCTION("IMPORTRANGE(""https://docs.google.com/spreadsheets/d/""&amp;$A226&amp;""/edit#gid=156619080"",BB$3)"),101.76)</f>
        <v>101.76</v>
      </c>
      <c r="BC226" s="2" t="str">
        <f>IFERROR(__xludf.DUMMYFUNCTION("IMPORTRANGE(""https://docs.google.com/spreadsheets/d/""&amp;$A226&amp;""/edit#gid=156619080"",BC$3)"),"DC→DC")</f>
        <v>DC→DC</v>
      </c>
    </row>
    <row r="227" ht="51.0" customHeight="1">
      <c r="A227" s="7" t="str">
        <f t="shared" si="5"/>
        <v>1frlc5VyJvCl9ZKf-fuin_kvSP1IcX5CEDsvMo9DjgXY</v>
      </c>
      <c r="B227" s="1" t="s">
        <v>254</v>
      </c>
      <c r="C227" s="2">
        <f>IFERROR(__xludf.DUMMYFUNCTION("IMPORTRANGE(""https://docs.google.com/spreadsheets/d/""&amp;$A227&amp;""/edit#gid=156619080"",C$3)"),131.0)</f>
        <v>131</v>
      </c>
      <c r="D227" s="2">
        <f>IFERROR(__xludf.DUMMYFUNCTION("IMPORTRANGE(""https://docs.google.com/spreadsheets/d/""&amp;$A227&amp;""/edit#gid=156619080"",D$3)"),6178.0)</f>
        <v>6178</v>
      </c>
      <c r="E227" s="15">
        <f>IFERROR(__xludf.DUMMYFUNCTION("IMPORTRANGE(""https://docs.google.com/spreadsheets/d/""&amp;$A227&amp;""/edit#gid=156619080"",E$3)"),43882.0)</f>
        <v>43882</v>
      </c>
      <c r="F227" s="2">
        <f>IFERROR(__xludf.DUMMYFUNCTION("IMPORTRANGE(""https://docs.google.com/spreadsheets/d/""&amp;$A227&amp;""/edit#gid=156619080"",F$3)"),-1.5)</f>
        <v>-1.5</v>
      </c>
      <c r="G227" s="16">
        <f>IFERROR(__xludf.DUMMYFUNCTION("IMPORTRANGE(""https://docs.google.com/spreadsheets/d/""&amp;$A227&amp;""/edit#gid=156619080"",G$3)"),-0.15)</f>
        <v>-0.15</v>
      </c>
      <c r="H227" s="16">
        <f>IFERROR(__xludf.DUMMYFUNCTION("IMPORTRANGE(""https://docs.google.com/spreadsheets/d/""&amp;$A227&amp;""/edit#gid=156619080"",H$3)"),1002.0)</f>
        <v>1002</v>
      </c>
      <c r="I227" s="16">
        <f>IFERROR(__xludf.DUMMYFUNCTION("IMPORTRANGE(""https://docs.google.com/spreadsheets/d/""&amp;$A227&amp;""/edit#gid=156619080"",I$3)"),3.0)</f>
        <v>3</v>
      </c>
      <c r="J227" s="16">
        <f>IFERROR(__xludf.DUMMYFUNCTION("IMPORTRANGE(""https://docs.google.com/spreadsheets/d/""&amp;$A227&amp;""/edit#gid=156619080"",J$3)"),1009.5)</f>
        <v>1009.5</v>
      </c>
      <c r="K227" s="16">
        <f>IFERROR(__xludf.DUMMYFUNCTION("IMPORTRANGE(""https://docs.google.com/spreadsheets/d/""&amp;$A227&amp;""/edit#gid=156619080"",K$3)"),0.44513888888888886)</f>
        <v>0.4451388889</v>
      </c>
      <c r="L227" s="16">
        <f>IFERROR(__xludf.DUMMYFUNCTION("IMPORTRANGE(""https://docs.google.com/spreadsheets/d/""&amp;$A227&amp;""/edit#gid=156619080"",L$3)"),1001.0)</f>
        <v>1001</v>
      </c>
      <c r="M227" s="16">
        <f>IFERROR(__xludf.DUMMYFUNCTION("IMPORTRANGE(""https://docs.google.com/spreadsheets/d/""&amp;$A227&amp;""/edit#gid=156619080"",M$3)"),0.375)</f>
        <v>0.375</v>
      </c>
      <c r="N227" s="16">
        <f>IFERROR(__xludf.DUMMYFUNCTION("IMPORTRANGE(""https://docs.google.com/spreadsheets/d/""&amp;$A227&amp;""/edit#gid=156619080"",N$3)"),1003.5)</f>
        <v>1003.5</v>
      </c>
      <c r="O227" s="16" t="str">
        <f>IFERROR(__xludf.DUMMYFUNCTION("IMPORTRANGE(""https://docs.google.com/spreadsheets/d/""&amp;$A227&amp;""/edit#gid=156619080"",O$3)"),"3187400株")</f>
        <v>3187400株</v>
      </c>
      <c r="P227" s="16" t="str">
        <f>IFERROR(__xludf.DUMMYFUNCTION("IMPORTRANGE(""https://docs.google.com/spreadsheets/d/""&amp;$A227&amp;""/edit#gid=156619080"",P$3)"),"3204百万円")</f>
        <v>3204百万円</v>
      </c>
      <c r="Q227" s="16" t="str">
        <f>IFERROR(__xludf.DUMMYFUNCTION("IMPORTRANGE(""https://docs.google.com/spreadsheets/d/""&amp;$A227&amp;""/edit#gid=156619080"",Q$3)"),"2127回")</f>
        <v>2127回</v>
      </c>
      <c r="R227" s="16" t="str">
        <f>IFERROR(__xludf.DUMMYFUNCTION("IMPORTRANGE(""https://docs.google.com/spreadsheets/d/""&amp;$A227&amp;""/edit#gid=156619080"",R$3)"),"45158億円")</f>
        <v>45158億円</v>
      </c>
      <c r="S227" s="16" t="str">
        <f>IFERROR(__xludf.DUMMYFUNCTION("IMPORTRANGE(""https://docs.google.com/spreadsheets/d/""&amp;$A227&amp;""/edit#gid=156619080"",S$3)"),"陽線")</f>
        <v>陽線</v>
      </c>
      <c r="T227" s="16" t="str">
        <f>IFERROR(__xludf.DUMMYFUNCTION("IMPORTRANGE(""https://docs.google.com/spreadsheets/d/""&amp;$A227&amp;""/edit#gid=156619080"",T$3)"),"")</f>
        <v/>
      </c>
      <c r="U227" s="16">
        <f>IFERROR(__xludf.DUMMYFUNCTION("IMPORTRANGE(""https://docs.google.com/spreadsheets/d/""&amp;$A227&amp;""/edit#gid=156619080"",U$3)"),1006.2)</f>
        <v>1006.2</v>
      </c>
      <c r="V227" s="16">
        <f>IFERROR(__xludf.DUMMYFUNCTION("IMPORTRANGE(""https://docs.google.com/spreadsheets/d/""&amp;$A227&amp;""/edit#gid=156619080"",V$3)"),1013.2)</f>
        <v>1013.2</v>
      </c>
      <c r="W227" s="16">
        <f>IFERROR(__xludf.DUMMYFUNCTION("IMPORTRANGE(""https://docs.google.com/spreadsheets/d/""&amp;$A227&amp;""/edit#gid=156619080"",W$3)"),1008.9)</f>
        <v>1008.9</v>
      </c>
      <c r="X227" s="2">
        <f>IFERROR(__xludf.DUMMYFUNCTION("IMPORTRANGE(""https://docs.google.com/spreadsheets/d/""&amp;$A227&amp;""/edit#gid=156619080"",X$3)"),1006.1)</f>
        <v>1006.1</v>
      </c>
      <c r="Y227" s="17">
        <f>IFERROR(__xludf.DUMMYFUNCTION("IMPORTRANGE(""https://docs.google.com/spreadsheets/d/""&amp;$A227&amp;""/edit#gid=156619080"",Y$3)"),-0.0026833631484794724)</f>
        <v>-0.002683363148</v>
      </c>
      <c r="Z227" s="2">
        <f>IFERROR(__xludf.DUMMYFUNCTION("IMPORTRANGE(""https://docs.google.com/spreadsheets/d/""&amp;$A227&amp;""/edit#gid=156619080"",Z$3)"),1032.68)</f>
        <v>1032.68</v>
      </c>
      <c r="AA227" s="2">
        <f>IFERROR(__xludf.DUMMYFUNCTION("IMPORTRANGE(""https://docs.google.com/spreadsheets/d/""&amp;$A227&amp;""/edit#gid=156619080"",AA$3)"),1029.71)</f>
        <v>1029.71</v>
      </c>
      <c r="AB227" s="2">
        <f>IFERROR(__xludf.DUMMYFUNCTION("IMPORTRANGE(""https://docs.google.com/spreadsheets/d/""&amp;$A227&amp;""/edit#gid=156619080"",AB$3)"),1026.73)</f>
        <v>1026.73</v>
      </c>
      <c r="AC227" s="18">
        <f>IFERROR(__xludf.DUMMYFUNCTION("IMPORTRANGE(""https://docs.google.com/spreadsheets/d/""&amp;$A227&amp;""/edit#gid=156619080"",AC$3)"),1023.76)</f>
        <v>1023.76</v>
      </c>
      <c r="AD227" s="18">
        <f>IFERROR(__xludf.DUMMYFUNCTION("IMPORTRANGE(""https://docs.google.com/spreadsheets/d/""&amp;$A227&amp;""/edit#gid=156619080"",AD$3)"),1020.79)</f>
        <v>1020.79</v>
      </c>
      <c r="AE227" s="18">
        <f>IFERROR(__xludf.DUMMYFUNCTION("IMPORTRANGE(""https://docs.google.com/spreadsheets/d/""&amp;$A227&amp;""/edit#gid=156619080"",AE$3)"),1008.9)</f>
        <v>1008.9</v>
      </c>
      <c r="AF227" s="2">
        <f>IFERROR(__xludf.DUMMYFUNCTION("IMPORTRANGE(""https://docs.google.com/spreadsheets/d/""&amp;$A227&amp;""/edit#gid=156619080"",AF$3)"),997.01)</f>
        <v>997.01</v>
      </c>
      <c r="AG227" s="2">
        <f>IFERROR(__xludf.DUMMYFUNCTION("IMPORTRANGE(""https://docs.google.com/spreadsheets/d/""&amp;$A227&amp;""/edit#gid=156619080"",AG$3)"),994.04)</f>
        <v>994.04</v>
      </c>
      <c r="AH227" s="2">
        <f>IFERROR(__xludf.DUMMYFUNCTION("IMPORTRANGE(""https://docs.google.com/spreadsheets/d/""&amp;$A227&amp;""/edit#gid=156619080"",AH$3)"),991.07)</f>
        <v>991.07</v>
      </c>
      <c r="AI227" s="2">
        <f>IFERROR(__xludf.DUMMYFUNCTION("IMPORTRANGE(""https://docs.google.com/spreadsheets/d/""&amp;$A227&amp;""/edit#gid=156619080"",AI$3)"),988.09)</f>
        <v>988.09</v>
      </c>
      <c r="AJ227" s="2">
        <f>IFERROR(__xludf.DUMMYFUNCTION("IMPORTRANGE(""https://docs.google.com/spreadsheets/d/""&amp;$A227&amp;""/edit#gid=156619080"",AJ$3)"),985.12)</f>
        <v>985.12</v>
      </c>
      <c r="AK227" s="2" t="str">
        <f>IFERROR(__xludf.DUMMYFUNCTION("IMPORTRANGE(""https://docs.google.com/spreadsheets/d/""&amp;$A227&amp;""/edit#gid=156619080"",AK$3)"),"")</f>
        <v/>
      </c>
      <c r="AL227" s="2">
        <f>IFERROR(__xludf.DUMMYFUNCTION("IMPORTRANGE(""https://docs.google.com/spreadsheets/d/""&amp;$A227&amp;""/edit#gid=156619080"",AL$3)"),-1.0)</f>
        <v>-1</v>
      </c>
      <c r="AM227" s="2" t="str">
        <f>IFERROR(__xludf.DUMMYFUNCTION("IMPORTRANGE(""https://docs.google.com/spreadsheets/d/""&amp;$A227&amp;""/edit#gid=156619080"",AM$3)"),"")</f>
        <v/>
      </c>
      <c r="AN227" s="2">
        <f>IFERROR(__xludf.DUMMYFUNCTION("IMPORTRANGE(""https://docs.google.com/spreadsheets/d/""&amp;$A227&amp;""/edit#gid=156619080"",AN$3)"),-1.0)</f>
        <v>-1</v>
      </c>
      <c r="AO227" s="2" t="str">
        <f>IFERROR(__xludf.DUMMYFUNCTION("IMPORTRANGE(""https://docs.google.com/spreadsheets/d/""&amp;$A227&amp;""/edit#gid=156619080"",AO$3)"),"")</f>
        <v/>
      </c>
      <c r="AP227" s="2">
        <f>IFERROR(__xludf.DUMMYFUNCTION("IMPORTRANGE(""https://docs.google.com/spreadsheets/d/""&amp;$A227&amp;""/edit#gid=156619080"",AP$3)"),1.0)</f>
        <v>1</v>
      </c>
      <c r="AQ227" s="2" t="str">
        <f>IFERROR(__xludf.DUMMYFUNCTION("IMPORTRANGE(""https://docs.google.com/spreadsheets/d/""&amp;$A227&amp;""/edit#gid=156619080"",AQ$3)"),"")</f>
        <v/>
      </c>
      <c r="AR227" s="18">
        <f>IFERROR(__xludf.DUMMYFUNCTION("IMPORTRANGE(""https://docs.google.com/spreadsheets/d/""&amp;$A227&amp;""/edit#gid=156619080"",AR$3)"),-77.49999999999999)</f>
        <v>-77.5</v>
      </c>
      <c r="AS227" s="19" t="str">
        <f>IFERROR(__xludf.DUMMYFUNCTION("IMPORTRANGE(""https://docs.google.com/spreadsheets/d/""&amp;$A227&amp;""/edit#gid=156619080"",AS$3)"),"-90
10
12.5
22.5
")</f>
        <v>-90
10
12.5
22.5
</v>
      </c>
      <c r="AT227" s="18">
        <f>IFERROR(__xludf.DUMMYFUNCTION("IMPORTRANGE(""https://docs.google.com/spreadsheets/d/""&amp;$A227&amp;""/edit#gid=156619080"",AT$3)"),-67.58241758241759)</f>
        <v>-67.58241758</v>
      </c>
      <c r="AU227" s="3" t="str">
        <f>IFERROR(__xludf.DUMMYFUNCTION("IMPORTRANGE(""https://docs.google.com/spreadsheets/d/""&amp;$A227&amp;""/edit#gid=156619080"",AU$3)"),"48.21
34.48
6.59
-27.47
")</f>
        <v>48.21
34.48
6.59
-27.47
</v>
      </c>
      <c r="AV227" s="18">
        <f>IFERROR(__xludf.DUMMYFUNCTION("IMPORTRANGE(""https://docs.google.com/spreadsheets/d/""&amp;$A227&amp;""/edit#gid=156619080"",AV$3)"),4.707792207792205)</f>
        <v>4.707792208</v>
      </c>
      <c r="AW227" s="19" t="str">
        <f>IFERROR(__xludf.DUMMYFUNCTION("IMPORTRANGE(""https://docs.google.com/spreadsheets/d/""&amp;$A227&amp;""/edit#gid=156619080"",AW$3)"),"-20.29
-10.91
-5.42
-2.69
")</f>
        <v>-20.29
-10.91
-5.42
-2.69
</v>
      </c>
      <c r="AX227" s="2">
        <f>IFERROR(__xludf.DUMMYFUNCTION("IMPORTRANGE(""https://docs.google.com/spreadsheets/d/""&amp;$A227&amp;""/edit#gid=156619080"",AX$3)"),54.290000000000006)</f>
        <v>54.29</v>
      </c>
      <c r="AY227" s="2">
        <f>IFERROR(__xludf.DUMMYFUNCTION("IMPORTRANGE(""https://docs.google.com/spreadsheets/d/""&amp;$A227&amp;""/edit#gid=156619080"",AY$3)"),42.78)</f>
        <v>42.78</v>
      </c>
      <c r="AZ227" s="2">
        <f>IFERROR(__xludf.DUMMYFUNCTION("IMPORTRANGE(""https://docs.google.com/spreadsheets/d/""&amp;$A227&amp;""/edit#gid=156619080"",AZ$3)"),1006.03)</f>
        <v>1006.03</v>
      </c>
      <c r="BA227" s="2">
        <f>IFERROR(__xludf.DUMMYFUNCTION("IMPORTRANGE(""https://docs.google.com/spreadsheets/d/""&amp;$A227&amp;""/edit#gid=156619080"",BA$3)"),-5.300000000000068)</f>
        <v>-5.3</v>
      </c>
      <c r="BB227" s="2">
        <f>IFERROR(__xludf.DUMMYFUNCTION("IMPORTRANGE(""https://docs.google.com/spreadsheets/d/""&amp;$A227&amp;""/edit#gid=156619080"",BB$3)"),-3.87)</f>
        <v>-3.87</v>
      </c>
      <c r="BC227" s="2" t="str">
        <f>IFERROR(__xludf.DUMMYFUNCTION("IMPORTRANGE(""https://docs.google.com/spreadsheets/d/""&amp;$A227&amp;""/edit#gid=156619080"",BC$3)"),"DC→DC")</f>
        <v>DC→DC</v>
      </c>
    </row>
    <row r="228" ht="51.0" customHeight="1">
      <c r="A228" s="7" t="str">
        <f t="shared" si="5"/>
        <v>1gqP2TYcTlKnPivG7TYjLE7efrn2MZs2f0SuN33a3J_s</v>
      </c>
      <c r="B228" s="1" t="s">
        <v>255</v>
      </c>
      <c r="C228" s="2">
        <f>IFERROR(__xludf.DUMMYFUNCTION("IMPORTRANGE(""https://docs.google.com/spreadsheets/d/""&amp;$A228&amp;""/edit#gid=156619080"",C$3)"),131.0)</f>
        <v>131</v>
      </c>
      <c r="D228" s="2">
        <f>IFERROR(__xludf.DUMMYFUNCTION("IMPORTRANGE(""https://docs.google.com/spreadsheets/d/""&amp;$A228&amp;""/edit#gid=156619080"",D$3)"),9602.0)</f>
        <v>9602</v>
      </c>
      <c r="E228" s="15">
        <f>IFERROR(__xludf.DUMMYFUNCTION("IMPORTRANGE(""https://docs.google.com/spreadsheets/d/""&amp;$A228&amp;""/edit#gid=156619080"",E$3)"),43882.0)</f>
        <v>43882</v>
      </c>
      <c r="F228" s="2">
        <f>IFERROR(__xludf.DUMMYFUNCTION("IMPORTRANGE(""https://docs.google.com/spreadsheets/d/""&amp;$A228&amp;""/edit#gid=156619080"",F$3)"),-40.0)</f>
        <v>-40</v>
      </c>
      <c r="G228" s="16">
        <f>IFERROR(__xludf.DUMMYFUNCTION("IMPORTRANGE(""https://docs.google.com/spreadsheets/d/""&amp;$A228&amp;""/edit#gid=156619080"",G$3)"),-1.03)</f>
        <v>-1.03</v>
      </c>
      <c r="H228" s="16">
        <f>IFERROR(__xludf.DUMMYFUNCTION("IMPORTRANGE(""https://docs.google.com/spreadsheets/d/""&amp;$A228&amp;""/edit#gid=156619080"",H$3)"),3830.0)</f>
        <v>3830</v>
      </c>
      <c r="I228" s="16">
        <f>IFERROR(__xludf.DUMMYFUNCTION("IMPORTRANGE(""https://docs.google.com/spreadsheets/d/""&amp;$A228&amp;""/edit#gid=156619080"",I$3)"),40.0)</f>
        <v>40</v>
      </c>
      <c r="J228" s="16">
        <f>IFERROR(__xludf.DUMMYFUNCTION("IMPORTRANGE(""https://docs.google.com/spreadsheets/d/""&amp;$A228&amp;""/edit#gid=156619080"",J$3)"),3885.0)</f>
        <v>3885</v>
      </c>
      <c r="K228" s="16">
        <f>IFERROR(__xludf.DUMMYFUNCTION("IMPORTRANGE(""https://docs.google.com/spreadsheets/d/""&amp;$A228&amp;""/edit#gid=156619080"",K$3)"),0.3958333333333333)</f>
        <v>0.3958333333</v>
      </c>
      <c r="L228" s="16">
        <f>IFERROR(__xludf.DUMMYFUNCTION("IMPORTRANGE(""https://docs.google.com/spreadsheets/d/""&amp;$A228&amp;""/edit#gid=156619080"",L$3)"),3820.0)</f>
        <v>3820</v>
      </c>
      <c r="M228" s="16">
        <f>IFERROR(__xludf.DUMMYFUNCTION("IMPORTRANGE(""https://docs.google.com/spreadsheets/d/""&amp;$A228&amp;""/edit#gid=156619080"",M$3)"),0.375)</f>
        <v>0.375</v>
      </c>
      <c r="N228" s="16">
        <f>IFERROR(__xludf.DUMMYFUNCTION("IMPORTRANGE(""https://docs.google.com/spreadsheets/d/""&amp;$A228&amp;""/edit#gid=156619080"",N$3)"),3830.0)</f>
        <v>3830</v>
      </c>
      <c r="O228" s="16" t="str">
        <f>IFERROR(__xludf.DUMMYFUNCTION("IMPORTRANGE(""https://docs.google.com/spreadsheets/d/""&amp;$A228&amp;""/edit#gid=156619080"",O$3)"),"615900株")</f>
        <v>615900株</v>
      </c>
      <c r="P228" s="16" t="str">
        <f>IFERROR(__xludf.DUMMYFUNCTION("IMPORTRANGE(""https://docs.google.com/spreadsheets/d/""&amp;$A228&amp;""/edit#gid=156619080"",P$3)"),"2365百万円")</f>
        <v>2365百万円</v>
      </c>
      <c r="Q228" s="16" t="str">
        <f>IFERROR(__xludf.DUMMYFUNCTION("IMPORTRANGE(""https://docs.google.com/spreadsheets/d/""&amp;$A228&amp;""/edit#gid=156619080"",Q$3)"),"973回")</f>
        <v>973回</v>
      </c>
      <c r="R228" s="16" t="str">
        <f>IFERROR(__xludf.DUMMYFUNCTION("IMPORTRANGE(""https://docs.google.com/spreadsheets/d/""&amp;$A228&amp;""/edit#gid=156619080"",R$3)"),"7143億円")</f>
        <v>7143億円</v>
      </c>
      <c r="S228" s="16" t="str">
        <f>IFERROR(__xludf.DUMMYFUNCTION("IMPORTRANGE(""https://docs.google.com/spreadsheets/d/""&amp;$A228&amp;""/edit#gid=156619080"",S$3)"),"一本線")</f>
        <v>一本線</v>
      </c>
      <c r="T228" s="16" t="str">
        <f>IFERROR(__xludf.DUMMYFUNCTION("IMPORTRANGE(""https://docs.google.com/spreadsheets/d/""&amp;$A228&amp;""/edit#gid=156619080"",T$3)"),"")</f>
        <v/>
      </c>
      <c r="U228" s="16">
        <f>IFERROR(__xludf.DUMMYFUNCTION("IMPORTRANGE(""https://docs.google.com/spreadsheets/d/""&amp;$A228&amp;""/edit#gid=156619080"",U$3)"),3882.0)</f>
        <v>3882</v>
      </c>
      <c r="V228" s="16">
        <f>IFERROR(__xludf.DUMMYFUNCTION("IMPORTRANGE(""https://docs.google.com/spreadsheets/d/""&amp;$A228&amp;""/edit#gid=156619080"",V$3)"),4037.7)</f>
        <v>4037.7</v>
      </c>
      <c r="W228" s="16">
        <f>IFERROR(__xludf.DUMMYFUNCTION("IMPORTRANGE(""https://docs.google.com/spreadsheets/d/""&amp;$A228&amp;""/edit#gid=156619080"",W$3)"),4069.5)</f>
        <v>4069.5</v>
      </c>
      <c r="X228" s="2">
        <f>IFERROR(__xludf.DUMMYFUNCTION("IMPORTRANGE(""https://docs.google.com/spreadsheets/d/""&amp;$A228&amp;""/edit#gid=156619080"",X$3)"),4393.5)</f>
        <v>4393.5</v>
      </c>
      <c r="Y228" s="17">
        <f>IFERROR(__xludf.DUMMYFUNCTION("IMPORTRANGE(""https://docs.google.com/spreadsheets/d/""&amp;$A228&amp;""/edit#gid=156619080"",Y$3)"),-0.013395157135497167)</f>
        <v>-0.01339515714</v>
      </c>
      <c r="Z228" s="2">
        <f>IFERROR(__xludf.DUMMYFUNCTION("IMPORTRANGE(""https://docs.google.com/spreadsheets/d/""&amp;$A228&amp;""/edit#gid=156619080"",Z$3)"),4315.78)</f>
        <v>4315.78</v>
      </c>
      <c r="AA228" s="2">
        <f>IFERROR(__xludf.DUMMYFUNCTION("IMPORTRANGE(""https://docs.google.com/spreadsheets/d/""&amp;$A228&amp;""/edit#gid=156619080"",AA$3)"),4285.0)</f>
        <v>4285</v>
      </c>
      <c r="AB228" s="2">
        <f>IFERROR(__xludf.DUMMYFUNCTION("IMPORTRANGE(""https://docs.google.com/spreadsheets/d/""&amp;$A228&amp;""/edit#gid=156619080"",AB$3)"),4254.21)</f>
        <v>4254.21</v>
      </c>
      <c r="AC228" s="18">
        <f>IFERROR(__xludf.DUMMYFUNCTION("IMPORTRANGE(""https://docs.google.com/spreadsheets/d/""&amp;$A228&amp;""/edit#gid=156619080"",AC$3)"),4223.43)</f>
        <v>4223.43</v>
      </c>
      <c r="AD228" s="18">
        <f>IFERROR(__xludf.DUMMYFUNCTION("IMPORTRANGE(""https://docs.google.com/spreadsheets/d/""&amp;$A228&amp;""/edit#gid=156619080"",AD$3)"),4192.64)</f>
        <v>4192.64</v>
      </c>
      <c r="AE228" s="18">
        <f>IFERROR(__xludf.DUMMYFUNCTION("IMPORTRANGE(""https://docs.google.com/spreadsheets/d/""&amp;$A228&amp;""/edit#gid=156619080"",AE$3)"),4069.5)</f>
        <v>4069.5</v>
      </c>
      <c r="AF228" s="2">
        <f>IFERROR(__xludf.DUMMYFUNCTION("IMPORTRANGE(""https://docs.google.com/spreadsheets/d/""&amp;$A228&amp;""/edit#gid=156619080"",AF$3)"),3946.36)</f>
        <v>3946.36</v>
      </c>
      <c r="AG228" s="2">
        <f>IFERROR(__xludf.DUMMYFUNCTION("IMPORTRANGE(""https://docs.google.com/spreadsheets/d/""&amp;$A228&amp;""/edit#gid=156619080"",AG$3)"),3915.57)</f>
        <v>3915.57</v>
      </c>
      <c r="AH228" s="2">
        <f>IFERROR(__xludf.DUMMYFUNCTION("IMPORTRANGE(""https://docs.google.com/spreadsheets/d/""&amp;$A228&amp;""/edit#gid=156619080"",AH$3)"),3884.79)</f>
        <v>3884.79</v>
      </c>
      <c r="AI228" s="2">
        <f>IFERROR(__xludf.DUMMYFUNCTION("IMPORTRANGE(""https://docs.google.com/spreadsheets/d/""&amp;$A228&amp;""/edit#gid=156619080"",AI$3)"),3854.0)</f>
        <v>3854</v>
      </c>
      <c r="AJ228" s="2">
        <f>IFERROR(__xludf.DUMMYFUNCTION("IMPORTRANGE(""https://docs.google.com/spreadsheets/d/""&amp;$A228&amp;""/edit#gid=156619080"",AJ$3)"),3823.22)</f>
        <v>3823.22</v>
      </c>
      <c r="AK228" s="2" t="str">
        <f>IFERROR(__xludf.DUMMYFUNCTION("IMPORTRANGE(""https://docs.google.com/spreadsheets/d/""&amp;$A228&amp;""/edit#gid=156619080"",AK$3)"),"-1.75σ〜-2σ")</f>
        <v>-1.75σ〜-2σ</v>
      </c>
      <c r="AL228" s="2">
        <f>IFERROR(__xludf.DUMMYFUNCTION("IMPORTRANGE(""https://docs.google.com/spreadsheets/d/""&amp;$A228&amp;""/edit#gid=156619080"",AL$3)"),-1.0)</f>
        <v>-1</v>
      </c>
      <c r="AM228" s="2" t="str">
        <f>IFERROR(__xludf.DUMMYFUNCTION("IMPORTRANGE(""https://docs.google.com/spreadsheets/d/""&amp;$A228&amp;""/edit#gid=156619080"",AM$3)"),"")</f>
        <v/>
      </c>
      <c r="AN228" s="2">
        <f>IFERROR(__xludf.DUMMYFUNCTION("IMPORTRANGE(""https://docs.google.com/spreadsheets/d/""&amp;$A228&amp;""/edit#gid=156619080"",AN$3)"),-1.0)</f>
        <v>-1</v>
      </c>
      <c r="AO228" s="2" t="str">
        <f>IFERROR(__xludf.DUMMYFUNCTION("IMPORTRANGE(""https://docs.google.com/spreadsheets/d/""&amp;$A228&amp;""/edit#gid=156619080"",AO$3)"),"")</f>
        <v/>
      </c>
      <c r="AP228" s="2">
        <f>IFERROR(__xludf.DUMMYFUNCTION("IMPORTRANGE(""https://docs.google.com/spreadsheets/d/""&amp;$A228&amp;""/edit#gid=156619080"",AP$3)"),-1.0)</f>
        <v>-1</v>
      </c>
      <c r="AQ228" s="2" t="str">
        <f>IFERROR(__xludf.DUMMYFUNCTION("IMPORTRANGE(""https://docs.google.com/spreadsheets/d/""&amp;$A228&amp;""/edit#gid=156619080"",AQ$3)"),"")</f>
        <v/>
      </c>
      <c r="AR228" s="18">
        <f>IFERROR(__xludf.DUMMYFUNCTION("IMPORTRANGE(""https://docs.google.com/spreadsheets/d/""&amp;$A228&amp;""/edit#gid=156619080"",AR$3)"),-89.99999999999999)</f>
        <v>-90</v>
      </c>
      <c r="AS228" s="19" t="str">
        <f>IFERROR(__xludf.DUMMYFUNCTION("IMPORTRANGE(""https://docs.google.com/spreadsheets/d/""&amp;$A228&amp;""/edit#gid=156619080"",AS$3)"),"-100
-100
-90
-90
")</f>
        <v>-100
-100
-90
-90
</v>
      </c>
      <c r="AT228" s="18">
        <f>IFERROR(__xludf.DUMMYFUNCTION("IMPORTRANGE(""https://docs.google.com/spreadsheets/d/""&amp;$A228&amp;""/edit#gid=156619080"",AT$3)"),-75.41208791208791)</f>
        <v>-75.41208791</v>
      </c>
      <c r="AU228" s="3" t="str">
        <f>IFERROR(__xludf.DUMMYFUNCTION("IMPORTRANGE(""https://docs.google.com/spreadsheets/d/""&amp;$A228&amp;""/edit#gid=156619080"",AU$3)"),"2.47
-11.68
-32.55
-55.63
")</f>
        <v>2.47
-11.68
-32.55
-55.63
</v>
      </c>
      <c r="AV228" s="18">
        <f>IFERROR(__xludf.DUMMYFUNCTION("IMPORTRANGE(""https://docs.google.com/spreadsheets/d/""&amp;$A228&amp;""/edit#gid=156619080"",AV$3)"),-63.37662337662338)</f>
        <v>-63.37662338</v>
      </c>
      <c r="AW228" s="19" t="str">
        <f>IFERROR(__xludf.DUMMYFUNCTION("IMPORTRANGE(""https://docs.google.com/spreadsheets/d/""&amp;$A228&amp;""/edit#gid=156619080"",AW$3)"),"-63.25
-63.38
-63.25
-63.38
")</f>
        <v>-63.25
-63.38
-63.25
-63.38
</v>
      </c>
      <c r="AX228" s="2">
        <f>IFERROR(__xludf.DUMMYFUNCTION("IMPORTRANGE(""https://docs.google.com/spreadsheets/d/""&amp;$A228&amp;""/edit#gid=156619080"",AX$3)"),2.04)</f>
        <v>2.04</v>
      </c>
      <c r="AY228" s="2">
        <f>IFERROR(__xludf.DUMMYFUNCTION("IMPORTRANGE(""https://docs.google.com/spreadsheets/d/""&amp;$A228&amp;""/edit#gid=156619080"",AY$3)"),27.939999999999998)</f>
        <v>27.94</v>
      </c>
      <c r="AZ228" s="2">
        <f>IFERROR(__xludf.DUMMYFUNCTION("IMPORTRANGE(""https://docs.google.com/spreadsheets/d/""&amp;$A228&amp;""/edit#gid=156619080"",AZ$3)"),3898.82)</f>
        <v>3898.82</v>
      </c>
      <c r="BA228" s="2">
        <f>IFERROR(__xludf.DUMMYFUNCTION("IMPORTRANGE(""https://docs.google.com/spreadsheets/d/""&amp;$A228&amp;""/edit#gid=156619080"",BA$3)"),-171.19999999999982)</f>
        <v>-171.2</v>
      </c>
      <c r="BB228" s="2">
        <f>IFERROR(__xludf.DUMMYFUNCTION("IMPORTRANGE(""https://docs.google.com/spreadsheets/d/""&amp;$A228&amp;""/edit#gid=156619080"",BB$3)"),-122.5)</f>
        <v>-122.5</v>
      </c>
      <c r="BC228" s="2" t="str">
        <f>IFERROR(__xludf.DUMMYFUNCTION("IMPORTRANGE(""https://docs.google.com/spreadsheets/d/""&amp;$A228&amp;""/edit#gid=156619080"",BC$3)"),"DC→DC")</f>
        <v>DC→DC</v>
      </c>
    </row>
    <row r="229" ht="51.0" customHeight="1">
      <c r="A229" s="7" t="str">
        <f t="shared" si="5"/>
        <v>1mLp9JRKIowkR_mGIjsfhmxSXTIVh2o2Eyj9Uy9MWHBY</v>
      </c>
      <c r="B229" s="1" t="s">
        <v>256</v>
      </c>
      <c r="C229" s="2">
        <f>IFERROR(__xludf.DUMMYFUNCTION("IMPORTRANGE(""https://docs.google.com/spreadsheets/d/""&amp;$A229&amp;""/edit#gid=156619080"",C$3)"),131.0)</f>
        <v>131</v>
      </c>
      <c r="D229" s="2">
        <f>IFERROR(__xludf.DUMMYFUNCTION("IMPORTRANGE(""https://docs.google.com/spreadsheets/d/""&amp;$A229&amp;""/edit#gid=156619080"",D$3)"),9681.0)</f>
        <v>9681</v>
      </c>
      <c r="E229" s="15">
        <f>IFERROR(__xludf.DUMMYFUNCTION("IMPORTRANGE(""https://docs.google.com/spreadsheets/d/""&amp;$A229&amp;""/edit#gid=156619080"",E$3)"),43882.0)</f>
        <v>43882</v>
      </c>
      <c r="F229" s="2">
        <f>IFERROR(__xludf.DUMMYFUNCTION("IMPORTRANGE(""https://docs.google.com/spreadsheets/d/""&amp;$A229&amp;""/edit#gid=156619080"",F$3)"),-39.0)</f>
        <v>-39</v>
      </c>
      <c r="G229" s="16">
        <f>IFERROR(__xludf.DUMMYFUNCTION("IMPORTRANGE(""https://docs.google.com/spreadsheets/d/""&amp;$A229&amp;""/edit#gid=156619080"",G$3)"),-4.03)</f>
        <v>-4.03</v>
      </c>
      <c r="H229" s="16">
        <f>IFERROR(__xludf.DUMMYFUNCTION("IMPORTRANGE(""https://docs.google.com/spreadsheets/d/""&amp;$A229&amp;""/edit#gid=156619080"",H$3)"),958.0)</f>
        <v>958</v>
      </c>
      <c r="I229" s="16">
        <f>IFERROR(__xludf.DUMMYFUNCTION("IMPORTRANGE(""https://docs.google.com/spreadsheets/d/""&amp;$A229&amp;""/edit#gid=156619080"",I$3)"),9.0)</f>
        <v>9</v>
      </c>
      <c r="J229" s="16">
        <f>IFERROR(__xludf.DUMMYFUNCTION("IMPORTRANGE(""https://docs.google.com/spreadsheets/d/""&amp;$A229&amp;""/edit#gid=156619080"",J$3)"),961.0)</f>
        <v>961</v>
      </c>
      <c r="K229" s="16">
        <f>IFERROR(__xludf.DUMMYFUNCTION("IMPORTRANGE(""https://docs.google.com/spreadsheets/d/""&amp;$A229&amp;""/edit#gid=156619080"",K$3)"),0.3770833333333333)</f>
        <v>0.3770833333</v>
      </c>
      <c r="L229" s="16">
        <f>IFERROR(__xludf.DUMMYFUNCTION("IMPORTRANGE(""https://docs.google.com/spreadsheets/d/""&amp;$A229&amp;""/edit#gid=156619080"",L$3)"),924.0)</f>
        <v>924</v>
      </c>
      <c r="M229" s="16">
        <f>IFERROR(__xludf.DUMMYFUNCTION("IMPORTRANGE(""https://docs.google.com/spreadsheets/d/""&amp;$A229&amp;""/edit#gid=156619080"",M$3)"),0.6083333333333333)</f>
        <v>0.6083333333</v>
      </c>
      <c r="N229" s="16">
        <f>IFERROR(__xludf.DUMMYFUNCTION("IMPORTRANGE(""https://docs.google.com/spreadsheets/d/""&amp;$A229&amp;""/edit#gid=156619080"",N$3)"),928.0)</f>
        <v>928</v>
      </c>
      <c r="O229" s="16" t="str">
        <f>IFERROR(__xludf.DUMMYFUNCTION("IMPORTRANGE(""https://docs.google.com/spreadsheets/d/""&amp;$A229&amp;""/edit#gid=156619080"",O$3)"),"875800株")</f>
        <v>875800株</v>
      </c>
      <c r="P229" s="16" t="str">
        <f>IFERROR(__xludf.DUMMYFUNCTION("IMPORTRANGE(""https://docs.google.com/spreadsheets/d/""&amp;$A229&amp;""/edit#gid=156619080"",P$3)"),"822百万円")</f>
        <v>822百万円</v>
      </c>
      <c r="Q229" s="16" t="str">
        <f>IFERROR(__xludf.DUMMYFUNCTION("IMPORTRANGE(""https://docs.google.com/spreadsheets/d/""&amp;$A229&amp;""/edit#gid=156619080"",Q$3)"),"1316回")</f>
        <v>1316回</v>
      </c>
      <c r="R229" s="16" t="str">
        <f>IFERROR(__xludf.DUMMYFUNCTION("IMPORTRANGE(""https://docs.google.com/spreadsheets/d/""&amp;$A229&amp;""/edit#gid=156619080"",R$3)"),"890億円")</f>
        <v>890億円</v>
      </c>
      <c r="S229" s="16" t="str">
        <f>IFERROR(__xludf.DUMMYFUNCTION("IMPORTRANGE(""https://docs.google.com/spreadsheets/d/""&amp;$A229&amp;""/edit#gid=156619080"",S$3)"),"陰線")</f>
        <v>陰線</v>
      </c>
      <c r="T229" s="16" t="str">
        <f>IFERROR(__xludf.DUMMYFUNCTION("IMPORTRANGE(""https://docs.google.com/spreadsheets/d/""&amp;$A229&amp;""/edit#gid=156619080"",T$3)"),"")</f>
        <v/>
      </c>
      <c r="U229" s="16">
        <f>IFERROR(__xludf.DUMMYFUNCTION("IMPORTRANGE(""https://docs.google.com/spreadsheets/d/""&amp;$A229&amp;""/edit#gid=156619080"",U$3)"),954.6)</f>
        <v>954.6</v>
      </c>
      <c r="V229" s="16">
        <f>IFERROR(__xludf.DUMMYFUNCTION("IMPORTRANGE(""https://docs.google.com/spreadsheets/d/""&amp;$A229&amp;""/edit#gid=156619080"",V$3)"),999.4)</f>
        <v>999.4</v>
      </c>
      <c r="W229" s="16">
        <f>IFERROR(__xludf.DUMMYFUNCTION("IMPORTRANGE(""https://docs.google.com/spreadsheets/d/""&amp;$A229&amp;""/edit#gid=156619080"",W$3)"),1016.0)</f>
        <v>1016</v>
      </c>
      <c r="X229" s="2">
        <f>IFERROR(__xludf.DUMMYFUNCTION("IMPORTRANGE(""https://docs.google.com/spreadsheets/d/""&amp;$A229&amp;""/edit#gid=156619080"",X$3)"),1013.5)</f>
        <v>1013.5</v>
      </c>
      <c r="Y229" s="17">
        <f>IFERROR(__xludf.DUMMYFUNCTION("IMPORTRANGE(""https://docs.google.com/spreadsheets/d/""&amp;$A229&amp;""/edit#gid=156619080"",Y$3)"),-0.02786507437670231)</f>
        <v>-0.02786507438</v>
      </c>
      <c r="Z229" s="2">
        <f>IFERROR(__xludf.DUMMYFUNCTION("IMPORTRANGE(""https://docs.google.com/spreadsheets/d/""&amp;$A229&amp;""/edit#gid=156619080"",Z$3)"),1093.58)</f>
        <v>1093.58</v>
      </c>
      <c r="AA229" s="2">
        <f>IFERROR(__xludf.DUMMYFUNCTION("IMPORTRANGE(""https://docs.google.com/spreadsheets/d/""&amp;$A229&amp;""/edit#gid=156619080"",AA$3)"),1083.88)</f>
        <v>1083.88</v>
      </c>
      <c r="AB229" s="2">
        <f>IFERROR(__xludf.DUMMYFUNCTION("IMPORTRANGE(""https://docs.google.com/spreadsheets/d/""&amp;$A229&amp;""/edit#gid=156619080"",AB$3)"),1074.18)</f>
        <v>1074.18</v>
      </c>
      <c r="AC229" s="18">
        <f>IFERROR(__xludf.DUMMYFUNCTION("IMPORTRANGE(""https://docs.google.com/spreadsheets/d/""&amp;$A229&amp;""/edit#gid=156619080"",AC$3)"),1064.49)</f>
        <v>1064.49</v>
      </c>
      <c r="AD229" s="18">
        <f>IFERROR(__xludf.DUMMYFUNCTION("IMPORTRANGE(""https://docs.google.com/spreadsheets/d/""&amp;$A229&amp;""/edit#gid=156619080"",AD$3)"),1054.79)</f>
        <v>1054.79</v>
      </c>
      <c r="AE229" s="18">
        <f>IFERROR(__xludf.DUMMYFUNCTION("IMPORTRANGE(""https://docs.google.com/spreadsheets/d/""&amp;$A229&amp;""/edit#gid=156619080"",AE$3)"),1016.0)</f>
        <v>1016</v>
      </c>
      <c r="AF229" s="2">
        <f>IFERROR(__xludf.DUMMYFUNCTION("IMPORTRANGE(""https://docs.google.com/spreadsheets/d/""&amp;$A229&amp;""/edit#gid=156619080"",AF$3)"),977.21)</f>
        <v>977.21</v>
      </c>
      <c r="AG229" s="2">
        <f>IFERROR(__xludf.DUMMYFUNCTION("IMPORTRANGE(""https://docs.google.com/spreadsheets/d/""&amp;$A229&amp;""/edit#gid=156619080"",AG$3)"),967.51)</f>
        <v>967.51</v>
      </c>
      <c r="AH229" s="2">
        <f>IFERROR(__xludf.DUMMYFUNCTION("IMPORTRANGE(""https://docs.google.com/spreadsheets/d/""&amp;$A229&amp;""/edit#gid=156619080"",AH$3)"),957.82)</f>
        <v>957.82</v>
      </c>
      <c r="AI229" s="2">
        <f>IFERROR(__xludf.DUMMYFUNCTION("IMPORTRANGE(""https://docs.google.com/spreadsheets/d/""&amp;$A229&amp;""/edit#gid=156619080"",AI$3)"),948.12)</f>
        <v>948.12</v>
      </c>
      <c r="AJ229" s="2">
        <f>IFERROR(__xludf.DUMMYFUNCTION("IMPORTRANGE(""https://docs.google.com/spreadsheets/d/""&amp;$A229&amp;""/edit#gid=156619080"",AJ$3)"),938.42)</f>
        <v>938.42</v>
      </c>
      <c r="AK229" s="2" t="str">
        <f>IFERROR(__xludf.DUMMYFUNCTION("IMPORTRANGE(""https://docs.google.com/spreadsheets/d/""&amp;$A229&amp;""/edit#gid=156619080"",AK$3)"),"-2σ以下")</f>
        <v>-2σ以下</v>
      </c>
      <c r="AL229" s="2">
        <f>IFERROR(__xludf.DUMMYFUNCTION("IMPORTRANGE(""https://docs.google.com/spreadsheets/d/""&amp;$A229&amp;""/edit#gid=156619080"",AL$3)"),-1.0)</f>
        <v>-1</v>
      </c>
      <c r="AM229" s="2" t="str">
        <f>IFERROR(__xludf.DUMMYFUNCTION("IMPORTRANGE(""https://docs.google.com/spreadsheets/d/""&amp;$A229&amp;""/edit#gid=156619080"",AM$3)"),"")</f>
        <v/>
      </c>
      <c r="AN229" s="2">
        <f>IFERROR(__xludf.DUMMYFUNCTION("IMPORTRANGE(""https://docs.google.com/spreadsheets/d/""&amp;$A229&amp;""/edit#gid=156619080"",AN$3)"),-1.0)</f>
        <v>-1</v>
      </c>
      <c r="AO229" s="2" t="str">
        <f>IFERROR(__xludf.DUMMYFUNCTION("IMPORTRANGE(""https://docs.google.com/spreadsheets/d/""&amp;$A229&amp;""/edit#gid=156619080"",AO$3)"),"")</f>
        <v/>
      </c>
      <c r="AP229" s="2">
        <f>IFERROR(__xludf.DUMMYFUNCTION("IMPORTRANGE(""https://docs.google.com/spreadsheets/d/""&amp;$A229&amp;""/edit#gid=156619080"",AP$3)"),-1.0)</f>
        <v>-1</v>
      </c>
      <c r="AQ229" s="2" t="str">
        <f>IFERROR(__xludf.DUMMYFUNCTION("IMPORTRANGE(""https://docs.google.com/spreadsheets/d/""&amp;$A229&amp;""/edit#gid=156619080"",AQ$3)"),"")</f>
        <v/>
      </c>
      <c r="AR229" s="18">
        <f>IFERROR(__xludf.DUMMYFUNCTION("IMPORTRANGE(""https://docs.google.com/spreadsheets/d/""&amp;$A229&amp;""/edit#gid=156619080"",AR$3)"),-30.000000000000004)</f>
        <v>-30</v>
      </c>
      <c r="AS229" s="19" t="str">
        <f>IFERROR(__xludf.DUMMYFUNCTION("IMPORTRANGE(""https://docs.google.com/spreadsheets/d/""&amp;$A229&amp;""/edit#gid=156619080"",AS$3)"),"-100
-100
-90
-30
")</f>
        <v>-100
-100
-90
-30
</v>
      </c>
      <c r="AT229" s="18">
        <f>IFERROR(__xludf.DUMMYFUNCTION("IMPORTRANGE(""https://docs.google.com/spreadsheets/d/""&amp;$A229&amp;""/edit#gid=156619080"",AT$3)"),-82.55494505494505)</f>
        <v>-82.55494505</v>
      </c>
      <c r="AU229" s="3" t="str">
        <f>IFERROR(__xludf.DUMMYFUNCTION("IMPORTRANGE(""https://docs.google.com/spreadsheets/d/""&amp;$A229&amp;""/edit#gid=156619080"",AU$3)"),"-30.22
-30.22
-54.4
-67.17
")</f>
        <v>-30.22
-30.22
-54.4
-67.17
</v>
      </c>
      <c r="AV229" s="18">
        <f>IFERROR(__xludf.DUMMYFUNCTION("IMPORTRANGE(""https://docs.google.com/spreadsheets/d/""&amp;$A229&amp;""/edit#gid=156619080"",AV$3)"),-81.29870129870129)</f>
        <v>-81.2987013</v>
      </c>
      <c r="AW229" s="19" t="str">
        <f>IFERROR(__xludf.DUMMYFUNCTION("IMPORTRANGE(""https://docs.google.com/spreadsheets/d/""&amp;$A229&amp;""/edit#gid=156619080"",AW$3)"),"-78.83
-80.78
-81.95
-81.3
")</f>
        <v>-78.83
-80.78
-81.95
-81.3
</v>
      </c>
      <c r="AX229" s="2">
        <f>IFERROR(__xludf.DUMMYFUNCTION("IMPORTRANGE(""https://docs.google.com/spreadsheets/d/""&amp;$A229&amp;""/edit#gid=156619080"",AX$3)"),13.73)</f>
        <v>13.73</v>
      </c>
      <c r="AY229" s="2">
        <f>IFERROR(__xludf.DUMMYFUNCTION("IMPORTRANGE(""https://docs.google.com/spreadsheets/d/""&amp;$A229&amp;""/edit#gid=156619080"",AY$3)"),23.18)</f>
        <v>23.18</v>
      </c>
      <c r="AZ229" s="2">
        <f>IFERROR(__xludf.DUMMYFUNCTION("IMPORTRANGE(""https://docs.google.com/spreadsheets/d/""&amp;$A229&amp;""/edit#gid=156619080"",AZ$3)"),958.51)</f>
        <v>958.51</v>
      </c>
      <c r="BA229" s="2">
        <f>IFERROR(__xludf.DUMMYFUNCTION("IMPORTRANGE(""https://docs.google.com/spreadsheets/d/""&amp;$A229&amp;""/edit#gid=156619080"",BA$3)"),-48.110000000000014)</f>
        <v>-48.11</v>
      </c>
      <c r="BB229" s="2">
        <f>IFERROR(__xludf.DUMMYFUNCTION("IMPORTRANGE(""https://docs.google.com/spreadsheets/d/""&amp;$A229&amp;""/edit#gid=156619080"",BB$3)"),-28.14)</f>
        <v>-28.14</v>
      </c>
      <c r="BC229" s="2" t="str">
        <f>IFERROR(__xludf.DUMMYFUNCTION("IMPORTRANGE(""https://docs.google.com/spreadsheets/d/""&amp;$A229&amp;""/edit#gid=156619080"",BC$3)"),"DC→DC")</f>
        <v>DC→DC</v>
      </c>
    </row>
    <row r="230" ht="51.0" customHeight="1">
      <c r="A230" s="7" t="str">
        <f t="shared" si="5"/>
        <v>1O-zDdc2pbDpXnkHv_KA7aHreoZyQp__QBS0jzNnHwGg</v>
      </c>
      <c r="B230" s="1" t="s">
        <v>257</v>
      </c>
      <c r="C230" s="2">
        <f>IFERROR(__xludf.DUMMYFUNCTION("IMPORTRANGE(""https://docs.google.com/spreadsheets/d/""&amp;$A230&amp;""/edit#gid=156619080"",C$3)"),131.0)</f>
        <v>131</v>
      </c>
      <c r="D230" s="2">
        <f>IFERROR(__xludf.DUMMYFUNCTION("IMPORTRANGE(""https://docs.google.com/spreadsheets/d/""&amp;$A230&amp;""/edit#gid=156619080"",D$3)"),9735.0)</f>
        <v>9735</v>
      </c>
      <c r="E230" s="15">
        <f>IFERROR(__xludf.DUMMYFUNCTION("IMPORTRANGE(""https://docs.google.com/spreadsheets/d/""&amp;$A230&amp;""/edit#gid=156619080"",E$3)"),43882.0)</f>
        <v>43882</v>
      </c>
      <c r="F230" s="2">
        <f>IFERROR(__xludf.DUMMYFUNCTION("IMPORTRANGE(""https://docs.google.com/spreadsheets/d/""&amp;$A230&amp;""/edit#gid=156619080"",F$3)"),-139.0)</f>
        <v>-139</v>
      </c>
      <c r="G230" s="16">
        <f>IFERROR(__xludf.DUMMYFUNCTION("IMPORTRANGE(""https://docs.google.com/spreadsheets/d/""&amp;$A230&amp;""/edit#gid=156619080"",G$3)"),-1.44)</f>
        <v>-1.44</v>
      </c>
      <c r="H230" s="16">
        <f>IFERROR(__xludf.DUMMYFUNCTION("IMPORTRANGE(""https://docs.google.com/spreadsheets/d/""&amp;$A230&amp;""/edit#gid=156619080"",H$3)"),9572.0)</f>
        <v>9572</v>
      </c>
      <c r="I230" s="16">
        <f>IFERROR(__xludf.DUMMYFUNCTION("IMPORTRANGE(""https://docs.google.com/spreadsheets/d/""&amp;$A230&amp;""/edit#gid=156619080"",I$3)"),69.0)</f>
        <v>69</v>
      </c>
      <c r="J230" s="16">
        <f>IFERROR(__xludf.DUMMYFUNCTION("IMPORTRANGE(""https://docs.google.com/spreadsheets/d/""&amp;$A230&amp;""/edit#gid=156619080"",J$3)"),9660.0)</f>
        <v>9660</v>
      </c>
      <c r="K230" s="16">
        <f>IFERROR(__xludf.DUMMYFUNCTION("IMPORTRANGE(""https://docs.google.com/spreadsheets/d/""&amp;$A230&amp;""/edit#gid=156619080"",K$3)"),0.40208333333333335)</f>
        <v>0.4020833333</v>
      </c>
      <c r="L230" s="16">
        <f>IFERROR(__xludf.DUMMYFUNCTION("IMPORTRANGE(""https://docs.google.com/spreadsheets/d/""&amp;$A230&amp;""/edit#gid=156619080"",L$3)"),9480.0)</f>
        <v>9480</v>
      </c>
      <c r="M230" s="16">
        <f>IFERROR(__xludf.DUMMYFUNCTION("IMPORTRANGE(""https://docs.google.com/spreadsheets/d/""&amp;$A230&amp;""/edit#gid=156619080"",M$3)"),0.6034722222222222)</f>
        <v>0.6034722222</v>
      </c>
      <c r="N230" s="16">
        <f>IFERROR(__xludf.DUMMYFUNCTION("IMPORTRANGE(""https://docs.google.com/spreadsheets/d/""&amp;$A230&amp;""/edit#gid=156619080"",N$3)"),9502.0)</f>
        <v>9502</v>
      </c>
      <c r="O230" s="16" t="str">
        <f>IFERROR(__xludf.DUMMYFUNCTION("IMPORTRANGE(""https://docs.google.com/spreadsheets/d/""&amp;$A230&amp;""/edit#gid=156619080"",O$3)"),"509300株")</f>
        <v>509300株</v>
      </c>
      <c r="P230" s="16" t="str">
        <f>IFERROR(__xludf.DUMMYFUNCTION("IMPORTRANGE(""https://docs.google.com/spreadsheets/d/""&amp;$A230&amp;""/edit#gid=156619080"",P$3)"),"4858百万円")</f>
        <v>4858百万円</v>
      </c>
      <c r="Q230" s="16" t="str">
        <f>IFERROR(__xludf.DUMMYFUNCTION("IMPORTRANGE(""https://docs.google.com/spreadsheets/d/""&amp;$A230&amp;""/edit#gid=156619080"",Q$3)"),"2457回")</f>
        <v>2457回</v>
      </c>
      <c r="R230" s="16" t="str">
        <f>IFERROR(__xludf.DUMMYFUNCTION("IMPORTRANGE(""https://docs.google.com/spreadsheets/d/""&amp;$A230&amp;""/edit#gid=156619080"",R$3)"),"22168億円")</f>
        <v>22168億円</v>
      </c>
      <c r="S230" s="16" t="str">
        <f>IFERROR(__xludf.DUMMYFUNCTION("IMPORTRANGE(""https://docs.google.com/spreadsheets/d/""&amp;$A230&amp;""/edit#gid=156619080"",S$3)"),"陰線")</f>
        <v>陰線</v>
      </c>
      <c r="T230" s="16" t="str">
        <f>IFERROR(__xludf.DUMMYFUNCTION("IMPORTRANGE(""https://docs.google.com/spreadsheets/d/""&amp;$A230&amp;""/edit#gid=156619080"",T$3)"),"")</f>
        <v/>
      </c>
      <c r="U230" s="16">
        <f>IFERROR(__xludf.DUMMYFUNCTION("IMPORTRANGE(""https://docs.google.com/spreadsheets/d/""&amp;$A230&amp;""/edit#gid=156619080"",U$3)"),9584.2)</f>
        <v>9584.2</v>
      </c>
      <c r="V230" s="16">
        <f>IFERROR(__xludf.DUMMYFUNCTION("IMPORTRANGE(""https://docs.google.com/spreadsheets/d/""&amp;$A230&amp;""/edit#gid=156619080"",V$3)"),9705.1)</f>
        <v>9705.1</v>
      </c>
      <c r="W230" s="16">
        <f>IFERROR(__xludf.DUMMYFUNCTION("IMPORTRANGE(""https://docs.google.com/spreadsheets/d/""&amp;$A230&amp;""/edit#gid=156619080"",W$3)"),9704.1)</f>
        <v>9704.1</v>
      </c>
      <c r="X230" s="2">
        <f>IFERROR(__xludf.DUMMYFUNCTION("IMPORTRANGE(""https://docs.google.com/spreadsheets/d/""&amp;$A230&amp;""/edit#gid=156619080"",X$3)"),9630.0)</f>
        <v>9630</v>
      </c>
      <c r="Y230" s="17">
        <f>IFERROR(__xludf.DUMMYFUNCTION("IMPORTRANGE(""https://docs.google.com/spreadsheets/d/""&amp;$A230&amp;""/edit#gid=156619080"",Y$3)"),-0.008576615679973365)</f>
        <v>-0.00857661568</v>
      </c>
      <c r="Z230" s="2">
        <f>IFERROR(__xludf.DUMMYFUNCTION("IMPORTRANGE(""https://docs.google.com/spreadsheets/d/""&amp;$A230&amp;""/edit#gid=156619080"",Z$3)"),9940.25)</f>
        <v>9940.25</v>
      </c>
      <c r="AA230" s="2">
        <f>IFERROR(__xludf.DUMMYFUNCTION("IMPORTRANGE(""https://docs.google.com/spreadsheets/d/""&amp;$A230&amp;""/edit#gid=156619080"",AA$3)"),9910.73)</f>
        <v>9910.73</v>
      </c>
      <c r="AB230" s="2">
        <f>IFERROR(__xludf.DUMMYFUNCTION("IMPORTRANGE(""https://docs.google.com/spreadsheets/d/""&amp;$A230&amp;""/edit#gid=156619080"",AB$3)"),9881.21)</f>
        <v>9881.21</v>
      </c>
      <c r="AC230" s="18">
        <f>IFERROR(__xludf.DUMMYFUNCTION("IMPORTRANGE(""https://docs.google.com/spreadsheets/d/""&amp;$A230&amp;""/edit#gid=156619080"",AC$3)"),9851.69)</f>
        <v>9851.69</v>
      </c>
      <c r="AD230" s="18">
        <f>IFERROR(__xludf.DUMMYFUNCTION("IMPORTRANGE(""https://docs.google.com/spreadsheets/d/""&amp;$A230&amp;""/edit#gid=156619080"",AD$3)"),9822.17)</f>
        <v>9822.17</v>
      </c>
      <c r="AE230" s="18">
        <f>IFERROR(__xludf.DUMMYFUNCTION("IMPORTRANGE(""https://docs.google.com/spreadsheets/d/""&amp;$A230&amp;""/edit#gid=156619080"",AE$3)"),9704.1)</f>
        <v>9704.1</v>
      </c>
      <c r="AF230" s="2">
        <f>IFERROR(__xludf.DUMMYFUNCTION("IMPORTRANGE(""https://docs.google.com/spreadsheets/d/""&amp;$A230&amp;""/edit#gid=156619080"",AF$3)"),9586.03)</f>
        <v>9586.03</v>
      </c>
      <c r="AG230" s="2">
        <f>IFERROR(__xludf.DUMMYFUNCTION("IMPORTRANGE(""https://docs.google.com/spreadsheets/d/""&amp;$A230&amp;""/edit#gid=156619080"",AG$3)"),9556.51)</f>
        <v>9556.51</v>
      </c>
      <c r="AH230" s="2">
        <f>IFERROR(__xludf.DUMMYFUNCTION("IMPORTRANGE(""https://docs.google.com/spreadsheets/d/""&amp;$A230&amp;""/edit#gid=156619080"",AH$3)"),9526.99)</f>
        <v>9526.99</v>
      </c>
      <c r="AI230" s="2">
        <f>IFERROR(__xludf.DUMMYFUNCTION("IMPORTRANGE(""https://docs.google.com/spreadsheets/d/""&amp;$A230&amp;""/edit#gid=156619080"",AI$3)"),9497.47)</f>
        <v>9497.47</v>
      </c>
      <c r="AJ230" s="2">
        <f>IFERROR(__xludf.DUMMYFUNCTION("IMPORTRANGE(""https://docs.google.com/spreadsheets/d/""&amp;$A230&amp;""/edit#gid=156619080"",AJ$3)"),9467.95)</f>
        <v>9467.95</v>
      </c>
      <c r="AK230" s="2" t="str">
        <f>IFERROR(__xludf.DUMMYFUNCTION("IMPORTRANGE(""https://docs.google.com/spreadsheets/d/""&amp;$A230&amp;""/edit#gid=156619080"",AK$3)"),"-1.5σ〜-1.75σ")</f>
        <v>-1.5σ〜-1.75σ</v>
      </c>
      <c r="AL230" s="2">
        <f>IFERROR(__xludf.DUMMYFUNCTION("IMPORTRANGE(""https://docs.google.com/spreadsheets/d/""&amp;$A230&amp;""/edit#gid=156619080"",AL$3)"),-1.0)</f>
        <v>-1</v>
      </c>
      <c r="AM230" s="2" t="str">
        <f>IFERROR(__xludf.DUMMYFUNCTION("IMPORTRANGE(""https://docs.google.com/spreadsheets/d/""&amp;$A230&amp;""/edit#gid=156619080"",AM$3)"),"")</f>
        <v/>
      </c>
      <c r="AN230" s="2">
        <f>IFERROR(__xludf.DUMMYFUNCTION("IMPORTRANGE(""https://docs.google.com/spreadsheets/d/""&amp;$A230&amp;""/edit#gid=156619080"",AN$3)"),-1.0)</f>
        <v>-1</v>
      </c>
      <c r="AO230" s="2" t="str">
        <f>IFERROR(__xludf.DUMMYFUNCTION("IMPORTRANGE(""https://docs.google.com/spreadsheets/d/""&amp;$A230&amp;""/edit#gid=156619080"",AO$3)"),"")</f>
        <v/>
      </c>
      <c r="AP230" s="2">
        <f>IFERROR(__xludf.DUMMYFUNCTION("IMPORTRANGE(""https://docs.google.com/spreadsheets/d/""&amp;$A230&amp;""/edit#gid=156619080"",AP$3)"),1.0)</f>
        <v>1</v>
      </c>
      <c r="AQ230" s="2" t="str">
        <f>IFERROR(__xludf.DUMMYFUNCTION("IMPORTRANGE(""https://docs.google.com/spreadsheets/d/""&amp;$A230&amp;""/edit#gid=156619080"",AQ$3)"),"ws3")</f>
        <v>ws3</v>
      </c>
      <c r="AR230" s="18">
        <f>IFERROR(__xludf.DUMMYFUNCTION("IMPORTRANGE(""https://docs.google.com/spreadsheets/d/""&amp;$A230&amp;""/edit#gid=156619080"",AR$3)"),-60.00000000000001)</f>
        <v>-60</v>
      </c>
      <c r="AS230" s="19" t="str">
        <f>IFERROR(__xludf.DUMMYFUNCTION("IMPORTRANGE(""https://docs.google.com/spreadsheets/d/""&amp;$A230&amp;""/edit#gid=156619080"",AS$3)"),"-40
-100
-90
-60
")</f>
        <v>-40
-100
-90
-60
</v>
      </c>
      <c r="AT230" s="18">
        <f>IFERROR(__xludf.DUMMYFUNCTION("IMPORTRANGE(""https://docs.google.com/spreadsheets/d/""&amp;$A230&amp;""/edit#gid=156619080"",AT$3)"),-47.80219780219781)</f>
        <v>-47.8021978</v>
      </c>
      <c r="AU230" s="3" t="str">
        <f>IFERROR(__xludf.DUMMYFUNCTION("IMPORTRANGE(""https://docs.google.com/spreadsheets/d/""&amp;$A230&amp;""/edit#gid=156619080"",AU$3)"),"39.56
25.82
-9.89
-17.03
")</f>
        <v>39.56
25.82
-9.89
-17.03
</v>
      </c>
      <c r="AV230" s="18">
        <f>IFERROR(__xludf.DUMMYFUNCTION("IMPORTRANGE(""https://docs.google.com/spreadsheets/d/""&amp;$A230&amp;""/edit#gid=156619080"",AV$3)"),-27.532467532467543)</f>
        <v>-27.53246753</v>
      </c>
      <c r="AW230" s="19" t="str">
        <f>IFERROR(__xludf.DUMMYFUNCTION("IMPORTRANGE(""https://docs.google.com/spreadsheets/d/""&amp;$A230&amp;""/edit#gid=156619080"",AW$3)"),"35.62
17.18
4.03
-14.68
")</f>
        <v>35.62
17.18
4.03
-14.68
</v>
      </c>
      <c r="AX230" s="2">
        <f>IFERROR(__xludf.DUMMYFUNCTION("IMPORTRANGE(""https://docs.google.com/spreadsheets/d/""&amp;$A230&amp;""/edit#gid=156619080"",AX$3)"),23.03)</f>
        <v>23.03</v>
      </c>
      <c r="AY230" s="2">
        <f>IFERROR(__xludf.DUMMYFUNCTION("IMPORTRANGE(""https://docs.google.com/spreadsheets/d/""&amp;$A230&amp;""/edit#gid=156619080"",AY$3)"),44.7)</f>
        <v>44.7</v>
      </c>
      <c r="AZ230" s="2">
        <f>IFERROR(__xludf.DUMMYFUNCTION("IMPORTRANGE(""https://docs.google.com/spreadsheets/d/""&amp;$A230&amp;""/edit#gid=156619080"",AZ$3)"),9599.35)</f>
        <v>9599.35</v>
      </c>
      <c r="BA230" s="2">
        <f>IFERROR(__xludf.DUMMYFUNCTION("IMPORTRANGE(""https://docs.google.com/spreadsheets/d/""&amp;$A230&amp;""/edit#gid=156619080"",BA$3)"),-87.69999999999891)</f>
        <v>-87.7</v>
      </c>
      <c r="BB230" s="2">
        <f>IFERROR(__xludf.DUMMYFUNCTION("IMPORTRANGE(""https://docs.google.com/spreadsheets/d/""&amp;$A230&amp;""/edit#gid=156619080"",BB$3)"),-15.03)</f>
        <v>-15.03</v>
      </c>
      <c r="BC230" s="2" t="str">
        <f>IFERROR(__xludf.DUMMYFUNCTION("IMPORTRANGE(""https://docs.google.com/spreadsheets/d/""&amp;$A230&amp;""/edit#gid=156619080"",BC$3)"),"DC→DC")</f>
        <v>DC→DC</v>
      </c>
    </row>
    <row r="231" ht="51.0" customHeight="1">
      <c r="A231" s="7" t="str">
        <f t="shared" si="5"/>
        <v>1iq0qn_KrmoAsvl8BjxDglF6N023NyHDjCRR5Yweu93Q</v>
      </c>
      <c r="B231" s="1" t="s">
        <v>258</v>
      </c>
      <c r="C231" s="2">
        <f>IFERROR(__xludf.DUMMYFUNCTION("IMPORTRANGE(""https://docs.google.com/spreadsheets/d/""&amp;$A231&amp;""/edit#gid=156619080"",C$3)"),131.0)</f>
        <v>131</v>
      </c>
      <c r="D231" s="2">
        <f>IFERROR(__xludf.DUMMYFUNCTION("IMPORTRANGE(""https://docs.google.com/spreadsheets/d/""&amp;$A231&amp;""/edit#gid=156619080"",D$3)"),9766.0)</f>
        <v>9766</v>
      </c>
      <c r="E231" s="15">
        <f>IFERROR(__xludf.DUMMYFUNCTION("IMPORTRANGE(""https://docs.google.com/spreadsheets/d/""&amp;$A231&amp;""/edit#gid=156619080"",E$3)"),43882.0)</f>
        <v>43882</v>
      </c>
      <c r="F231" s="2">
        <f>IFERROR(__xludf.DUMMYFUNCTION("IMPORTRANGE(""https://docs.google.com/spreadsheets/d/""&amp;$A231&amp;""/edit#gid=156619080"",F$3)"),-40.0)</f>
        <v>-40</v>
      </c>
      <c r="G231" s="16">
        <f>IFERROR(__xludf.DUMMYFUNCTION("IMPORTRANGE(""https://docs.google.com/spreadsheets/d/""&amp;$A231&amp;""/edit#gid=156619080"",G$3)"),-0.91)</f>
        <v>-0.91</v>
      </c>
      <c r="H231" s="16">
        <f>IFERROR(__xludf.DUMMYFUNCTION("IMPORTRANGE(""https://docs.google.com/spreadsheets/d/""&amp;$A231&amp;""/edit#gid=156619080"",H$3)"),4360.0)</f>
        <v>4360</v>
      </c>
      <c r="I231" s="16">
        <f>IFERROR(__xludf.DUMMYFUNCTION("IMPORTRANGE(""https://docs.google.com/spreadsheets/d/""&amp;$A231&amp;""/edit#gid=156619080"",I$3)"),15.0)</f>
        <v>15</v>
      </c>
      <c r="J231" s="16">
        <f>IFERROR(__xludf.DUMMYFUNCTION("IMPORTRANGE(""https://docs.google.com/spreadsheets/d/""&amp;$A231&amp;""/edit#gid=156619080"",J$3)"),4365.0)</f>
        <v>4365</v>
      </c>
      <c r="K231" s="16">
        <f>IFERROR(__xludf.DUMMYFUNCTION("IMPORTRANGE(""https://docs.google.com/spreadsheets/d/""&amp;$A231&amp;""/edit#gid=156619080"",K$3)"),0.375)</f>
        <v>0.375</v>
      </c>
      <c r="L231" s="16">
        <f>IFERROR(__xludf.DUMMYFUNCTION("IMPORTRANGE(""https://docs.google.com/spreadsheets/d/""&amp;$A231&amp;""/edit#gid=156619080"",L$3)"),4320.0)</f>
        <v>4320</v>
      </c>
      <c r="M231" s="16">
        <f>IFERROR(__xludf.DUMMYFUNCTION("IMPORTRANGE(""https://docs.google.com/spreadsheets/d/""&amp;$A231&amp;""/edit#gid=156619080"",M$3)"),0.3770833333333333)</f>
        <v>0.3770833333</v>
      </c>
      <c r="N231" s="16">
        <f>IFERROR(__xludf.DUMMYFUNCTION("IMPORTRANGE(""https://docs.google.com/spreadsheets/d/""&amp;$A231&amp;""/edit#gid=156619080"",N$3)"),4335.0)</f>
        <v>4335</v>
      </c>
      <c r="O231" s="16" t="str">
        <f>IFERROR(__xludf.DUMMYFUNCTION("IMPORTRANGE(""https://docs.google.com/spreadsheets/d/""&amp;$A231&amp;""/edit#gid=156619080"",O$3)"),"460000株")</f>
        <v>460000株</v>
      </c>
      <c r="P231" s="16" t="str">
        <f>IFERROR(__xludf.DUMMYFUNCTION("IMPORTRANGE(""https://docs.google.com/spreadsheets/d/""&amp;$A231&amp;""/edit#gid=156619080"",P$3)"),"1997百万円")</f>
        <v>1997百万円</v>
      </c>
      <c r="Q231" s="16" t="str">
        <f>IFERROR(__xludf.DUMMYFUNCTION("IMPORTRANGE(""https://docs.google.com/spreadsheets/d/""&amp;$A231&amp;""/edit#gid=156619080"",Q$3)"),"951回")</f>
        <v>951回</v>
      </c>
      <c r="R231" s="16" t="str">
        <f>IFERROR(__xludf.DUMMYFUNCTION("IMPORTRANGE(""https://docs.google.com/spreadsheets/d/""&amp;$A231&amp;""/edit#gid=156619080"",R$3)"),"6221億円")</f>
        <v>6221億円</v>
      </c>
      <c r="S231" s="16" t="str">
        <f>IFERROR(__xludf.DUMMYFUNCTION("IMPORTRANGE(""https://docs.google.com/spreadsheets/d/""&amp;$A231&amp;""/edit#gid=156619080"",S$3)"),"陰線")</f>
        <v>陰線</v>
      </c>
      <c r="T231" s="16" t="str">
        <f>IFERROR(__xludf.DUMMYFUNCTION("IMPORTRANGE(""https://docs.google.com/spreadsheets/d/""&amp;$A231&amp;""/edit#gid=156619080"",T$3)"),"")</f>
        <v/>
      </c>
      <c r="U231" s="16">
        <f>IFERROR(__xludf.DUMMYFUNCTION("IMPORTRANGE(""https://docs.google.com/spreadsheets/d/""&amp;$A231&amp;""/edit#gid=156619080"",U$3)"),4329.0)</f>
        <v>4329</v>
      </c>
      <c r="V231" s="16">
        <f>IFERROR(__xludf.DUMMYFUNCTION("IMPORTRANGE(""https://docs.google.com/spreadsheets/d/""&amp;$A231&amp;""/edit#gid=156619080"",V$3)"),4323.8)</f>
        <v>4323.8</v>
      </c>
      <c r="W231" s="16">
        <f>IFERROR(__xludf.DUMMYFUNCTION("IMPORTRANGE(""https://docs.google.com/spreadsheets/d/""&amp;$A231&amp;""/edit#gid=156619080"",W$3)"),4367.1)</f>
        <v>4367.1</v>
      </c>
      <c r="X231" s="2">
        <f>IFERROR(__xludf.DUMMYFUNCTION("IMPORTRANGE(""https://docs.google.com/spreadsheets/d/""&amp;$A231&amp;""/edit#gid=156619080"",X$3)"),4659.9)</f>
        <v>4659.9</v>
      </c>
      <c r="Y231" s="17">
        <f>IFERROR(__xludf.DUMMYFUNCTION("IMPORTRANGE(""https://docs.google.com/spreadsheets/d/""&amp;$A231&amp;""/edit#gid=156619080"",Y$3)"),0.001386001386001386)</f>
        <v>0.001386001386</v>
      </c>
      <c r="Z231" s="2">
        <f>IFERROR(__xludf.DUMMYFUNCTION("IMPORTRANGE(""https://docs.google.com/spreadsheets/d/""&amp;$A231&amp;""/edit#gid=156619080"",Z$3)"),4602.16)</f>
        <v>4602.16</v>
      </c>
      <c r="AA231" s="2">
        <f>IFERROR(__xludf.DUMMYFUNCTION("IMPORTRANGE(""https://docs.google.com/spreadsheets/d/""&amp;$A231&amp;""/edit#gid=156619080"",AA$3)"),4572.78)</f>
        <v>4572.78</v>
      </c>
      <c r="AB231" s="2">
        <f>IFERROR(__xludf.DUMMYFUNCTION("IMPORTRANGE(""https://docs.google.com/spreadsheets/d/""&amp;$A231&amp;""/edit#gid=156619080"",AB$3)"),4543.39)</f>
        <v>4543.39</v>
      </c>
      <c r="AC231" s="18">
        <f>IFERROR(__xludf.DUMMYFUNCTION("IMPORTRANGE(""https://docs.google.com/spreadsheets/d/""&amp;$A231&amp;""/edit#gid=156619080"",AC$3)"),4514.01)</f>
        <v>4514.01</v>
      </c>
      <c r="AD231" s="18">
        <f>IFERROR(__xludf.DUMMYFUNCTION("IMPORTRANGE(""https://docs.google.com/spreadsheets/d/""&amp;$A231&amp;""/edit#gid=156619080"",AD$3)"),4484.63)</f>
        <v>4484.63</v>
      </c>
      <c r="AE231" s="18">
        <f>IFERROR(__xludf.DUMMYFUNCTION("IMPORTRANGE(""https://docs.google.com/spreadsheets/d/""&amp;$A231&amp;""/edit#gid=156619080"",AE$3)"),4367.1)</f>
        <v>4367.1</v>
      </c>
      <c r="AF231" s="2">
        <f>IFERROR(__xludf.DUMMYFUNCTION("IMPORTRANGE(""https://docs.google.com/spreadsheets/d/""&amp;$A231&amp;""/edit#gid=156619080"",AF$3)"),4249.57)</f>
        <v>4249.57</v>
      </c>
      <c r="AG231" s="2">
        <f>IFERROR(__xludf.DUMMYFUNCTION("IMPORTRANGE(""https://docs.google.com/spreadsheets/d/""&amp;$A231&amp;""/edit#gid=156619080"",AG$3)"),4220.19)</f>
        <v>4220.19</v>
      </c>
      <c r="AH231" s="2">
        <f>IFERROR(__xludf.DUMMYFUNCTION("IMPORTRANGE(""https://docs.google.com/spreadsheets/d/""&amp;$A231&amp;""/edit#gid=156619080"",AH$3)"),4190.81)</f>
        <v>4190.81</v>
      </c>
      <c r="AI231" s="2">
        <f>IFERROR(__xludf.DUMMYFUNCTION("IMPORTRANGE(""https://docs.google.com/spreadsheets/d/""&amp;$A231&amp;""/edit#gid=156619080"",AI$3)"),4161.42)</f>
        <v>4161.42</v>
      </c>
      <c r="AJ231" s="2">
        <f>IFERROR(__xludf.DUMMYFUNCTION("IMPORTRANGE(""https://docs.google.com/spreadsheets/d/""&amp;$A231&amp;""/edit#gid=156619080"",AJ$3)"),4132.04)</f>
        <v>4132.04</v>
      </c>
      <c r="AK231" s="2" t="str">
        <f>IFERROR(__xludf.DUMMYFUNCTION("IMPORTRANGE(""https://docs.google.com/spreadsheets/d/""&amp;$A231&amp;""/edit#gid=156619080"",AK$3)"),"")</f>
        <v/>
      </c>
      <c r="AL231" s="2">
        <f>IFERROR(__xludf.DUMMYFUNCTION("IMPORTRANGE(""https://docs.google.com/spreadsheets/d/""&amp;$A231&amp;""/edit#gid=156619080"",AL$3)"),1.0)</f>
        <v>1</v>
      </c>
      <c r="AM231" s="2" t="str">
        <f>IFERROR(__xludf.DUMMYFUNCTION("IMPORTRANGE(""https://docs.google.com/spreadsheets/d/""&amp;$A231&amp;""/edit#gid=156619080"",AM$3)"),"")</f>
        <v/>
      </c>
      <c r="AN231" s="2">
        <f>IFERROR(__xludf.DUMMYFUNCTION("IMPORTRANGE(""https://docs.google.com/spreadsheets/d/""&amp;$A231&amp;""/edit#gid=156619080"",AN$3)"),-1.0)</f>
        <v>-1</v>
      </c>
      <c r="AO231" s="2" t="str">
        <f>IFERROR(__xludf.DUMMYFUNCTION("IMPORTRANGE(""https://docs.google.com/spreadsheets/d/""&amp;$A231&amp;""/edit#gid=156619080"",AO$3)"),"")</f>
        <v/>
      </c>
      <c r="AP231" s="2">
        <f>IFERROR(__xludf.DUMMYFUNCTION("IMPORTRANGE(""https://docs.google.com/spreadsheets/d/""&amp;$A231&amp;""/edit#gid=156619080"",AP$3)"),-1.0)</f>
        <v>-1</v>
      </c>
      <c r="AQ231" s="2" t="str">
        <f>IFERROR(__xludf.DUMMYFUNCTION("IMPORTRANGE(""https://docs.google.com/spreadsheets/d/""&amp;$A231&amp;""/edit#gid=156619080"",AQ$3)"),"")</f>
        <v/>
      </c>
      <c r="AR231" s="18">
        <f>IFERROR(__xludf.DUMMYFUNCTION("IMPORTRANGE(""https://docs.google.com/spreadsheets/d/""&amp;$A231&amp;""/edit#gid=156619080"",AR$3)"),19.999999999999996)</f>
        <v>20</v>
      </c>
      <c r="AS231" s="19" t="str">
        <f>IFERROR(__xludf.DUMMYFUNCTION("IMPORTRANGE(""https://docs.google.com/spreadsheets/d/""&amp;$A231&amp;""/edit#gid=156619080"",AS$3)"),"60
12.5
-60
-7.5
")</f>
        <v>60
12.5
-60
-7.5
</v>
      </c>
      <c r="AT231" s="18">
        <f>IFERROR(__xludf.DUMMYFUNCTION("IMPORTRANGE(""https://docs.google.com/spreadsheets/d/""&amp;$A231&amp;""/edit#gid=156619080"",AT$3)"),5.219780219780223)</f>
        <v>5.21978022</v>
      </c>
      <c r="AU231" s="3" t="str">
        <f>IFERROR(__xludf.DUMMYFUNCTION("IMPORTRANGE(""https://docs.google.com/spreadsheets/d/""&amp;$A231&amp;""/edit#gid=156619080"",AU$3)"),"-4.4
12.77
34.2
25.55
")</f>
        <v>-4.4
12.77
34.2
25.55
</v>
      </c>
      <c r="AV231" s="18">
        <f>IFERROR(__xludf.DUMMYFUNCTION("IMPORTRANGE(""https://docs.google.com/spreadsheets/d/""&amp;$A231&amp;""/edit#gid=156619080"",AV$3)"),-49.15584415584415)</f>
        <v>-49.15584416</v>
      </c>
      <c r="AW231" s="19" t="str">
        <f>IFERROR(__xludf.DUMMYFUNCTION("IMPORTRANGE(""https://docs.google.com/spreadsheets/d/""&amp;$A231&amp;""/edit#gid=156619080"",AW$3)"),"-75.88
-72.31
-67.37
-57.99
")</f>
        <v>-75.88
-72.31
-67.37
-57.99
</v>
      </c>
      <c r="AX231" s="2">
        <f>IFERROR(__xludf.DUMMYFUNCTION("IMPORTRANGE(""https://docs.google.com/spreadsheets/d/""&amp;$A231&amp;""/edit#gid=156619080"",AX$3)"),40.48)</f>
        <v>40.48</v>
      </c>
      <c r="AY231" s="2">
        <f>IFERROR(__xludf.DUMMYFUNCTION("IMPORTRANGE(""https://docs.google.com/spreadsheets/d/""&amp;$A231&amp;""/edit#gid=156619080"",AY$3)"),39.839999999999996)</f>
        <v>39.84</v>
      </c>
      <c r="AZ231" s="2">
        <f>IFERROR(__xludf.DUMMYFUNCTION("IMPORTRANGE(""https://docs.google.com/spreadsheets/d/""&amp;$A231&amp;""/edit#gid=156619080"",AZ$3)"),4334.79)</f>
        <v>4334.79</v>
      </c>
      <c r="BA231" s="2">
        <f>IFERROR(__xludf.DUMMYFUNCTION("IMPORTRANGE(""https://docs.google.com/spreadsheets/d/""&amp;$A231&amp;""/edit#gid=156619080"",BA$3)"),-36.850000000000364)</f>
        <v>-36.85</v>
      </c>
      <c r="BB231" s="2">
        <f>IFERROR(__xludf.DUMMYFUNCTION("IMPORTRANGE(""https://docs.google.com/spreadsheets/d/""&amp;$A231&amp;""/edit#gid=156619080"",BB$3)"),-62.98)</f>
        <v>-62.98</v>
      </c>
      <c r="BC231" s="2" t="str">
        <f>IFERROR(__xludf.DUMMYFUNCTION("IMPORTRANGE(""https://docs.google.com/spreadsheets/d/""&amp;$A231&amp;""/edit#gid=156619080"",BC$3)"),"GC→GC")</f>
        <v>GC→GC</v>
      </c>
    </row>
    <row r="232" ht="51.0" customHeight="1">
      <c r="A232" s="7" t="str">
        <f t="shared" si="5"/>
        <v>1MDZ4kHeYxTlmEkcb8doQNzqknv7hv7gvQHPq_6b4zcM</v>
      </c>
      <c r="B232" s="1" t="s">
        <v>259</v>
      </c>
      <c r="C232" s="2">
        <f>IFERROR(__xludf.DUMMYFUNCTION("IMPORTRANGE(""https://docs.google.com/spreadsheets/d/""&amp;$A232&amp;""/edit#gid=156619080"",C$3)"),131.0)</f>
        <v>131</v>
      </c>
      <c r="D232" s="2">
        <f>IFERROR(__xludf.DUMMYFUNCTION("IMPORTRANGE(""https://docs.google.com/spreadsheets/d/""&amp;$A232&amp;""/edit#gid=156619080"",D$3)"),3990.0)</f>
        <v>3990</v>
      </c>
      <c r="E232" s="15">
        <f>IFERROR(__xludf.DUMMYFUNCTION("IMPORTRANGE(""https://docs.google.com/spreadsheets/d/""&amp;$A232&amp;""/edit#gid=156619080"",E$3)"),43882.0)</f>
        <v>43882</v>
      </c>
      <c r="F232" s="2">
        <f>IFERROR(__xludf.DUMMYFUNCTION("IMPORTRANGE(""https://docs.google.com/spreadsheets/d/""&amp;$A232&amp;""/edit#gid=156619080"",F$3)"),17.0)</f>
        <v>17</v>
      </c>
      <c r="G232" s="16">
        <f>IFERROR(__xludf.DUMMYFUNCTION("IMPORTRANGE(""https://docs.google.com/spreadsheets/d/""&amp;$A232&amp;""/edit#gid=156619080"",G$3)"),0.61)</f>
        <v>0.61</v>
      </c>
      <c r="H232" s="16">
        <f>IFERROR(__xludf.DUMMYFUNCTION("IMPORTRANGE(""https://docs.google.com/spreadsheets/d/""&amp;$A232&amp;""/edit#gid=156619080"",H$3)"),2759.0)</f>
        <v>2759</v>
      </c>
      <c r="I232" s="16">
        <f>IFERROR(__xludf.DUMMYFUNCTION("IMPORTRANGE(""https://docs.google.com/spreadsheets/d/""&amp;$A232&amp;""/edit#gid=156619080"",I$3)"),19.0)</f>
        <v>19</v>
      </c>
      <c r="J232" s="16">
        <f>IFERROR(__xludf.DUMMYFUNCTION("IMPORTRANGE(""https://docs.google.com/spreadsheets/d/""&amp;$A232&amp;""/edit#gid=156619080"",J$3)"),2817.0)</f>
        <v>2817</v>
      </c>
      <c r="K232" s="16">
        <f>IFERROR(__xludf.DUMMYFUNCTION("IMPORTRANGE(""https://docs.google.com/spreadsheets/d/""&amp;$A232&amp;""/edit#gid=156619080"",K$3)"),0.5548611111111111)</f>
        <v>0.5548611111</v>
      </c>
      <c r="L232" s="16">
        <f>IFERROR(__xludf.DUMMYFUNCTION("IMPORTRANGE(""https://docs.google.com/spreadsheets/d/""&amp;$A232&amp;""/edit#gid=156619080"",L$3)"),2715.0)</f>
        <v>2715</v>
      </c>
      <c r="M232" s="16">
        <f>IFERROR(__xludf.DUMMYFUNCTION("IMPORTRANGE(""https://docs.google.com/spreadsheets/d/""&amp;$A232&amp;""/edit#gid=156619080"",M$3)"),0.3798611111111111)</f>
        <v>0.3798611111</v>
      </c>
      <c r="N232" s="16">
        <f>IFERROR(__xludf.DUMMYFUNCTION("IMPORTRANGE(""https://docs.google.com/spreadsheets/d/""&amp;$A232&amp;""/edit#gid=156619080"",N$3)"),2795.0)</f>
        <v>2795</v>
      </c>
      <c r="O232" s="16" t="str">
        <f>IFERROR(__xludf.DUMMYFUNCTION("IMPORTRANGE(""https://docs.google.com/spreadsheets/d/""&amp;$A232&amp;""/edit#gid=156619080"",O$3)"),"263600株")</f>
        <v>263600株</v>
      </c>
      <c r="P232" s="16" t="str">
        <f>IFERROR(__xludf.DUMMYFUNCTION("IMPORTRANGE(""https://docs.google.com/spreadsheets/d/""&amp;$A232&amp;""/edit#gid=156619080"",P$3)"),"732百万円")</f>
        <v>732百万円</v>
      </c>
      <c r="Q232" s="16" t="str">
        <f>IFERROR(__xludf.DUMMYFUNCTION("IMPORTRANGE(""https://docs.google.com/spreadsheets/d/""&amp;$A232&amp;""/edit#gid=156619080"",Q$3)"),"1358回")</f>
        <v>1358回</v>
      </c>
      <c r="R232" s="16" t="str">
        <f>IFERROR(__xludf.DUMMYFUNCTION("IMPORTRANGE(""https://docs.google.com/spreadsheets/d/""&amp;$A232&amp;""/edit#gid=156619080"",R$3)"),"546億円")</f>
        <v>546億円</v>
      </c>
      <c r="S232" s="16" t="str">
        <f>IFERROR(__xludf.DUMMYFUNCTION("IMPORTRANGE(""https://docs.google.com/spreadsheets/d/""&amp;$A232&amp;""/edit#gid=156619080"",S$3)"),"陽線")</f>
        <v>陽線</v>
      </c>
      <c r="T232" s="16" t="str">
        <f>IFERROR(__xludf.DUMMYFUNCTION("IMPORTRANGE(""https://docs.google.com/spreadsheets/d/""&amp;$A232&amp;""/edit#gid=156619080"",T$3)"),"")</f>
        <v/>
      </c>
      <c r="U232" s="16">
        <f>IFERROR(__xludf.DUMMYFUNCTION("IMPORTRANGE(""https://docs.google.com/spreadsheets/d/""&amp;$A232&amp;""/edit#gid=156619080"",U$3)"),2796.0)</f>
        <v>2796</v>
      </c>
      <c r="V232" s="16">
        <f>IFERROR(__xludf.DUMMYFUNCTION("IMPORTRANGE(""https://docs.google.com/spreadsheets/d/""&amp;$A232&amp;""/edit#gid=156619080"",V$3)"),2959.8)</f>
        <v>2959.8</v>
      </c>
      <c r="W232" s="16">
        <f>IFERROR(__xludf.DUMMYFUNCTION("IMPORTRANGE(""https://docs.google.com/spreadsheets/d/""&amp;$A232&amp;""/edit#gid=156619080"",W$3)"),3104.4)</f>
        <v>3104.4</v>
      </c>
      <c r="X232" s="2">
        <f>IFERROR(__xludf.DUMMYFUNCTION("IMPORTRANGE(""https://docs.google.com/spreadsheets/d/""&amp;$A232&amp;""/edit#gid=156619080"",X$3)"),4502.1)</f>
        <v>4502.1</v>
      </c>
      <c r="Y232" s="17">
        <f>IFERROR(__xludf.DUMMYFUNCTION("IMPORTRANGE(""https://docs.google.com/spreadsheets/d/""&amp;$A232&amp;""/edit#gid=156619080"",Y$3)"),-3.57653791130186E-4)</f>
        <v>-0.0003576537911</v>
      </c>
      <c r="Z232" s="2">
        <f>IFERROR(__xludf.DUMMYFUNCTION("IMPORTRANGE(""https://docs.google.com/spreadsheets/d/""&amp;$A232&amp;""/edit#gid=156619080"",Z$3)"),3573.58)</f>
        <v>3573.58</v>
      </c>
      <c r="AA232" s="2">
        <f>IFERROR(__xludf.DUMMYFUNCTION("IMPORTRANGE(""https://docs.google.com/spreadsheets/d/""&amp;$A232&amp;""/edit#gid=156619080"",AA$3)"),3514.94)</f>
        <v>3514.94</v>
      </c>
      <c r="AB232" s="2">
        <f>IFERROR(__xludf.DUMMYFUNCTION("IMPORTRANGE(""https://docs.google.com/spreadsheets/d/""&amp;$A232&amp;""/edit#gid=156619080"",AB$3)"),3456.29)</f>
        <v>3456.29</v>
      </c>
      <c r="AC232" s="18">
        <f>IFERROR(__xludf.DUMMYFUNCTION("IMPORTRANGE(""https://docs.google.com/spreadsheets/d/""&amp;$A232&amp;""/edit#gid=156619080"",AC$3)"),3397.64)</f>
        <v>3397.64</v>
      </c>
      <c r="AD232" s="18">
        <f>IFERROR(__xludf.DUMMYFUNCTION("IMPORTRANGE(""https://docs.google.com/spreadsheets/d/""&amp;$A232&amp;""/edit#gid=156619080"",AD$3)"),3338.99)</f>
        <v>3338.99</v>
      </c>
      <c r="AE232" s="18">
        <f>IFERROR(__xludf.DUMMYFUNCTION("IMPORTRANGE(""https://docs.google.com/spreadsheets/d/""&amp;$A232&amp;""/edit#gid=156619080"",AE$3)"),3104.4)</f>
        <v>3104.4</v>
      </c>
      <c r="AF232" s="2">
        <f>IFERROR(__xludf.DUMMYFUNCTION("IMPORTRANGE(""https://docs.google.com/spreadsheets/d/""&amp;$A232&amp;""/edit#gid=156619080"",AF$3)"),2869.81)</f>
        <v>2869.81</v>
      </c>
      <c r="AG232" s="2">
        <f>IFERROR(__xludf.DUMMYFUNCTION("IMPORTRANGE(""https://docs.google.com/spreadsheets/d/""&amp;$A232&amp;""/edit#gid=156619080"",AG$3)"),2811.16)</f>
        <v>2811.16</v>
      </c>
      <c r="AH232" s="2">
        <f>IFERROR(__xludf.DUMMYFUNCTION("IMPORTRANGE(""https://docs.google.com/spreadsheets/d/""&amp;$A232&amp;""/edit#gid=156619080"",AH$3)"),2752.51)</f>
        <v>2752.51</v>
      </c>
      <c r="AI232" s="2">
        <f>IFERROR(__xludf.DUMMYFUNCTION("IMPORTRANGE(""https://docs.google.com/spreadsheets/d/""&amp;$A232&amp;""/edit#gid=156619080"",AI$3)"),2693.86)</f>
        <v>2693.86</v>
      </c>
      <c r="AJ232" s="2">
        <f>IFERROR(__xludf.DUMMYFUNCTION("IMPORTRANGE(""https://docs.google.com/spreadsheets/d/""&amp;$A232&amp;""/edit#gid=156619080"",AJ$3)"),2635.22)</f>
        <v>2635.22</v>
      </c>
      <c r="AK232" s="2" t="str">
        <f>IFERROR(__xludf.DUMMYFUNCTION("IMPORTRANGE(""https://docs.google.com/spreadsheets/d/""&amp;$A232&amp;""/edit#gid=156619080"",AK$3)"),"-1.25σ〜-1.5σ")</f>
        <v>-1.25σ〜-1.5σ</v>
      </c>
      <c r="AL232" s="2">
        <f>IFERROR(__xludf.DUMMYFUNCTION("IMPORTRANGE(""https://docs.google.com/spreadsheets/d/""&amp;$A232&amp;""/edit#gid=156619080"",AL$3)"),-1.0)</f>
        <v>-1</v>
      </c>
      <c r="AM232" s="2" t="str">
        <f>IFERROR(__xludf.DUMMYFUNCTION("IMPORTRANGE(""https://docs.google.com/spreadsheets/d/""&amp;$A232&amp;""/edit#gid=156619080"",AM$3)"),"")</f>
        <v/>
      </c>
      <c r="AN232" s="2">
        <f>IFERROR(__xludf.DUMMYFUNCTION("IMPORTRANGE(""https://docs.google.com/spreadsheets/d/""&amp;$A232&amp;""/edit#gid=156619080"",AN$3)"),-1.0)</f>
        <v>-1</v>
      </c>
      <c r="AO232" s="2" t="str">
        <f>IFERROR(__xludf.DUMMYFUNCTION("IMPORTRANGE(""https://docs.google.com/spreadsheets/d/""&amp;$A232&amp;""/edit#gid=156619080"",AO$3)"),"")</f>
        <v/>
      </c>
      <c r="AP232" s="2">
        <f>IFERROR(__xludf.DUMMYFUNCTION("IMPORTRANGE(""https://docs.google.com/spreadsheets/d/""&amp;$A232&amp;""/edit#gid=156619080"",AP$3)"),-1.0)</f>
        <v>-1</v>
      </c>
      <c r="AQ232" s="2" t="str">
        <f>IFERROR(__xludf.DUMMYFUNCTION("IMPORTRANGE(""https://docs.google.com/spreadsheets/d/""&amp;$A232&amp;""/edit#gid=156619080"",AQ$3)"),"")</f>
        <v/>
      </c>
      <c r="AR232" s="18">
        <f>IFERROR(__xludf.DUMMYFUNCTION("IMPORTRANGE(""https://docs.google.com/spreadsheets/d/""&amp;$A232&amp;""/edit#gid=156619080"",AR$3)"),-30.000000000000004)</f>
        <v>-30</v>
      </c>
      <c r="AS232" s="19" t="str">
        <f>IFERROR(__xludf.DUMMYFUNCTION("IMPORTRANGE(""https://docs.google.com/spreadsheets/d/""&amp;$A232&amp;""/edit#gid=156619080"",AS$3)"),"-40
-100
-90
-70
")</f>
        <v>-40
-100
-90
-70
</v>
      </c>
      <c r="AT232" s="18">
        <f>IFERROR(__xludf.DUMMYFUNCTION("IMPORTRANGE(""https://docs.google.com/spreadsheets/d/""&amp;$A232&amp;""/edit#gid=156619080"",AT$3)"),-88.04945054945054)</f>
        <v>-88.04945055</v>
      </c>
      <c r="AU232" s="3" t="str">
        <f>IFERROR(__xludf.DUMMYFUNCTION("IMPORTRANGE(""https://docs.google.com/spreadsheets/d/""&amp;$A232&amp;""/edit#gid=156619080"",AU$3)"),"-85.3
-85.3
-84.75
-83.65
")</f>
        <v>-85.3
-85.3
-84.75
-83.65
</v>
      </c>
      <c r="AV232" s="18">
        <f>IFERROR(__xludf.DUMMYFUNCTION("IMPORTRANGE(""https://docs.google.com/spreadsheets/d/""&amp;$A232&amp;""/edit#gid=156619080"",AV$3)"),-94.57792207792208)</f>
        <v>-94.57792208</v>
      </c>
      <c r="AW232" s="19" t="str">
        <f>IFERROR(__xludf.DUMMYFUNCTION("IMPORTRANGE(""https://docs.google.com/spreadsheets/d/""&amp;$A232&amp;""/edit#gid=156619080"",AW$3)"),"-95.1
-95.49
-95.36
-95.1
")</f>
        <v>-95.1
-95.49
-95.36
-95.1
</v>
      </c>
      <c r="AX232" s="2">
        <f>IFERROR(__xludf.DUMMYFUNCTION("IMPORTRANGE(""https://docs.google.com/spreadsheets/d/""&amp;$A232&amp;""/edit#gid=156619080"",AX$3)"),24.310000000000002)</f>
        <v>24.31</v>
      </c>
      <c r="AY232" s="2">
        <f>IFERROR(__xludf.DUMMYFUNCTION("IMPORTRANGE(""https://docs.google.com/spreadsheets/d/""&amp;$A232&amp;""/edit#gid=156619080"",AY$3)"),23.630000000000003)</f>
        <v>23.63</v>
      </c>
      <c r="AZ232" s="2">
        <f>IFERROR(__xludf.DUMMYFUNCTION("IMPORTRANGE(""https://docs.google.com/spreadsheets/d/""&amp;$A232&amp;""/edit#gid=156619080"",AZ$3)"),2825.49)</f>
        <v>2825.49</v>
      </c>
      <c r="BA232" s="2">
        <f>IFERROR(__xludf.DUMMYFUNCTION("IMPORTRANGE(""https://docs.google.com/spreadsheets/d/""&amp;$A232&amp;""/edit#gid=156619080"",BA$3)"),-350.2000000000003)</f>
        <v>-350.2</v>
      </c>
      <c r="BB232" s="2">
        <f>IFERROR(__xludf.DUMMYFUNCTION("IMPORTRANGE(""https://docs.google.com/spreadsheets/d/""&amp;$A232&amp;""/edit#gid=156619080"",BB$3)"),-409.69)</f>
        <v>-409.69</v>
      </c>
      <c r="BC232" s="2" t="str">
        <f>IFERROR(__xludf.DUMMYFUNCTION("IMPORTRANGE(""https://docs.google.com/spreadsheets/d/""&amp;$A232&amp;""/edit#gid=156619080"",BC$3)"),"GC→GC")</f>
        <v>GC→GC</v>
      </c>
    </row>
    <row r="233" ht="51.0" customHeight="1">
      <c r="A233" s="7" t="str">
        <f t="shared" si="5"/>
        <v>17JK2S8tDBveStp6Iq76r4Jqqqh3-tRSmC5fKDAogYso</v>
      </c>
      <c r="B233" s="1" t="s">
        <v>260</v>
      </c>
      <c r="C233" s="2">
        <f>IFERROR(__xludf.DUMMYFUNCTION("IMPORTRANGE(""https://docs.google.com/spreadsheets/d/""&amp;$A233&amp;""/edit#gid=156619080"",C$3)"),131.0)</f>
        <v>131</v>
      </c>
      <c r="D233" s="2">
        <f>IFERROR(__xludf.DUMMYFUNCTION("IMPORTRANGE(""https://docs.google.com/spreadsheets/d/""&amp;$A233&amp;""/edit#gid=156619080"",D$3)"),3556.0)</f>
        <v>3556</v>
      </c>
      <c r="E233" s="15">
        <f>IFERROR(__xludf.DUMMYFUNCTION("IMPORTRANGE(""https://docs.google.com/spreadsheets/d/""&amp;$A233&amp;""/edit#gid=156619080"",E$3)"),43882.0)</f>
        <v>43882</v>
      </c>
      <c r="F233" s="2">
        <f>IFERROR(__xludf.DUMMYFUNCTION("IMPORTRANGE(""https://docs.google.com/spreadsheets/d/""&amp;$A233&amp;""/edit#gid=156619080"",F$3)"),6.0)</f>
        <v>6</v>
      </c>
      <c r="G233" s="16">
        <f>IFERROR(__xludf.DUMMYFUNCTION("IMPORTRANGE(""https://docs.google.com/spreadsheets/d/""&amp;$A233&amp;""/edit#gid=156619080"",G$3)"),1.08)</f>
        <v>1.08</v>
      </c>
      <c r="H233" s="16">
        <f>IFERROR(__xludf.DUMMYFUNCTION("IMPORTRANGE(""https://docs.google.com/spreadsheets/d/""&amp;$A233&amp;""/edit#gid=156619080"",H$3)"),559.0)</f>
        <v>559</v>
      </c>
      <c r="I233" s="16">
        <f>IFERROR(__xludf.DUMMYFUNCTION("IMPORTRANGE(""https://docs.google.com/spreadsheets/d/""&amp;$A233&amp;""/edit#gid=156619080"",I$3)"),-5.0)</f>
        <v>-5</v>
      </c>
      <c r="J233" s="16">
        <f>IFERROR(__xludf.DUMMYFUNCTION("IMPORTRANGE(""https://docs.google.com/spreadsheets/d/""&amp;$A233&amp;""/edit#gid=156619080"",J$3)"),568.0)</f>
        <v>568</v>
      </c>
      <c r="K233" s="16">
        <f>IFERROR(__xludf.DUMMYFUNCTION("IMPORTRANGE(""https://docs.google.com/spreadsheets/d/""&amp;$A233&amp;""/edit#gid=156619080"",K$3)"),0.38958333333333334)</f>
        <v>0.3895833333</v>
      </c>
      <c r="L233" s="16">
        <f>IFERROR(__xludf.DUMMYFUNCTION("IMPORTRANGE(""https://docs.google.com/spreadsheets/d/""&amp;$A233&amp;""/edit#gid=156619080"",L$3)"),553.0)</f>
        <v>553</v>
      </c>
      <c r="M233" s="16">
        <f>IFERROR(__xludf.DUMMYFUNCTION("IMPORTRANGE(""https://docs.google.com/spreadsheets/d/""&amp;$A233&amp;""/edit#gid=156619080"",M$3)"),0.4388888888888889)</f>
        <v>0.4388888889</v>
      </c>
      <c r="N233" s="16">
        <f>IFERROR(__xludf.DUMMYFUNCTION("IMPORTRANGE(""https://docs.google.com/spreadsheets/d/""&amp;$A233&amp;""/edit#gid=156619080"",N$3)"),560.0)</f>
        <v>560</v>
      </c>
      <c r="O233" s="16" t="str">
        <f>IFERROR(__xludf.DUMMYFUNCTION("IMPORTRANGE(""https://docs.google.com/spreadsheets/d/""&amp;$A233&amp;""/edit#gid=156619080"",O$3)"),"70000株")</f>
        <v>70000株</v>
      </c>
      <c r="P233" s="16" t="str">
        <f>IFERROR(__xludf.DUMMYFUNCTION("IMPORTRANGE(""https://docs.google.com/spreadsheets/d/""&amp;$A233&amp;""/edit#gid=156619080"",P$3)"),"39百万円")</f>
        <v>39百万円</v>
      </c>
      <c r="Q233" s="16" t="str">
        <f>IFERROR(__xludf.DUMMYFUNCTION("IMPORTRANGE(""https://docs.google.com/spreadsheets/d/""&amp;$A233&amp;""/edit#gid=156619080"",Q$3)"),"164回")</f>
        <v>164回</v>
      </c>
      <c r="R233" s="16" t="str">
        <f>IFERROR(__xludf.DUMMYFUNCTION("IMPORTRANGE(""https://docs.google.com/spreadsheets/d/""&amp;$A233&amp;""/edit#gid=156619080"",R$3)"),"58.3億円")</f>
        <v>58.3億円</v>
      </c>
      <c r="S233" s="16" t="str">
        <f>IFERROR(__xludf.DUMMYFUNCTION("IMPORTRANGE(""https://docs.google.com/spreadsheets/d/""&amp;$A233&amp;""/edit#gid=156619080"",S$3)"),"陽線")</f>
        <v>陽線</v>
      </c>
      <c r="T233" s="16" t="str">
        <f>IFERROR(__xludf.DUMMYFUNCTION("IMPORTRANGE(""https://docs.google.com/spreadsheets/d/""&amp;$A233&amp;""/edit#gid=156619080"",T$3)"),"")</f>
        <v/>
      </c>
      <c r="U233" s="16">
        <f>IFERROR(__xludf.DUMMYFUNCTION("IMPORTRANGE(""https://docs.google.com/spreadsheets/d/""&amp;$A233&amp;""/edit#gid=156619080"",U$3)"),565.6)</f>
        <v>565.6</v>
      </c>
      <c r="V233" s="16">
        <f>IFERROR(__xludf.DUMMYFUNCTION("IMPORTRANGE(""https://docs.google.com/spreadsheets/d/""&amp;$A233&amp;""/edit#gid=156619080"",V$3)"),626.8)</f>
        <v>626.8</v>
      </c>
      <c r="W233" s="16">
        <f>IFERROR(__xludf.DUMMYFUNCTION("IMPORTRANGE(""https://docs.google.com/spreadsheets/d/""&amp;$A233&amp;""/edit#gid=156619080"",W$3)"),650.0)</f>
        <v>650</v>
      </c>
      <c r="X233" s="2">
        <f>IFERROR(__xludf.DUMMYFUNCTION("IMPORTRANGE(""https://docs.google.com/spreadsheets/d/""&amp;$A233&amp;""/edit#gid=156619080"",X$3)"),752.1)</f>
        <v>752.1</v>
      </c>
      <c r="Y233" s="17">
        <f>IFERROR(__xludf.DUMMYFUNCTION("IMPORTRANGE(""https://docs.google.com/spreadsheets/d/""&amp;$A233&amp;""/edit#gid=156619080"",Y$3)"),-0.009900990099009941)</f>
        <v>-0.009900990099</v>
      </c>
      <c r="Z233" s="2">
        <f>IFERROR(__xludf.DUMMYFUNCTION("IMPORTRANGE(""https://docs.google.com/spreadsheets/d/""&amp;$A233&amp;""/edit#gid=156619080"",Z$3)"),758.72)</f>
        <v>758.72</v>
      </c>
      <c r="AA233" s="2">
        <f>IFERROR(__xludf.DUMMYFUNCTION("IMPORTRANGE(""https://docs.google.com/spreadsheets/d/""&amp;$A233&amp;""/edit#gid=156619080"",AA$3)"),745.13)</f>
        <v>745.13</v>
      </c>
      <c r="AB233" s="2">
        <f>IFERROR(__xludf.DUMMYFUNCTION("IMPORTRANGE(""https://docs.google.com/spreadsheets/d/""&amp;$A233&amp;""/edit#gid=156619080"",AB$3)"),731.54)</f>
        <v>731.54</v>
      </c>
      <c r="AC233" s="18">
        <f>IFERROR(__xludf.DUMMYFUNCTION("IMPORTRANGE(""https://docs.google.com/spreadsheets/d/""&amp;$A233&amp;""/edit#gid=156619080"",AC$3)"),717.95)</f>
        <v>717.95</v>
      </c>
      <c r="AD233" s="18">
        <f>IFERROR(__xludf.DUMMYFUNCTION("IMPORTRANGE(""https://docs.google.com/spreadsheets/d/""&amp;$A233&amp;""/edit#gid=156619080"",AD$3)"),704.36)</f>
        <v>704.36</v>
      </c>
      <c r="AE233" s="18">
        <f>IFERROR(__xludf.DUMMYFUNCTION("IMPORTRANGE(""https://docs.google.com/spreadsheets/d/""&amp;$A233&amp;""/edit#gid=156619080"",AE$3)"),650.0)</f>
        <v>650</v>
      </c>
      <c r="AF233" s="2">
        <f>IFERROR(__xludf.DUMMYFUNCTION("IMPORTRANGE(""https://docs.google.com/spreadsheets/d/""&amp;$A233&amp;""/edit#gid=156619080"",AF$3)"),595.64)</f>
        <v>595.64</v>
      </c>
      <c r="AG233" s="2">
        <f>IFERROR(__xludf.DUMMYFUNCTION("IMPORTRANGE(""https://docs.google.com/spreadsheets/d/""&amp;$A233&amp;""/edit#gid=156619080"",AG$3)"),582.05)</f>
        <v>582.05</v>
      </c>
      <c r="AH233" s="2">
        <f>IFERROR(__xludf.DUMMYFUNCTION("IMPORTRANGE(""https://docs.google.com/spreadsheets/d/""&amp;$A233&amp;""/edit#gid=156619080"",AH$3)"),568.46)</f>
        <v>568.46</v>
      </c>
      <c r="AI233" s="2">
        <f>IFERROR(__xludf.DUMMYFUNCTION("IMPORTRANGE(""https://docs.google.com/spreadsheets/d/""&amp;$A233&amp;""/edit#gid=156619080"",AI$3)"),554.87)</f>
        <v>554.87</v>
      </c>
      <c r="AJ233" s="2">
        <f>IFERROR(__xludf.DUMMYFUNCTION("IMPORTRANGE(""https://docs.google.com/spreadsheets/d/""&amp;$A233&amp;""/edit#gid=156619080"",AJ$3)"),541.28)</f>
        <v>541.28</v>
      </c>
      <c r="AK233" s="2" t="str">
        <f>IFERROR(__xludf.DUMMYFUNCTION("IMPORTRANGE(""https://docs.google.com/spreadsheets/d/""&amp;$A233&amp;""/edit#gid=156619080"",AK$3)"),"-1.5σ〜-1.75σ")</f>
        <v>-1.5σ〜-1.75σ</v>
      </c>
      <c r="AL233" s="2">
        <f>IFERROR(__xludf.DUMMYFUNCTION("IMPORTRANGE(""https://docs.google.com/spreadsheets/d/""&amp;$A233&amp;""/edit#gid=156619080"",AL$3)"),-1.0)</f>
        <v>-1</v>
      </c>
      <c r="AM233" s="2" t="str">
        <f>IFERROR(__xludf.DUMMYFUNCTION("IMPORTRANGE(""https://docs.google.com/spreadsheets/d/""&amp;$A233&amp;""/edit#gid=156619080"",AM$3)"),"")</f>
        <v/>
      </c>
      <c r="AN233" s="2">
        <f>IFERROR(__xludf.DUMMYFUNCTION("IMPORTRANGE(""https://docs.google.com/spreadsheets/d/""&amp;$A233&amp;""/edit#gid=156619080"",AN$3)"),-1.0)</f>
        <v>-1</v>
      </c>
      <c r="AO233" s="2" t="str">
        <f>IFERROR(__xludf.DUMMYFUNCTION("IMPORTRANGE(""https://docs.google.com/spreadsheets/d/""&amp;$A233&amp;""/edit#gid=156619080"",AO$3)"),"")</f>
        <v/>
      </c>
      <c r="AP233" s="2">
        <f>IFERROR(__xludf.DUMMYFUNCTION("IMPORTRANGE(""https://docs.google.com/spreadsheets/d/""&amp;$A233&amp;""/edit#gid=156619080"",AP$3)"),-1.0)</f>
        <v>-1</v>
      </c>
      <c r="AQ233" s="2" t="str">
        <f>IFERROR(__xludf.DUMMYFUNCTION("IMPORTRANGE(""https://docs.google.com/spreadsheets/d/""&amp;$A233&amp;""/edit#gid=156619080"",AQ$3)"),"")</f>
        <v/>
      </c>
      <c r="AR233" s="18">
        <f>IFERROR(__xludf.DUMMYFUNCTION("IMPORTRANGE(""https://docs.google.com/spreadsheets/d/""&amp;$A233&amp;""/edit#gid=156619080"",AR$3)"),-89.99999999999999)</f>
        <v>-90</v>
      </c>
      <c r="AS233" s="19" t="str">
        <f>IFERROR(__xludf.DUMMYFUNCTION("IMPORTRANGE(""https://docs.google.com/spreadsheets/d/""&amp;$A233&amp;""/edit#gid=156619080"",AS$3)"),"-70
-90
-100
-100
")</f>
        <v>-70
-90
-100
-100
</v>
      </c>
      <c r="AT233" s="18">
        <f>IFERROR(__xludf.DUMMYFUNCTION("IMPORTRANGE(""https://docs.google.com/spreadsheets/d/""&amp;$A233&amp;""/edit#gid=156619080"",AT$3)"),-80.76923076923077)</f>
        <v>-80.76923077</v>
      </c>
      <c r="AU233" s="3" t="str">
        <f>IFERROR(__xludf.DUMMYFUNCTION("IMPORTRANGE(""https://docs.google.com/spreadsheets/d/""&amp;$A233&amp;""/edit#gid=156619080"",AU$3)"),"-25.82
-31.32
-50.55
-65.93
")</f>
        <v>-25.82
-31.32
-50.55
-65.93
</v>
      </c>
      <c r="AV233" s="18">
        <f>IFERROR(__xludf.DUMMYFUNCTION("IMPORTRANGE(""https://docs.google.com/spreadsheets/d/""&amp;$A233&amp;""/edit#gid=156619080"",AV$3)"),-80.9090909090909)</f>
        <v>-80.90909091</v>
      </c>
      <c r="AW233" s="19" t="str">
        <f>IFERROR(__xludf.DUMMYFUNCTION("IMPORTRANGE(""https://docs.google.com/spreadsheets/d/""&amp;$A233&amp;""/edit#gid=156619080"",AW$3)"),"-80.91
-80.91
-80.91
-81.04
")</f>
        <v>-80.91
-80.91
-80.91
-81.04
</v>
      </c>
      <c r="AX233" s="2">
        <f>IFERROR(__xludf.DUMMYFUNCTION("IMPORTRANGE(""https://docs.google.com/spreadsheets/d/""&amp;$A233&amp;""/edit#gid=156619080"",AX$3)"),13.639999999999999)</f>
        <v>13.64</v>
      </c>
      <c r="AY233" s="2">
        <f>IFERROR(__xludf.DUMMYFUNCTION("IMPORTRANGE(""https://docs.google.com/spreadsheets/d/""&amp;$A233&amp;""/edit#gid=156619080"",AY$3)"),23.53)</f>
        <v>23.53</v>
      </c>
      <c r="AZ233" s="2">
        <f>IFERROR(__xludf.DUMMYFUNCTION("IMPORTRANGE(""https://docs.google.com/spreadsheets/d/""&amp;$A233&amp;""/edit#gid=156619080"",AZ$3)"),572.84)</f>
        <v>572.84</v>
      </c>
      <c r="BA233" s="2">
        <f>IFERROR(__xludf.DUMMYFUNCTION("IMPORTRANGE(""https://docs.google.com/spreadsheets/d/""&amp;$A233&amp;""/edit#gid=156619080"",BA$3)"),-67.44999999999993)</f>
        <v>-67.45</v>
      </c>
      <c r="BB233" s="2">
        <f>IFERROR(__xludf.DUMMYFUNCTION("IMPORTRANGE(""https://docs.google.com/spreadsheets/d/""&amp;$A233&amp;""/edit#gid=156619080"",BB$3)"),-47.53)</f>
        <v>-47.53</v>
      </c>
      <c r="BC233" s="2" t="str">
        <f>IFERROR(__xludf.DUMMYFUNCTION("IMPORTRANGE(""https://docs.google.com/spreadsheets/d/""&amp;$A233&amp;""/edit#gid=156619080"",BC$3)"),"DC→DC")</f>
        <v>DC→DC</v>
      </c>
    </row>
    <row r="234" ht="51.0" customHeight="1">
      <c r="A234" s="7" t="str">
        <f t="shared" si="5"/>
        <v>1cRaKb0sqasarrgSlAH4T5Pia5fo_q_tkGwnc4K6c9xM</v>
      </c>
      <c r="B234" s="1" t="s">
        <v>261</v>
      </c>
      <c r="C234" s="2">
        <f>IFERROR(__xludf.DUMMYFUNCTION("IMPORTRANGE(""https://docs.google.com/spreadsheets/d/""&amp;$A234&amp;""/edit#gid=156619080"",C$3)"),131.0)</f>
        <v>131</v>
      </c>
      <c r="D234" s="2">
        <f>IFERROR(__xludf.DUMMYFUNCTION("IMPORTRANGE(""https://docs.google.com/spreadsheets/d/""&amp;$A234&amp;""/edit#gid=156619080"",D$3)"),3665.0)</f>
        <v>3665</v>
      </c>
      <c r="E234" s="15">
        <f>IFERROR(__xludf.DUMMYFUNCTION("IMPORTRANGE(""https://docs.google.com/spreadsheets/d/""&amp;$A234&amp;""/edit#gid=156619080"",E$3)"),43882.0)</f>
        <v>43882</v>
      </c>
      <c r="F234" s="2">
        <f>IFERROR(__xludf.DUMMYFUNCTION("IMPORTRANGE(""https://docs.google.com/spreadsheets/d/""&amp;$A234&amp;""/edit#gid=156619080"",F$3)"),0.0)</f>
        <v>0</v>
      </c>
      <c r="G234" s="16">
        <f>IFERROR(__xludf.DUMMYFUNCTION("IMPORTRANGE(""https://docs.google.com/spreadsheets/d/""&amp;$A234&amp;""/edit#gid=156619080"",G$3)"),0.0)</f>
        <v>0</v>
      </c>
      <c r="H234" s="16">
        <f>IFERROR(__xludf.DUMMYFUNCTION("IMPORTRANGE(""https://docs.google.com/spreadsheets/d/""&amp;$A234&amp;""/edit#gid=156619080"",H$3)"),822.0)</f>
        <v>822</v>
      </c>
      <c r="I234" s="16">
        <f>IFERROR(__xludf.DUMMYFUNCTION("IMPORTRANGE(""https://docs.google.com/spreadsheets/d/""&amp;$A234&amp;""/edit#gid=156619080"",I$3)"),7.0)</f>
        <v>7</v>
      </c>
      <c r="J234" s="16">
        <f>IFERROR(__xludf.DUMMYFUNCTION("IMPORTRANGE(""https://docs.google.com/spreadsheets/d/""&amp;$A234&amp;""/edit#gid=156619080"",J$3)"),835.0)</f>
        <v>835</v>
      </c>
      <c r="K234" s="16">
        <f>IFERROR(__xludf.DUMMYFUNCTION("IMPORTRANGE(""https://docs.google.com/spreadsheets/d/""&amp;$A234&amp;""/edit#gid=156619080"",K$3)"),0.54375)</f>
        <v>0.54375</v>
      </c>
      <c r="L234" s="16">
        <f>IFERROR(__xludf.DUMMYFUNCTION("IMPORTRANGE(""https://docs.google.com/spreadsheets/d/""&amp;$A234&amp;""/edit#gid=156619080"",L$3)"),820.0)</f>
        <v>820</v>
      </c>
      <c r="M234" s="16">
        <f>IFERROR(__xludf.DUMMYFUNCTION("IMPORTRANGE(""https://docs.google.com/spreadsheets/d/""&amp;$A234&amp;""/edit#gid=156619080"",M$3)"),0.3798611111111111)</f>
        <v>0.3798611111</v>
      </c>
      <c r="N234" s="16">
        <f>IFERROR(__xludf.DUMMYFUNCTION("IMPORTRANGE(""https://docs.google.com/spreadsheets/d/""&amp;$A234&amp;""/edit#gid=156619080"",N$3)"),829.0)</f>
        <v>829</v>
      </c>
      <c r="O234" s="16" t="str">
        <f>IFERROR(__xludf.DUMMYFUNCTION("IMPORTRANGE(""https://docs.google.com/spreadsheets/d/""&amp;$A234&amp;""/edit#gid=156619080"",O$3)"),"137200株")</f>
        <v>137200株</v>
      </c>
      <c r="P234" s="16" t="str">
        <f>IFERROR(__xludf.DUMMYFUNCTION("IMPORTRANGE(""https://docs.google.com/spreadsheets/d/""&amp;$A234&amp;""/edit#gid=156619080"",P$3)"),"113百万円")</f>
        <v>113百万円</v>
      </c>
      <c r="Q234" s="16" t="str">
        <f>IFERROR(__xludf.DUMMYFUNCTION("IMPORTRANGE(""https://docs.google.com/spreadsheets/d/""&amp;$A234&amp;""/edit#gid=156619080"",Q$3)"),"486回")</f>
        <v>486回</v>
      </c>
      <c r="R234" s="16" t="str">
        <f>IFERROR(__xludf.DUMMYFUNCTION("IMPORTRANGE(""https://docs.google.com/spreadsheets/d/""&amp;$A234&amp;""/edit#gid=156619080"",R$3)"),"354億円")</f>
        <v>354億円</v>
      </c>
      <c r="S234" s="16" t="str">
        <f>IFERROR(__xludf.DUMMYFUNCTION("IMPORTRANGE(""https://docs.google.com/spreadsheets/d/""&amp;$A234&amp;""/edit#gid=156619080"",S$3)"),"陽線")</f>
        <v>陽線</v>
      </c>
      <c r="T234" s="16" t="str">
        <f>IFERROR(__xludf.DUMMYFUNCTION("IMPORTRANGE(""https://docs.google.com/spreadsheets/d/""&amp;$A234&amp;""/edit#gid=156619080"",T$3)"),"")</f>
        <v/>
      </c>
      <c r="U234" s="16">
        <f>IFERROR(__xludf.DUMMYFUNCTION("IMPORTRANGE(""https://docs.google.com/spreadsheets/d/""&amp;$A234&amp;""/edit#gid=156619080"",U$3)"),833.0)</f>
        <v>833</v>
      </c>
      <c r="V234" s="16">
        <f>IFERROR(__xludf.DUMMYFUNCTION("IMPORTRANGE(""https://docs.google.com/spreadsheets/d/""&amp;$A234&amp;""/edit#gid=156619080"",V$3)"),872.8)</f>
        <v>872.8</v>
      </c>
      <c r="W234" s="16">
        <f>IFERROR(__xludf.DUMMYFUNCTION("IMPORTRANGE(""https://docs.google.com/spreadsheets/d/""&amp;$A234&amp;""/edit#gid=156619080"",W$3)"),876.2)</f>
        <v>876.2</v>
      </c>
      <c r="X234" s="2">
        <f>IFERROR(__xludf.DUMMYFUNCTION("IMPORTRANGE(""https://docs.google.com/spreadsheets/d/""&amp;$A234&amp;""/edit#gid=156619080"",X$3)"),947.8)</f>
        <v>947.8</v>
      </c>
      <c r="Y234" s="17">
        <f>IFERROR(__xludf.DUMMYFUNCTION("IMPORTRANGE(""https://docs.google.com/spreadsheets/d/""&amp;$A234&amp;""/edit#gid=156619080"",Y$3)"),-0.004801920768307323)</f>
        <v>-0.004801920768</v>
      </c>
      <c r="Z234" s="2">
        <f>IFERROR(__xludf.DUMMYFUNCTION("IMPORTRANGE(""https://docs.google.com/spreadsheets/d/""&amp;$A234&amp;""/edit#gid=156619080"",Z$3)"),930.77)</f>
        <v>930.77</v>
      </c>
      <c r="AA234" s="2">
        <f>IFERROR(__xludf.DUMMYFUNCTION("IMPORTRANGE(""https://docs.google.com/spreadsheets/d/""&amp;$A234&amp;""/edit#gid=156619080"",AA$3)"),923.95)</f>
        <v>923.95</v>
      </c>
      <c r="AB234" s="2">
        <f>IFERROR(__xludf.DUMMYFUNCTION("IMPORTRANGE(""https://docs.google.com/spreadsheets/d/""&amp;$A234&amp;""/edit#gid=156619080"",AB$3)"),917.13)</f>
        <v>917.13</v>
      </c>
      <c r="AC234" s="18">
        <f>IFERROR(__xludf.DUMMYFUNCTION("IMPORTRANGE(""https://docs.google.com/spreadsheets/d/""&amp;$A234&amp;""/edit#gid=156619080"",AC$3)"),910.31)</f>
        <v>910.31</v>
      </c>
      <c r="AD234" s="18">
        <f>IFERROR(__xludf.DUMMYFUNCTION("IMPORTRANGE(""https://docs.google.com/spreadsheets/d/""&amp;$A234&amp;""/edit#gid=156619080"",AD$3)"),903.48)</f>
        <v>903.48</v>
      </c>
      <c r="AE234" s="18">
        <f>IFERROR(__xludf.DUMMYFUNCTION("IMPORTRANGE(""https://docs.google.com/spreadsheets/d/""&amp;$A234&amp;""/edit#gid=156619080"",AE$3)"),876.2)</f>
        <v>876.2</v>
      </c>
      <c r="AF234" s="2">
        <f>IFERROR(__xludf.DUMMYFUNCTION("IMPORTRANGE(""https://docs.google.com/spreadsheets/d/""&amp;$A234&amp;""/edit#gid=156619080"",AF$3)"),848.92)</f>
        <v>848.92</v>
      </c>
      <c r="AG234" s="2">
        <f>IFERROR(__xludf.DUMMYFUNCTION("IMPORTRANGE(""https://docs.google.com/spreadsheets/d/""&amp;$A234&amp;""/edit#gid=156619080"",AG$3)"),842.09)</f>
        <v>842.09</v>
      </c>
      <c r="AH234" s="2">
        <f>IFERROR(__xludf.DUMMYFUNCTION("IMPORTRANGE(""https://docs.google.com/spreadsheets/d/""&amp;$A234&amp;""/edit#gid=156619080"",AH$3)"),835.27)</f>
        <v>835.27</v>
      </c>
      <c r="AI234" s="2">
        <f>IFERROR(__xludf.DUMMYFUNCTION("IMPORTRANGE(""https://docs.google.com/spreadsheets/d/""&amp;$A234&amp;""/edit#gid=156619080"",AI$3)"),828.45)</f>
        <v>828.45</v>
      </c>
      <c r="AJ234" s="2">
        <f>IFERROR(__xludf.DUMMYFUNCTION("IMPORTRANGE(""https://docs.google.com/spreadsheets/d/""&amp;$A234&amp;""/edit#gid=156619080"",AJ$3)"),821.63)</f>
        <v>821.63</v>
      </c>
      <c r="AK234" s="2" t="str">
        <f>IFERROR(__xludf.DUMMYFUNCTION("IMPORTRANGE(""https://docs.google.com/spreadsheets/d/""&amp;$A234&amp;""/edit#gid=156619080"",AK$3)"),"-1.5σ〜-1.75σ")</f>
        <v>-1.5σ〜-1.75σ</v>
      </c>
      <c r="AL234" s="2">
        <f>IFERROR(__xludf.DUMMYFUNCTION("IMPORTRANGE(""https://docs.google.com/spreadsheets/d/""&amp;$A234&amp;""/edit#gid=156619080"",AL$3)"),-1.0)</f>
        <v>-1</v>
      </c>
      <c r="AM234" s="2" t="str">
        <f>IFERROR(__xludf.DUMMYFUNCTION("IMPORTRANGE(""https://docs.google.com/spreadsheets/d/""&amp;$A234&amp;""/edit#gid=156619080"",AM$3)"),"")</f>
        <v/>
      </c>
      <c r="AN234" s="2">
        <f>IFERROR(__xludf.DUMMYFUNCTION("IMPORTRANGE(""https://docs.google.com/spreadsheets/d/""&amp;$A234&amp;""/edit#gid=156619080"",AN$3)"),-1.0)</f>
        <v>-1</v>
      </c>
      <c r="AO234" s="2" t="str">
        <f>IFERROR(__xludf.DUMMYFUNCTION("IMPORTRANGE(""https://docs.google.com/spreadsheets/d/""&amp;$A234&amp;""/edit#gid=156619080"",AO$3)"),"")</f>
        <v/>
      </c>
      <c r="AP234" s="2">
        <f>IFERROR(__xludf.DUMMYFUNCTION("IMPORTRANGE(""https://docs.google.com/spreadsheets/d/""&amp;$A234&amp;""/edit#gid=156619080"",AP$3)"),-1.0)</f>
        <v>-1</v>
      </c>
      <c r="AQ234" s="2" t="str">
        <f>IFERROR(__xludf.DUMMYFUNCTION("IMPORTRANGE(""https://docs.google.com/spreadsheets/d/""&amp;$A234&amp;""/edit#gid=156619080"",AQ$3)"),"")</f>
        <v/>
      </c>
      <c r="AR234" s="18">
        <f>IFERROR(__xludf.DUMMYFUNCTION("IMPORTRANGE(""https://docs.google.com/spreadsheets/d/""&amp;$A234&amp;""/edit#gid=156619080"",AR$3)"),-32.49999999999999)</f>
        <v>-32.5</v>
      </c>
      <c r="AS234" s="19" t="str">
        <f>IFERROR(__xludf.DUMMYFUNCTION("IMPORTRANGE(""https://docs.google.com/spreadsheets/d/""&amp;$A234&amp;""/edit#gid=156619080"",AS$3)"),"-60
-90
-90
-70
")</f>
        <v>-60
-90
-90
-70
</v>
      </c>
      <c r="AT234" s="18">
        <f>IFERROR(__xludf.DUMMYFUNCTION("IMPORTRANGE(""https://docs.google.com/spreadsheets/d/""&amp;$A234&amp;""/edit#gid=156619080"",AT$3)"),-76.51098901098901)</f>
        <v>-76.51098901</v>
      </c>
      <c r="AU234" s="3" t="str">
        <f>IFERROR(__xludf.DUMMYFUNCTION("IMPORTRANGE(""https://docs.google.com/spreadsheets/d/""&amp;$A234&amp;""/edit#gid=156619080"",AU$3)"),"-6.04
-6.04
-35.71
-58.79
")</f>
        <v>-6.04
-6.04
-35.71
-58.79
</v>
      </c>
      <c r="AV234" s="18">
        <f>IFERROR(__xludf.DUMMYFUNCTION("IMPORTRANGE(""https://docs.google.com/spreadsheets/d/""&amp;$A234&amp;""/edit#gid=156619080"",AV$3)"),-35.1948051948052)</f>
        <v>-35.19480519</v>
      </c>
      <c r="AW234" s="19" t="str">
        <f>IFERROR(__xludf.DUMMYFUNCTION("IMPORTRANGE(""https://docs.google.com/spreadsheets/d/""&amp;$A234&amp;""/edit#gid=156619080"",AW$3)"),"-20.52
-20.52
-20.39
-28.8
")</f>
        <v>-20.52
-20.52
-20.39
-28.8
</v>
      </c>
      <c r="AX234" s="2">
        <f>IFERROR(__xludf.DUMMYFUNCTION("IMPORTRANGE(""https://docs.google.com/spreadsheets/d/""&amp;$A234&amp;""/edit#gid=156619080"",AX$3)"),13.750000000000002)</f>
        <v>13.75</v>
      </c>
      <c r="AY234" s="2">
        <f>IFERROR(__xludf.DUMMYFUNCTION("IMPORTRANGE(""https://docs.google.com/spreadsheets/d/""&amp;$A234&amp;""/edit#gid=156619080"",AY$3)"),39.129999999999995)</f>
        <v>39.13</v>
      </c>
      <c r="AZ234" s="2">
        <f>IFERROR(__xludf.DUMMYFUNCTION("IMPORTRANGE(""https://docs.google.com/spreadsheets/d/""&amp;$A234&amp;""/edit#gid=156619080"",AZ$3)"),839.43)</f>
        <v>839.43</v>
      </c>
      <c r="BA234" s="2">
        <f>IFERROR(__xludf.DUMMYFUNCTION("IMPORTRANGE(""https://docs.google.com/spreadsheets/d/""&amp;$A234&amp;""/edit#gid=156619080"",BA$3)"),-35.22000000000003)</f>
        <v>-35.22</v>
      </c>
      <c r="BB234" s="2">
        <f>IFERROR(__xludf.DUMMYFUNCTION("IMPORTRANGE(""https://docs.google.com/spreadsheets/d/""&amp;$A234&amp;""/edit#gid=156619080"",BB$3)"),-21.71)</f>
        <v>-21.71</v>
      </c>
      <c r="BC234" s="2" t="str">
        <f>IFERROR(__xludf.DUMMYFUNCTION("IMPORTRANGE(""https://docs.google.com/spreadsheets/d/""&amp;$A234&amp;""/edit#gid=156619080"",BC$3)"),"DC→DC")</f>
        <v>DC→DC</v>
      </c>
    </row>
    <row r="235" ht="51.0" customHeight="1">
      <c r="A235" s="7" t="str">
        <f t="shared" si="5"/>
        <v>19JDGx4dp6xFJ0n9e390raZKM1h2XWPX0gWch5BtRmD4</v>
      </c>
      <c r="B235" s="1" t="s">
        <v>262</v>
      </c>
      <c r="C235" s="2">
        <f>IFERROR(__xludf.DUMMYFUNCTION("IMPORTRANGE(""https://docs.google.com/spreadsheets/d/""&amp;$A235&amp;""/edit#gid=156619080"",C$3)"),131.0)</f>
        <v>131</v>
      </c>
      <c r="D235" s="2">
        <f>IFERROR(__xludf.DUMMYFUNCTION("IMPORTRANGE(""https://docs.google.com/spreadsheets/d/""&amp;$A235&amp;""/edit#gid=156619080"",D$3)"),3987.0)</f>
        <v>3987</v>
      </c>
      <c r="E235" s="15">
        <f>IFERROR(__xludf.DUMMYFUNCTION("IMPORTRANGE(""https://docs.google.com/spreadsheets/d/""&amp;$A235&amp;""/edit#gid=156619080"",E$3)"),43882.0)</f>
        <v>43882</v>
      </c>
      <c r="F235" s="2">
        <f>IFERROR(__xludf.DUMMYFUNCTION("IMPORTRANGE(""https://docs.google.com/spreadsheets/d/""&amp;$A235&amp;""/edit#gid=156619080"",F$3)"),41.0)</f>
        <v>41</v>
      </c>
      <c r="G235" s="16">
        <f>IFERROR(__xludf.DUMMYFUNCTION("IMPORTRANGE(""https://docs.google.com/spreadsheets/d/""&amp;$A235&amp;""/edit#gid=156619080"",G$3)"),3.53)</f>
        <v>3.53</v>
      </c>
      <c r="H235" s="16">
        <f>IFERROR(__xludf.DUMMYFUNCTION("IMPORTRANGE(""https://docs.google.com/spreadsheets/d/""&amp;$A235&amp;""/edit#gid=156619080"",H$3)"),1182.0)</f>
        <v>1182</v>
      </c>
      <c r="I235" s="16">
        <f>IFERROR(__xludf.DUMMYFUNCTION("IMPORTRANGE(""https://docs.google.com/spreadsheets/d/""&amp;$A235&amp;""/edit#gid=156619080"",I$3)"),-22.0)</f>
        <v>-22</v>
      </c>
      <c r="J235" s="16">
        <f>IFERROR(__xludf.DUMMYFUNCTION("IMPORTRANGE(""https://docs.google.com/spreadsheets/d/""&amp;$A235&amp;""/edit#gid=156619080"",J$3)"),1210.0)</f>
        <v>1210</v>
      </c>
      <c r="K235" s="16">
        <f>IFERROR(__xludf.DUMMYFUNCTION("IMPORTRANGE(""https://docs.google.com/spreadsheets/d/""&amp;$A235&amp;""/edit#gid=156619080"",K$3)"),0.5354166666666667)</f>
        <v>0.5354166667</v>
      </c>
      <c r="L235" s="16">
        <f>IFERROR(__xludf.DUMMYFUNCTION("IMPORTRANGE(""https://docs.google.com/spreadsheets/d/""&amp;$A235&amp;""/edit#gid=156619080"",L$3)"),1166.0)</f>
        <v>1166</v>
      </c>
      <c r="M235" s="16">
        <f>IFERROR(__xludf.DUMMYFUNCTION("IMPORTRANGE(""https://docs.google.com/spreadsheets/d/""&amp;$A235&amp;""/edit#gid=156619080"",M$3)"),0.40347222222222223)</f>
        <v>0.4034722222</v>
      </c>
      <c r="N235" s="16">
        <f>IFERROR(__xludf.DUMMYFUNCTION("IMPORTRANGE(""https://docs.google.com/spreadsheets/d/""&amp;$A235&amp;""/edit#gid=156619080"",N$3)"),1201.0)</f>
        <v>1201</v>
      </c>
      <c r="O235" s="16" t="str">
        <f>IFERROR(__xludf.DUMMYFUNCTION("IMPORTRANGE(""https://docs.google.com/spreadsheets/d/""&amp;$A235&amp;""/edit#gid=156619080"",O$3)"),"24100株")</f>
        <v>24100株</v>
      </c>
      <c r="P235" s="16" t="str">
        <f>IFERROR(__xludf.DUMMYFUNCTION("IMPORTRANGE(""https://docs.google.com/spreadsheets/d/""&amp;$A235&amp;""/edit#gid=156619080"",P$3)"),"29百万円")</f>
        <v>29百万円</v>
      </c>
      <c r="Q235" s="16" t="str">
        <f>IFERROR(__xludf.DUMMYFUNCTION("IMPORTRANGE(""https://docs.google.com/spreadsheets/d/""&amp;$A235&amp;""/edit#gid=156619080"",Q$3)"),"124回")</f>
        <v>124回</v>
      </c>
      <c r="R235" s="16" t="str">
        <f>IFERROR(__xludf.DUMMYFUNCTION("IMPORTRANGE(""https://docs.google.com/spreadsheets/d/""&amp;$A235&amp;""/edit#gid=156619080"",R$3)"),"61.6億円")</f>
        <v>61.6億円</v>
      </c>
      <c r="S235" s="16" t="str">
        <f>IFERROR(__xludf.DUMMYFUNCTION("IMPORTRANGE(""https://docs.google.com/spreadsheets/d/""&amp;$A235&amp;""/edit#gid=156619080"",S$3)"),"陽線")</f>
        <v>陽線</v>
      </c>
      <c r="T235" s="16" t="str">
        <f>IFERROR(__xludf.DUMMYFUNCTION("IMPORTRANGE(""https://docs.google.com/spreadsheets/d/""&amp;$A235&amp;""/edit#gid=156619080"",T$3)"),"")</f>
        <v/>
      </c>
      <c r="U235" s="16">
        <f>IFERROR(__xludf.DUMMYFUNCTION("IMPORTRANGE(""https://docs.google.com/spreadsheets/d/""&amp;$A235&amp;""/edit#gid=156619080"",U$3)"),1202.8)</f>
        <v>1202.8</v>
      </c>
      <c r="V235" s="16">
        <f>IFERROR(__xludf.DUMMYFUNCTION("IMPORTRANGE(""https://docs.google.com/spreadsheets/d/""&amp;$A235&amp;""/edit#gid=156619080"",V$3)"),1312.2)</f>
        <v>1312.2</v>
      </c>
      <c r="W235" s="16">
        <f>IFERROR(__xludf.DUMMYFUNCTION("IMPORTRANGE(""https://docs.google.com/spreadsheets/d/""&amp;$A235&amp;""/edit#gid=156619080"",W$3)"),1348.0)</f>
        <v>1348</v>
      </c>
      <c r="X235" s="2">
        <f>IFERROR(__xludf.DUMMYFUNCTION("IMPORTRANGE(""https://docs.google.com/spreadsheets/d/""&amp;$A235&amp;""/edit#gid=156619080"",X$3)"),1349.0)</f>
        <v>1349</v>
      </c>
      <c r="Y235" s="17">
        <f>IFERROR(__xludf.DUMMYFUNCTION("IMPORTRANGE(""https://docs.google.com/spreadsheets/d/""&amp;$A235&amp;""/edit#gid=156619080"",Y$3)"),-0.0014965081476554327)</f>
        <v>-0.001496508148</v>
      </c>
      <c r="Z235" s="2">
        <f>IFERROR(__xludf.DUMMYFUNCTION("IMPORTRANGE(""https://docs.google.com/spreadsheets/d/""&amp;$A235&amp;""/edit#gid=156619080"",Z$3)"),1521.85)</f>
        <v>1521.85</v>
      </c>
      <c r="AA235" s="2">
        <f>IFERROR(__xludf.DUMMYFUNCTION("IMPORTRANGE(""https://docs.google.com/spreadsheets/d/""&amp;$A235&amp;""/edit#gid=156619080"",AA$3)"),1500.12)</f>
        <v>1500.12</v>
      </c>
      <c r="AB235" s="2">
        <f>IFERROR(__xludf.DUMMYFUNCTION("IMPORTRANGE(""https://docs.google.com/spreadsheets/d/""&amp;$A235&amp;""/edit#gid=156619080"",AB$3)"),1478.39)</f>
        <v>1478.39</v>
      </c>
      <c r="AC235" s="18">
        <f>IFERROR(__xludf.DUMMYFUNCTION("IMPORTRANGE(""https://docs.google.com/spreadsheets/d/""&amp;$A235&amp;""/edit#gid=156619080"",AC$3)"),1456.66)</f>
        <v>1456.66</v>
      </c>
      <c r="AD235" s="18">
        <f>IFERROR(__xludf.DUMMYFUNCTION("IMPORTRANGE(""https://docs.google.com/spreadsheets/d/""&amp;$A235&amp;""/edit#gid=156619080"",AD$3)"),1434.93)</f>
        <v>1434.93</v>
      </c>
      <c r="AE235" s="18">
        <f>IFERROR(__xludf.DUMMYFUNCTION("IMPORTRANGE(""https://docs.google.com/spreadsheets/d/""&amp;$A235&amp;""/edit#gid=156619080"",AE$3)"),1348.0)</f>
        <v>1348</v>
      </c>
      <c r="AF235" s="2">
        <f>IFERROR(__xludf.DUMMYFUNCTION("IMPORTRANGE(""https://docs.google.com/spreadsheets/d/""&amp;$A235&amp;""/edit#gid=156619080"",AF$3)"),1261.07)</f>
        <v>1261.07</v>
      </c>
      <c r="AG235" s="2">
        <f>IFERROR(__xludf.DUMMYFUNCTION("IMPORTRANGE(""https://docs.google.com/spreadsheets/d/""&amp;$A235&amp;""/edit#gid=156619080"",AG$3)"),1239.34)</f>
        <v>1239.34</v>
      </c>
      <c r="AH235" s="2">
        <f>IFERROR(__xludf.DUMMYFUNCTION("IMPORTRANGE(""https://docs.google.com/spreadsheets/d/""&amp;$A235&amp;""/edit#gid=156619080"",AH$3)"),1217.61)</f>
        <v>1217.61</v>
      </c>
      <c r="AI235" s="2">
        <f>IFERROR(__xludf.DUMMYFUNCTION("IMPORTRANGE(""https://docs.google.com/spreadsheets/d/""&amp;$A235&amp;""/edit#gid=156619080"",AI$3)"),1195.88)</f>
        <v>1195.88</v>
      </c>
      <c r="AJ235" s="2">
        <f>IFERROR(__xludf.DUMMYFUNCTION("IMPORTRANGE(""https://docs.google.com/spreadsheets/d/""&amp;$A235&amp;""/edit#gid=156619080"",AJ$3)"),1174.15)</f>
        <v>1174.15</v>
      </c>
      <c r="AK235" s="2" t="str">
        <f>IFERROR(__xludf.DUMMYFUNCTION("IMPORTRANGE(""https://docs.google.com/spreadsheets/d/""&amp;$A235&amp;""/edit#gid=156619080"",AK$3)"),"-1.5σ〜-1.75σ")</f>
        <v>-1.5σ〜-1.75σ</v>
      </c>
      <c r="AL235" s="2">
        <f>IFERROR(__xludf.DUMMYFUNCTION("IMPORTRANGE(""https://docs.google.com/spreadsheets/d/""&amp;$A235&amp;""/edit#gid=156619080"",AL$3)"),-1.0)</f>
        <v>-1</v>
      </c>
      <c r="AM235" s="2" t="str">
        <f>IFERROR(__xludf.DUMMYFUNCTION("IMPORTRANGE(""https://docs.google.com/spreadsheets/d/""&amp;$A235&amp;""/edit#gid=156619080"",AM$3)"),"")</f>
        <v/>
      </c>
      <c r="AN235" s="2">
        <f>IFERROR(__xludf.DUMMYFUNCTION("IMPORTRANGE(""https://docs.google.com/spreadsheets/d/""&amp;$A235&amp;""/edit#gid=156619080"",AN$3)"),-1.0)</f>
        <v>-1</v>
      </c>
      <c r="AO235" s="2" t="str">
        <f>IFERROR(__xludf.DUMMYFUNCTION("IMPORTRANGE(""https://docs.google.com/spreadsheets/d/""&amp;$A235&amp;""/edit#gid=156619080"",AO$3)"),"")</f>
        <v/>
      </c>
      <c r="AP235" s="2">
        <f>IFERROR(__xludf.DUMMYFUNCTION("IMPORTRANGE(""https://docs.google.com/spreadsheets/d/""&amp;$A235&amp;""/edit#gid=156619080"",AP$3)"),-1.0)</f>
        <v>-1</v>
      </c>
      <c r="AQ235" s="2" t="str">
        <f>IFERROR(__xludf.DUMMYFUNCTION("IMPORTRANGE(""https://docs.google.com/spreadsheets/d/""&amp;$A235&amp;""/edit#gid=156619080"",AQ$3)"),"")</f>
        <v/>
      </c>
      <c r="AR235" s="18">
        <f>IFERROR(__xludf.DUMMYFUNCTION("IMPORTRANGE(""https://docs.google.com/spreadsheets/d/""&amp;$A235&amp;""/edit#gid=156619080"",AR$3)"),-30.000000000000004)</f>
        <v>-30</v>
      </c>
      <c r="AS235" s="19" t="str">
        <f>IFERROR(__xludf.DUMMYFUNCTION("IMPORTRANGE(""https://docs.google.com/spreadsheets/d/""&amp;$A235&amp;""/edit#gid=156619080"",AS$3)"),"-70
-100
-90
-90
")</f>
        <v>-70
-100
-90
-90
</v>
      </c>
      <c r="AT235" s="18">
        <f>IFERROR(__xludf.DUMMYFUNCTION("IMPORTRANGE(""https://docs.google.com/spreadsheets/d/""&amp;$A235&amp;""/edit#gid=156619080"",AT$3)"),-81.86813186813187)</f>
        <v>-81.86813187</v>
      </c>
      <c r="AU235" s="3" t="str">
        <f>IFERROR(__xludf.DUMMYFUNCTION("IMPORTRANGE(""https://docs.google.com/spreadsheets/d/""&amp;$A235&amp;""/edit#gid=156619080"",AU$3)"),"-27.06
-27.06
-56.73
-76.51
")</f>
        <v>-27.06
-27.06
-56.73
-76.51
</v>
      </c>
      <c r="AV235" s="18">
        <f>IFERROR(__xludf.DUMMYFUNCTION("IMPORTRANGE(""https://docs.google.com/spreadsheets/d/""&amp;$A235&amp;""/edit#gid=156619080"",AV$3)"),-81.33116883116882)</f>
        <v>-81.33116883</v>
      </c>
      <c r="AW235" s="19" t="str">
        <f>IFERROR(__xludf.DUMMYFUNCTION("IMPORTRANGE(""https://docs.google.com/spreadsheets/d/""&amp;$A235&amp;""/edit#gid=156619080"",AW$3)"),"-81.98
-81.98
-81.98
-81.98
")</f>
        <v>-81.98
-81.98
-81.98
-81.98
</v>
      </c>
      <c r="AX235" s="2">
        <f>IFERROR(__xludf.DUMMYFUNCTION("IMPORTRANGE(""https://docs.google.com/spreadsheets/d/""&amp;$A235&amp;""/edit#gid=156619080"",AX$3)"),18.07)</f>
        <v>18.07</v>
      </c>
      <c r="AY235" s="2">
        <f>IFERROR(__xludf.DUMMYFUNCTION("IMPORTRANGE(""https://docs.google.com/spreadsheets/d/""&amp;$A235&amp;""/edit#gid=156619080"",AY$3)"),26.33)</f>
        <v>26.33</v>
      </c>
      <c r="AZ235" s="2">
        <f>IFERROR(__xludf.DUMMYFUNCTION("IMPORTRANGE(""https://docs.google.com/spreadsheets/d/""&amp;$A235&amp;""/edit#gid=156619080"",AZ$3)"),1217.26)</f>
        <v>1217.26</v>
      </c>
      <c r="BA235" s="2">
        <f>IFERROR(__xludf.DUMMYFUNCTION("IMPORTRANGE(""https://docs.google.com/spreadsheets/d/""&amp;$A235&amp;""/edit#gid=156619080"",BA$3)"),-106.66000000000008)</f>
        <v>-106.66</v>
      </c>
      <c r="BB235" s="2">
        <f>IFERROR(__xludf.DUMMYFUNCTION("IMPORTRANGE(""https://docs.google.com/spreadsheets/d/""&amp;$A235&amp;""/edit#gid=156619080"",BB$3)"),-58.64)</f>
        <v>-58.64</v>
      </c>
      <c r="BC235" s="2" t="str">
        <f>IFERROR(__xludf.DUMMYFUNCTION("IMPORTRANGE(""https://docs.google.com/spreadsheets/d/""&amp;$A235&amp;""/edit#gid=156619080"",BC$3)"),"DC→DC")</f>
        <v>DC→DC</v>
      </c>
    </row>
    <row r="236" ht="51.0" customHeight="1">
      <c r="A236" s="7" t="str">
        <f t="shared" si="5"/>
        <v>1ZsNig7AQqh0BZ4vJ4QhC94YleLS8oVViN2p7WZg9ndw</v>
      </c>
      <c r="B236" s="1" t="s">
        <v>263</v>
      </c>
      <c r="C236" s="2">
        <f>IFERROR(__xludf.DUMMYFUNCTION("IMPORTRANGE(""https://docs.google.com/spreadsheets/d/""&amp;$A236&amp;""/edit#gid=156619080"",C$3)"),131.0)</f>
        <v>131</v>
      </c>
      <c r="D236" s="2">
        <f>IFERROR(__xludf.DUMMYFUNCTION("IMPORTRANGE(""https://docs.google.com/spreadsheets/d/""&amp;$A236&amp;""/edit#gid=156619080"",D$3)"),4320.0)</f>
        <v>4320</v>
      </c>
      <c r="E236" s="15">
        <f>IFERROR(__xludf.DUMMYFUNCTION("IMPORTRANGE(""https://docs.google.com/spreadsheets/d/""&amp;$A236&amp;""/edit#gid=156619080"",E$3)"),43882.0)</f>
        <v>43882</v>
      </c>
      <c r="F236" s="2">
        <f>IFERROR(__xludf.DUMMYFUNCTION("IMPORTRANGE(""https://docs.google.com/spreadsheets/d/""&amp;$A236&amp;""/edit#gid=156619080"",F$3)"),-7.0)</f>
        <v>-7</v>
      </c>
      <c r="G236" s="16">
        <f>IFERROR(__xludf.DUMMYFUNCTION("IMPORTRANGE(""https://docs.google.com/spreadsheets/d/""&amp;$A236&amp;""/edit#gid=156619080"",G$3)"),-1.47)</f>
        <v>-1.47</v>
      </c>
      <c r="H236" s="16">
        <f>IFERROR(__xludf.DUMMYFUNCTION("IMPORTRANGE(""https://docs.google.com/spreadsheets/d/""&amp;$A236&amp;""/edit#gid=156619080"",H$3)"),470.0)</f>
        <v>470</v>
      </c>
      <c r="I236" s="16">
        <f>IFERROR(__xludf.DUMMYFUNCTION("IMPORTRANGE(""https://docs.google.com/spreadsheets/d/""&amp;$A236&amp;""/edit#gid=156619080"",I$3)"),6.0)</f>
        <v>6</v>
      </c>
      <c r="J236" s="16">
        <f>IFERROR(__xludf.DUMMYFUNCTION("IMPORTRANGE(""https://docs.google.com/spreadsheets/d/""&amp;$A236&amp;""/edit#gid=156619080"",J$3)"),482.0)</f>
        <v>482</v>
      </c>
      <c r="K236" s="16">
        <f>IFERROR(__xludf.DUMMYFUNCTION("IMPORTRANGE(""https://docs.google.com/spreadsheets/d/""&amp;$A236&amp;""/edit#gid=156619080"",K$3)"),0.39305555555555555)</f>
        <v>0.3930555556</v>
      </c>
      <c r="L236" s="16">
        <f>IFERROR(__xludf.DUMMYFUNCTION("IMPORTRANGE(""https://docs.google.com/spreadsheets/d/""&amp;$A236&amp;""/edit#gid=156619080"",L$3)"),465.0)</f>
        <v>465</v>
      </c>
      <c r="M236" s="16">
        <f>IFERROR(__xludf.DUMMYFUNCTION("IMPORTRANGE(""https://docs.google.com/spreadsheets/d/""&amp;$A236&amp;""/edit#gid=156619080"",M$3)"),0.6173611111111111)</f>
        <v>0.6173611111</v>
      </c>
      <c r="N236" s="16">
        <f>IFERROR(__xludf.DUMMYFUNCTION("IMPORTRANGE(""https://docs.google.com/spreadsheets/d/""&amp;$A236&amp;""/edit#gid=156619080"",N$3)"),469.0)</f>
        <v>469</v>
      </c>
      <c r="O236" s="16" t="str">
        <f>IFERROR(__xludf.DUMMYFUNCTION("IMPORTRANGE(""https://docs.google.com/spreadsheets/d/""&amp;$A236&amp;""/edit#gid=156619080"",O$3)"),"54600株")</f>
        <v>54600株</v>
      </c>
      <c r="P236" s="16" t="str">
        <f>IFERROR(__xludf.DUMMYFUNCTION("IMPORTRANGE(""https://docs.google.com/spreadsheets/d/""&amp;$A236&amp;""/edit#gid=156619080"",P$3)"),"26百万円")</f>
        <v>26百万円</v>
      </c>
      <c r="Q236" s="16" t="str">
        <f>IFERROR(__xludf.DUMMYFUNCTION("IMPORTRANGE(""https://docs.google.com/spreadsheets/d/""&amp;$A236&amp;""/edit#gid=156619080"",Q$3)"),"165回")</f>
        <v>165回</v>
      </c>
      <c r="R236" s="16" t="str">
        <f>IFERROR(__xludf.DUMMYFUNCTION("IMPORTRANGE(""https://docs.google.com/spreadsheets/d/""&amp;$A236&amp;""/edit#gid=156619080"",R$3)"),"71.0億円")</f>
        <v>71.0億円</v>
      </c>
      <c r="S236" s="16" t="str">
        <f>IFERROR(__xludf.DUMMYFUNCTION("IMPORTRANGE(""https://docs.google.com/spreadsheets/d/""&amp;$A236&amp;""/edit#gid=156619080"",S$3)"),"陰線")</f>
        <v>陰線</v>
      </c>
      <c r="T236" s="16" t="str">
        <f>IFERROR(__xludf.DUMMYFUNCTION("IMPORTRANGE(""https://docs.google.com/spreadsheets/d/""&amp;$A236&amp;""/edit#gid=156619080"",T$3)"),"")</f>
        <v/>
      </c>
      <c r="U236" s="16">
        <f>IFERROR(__xludf.DUMMYFUNCTION("IMPORTRANGE(""https://docs.google.com/spreadsheets/d/""&amp;$A236&amp;""/edit#gid=156619080"",U$3)"),474.0)</f>
        <v>474</v>
      </c>
      <c r="V236" s="16">
        <f>IFERROR(__xludf.DUMMYFUNCTION("IMPORTRANGE(""https://docs.google.com/spreadsheets/d/""&amp;$A236&amp;""/edit#gid=156619080"",V$3)"),486.7)</f>
        <v>486.7</v>
      </c>
      <c r="W236" s="16">
        <f>IFERROR(__xludf.DUMMYFUNCTION("IMPORTRANGE(""https://docs.google.com/spreadsheets/d/""&amp;$A236&amp;""/edit#gid=156619080"",W$3)"),488.3)</f>
        <v>488.3</v>
      </c>
      <c r="X236" s="2">
        <f>IFERROR(__xludf.DUMMYFUNCTION("IMPORTRANGE(""https://docs.google.com/spreadsheets/d/""&amp;$A236&amp;""/edit#gid=156619080"",X$3)"),499.8)</f>
        <v>499.8</v>
      </c>
      <c r="Y236" s="17">
        <f>IFERROR(__xludf.DUMMYFUNCTION("IMPORTRANGE(""https://docs.google.com/spreadsheets/d/""&amp;$A236&amp;""/edit#gid=156619080"",Y$3)"),-0.010548523206751054)</f>
        <v>-0.01054852321</v>
      </c>
      <c r="Z236" s="2">
        <f>IFERROR(__xludf.DUMMYFUNCTION("IMPORTRANGE(""https://docs.google.com/spreadsheets/d/""&amp;$A236&amp;""/edit#gid=156619080"",Z$3)"),517.05)</f>
        <v>517.05</v>
      </c>
      <c r="AA236" s="2">
        <f>IFERROR(__xludf.DUMMYFUNCTION("IMPORTRANGE(""https://docs.google.com/spreadsheets/d/""&amp;$A236&amp;""/edit#gid=156619080"",AA$3)"),513.45)</f>
        <v>513.45</v>
      </c>
      <c r="AB236" s="2">
        <f>IFERROR(__xludf.DUMMYFUNCTION("IMPORTRANGE(""https://docs.google.com/spreadsheets/d/""&amp;$A236&amp;""/edit#gid=156619080"",AB$3)"),509.86)</f>
        <v>509.86</v>
      </c>
      <c r="AC236" s="18">
        <f>IFERROR(__xludf.DUMMYFUNCTION("IMPORTRANGE(""https://docs.google.com/spreadsheets/d/""&amp;$A236&amp;""/edit#gid=156619080"",AC$3)"),506.27)</f>
        <v>506.27</v>
      </c>
      <c r="AD236" s="18">
        <f>IFERROR(__xludf.DUMMYFUNCTION("IMPORTRANGE(""https://docs.google.com/spreadsheets/d/""&amp;$A236&amp;""/edit#gid=156619080"",AD$3)"),502.67)</f>
        <v>502.67</v>
      </c>
      <c r="AE236" s="18">
        <f>IFERROR(__xludf.DUMMYFUNCTION("IMPORTRANGE(""https://docs.google.com/spreadsheets/d/""&amp;$A236&amp;""/edit#gid=156619080"",AE$3)"),488.3)</f>
        <v>488.3</v>
      </c>
      <c r="AF236" s="2">
        <f>IFERROR(__xludf.DUMMYFUNCTION("IMPORTRANGE(""https://docs.google.com/spreadsheets/d/""&amp;$A236&amp;""/edit#gid=156619080"",AF$3)"),473.93)</f>
        <v>473.93</v>
      </c>
      <c r="AG236" s="2">
        <f>IFERROR(__xludf.DUMMYFUNCTION("IMPORTRANGE(""https://docs.google.com/spreadsheets/d/""&amp;$A236&amp;""/edit#gid=156619080"",AG$3)"),470.33)</f>
        <v>470.33</v>
      </c>
      <c r="AH236" s="2">
        <f>IFERROR(__xludf.DUMMYFUNCTION("IMPORTRANGE(""https://docs.google.com/spreadsheets/d/""&amp;$A236&amp;""/edit#gid=156619080"",AH$3)"),466.74)</f>
        <v>466.74</v>
      </c>
      <c r="AI236" s="2">
        <f>IFERROR(__xludf.DUMMYFUNCTION("IMPORTRANGE(""https://docs.google.com/spreadsheets/d/""&amp;$A236&amp;""/edit#gid=156619080"",AI$3)"),463.15)</f>
        <v>463.15</v>
      </c>
      <c r="AJ236" s="2">
        <f>IFERROR(__xludf.DUMMYFUNCTION("IMPORTRANGE(""https://docs.google.com/spreadsheets/d/""&amp;$A236&amp;""/edit#gid=156619080"",AJ$3)"),459.55)</f>
        <v>459.55</v>
      </c>
      <c r="AK236" s="2" t="str">
        <f>IFERROR(__xludf.DUMMYFUNCTION("IMPORTRANGE(""https://docs.google.com/spreadsheets/d/""&amp;$A236&amp;""/edit#gid=156619080"",AK$3)"),"-1.25σ〜-1.5σ")</f>
        <v>-1.25σ〜-1.5σ</v>
      </c>
      <c r="AL236" s="2">
        <f>IFERROR(__xludf.DUMMYFUNCTION("IMPORTRANGE(""https://docs.google.com/spreadsheets/d/""&amp;$A236&amp;""/edit#gid=156619080"",AL$3)"),-1.0)</f>
        <v>-1</v>
      </c>
      <c r="AM236" s="2" t="str">
        <f>IFERROR(__xludf.DUMMYFUNCTION("IMPORTRANGE(""https://docs.google.com/spreadsheets/d/""&amp;$A236&amp;""/edit#gid=156619080"",AM$3)"),"")</f>
        <v/>
      </c>
      <c r="AN236" s="2">
        <f>IFERROR(__xludf.DUMMYFUNCTION("IMPORTRANGE(""https://docs.google.com/spreadsheets/d/""&amp;$A236&amp;""/edit#gid=156619080"",AN$3)"),-1.0)</f>
        <v>-1</v>
      </c>
      <c r="AO236" s="2" t="str">
        <f>IFERROR(__xludf.DUMMYFUNCTION("IMPORTRANGE(""https://docs.google.com/spreadsheets/d/""&amp;$A236&amp;""/edit#gid=156619080"",AO$3)"),"")</f>
        <v/>
      </c>
      <c r="AP236" s="2">
        <f>IFERROR(__xludf.DUMMYFUNCTION("IMPORTRANGE(""https://docs.google.com/spreadsheets/d/""&amp;$A236&amp;""/edit#gid=156619080"",AP$3)"),-1.0)</f>
        <v>-1</v>
      </c>
      <c r="AQ236" s="2" t="str">
        <f>IFERROR(__xludf.DUMMYFUNCTION("IMPORTRANGE(""https://docs.google.com/spreadsheets/d/""&amp;$A236&amp;""/edit#gid=156619080"",AQ$3)"),"")</f>
        <v/>
      </c>
      <c r="AR236" s="18">
        <f>IFERROR(__xludf.DUMMYFUNCTION("IMPORTRANGE(""https://docs.google.com/spreadsheets/d/""&amp;$A236&amp;""/edit#gid=156619080"",AR$3)"),9.999999999999998)</f>
        <v>10</v>
      </c>
      <c r="AS236" s="19" t="str">
        <f>IFERROR(__xludf.DUMMYFUNCTION("IMPORTRANGE(""https://docs.google.com/spreadsheets/d/""&amp;$A236&amp;""/edit#gid=156619080"",AS$3)"),"-52.5
-100
-70
-20
")</f>
        <v>-52.5
-100
-70
-20
</v>
      </c>
      <c r="AT236" s="18">
        <f>IFERROR(__xludf.DUMMYFUNCTION("IMPORTRANGE(""https://docs.google.com/spreadsheets/d/""&amp;$A236&amp;""/edit#gid=156619080"",AT$3)"),-74.17582417582418)</f>
        <v>-74.17582418</v>
      </c>
      <c r="AU236" s="3" t="str">
        <f>IFERROR(__xludf.DUMMYFUNCTION("IMPORTRANGE(""https://docs.google.com/spreadsheets/d/""&amp;$A236&amp;""/edit#gid=156619080"",AU$3)"),"23.63
13.6
-7.83
-38.46
")</f>
        <v>23.63
13.6
-7.83
-38.46
</v>
      </c>
      <c r="AV236" s="18">
        <f>IFERROR(__xludf.DUMMYFUNCTION("IMPORTRANGE(""https://docs.google.com/spreadsheets/d/""&amp;$A236&amp;""/edit#gid=156619080"",AV$3)"),-51.36363636363637)</f>
        <v>-51.36363636</v>
      </c>
      <c r="AW236" s="19" t="str">
        <f>IFERROR(__xludf.DUMMYFUNCTION("IMPORTRANGE(""https://docs.google.com/spreadsheets/d/""&amp;$A236&amp;""/edit#gid=156619080"",AW$3)"),"-63.8
-63.57
-58.9
-53.44
")</f>
        <v>-63.8
-63.57
-58.9
-53.44
</v>
      </c>
      <c r="AX236" s="2">
        <f>IFERROR(__xludf.DUMMYFUNCTION("IMPORTRANGE(""https://docs.google.com/spreadsheets/d/""&amp;$A236&amp;""/edit#gid=156619080"",AX$3)"),33.33)</f>
        <v>33.33</v>
      </c>
      <c r="AY236" s="2">
        <f>IFERROR(__xludf.DUMMYFUNCTION("IMPORTRANGE(""https://docs.google.com/spreadsheets/d/""&amp;$A236&amp;""/edit#gid=156619080"",AY$3)"),40.89)</f>
        <v>40.89</v>
      </c>
      <c r="AZ236" s="2">
        <f>IFERROR(__xludf.DUMMYFUNCTION("IMPORTRANGE(""https://docs.google.com/spreadsheets/d/""&amp;$A236&amp;""/edit#gid=156619080"",AZ$3)"),475.93)</f>
        <v>475.93</v>
      </c>
      <c r="BA236" s="2">
        <f>IFERROR(__xludf.DUMMYFUNCTION("IMPORTRANGE(""https://docs.google.com/spreadsheets/d/""&amp;$A236&amp;""/edit#gid=156619080"",BA$3)"),-10.20999999999998)</f>
        <v>-10.21</v>
      </c>
      <c r="BB236" s="2">
        <f>IFERROR(__xludf.DUMMYFUNCTION("IMPORTRANGE(""https://docs.google.com/spreadsheets/d/""&amp;$A236&amp;""/edit#gid=156619080"",BB$3)"),-4.88)</f>
        <v>-4.88</v>
      </c>
      <c r="BC236" s="2" t="str">
        <f>IFERROR(__xludf.DUMMYFUNCTION("IMPORTRANGE(""https://docs.google.com/spreadsheets/d/""&amp;$A236&amp;""/edit#gid=156619080"",BC$3)"),"DC→DC")</f>
        <v>DC→DC</v>
      </c>
    </row>
    <row r="237" ht="51.0" customHeight="1">
      <c r="A237" s="7" t="str">
        <f t="shared" si="5"/>
        <v>1_qbVzpIuPs7NNBJYNeM7yYkpQ5sSTH9aUoZwIvrjzDM</v>
      </c>
      <c r="B237" s="1" t="s">
        <v>264</v>
      </c>
      <c r="C237" s="2">
        <f>IFERROR(__xludf.DUMMYFUNCTION("IMPORTRANGE(""https://docs.google.com/spreadsheets/d/""&amp;$A237&amp;""/edit#gid=156619080"",C$3)"),131.0)</f>
        <v>131</v>
      </c>
      <c r="D237" s="2">
        <f>IFERROR(__xludf.DUMMYFUNCTION("IMPORTRANGE(""https://docs.google.com/spreadsheets/d/""&amp;$A237&amp;""/edit#gid=156619080"",D$3)"),4427.0)</f>
        <v>4427</v>
      </c>
      <c r="E237" s="15">
        <f>IFERROR(__xludf.DUMMYFUNCTION("IMPORTRANGE(""https://docs.google.com/spreadsheets/d/""&amp;$A237&amp;""/edit#gid=156619080"",E$3)"),43882.0)</f>
        <v>43882</v>
      </c>
      <c r="F237" s="2">
        <f>IFERROR(__xludf.DUMMYFUNCTION("IMPORTRANGE(""https://docs.google.com/spreadsheets/d/""&amp;$A237&amp;""/edit#gid=156619080"",F$3)"),-5.0)</f>
        <v>-5</v>
      </c>
      <c r="G237" s="16">
        <f>IFERROR(__xludf.DUMMYFUNCTION("IMPORTRANGE(""https://docs.google.com/spreadsheets/d/""&amp;$A237&amp;""/edit#gid=156619080"",G$3)"),-0.13)</f>
        <v>-0.13</v>
      </c>
      <c r="H237" s="16">
        <f>IFERROR(__xludf.DUMMYFUNCTION("IMPORTRANGE(""https://docs.google.com/spreadsheets/d/""&amp;$A237&amp;""/edit#gid=156619080"",H$3)"),4055.0)</f>
        <v>4055</v>
      </c>
      <c r="I237" s="16">
        <f>IFERROR(__xludf.DUMMYFUNCTION("IMPORTRANGE(""https://docs.google.com/spreadsheets/d/""&amp;$A237&amp;""/edit#gid=156619080"",I$3)"),-60.0)</f>
        <v>-60</v>
      </c>
      <c r="J237" s="16">
        <f>IFERROR(__xludf.DUMMYFUNCTION("IMPORTRANGE(""https://docs.google.com/spreadsheets/d/""&amp;$A237&amp;""/edit#gid=156619080"",J$3)"),4175.0)</f>
        <v>4175</v>
      </c>
      <c r="K237" s="16">
        <f>IFERROR(__xludf.DUMMYFUNCTION("IMPORTRANGE(""https://docs.google.com/spreadsheets/d/""&amp;$A237&amp;""/edit#gid=156619080"",K$3)"),0.3923611111111111)</f>
        <v>0.3923611111</v>
      </c>
      <c r="L237" s="16">
        <f>IFERROR(__xludf.DUMMYFUNCTION("IMPORTRANGE(""https://docs.google.com/spreadsheets/d/""&amp;$A237&amp;""/edit#gid=156619080"",L$3)"),3990.0)</f>
        <v>3990</v>
      </c>
      <c r="M237" s="16">
        <f>IFERROR(__xludf.DUMMYFUNCTION("IMPORTRANGE(""https://docs.google.com/spreadsheets/d/""&amp;$A237&amp;""/edit#gid=156619080"",M$3)"),0.625)</f>
        <v>0.625</v>
      </c>
      <c r="N237" s="16">
        <f>IFERROR(__xludf.DUMMYFUNCTION("IMPORTRANGE(""https://docs.google.com/spreadsheets/d/""&amp;$A237&amp;""/edit#gid=156619080"",N$3)"),3990.0)</f>
        <v>3990</v>
      </c>
      <c r="O237" s="16" t="str">
        <f>IFERROR(__xludf.DUMMYFUNCTION("IMPORTRANGE(""https://docs.google.com/spreadsheets/d/""&amp;$A237&amp;""/edit#gid=156619080"",O$3)"),"22100株")</f>
        <v>22100株</v>
      </c>
      <c r="P237" s="16" t="str">
        <f>IFERROR(__xludf.DUMMYFUNCTION("IMPORTRANGE(""https://docs.google.com/spreadsheets/d/""&amp;$A237&amp;""/edit#gid=156619080"",P$3)"),"90百万円")</f>
        <v>90百万円</v>
      </c>
      <c r="Q237" s="16" t="str">
        <f>IFERROR(__xludf.DUMMYFUNCTION("IMPORTRANGE(""https://docs.google.com/spreadsheets/d/""&amp;$A237&amp;""/edit#gid=156619080"",Q$3)"),"157回")</f>
        <v>157回</v>
      </c>
      <c r="R237" s="16" t="str">
        <f>IFERROR(__xludf.DUMMYFUNCTION("IMPORTRANGE(""https://docs.google.com/spreadsheets/d/""&amp;$A237&amp;""/edit#gid=156619080"",R$3)"),"353億円")</f>
        <v>353億円</v>
      </c>
      <c r="S237" s="16" t="str">
        <f>IFERROR(__xludf.DUMMYFUNCTION("IMPORTRANGE(""https://docs.google.com/spreadsheets/d/""&amp;$A237&amp;""/edit#gid=156619080"",S$3)"),"陰線")</f>
        <v>陰線</v>
      </c>
      <c r="T237" s="16" t="str">
        <f>IFERROR(__xludf.DUMMYFUNCTION("IMPORTRANGE(""https://docs.google.com/spreadsheets/d/""&amp;$A237&amp;""/edit#gid=156619080"",T$3)"),"")</f>
        <v/>
      </c>
      <c r="U237" s="16">
        <f>IFERROR(__xludf.DUMMYFUNCTION("IMPORTRANGE(""https://docs.google.com/spreadsheets/d/""&amp;$A237&amp;""/edit#gid=156619080"",U$3)"),4001.0)</f>
        <v>4001</v>
      </c>
      <c r="V237" s="16">
        <f>IFERROR(__xludf.DUMMYFUNCTION("IMPORTRANGE(""https://docs.google.com/spreadsheets/d/""&amp;$A237&amp;""/edit#gid=156619080"",V$3)"),4163.5)</f>
        <v>4163.5</v>
      </c>
      <c r="W237" s="16">
        <f>IFERROR(__xludf.DUMMYFUNCTION("IMPORTRANGE(""https://docs.google.com/spreadsheets/d/""&amp;$A237&amp;""/edit#gid=156619080"",W$3)"),4321.9)</f>
        <v>4321.9</v>
      </c>
      <c r="X237" s="2">
        <f>IFERROR(__xludf.DUMMYFUNCTION("IMPORTRANGE(""https://docs.google.com/spreadsheets/d/""&amp;$A237&amp;""/edit#gid=156619080"",X$3)"),4889.6)</f>
        <v>4889.6</v>
      </c>
      <c r="Y237" s="17">
        <f>IFERROR(__xludf.DUMMYFUNCTION("IMPORTRANGE(""https://docs.google.com/spreadsheets/d/""&amp;$A237&amp;""/edit#gid=156619080"",Y$3)"),-0.002749312671832042)</f>
        <v>-0.002749312672</v>
      </c>
      <c r="Z237" s="2">
        <f>IFERROR(__xludf.DUMMYFUNCTION("IMPORTRANGE(""https://docs.google.com/spreadsheets/d/""&amp;$A237&amp;""/edit#gid=156619080"",Z$3)"),4850.96)</f>
        <v>4850.96</v>
      </c>
      <c r="AA237" s="2">
        <f>IFERROR(__xludf.DUMMYFUNCTION("IMPORTRANGE(""https://docs.google.com/spreadsheets/d/""&amp;$A237&amp;""/edit#gid=156619080"",AA$3)"),4784.83)</f>
        <v>4784.83</v>
      </c>
      <c r="AB237" s="2">
        <f>IFERROR(__xludf.DUMMYFUNCTION("IMPORTRANGE(""https://docs.google.com/spreadsheets/d/""&amp;$A237&amp;""/edit#gid=156619080"",AB$3)"),4718.7)</f>
        <v>4718.7</v>
      </c>
      <c r="AC237" s="18">
        <f>IFERROR(__xludf.DUMMYFUNCTION("IMPORTRANGE(""https://docs.google.com/spreadsheets/d/""&amp;$A237&amp;""/edit#gid=156619080"",AC$3)"),4652.57)</f>
        <v>4652.57</v>
      </c>
      <c r="AD237" s="18">
        <f>IFERROR(__xludf.DUMMYFUNCTION("IMPORTRANGE(""https://docs.google.com/spreadsheets/d/""&amp;$A237&amp;""/edit#gid=156619080"",AD$3)"),4586.43)</f>
        <v>4586.43</v>
      </c>
      <c r="AE237" s="18">
        <f>IFERROR(__xludf.DUMMYFUNCTION("IMPORTRANGE(""https://docs.google.com/spreadsheets/d/""&amp;$A237&amp;""/edit#gid=156619080"",AE$3)"),4321.9)</f>
        <v>4321.9</v>
      </c>
      <c r="AF237" s="2">
        <f>IFERROR(__xludf.DUMMYFUNCTION("IMPORTRANGE(""https://docs.google.com/spreadsheets/d/""&amp;$A237&amp;""/edit#gid=156619080"",AF$3)"),4057.37)</f>
        <v>4057.37</v>
      </c>
      <c r="AG237" s="2">
        <f>IFERROR(__xludf.DUMMYFUNCTION("IMPORTRANGE(""https://docs.google.com/spreadsheets/d/""&amp;$A237&amp;""/edit#gid=156619080"",AG$3)"),3991.23)</f>
        <v>3991.23</v>
      </c>
      <c r="AH237" s="2">
        <f>IFERROR(__xludf.DUMMYFUNCTION("IMPORTRANGE(""https://docs.google.com/spreadsheets/d/""&amp;$A237&amp;""/edit#gid=156619080"",AH$3)"),3925.1)</f>
        <v>3925.1</v>
      </c>
      <c r="AI237" s="2">
        <f>IFERROR(__xludf.DUMMYFUNCTION("IMPORTRANGE(""https://docs.google.com/spreadsheets/d/""&amp;$A237&amp;""/edit#gid=156619080"",AI$3)"),3858.97)</f>
        <v>3858.97</v>
      </c>
      <c r="AJ237" s="2">
        <f>IFERROR(__xludf.DUMMYFUNCTION("IMPORTRANGE(""https://docs.google.com/spreadsheets/d/""&amp;$A237&amp;""/edit#gid=156619080"",AJ$3)"),3792.84)</f>
        <v>3792.84</v>
      </c>
      <c r="AK237" s="2" t="str">
        <f>IFERROR(__xludf.DUMMYFUNCTION("IMPORTRANGE(""https://docs.google.com/spreadsheets/d/""&amp;$A237&amp;""/edit#gid=156619080"",AK$3)"),"-1.25σ〜-1.5σ")</f>
        <v>-1.25σ〜-1.5σ</v>
      </c>
      <c r="AL237" s="2">
        <f>IFERROR(__xludf.DUMMYFUNCTION("IMPORTRANGE(""https://docs.google.com/spreadsheets/d/""&amp;$A237&amp;""/edit#gid=156619080"",AL$3)"),-1.0)</f>
        <v>-1</v>
      </c>
      <c r="AM237" s="2" t="str">
        <f>IFERROR(__xludf.DUMMYFUNCTION("IMPORTRANGE(""https://docs.google.com/spreadsheets/d/""&amp;$A237&amp;""/edit#gid=156619080"",AM$3)"),"")</f>
        <v/>
      </c>
      <c r="AN237" s="2">
        <f>IFERROR(__xludf.DUMMYFUNCTION("IMPORTRANGE(""https://docs.google.com/spreadsheets/d/""&amp;$A237&amp;""/edit#gid=156619080"",AN$3)"),-1.0)</f>
        <v>-1</v>
      </c>
      <c r="AO237" s="2" t="str">
        <f>IFERROR(__xludf.DUMMYFUNCTION("IMPORTRANGE(""https://docs.google.com/spreadsheets/d/""&amp;$A237&amp;""/edit#gid=156619080"",AO$3)"),"")</f>
        <v/>
      </c>
      <c r="AP237" s="2">
        <f>IFERROR(__xludf.DUMMYFUNCTION("IMPORTRANGE(""https://docs.google.com/spreadsheets/d/""&amp;$A237&amp;""/edit#gid=156619080"",AP$3)"),-1.0)</f>
        <v>-1</v>
      </c>
      <c r="AQ237" s="2" t="str">
        <f>IFERROR(__xludf.DUMMYFUNCTION("IMPORTRANGE(""https://docs.google.com/spreadsheets/d/""&amp;$A237&amp;""/edit#gid=156619080"",AQ$3)"),"")</f>
        <v/>
      </c>
      <c r="AR237" s="18">
        <f>IFERROR(__xludf.DUMMYFUNCTION("IMPORTRANGE(""https://docs.google.com/spreadsheets/d/""&amp;$A237&amp;""/edit#gid=156619080"",AR$3)"),-19.999999999999996)</f>
        <v>-20</v>
      </c>
      <c r="AS237" s="19" t="str">
        <f>IFERROR(__xludf.DUMMYFUNCTION("IMPORTRANGE(""https://docs.google.com/spreadsheets/d/""&amp;$A237&amp;""/edit#gid=156619080"",AS$3)"),"-10
-70
-70
-50
")</f>
        <v>-10
-70
-70
-50
</v>
      </c>
      <c r="AT237" s="18">
        <f>IFERROR(__xludf.DUMMYFUNCTION("IMPORTRANGE(""https://docs.google.com/spreadsheets/d/""&amp;$A237&amp;""/edit#gid=156619080"",AT$3)"),-80.76923076923077)</f>
        <v>-80.76923077</v>
      </c>
      <c r="AU237" s="3" t="str">
        <f>IFERROR(__xludf.DUMMYFUNCTION("IMPORTRANGE(""https://docs.google.com/spreadsheets/d/""&amp;$A237&amp;""/edit#gid=156619080"",AU$3)"),"-80.22
-80.22
-75.82
-76.92
")</f>
        <v>-80.22
-80.22
-75.82
-76.92
</v>
      </c>
      <c r="AV237" s="18">
        <f>IFERROR(__xludf.DUMMYFUNCTION("IMPORTRANGE(""https://docs.google.com/spreadsheets/d/""&amp;$A237&amp;""/edit#gid=156619080"",AV$3)"),-92.33766233766234)</f>
        <v>-92.33766234</v>
      </c>
      <c r="AW237" s="19" t="str">
        <f>IFERROR(__xludf.DUMMYFUNCTION("IMPORTRANGE(""https://docs.google.com/spreadsheets/d/""&amp;$A237&amp;""/edit#gid=156619080"",AW$3)"),"-84.03
-88.31
-90
-92.47
")</f>
        <v>-84.03
-88.31
-90
-92.47
</v>
      </c>
      <c r="AX237" s="2">
        <f>IFERROR(__xludf.DUMMYFUNCTION("IMPORTRANGE(""https://docs.google.com/spreadsheets/d/""&amp;$A237&amp;""/edit#gid=156619080"",AX$3)"),37.5)</f>
        <v>37.5</v>
      </c>
      <c r="AY237" s="2">
        <f>IFERROR(__xludf.DUMMYFUNCTION("IMPORTRANGE(""https://docs.google.com/spreadsheets/d/""&amp;$A237&amp;""/edit#gid=156619080"",AY$3)"),31.25)</f>
        <v>31.25</v>
      </c>
      <c r="AZ237" s="2">
        <f>IFERROR(__xludf.DUMMYFUNCTION("IMPORTRANGE(""https://docs.google.com/spreadsheets/d/""&amp;$A237&amp;""/edit#gid=156619080"",AZ$3)"),4028.42)</f>
        <v>4028.42</v>
      </c>
      <c r="BA237" s="2">
        <f>IFERROR(__xludf.DUMMYFUNCTION("IMPORTRANGE(""https://docs.google.com/spreadsheets/d/""&amp;$A237&amp;""/edit#gid=156619080"",BA$3)"),-226.82999999999993)</f>
        <v>-226.83</v>
      </c>
      <c r="BB237" s="2">
        <f>IFERROR(__xludf.DUMMYFUNCTION("IMPORTRANGE(""https://docs.google.com/spreadsheets/d/""&amp;$A237&amp;""/edit#gid=156619080"",BB$3)"),-195.61)</f>
        <v>-195.61</v>
      </c>
      <c r="BC237" s="2" t="str">
        <f>IFERROR(__xludf.DUMMYFUNCTION("IMPORTRANGE(""https://docs.google.com/spreadsheets/d/""&amp;$A237&amp;""/edit#gid=156619080"",BC$3)"),"DC→DC")</f>
        <v>DC→DC</v>
      </c>
    </row>
    <row r="238" ht="51.0" customHeight="1">
      <c r="A238" s="7" t="str">
        <f t="shared" si="5"/>
        <v>1P_lz-VY5ojZvxBwF9yKvlJF2mdrnlI_pNoooibvHXP4</v>
      </c>
      <c r="B238" s="1" t="s">
        <v>265</v>
      </c>
      <c r="C238" s="2">
        <f>IFERROR(__xludf.DUMMYFUNCTION("IMPORTRANGE(""https://docs.google.com/spreadsheets/d/""&amp;$A238&amp;""/edit#gid=156619080"",C$3)"),131.0)</f>
        <v>131</v>
      </c>
      <c r="D238" s="2">
        <f>IFERROR(__xludf.DUMMYFUNCTION("IMPORTRANGE(""https://docs.google.com/spreadsheets/d/""&amp;$A238&amp;""/edit#gid=156619080"",D$3)"),4726.0)</f>
        <v>4726</v>
      </c>
      <c r="E238" s="15">
        <f>IFERROR(__xludf.DUMMYFUNCTION("IMPORTRANGE(""https://docs.google.com/spreadsheets/d/""&amp;$A238&amp;""/edit#gid=156619080"",E$3)"),43882.0)</f>
        <v>43882</v>
      </c>
      <c r="F238" s="2">
        <f>IFERROR(__xludf.DUMMYFUNCTION("IMPORTRANGE(""https://docs.google.com/spreadsheets/d/""&amp;$A238&amp;""/edit#gid=156619080"",F$3)"),16.0)</f>
        <v>16</v>
      </c>
      <c r="G238" s="16">
        <f>IFERROR(__xludf.DUMMYFUNCTION("IMPORTRANGE(""https://docs.google.com/spreadsheets/d/""&amp;$A238&amp;""/edit#gid=156619080"",G$3)"),0.68)</f>
        <v>0.68</v>
      </c>
      <c r="H238" s="16">
        <f>IFERROR(__xludf.DUMMYFUNCTION("IMPORTRANGE(""https://docs.google.com/spreadsheets/d/""&amp;$A238&amp;""/edit#gid=156619080"",H$3)"),2332.0)</f>
        <v>2332</v>
      </c>
      <c r="I238" s="16">
        <f>IFERROR(__xludf.DUMMYFUNCTION("IMPORTRANGE(""https://docs.google.com/spreadsheets/d/""&amp;$A238&amp;""/edit#gid=156619080"",I$3)"),31.0)</f>
        <v>31</v>
      </c>
      <c r="J238" s="16">
        <f>IFERROR(__xludf.DUMMYFUNCTION("IMPORTRANGE(""https://docs.google.com/spreadsheets/d/""&amp;$A238&amp;""/edit#gid=156619080"",J$3)"),2399.0)</f>
        <v>2399</v>
      </c>
      <c r="K238" s="16">
        <f>IFERROR(__xludf.DUMMYFUNCTION("IMPORTRANGE(""https://docs.google.com/spreadsheets/d/""&amp;$A238&amp;""/edit#gid=156619080"",K$3)"),0.5395833333333333)</f>
        <v>0.5395833333</v>
      </c>
      <c r="L238" s="16">
        <f>IFERROR(__xludf.DUMMYFUNCTION("IMPORTRANGE(""https://docs.google.com/spreadsheets/d/""&amp;$A238&amp;""/edit#gid=156619080"",L$3)"),2332.0)</f>
        <v>2332</v>
      </c>
      <c r="M238" s="16">
        <f>IFERROR(__xludf.DUMMYFUNCTION("IMPORTRANGE(""https://docs.google.com/spreadsheets/d/""&amp;$A238&amp;""/edit#gid=156619080"",M$3)"),0.375)</f>
        <v>0.375</v>
      </c>
      <c r="N238" s="16">
        <f>IFERROR(__xludf.DUMMYFUNCTION("IMPORTRANGE(""https://docs.google.com/spreadsheets/d/""&amp;$A238&amp;""/edit#gid=156619080"",N$3)"),2379.0)</f>
        <v>2379</v>
      </c>
      <c r="O238" s="16" t="str">
        <f>IFERROR(__xludf.DUMMYFUNCTION("IMPORTRANGE(""https://docs.google.com/spreadsheets/d/""&amp;$A238&amp;""/edit#gid=156619080"",O$3)"),"57700株")</f>
        <v>57700株</v>
      </c>
      <c r="P238" s="16" t="str">
        <f>IFERROR(__xludf.DUMMYFUNCTION("IMPORTRANGE(""https://docs.google.com/spreadsheets/d/""&amp;$A238&amp;""/edit#gid=156619080"",P$3)"),"138百万円")</f>
        <v>138百万円</v>
      </c>
      <c r="Q238" s="16" t="str">
        <f>IFERROR(__xludf.DUMMYFUNCTION("IMPORTRANGE(""https://docs.google.com/spreadsheets/d/""&amp;$A238&amp;""/edit#gid=156619080"",Q$3)"),"283回")</f>
        <v>283回</v>
      </c>
      <c r="R238" s="16" t="str">
        <f>IFERROR(__xludf.DUMMYFUNCTION("IMPORTRANGE(""https://docs.google.com/spreadsheets/d/""&amp;$A238&amp;""/edit#gid=156619080"",R$3)"),"539億円")</f>
        <v>539億円</v>
      </c>
      <c r="S238" s="16" t="str">
        <f>IFERROR(__xludf.DUMMYFUNCTION("IMPORTRANGE(""https://docs.google.com/spreadsheets/d/""&amp;$A238&amp;""/edit#gid=156619080"",S$3)"),"陽線")</f>
        <v>陽線</v>
      </c>
      <c r="T238" s="16" t="str">
        <f>IFERROR(__xludf.DUMMYFUNCTION("IMPORTRANGE(""https://docs.google.com/spreadsheets/d/""&amp;$A238&amp;""/edit#gid=156619080"",T$3)"),"")</f>
        <v/>
      </c>
      <c r="U238" s="16">
        <f>IFERROR(__xludf.DUMMYFUNCTION("IMPORTRANGE(""https://docs.google.com/spreadsheets/d/""&amp;$A238&amp;""/edit#gid=156619080"",U$3)"),2361.6)</f>
        <v>2361.6</v>
      </c>
      <c r="V238" s="16">
        <f>IFERROR(__xludf.DUMMYFUNCTION("IMPORTRANGE(""https://docs.google.com/spreadsheets/d/""&amp;$A238&amp;""/edit#gid=156619080"",V$3)"),2393.8)</f>
        <v>2393.8</v>
      </c>
      <c r="W238" s="16">
        <f>IFERROR(__xludf.DUMMYFUNCTION("IMPORTRANGE(""https://docs.google.com/spreadsheets/d/""&amp;$A238&amp;""/edit#gid=156619080"",W$3)"),2339.5)</f>
        <v>2339.5</v>
      </c>
      <c r="X238" s="2">
        <f>IFERROR(__xludf.DUMMYFUNCTION("IMPORTRANGE(""https://docs.google.com/spreadsheets/d/""&amp;$A238&amp;""/edit#gid=156619080"",X$3)"),2075.4)</f>
        <v>2075.4</v>
      </c>
      <c r="Y238" s="17">
        <f>IFERROR(__xludf.DUMMYFUNCTION("IMPORTRANGE(""https://docs.google.com/spreadsheets/d/""&amp;$A238&amp;""/edit#gid=156619080"",Y$3)"),0.007367886178861828)</f>
        <v>0.007367886179</v>
      </c>
      <c r="Z238" s="2">
        <f>IFERROR(__xludf.DUMMYFUNCTION("IMPORTRANGE(""https://docs.google.com/spreadsheets/d/""&amp;$A238&amp;""/edit#gid=156619080"",Z$3)"),2534.14)</f>
        <v>2534.14</v>
      </c>
      <c r="AA238" s="2">
        <f>IFERROR(__xludf.DUMMYFUNCTION("IMPORTRANGE(""https://docs.google.com/spreadsheets/d/""&amp;$A238&amp;""/edit#gid=156619080"",AA$3)"),2509.81)</f>
        <v>2509.81</v>
      </c>
      <c r="AB238" s="2">
        <f>IFERROR(__xludf.DUMMYFUNCTION("IMPORTRANGE(""https://docs.google.com/spreadsheets/d/""&amp;$A238&amp;""/edit#gid=156619080"",AB$3)"),2485.48)</f>
        <v>2485.48</v>
      </c>
      <c r="AC238" s="18">
        <f>IFERROR(__xludf.DUMMYFUNCTION("IMPORTRANGE(""https://docs.google.com/spreadsheets/d/""&amp;$A238&amp;""/edit#gid=156619080"",AC$3)"),2461.15)</f>
        <v>2461.15</v>
      </c>
      <c r="AD238" s="18">
        <f>IFERROR(__xludf.DUMMYFUNCTION("IMPORTRANGE(""https://docs.google.com/spreadsheets/d/""&amp;$A238&amp;""/edit#gid=156619080"",AD$3)"),2436.82)</f>
        <v>2436.82</v>
      </c>
      <c r="AE238" s="18">
        <f>IFERROR(__xludf.DUMMYFUNCTION("IMPORTRANGE(""https://docs.google.com/spreadsheets/d/""&amp;$A238&amp;""/edit#gid=156619080"",AE$3)"),2339.5)</f>
        <v>2339.5</v>
      </c>
      <c r="AF238" s="2">
        <f>IFERROR(__xludf.DUMMYFUNCTION("IMPORTRANGE(""https://docs.google.com/spreadsheets/d/""&amp;$A238&amp;""/edit#gid=156619080"",AF$3)"),2242.18)</f>
        <v>2242.18</v>
      </c>
      <c r="AG238" s="2">
        <f>IFERROR(__xludf.DUMMYFUNCTION("IMPORTRANGE(""https://docs.google.com/spreadsheets/d/""&amp;$A238&amp;""/edit#gid=156619080"",AG$3)"),2217.85)</f>
        <v>2217.85</v>
      </c>
      <c r="AH238" s="2">
        <f>IFERROR(__xludf.DUMMYFUNCTION("IMPORTRANGE(""https://docs.google.com/spreadsheets/d/""&amp;$A238&amp;""/edit#gid=156619080"",AH$3)"),2193.52)</f>
        <v>2193.52</v>
      </c>
      <c r="AI238" s="2">
        <f>IFERROR(__xludf.DUMMYFUNCTION("IMPORTRANGE(""https://docs.google.com/spreadsheets/d/""&amp;$A238&amp;""/edit#gid=156619080"",AI$3)"),2169.19)</f>
        <v>2169.19</v>
      </c>
      <c r="AJ238" s="2">
        <f>IFERROR(__xludf.DUMMYFUNCTION("IMPORTRANGE(""https://docs.google.com/spreadsheets/d/""&amp;$A238&amp;""/edit#gid=156619080"",AJ$3)"),2144.86)</f>
        <v>2144.86</v>
      </c>
      <c r="AK238" s="2" t="str">
        <f>IFERROR(__xludf.DUMMYFUNCTION("IMPORTRANGE(""https://docs.google.com/spreadsheets/d/""&amp;$A238&amp;""/edit#gid=156619080"",AK$3)"),"")</f>
        <v/>
      </c>
      <c r="AL238" s="2">
        <f>IFERROR(__xludf.DUMMYFUNCTION("IMPORTRANGE(""https://docs.google.com/spreadsheets/d/""&amp;$A238&amp;""/edit#gid=156619080"",AL$3)"),-1.0)</f>
        <v>-1</v>
      </c>
      <c r="AM238" s="2" t="str">
        <f>IFERROR(__xludf.DUMMYFUNCTION("IMPORTRANGE(""https://docs.google.com/spreadsheets/d/""&amp;$A238&amp;""/edit#gid=156619080"",AM$3)"),"")</f>
        <v/>
      </c>
      <c r="AN238" s="2">
        <f>IFERROR(__xludf.DUMMYFUNCTION("IMPORTRANGE(""https://docs.google.com/spreadsheets/d/""&amp;$A238&amp;""/edit#gid=156619080"",AN$3)"),1.0)</f>
        <v>1</v>
      </c>
      <c r="AO238" s="2" t="str">
        <f>IFERROR(__xludf.DUMMYFUNCTION("IMPORTRANGE(""https://docs.google.com/spreadsheets/d/""&amp;$A238&amp;""/edit#gid=156619080"",AO$3)"),"")</f>
        <v/>
      </c>
      <c r="AP238" s="2">
        <f>IFERROR(__xludf.DUMMYFUNCTION("IMPORTRANGE(""https://docs.google.com/spreadsheets/d/""&amp;$A238&amp;""/edit#gid=156619080"",AP$3)"),1.0)</f>
        <v>1</v>
      </c>
      <c r="AQ238" s="2" t="str">
        <f>IFERROR(__xludf.DUMMYFUNCTION("IMPORTRANGE(""https://docs.google.com/spreadsheets/d/""&amp;$A238&amp;""/edit#gid=156619080"",AQ$3)"),"")</f>
        <v/>
      </c>
      <c r="AR238" s="18">
        <f>IFERROR(__xludf.DUMMYFUNCTION("IMPORTRANGE(""https://docs.google.com/spreadsheets/d/""&amp;$A238&amp;""/edit#gid=156619080"",AR$3)"),0.0)</f>
        <v>0</v>
      </c>
      <c r="AS238" s="19" t="str">
        <f>IFERROR(__xludf.DUMMYFUNCTION("IMPORTRANGE(""https://docs.google.com/spreadsheets/d/""&amp;$A238&amp;""/edit#gid=156619080"",AS$3)"),"-7.5
-90
-90
-60
")</f>
        <v>-7.5
-90
-90
-60
</v>
      </c>
      <c r="AT238" s="18">
        <f>IFERROR(__xludf.DUMMYFUNCTION("IMPORTRANGE(""https://docs.google.com/spreadsheets/d/""&amp;$A238&amp;""/edit#gid=156619080"",AT$3)"),-67.9945054945055)</f>
        <v>-67.99450549</v>
      </c>
      <c r="AU238" s="3" t="str">
        <f>IFERROR(__xludf.DUMMYFUNCTION("IMPORTRANGE(""https://docs.google.com/spreadsheets/d/""&amp;$A238&amp;""/edit#gid=156619080"",AU$3)"),"27.06
-8.65
-50.96
-60.3
")</f>
        <v>27.06
-8.65
-50.96
-60.3
</v>
      </c>
      <c r="AV238" s="18">
        <f>IFERROR(__xludf.DUMMYFUNCTION("IMPORTRANGE(""https://docs.google.com/spreadsheets/d/""&amp;$A238&amp;""/edit#gid=156619080"",AV$3)"),35.48701298701299)</f>
        <v>35.48701299</v>
      </c>
      <c r="AW238" s="19" t="str">
        <f>IFERROR(__xludf.DUMMYFUNCTION("IMPORTRANGE(""https://docs.google.com/spreadsheets/d/""&amp;$A238&amp;""/edit#gid=156619080"",AW$3)"),"62.76
56.92
51.2
43.28
")</f>
        <v>62.76
56.92
51.2
43.28
</v>
      </c>
      <c r="AX238" s="2">
        <f>IFERROR(__xludf.DUMMYFUNCTION("IMPORTRANGE(""https://docs.google.com/spreadsheets/d/""&amp;$A238&amp;""/edit#gid=156619080"",AX$3)"),45.32)</f>
        <v>45.32</v>
      </c>
      <c r="AY238" s="2">
        <f>IFERROR(__xludf.DUMMYFUNCTION("IMPORTRANGE(""https://docs.google.com/spreadsheets/d/""&amp;$A238&amp;""/edit#gid=156619080"",AY$3)"),53.1)</f>
        <v>53.1</v>
      </c>
      <c r="AZ238" s="2">
        <f>IFERROR(__xludf.DUMMYFUNCTION("IMPORTRANGE(""https://docs.google.com/spreadsheets/d/""&amp;$A238&amp;""/edit#gid=156619080"",AZ$3)"),2371.18)</f>
        <v>2371.18</v>
      </c>
      <c r="BA238" s="2">
        <f>IFERROR(__xludf.DUMMYFUNCTION("IMPORTRANGE(""https://docs.google.com/spreadsheets/d/""&amp;$A238&amp;""/edit#gid=156619080"",BA$3)"),34.289999999999964)</f>
        <v>34.29</v>
      </c>
      <c r="BB238" s="2">
        <f>IFERROR(__xludf.DUMMYFUNCTION("IMPORTRANGE(""https://docs.google.com/spreadsheets/d/""&amp;$A238&amp;""/edit#gid=156619080"",BB$3)"),66.81)</f>
        <v>66.81</v>
      </c>
      <c r="BC238" s="2" t="str">
        <f>IFERROR(__xludf.DUMMYFUNCTION("IMPORTRANGE(""https://docs.google.com/spreadsheets/d/""&amp;$A238&amp;""/edit#gid=156619080"",BC$3)"),"DC→DC")</f>
        <v>DC→DC</v>
      </c>
    </row>
    <row r="239" ht="51.0" customHeight="1">
      <c r="A239" s="7" t="str">
        <f t="shared" si="5"/>
        <v>1tAnoooRaSb_hmZ0PBsmqfOaxCsquO78PLFnMcicdgxc</v>
      </c>
      <c r="B239" s="1" t="s">
        <v>266</v>
      </c>
      <c r="C239" s="2">
        <f>IFERROR(__xludf.DUMMYFUNCTION("IMPORTRANGE(""https://docs.google.com/spreadsheets/d/""&amp;$A239&amp;""/edit#gid=156619080"",C$3)"),131.0)</f>
        <v>131</v>
      </c>
      <c r="D239" s="2">
        <f>IFERROR(__xludf.DUMMYFUNCTION("IMPORTRANGE(""https://docs.google.com/spreadsheets/d/""&amp;$A239&amp;""/edit#gid=156619080"",D$3)"),5704.0)</f>
        <v>5704</v>
      </c>
      <c r="E239" s="15">
        <f>IFERROR(__xludf.DUMMYFUNCTION("IMPORTRANGE(""https://docs.google.com/spreadsheets/d/""&amp;$A239&amp;""/edit#gid=156619080"",E$3)"),43882.0)</f>
        <v>43882</v>
      </c>
      <c r="F239" s="2">
        <f>IFERROR(__xludf.DUMMYFUNCTION("IMPORTRANGE(""https://docs.google.com/spreadsheets/d/""&amp;$A239&amp;""/edit#gid=156619080"",F$3)"),7.0)</f>
        <v>7</v>
      </c>
      <c r="G239" s="16">
        <f>IFERROR(__xludf.DUMMYFUNCTION("IMPORTRANGE(""https://docs.google.com/spreadsheets/d/""&amp;$A239&amp;""/edit#gid=156619080"",G$3)"),0.78)</f>
        <v>0.78</v>
      </c>
      <c r="H239" s="16">
        <f>IFERROR(__xludf.DUMMYFUNCTION("IMPORTRANGE(""https://docs.google.com/spreadsheets/d/""&amp;$A239&amp;""/edit#gid=156619080"",H$3)"),894.0)</f>
        <v>894</v>
      </c>
      <c r="I239" s="16">
        <f>IFERROR(__xludf.DUMMYFUNCTION("IMPORTRANGE(""https://docs.google.com/spreadsheets/d/""&amp;$A239&amp;""/edit#gid=156619080"",I$3)"),0.0)</f>
        <v>0</v>
      </c>
      <c r="J239" s="16">
        <f>IFERROR(__xludf.DUMMYFUNCTION("IMPORTRANGE(""https://docs.google.com/spreadsheets/d/""&amp;$A239&amp;""/edit#gid=156619080"",J$3)"),910.0)</f>
        <v>910</v>
      </c>
      <c r="K239" s="16">
        <f>IFERROR(__xludf.DUMMYFUNCTION("IMPORTRANGE(""https://docs.google.com/spreadsheets/d/""&amp;$A239&amp;""/edit#gid=156619080"",K$3)"),0.5951388888888889)</f>
        <v>0.5951388889</v>
      </c>
      <c r="L239" s="16">
        <f>IFERROR(__xludf.DUMMYFUNCTION("IMPORTRANGE(""https://docs.google.com/spreadsheets/d/""&amp;$A239&amp;""/edit#gid=156619080"",L$3)"),894.0)</f>
        <v>894</v>
      </c>
      <c r="M239" s="16">
        <f>IFERROR(__xludf.DUMMYFUNCTION("IMPORTRANGE(""https://docs.google.com/spreadsheets/d/""&amp;$A239&amp;""/edit#gid=156619080"",M$3)"),0.375)</f>
        <v>0.375</v>
      </c>
      <c r="N239" s="16">
        <f>IFERROR(__xludf.DUMMYFUNCTION("IMPORTRANGE(""https://docs.google.com/spreadsheets/d/""&amp;$A239&amp;""/edit#gid=156619080"",N$3)"),901.0)</f>
        <v>901</v>
      </c>
      <c r="O239" s="16" t="str">
        <f>IFERROR(__xludf.DUMMYFUNCTION("IMPORTRANGE(""https://docs.google.com/spreadsheets/d/""&amp;$A239&amp;""/edit#gid=156619080"",O$3)"),"37000株")</f>
        <v>37000株</v>
      </c>
      <c r="P239" s="16" t="str">
        <f>IFERROR(__xludf.DUMMYFUNCTION("IMPORTRANGE(""https://docs.google.com/spreadsheets/d/""&amp;$A239&amp;""/edit#gid=156619080"",P$3)"),"33百万円")</f>
        <v>33百万円</v>
      </c>
      <c r="Q239" s="16" t="str">
        <f>IFERROR(__xludf.DUMMYFUNCTION("IMPORTRANGE(""https://docs.google.com/spreadsheets/d/""&amp;$A239&amp;""/edit#gid=156619080"",Q$3)"),"161回")</f>
        <v>161回</v>
      </c>
      <c r="R239" s="16" t="str">
        <f>IFERROR(__xludf.DUMMYFUNCTION("IMPORTRANGE(""https://docs.google.com/spreadsheets/d/""&amp;$A239&amp;""/edit#gid=156619080"",R$3)"),"47.6億円")</f>
        <v>47.6億円</v>
      </c>
      <c r="S239" s="16" t="str">
        <f>IFERROR(__xludf.DUMMYFUNCTION("IMPORTRANGE(""https://docs.google.com/spreadsheets/d/""&amp;$A239&amp;""/edit#gid=156619080"",S$3)"),"陽線")</f>
        <v>陽線</v>
      </c>
      <c r="T239" s="16" t="str">
        <f>IFERROR(__xludf.DUMMYFUNCTION("IMPORTRANGE(""https://docs.google.com/spreadsheets/d/""&amp;$A239&amp;""/edit#gid=156619080"",T$3)"),"")</f>
        <v/>
      </c>
      <c r="U239" s="16">
        <f>IFERROR(__xludf.DUMMYFUNCTION("IMPORTRANGE(""https://docs.google.com/spreadsheets/d/""&amp;$A239&amp;""/edit#gid=156619080"",U$3)"),889.6)</f>
        <v>889.6</v>
      </c>
      <c r="V239" s="16">
        <f>IFERROR(__xludf.DUMMYFUNCTION("IMPORTRANGE(""https://docs.google.com/spreadsheets/d/""&amp;$A239&amp;""/edit#gid=156619080"",V$3)"),1034.8)</f>
        <v>1034.8</v>
      </c>
      <c r="W239" s="16">
        <f>IFERROR(__xludf.DUMMYFUNCTION("IMPORTRANGE(""https://docs.google.com/spreadsheets/d/""&amp;$A239&amp;""/edit#gid=156619080"",W$3)"),1092.0)</f>
        <v>1092</v>
      </c>
      <c r="X239" s="2">
        <f>IFERROR(__xludf.DUMMYFUNCTION("IMPORTRANGE(""https://docs.google.com/spreadsheets/d/""&amp;$A239&amp;""/edit#gid=156619080"",X$3)"),1268.3)</f>
        <v>1268.3</v>
      </c>
      <c r="Y239" s="17">
        <f>IFERROR(__xludf.DUMMYFUNCTION("IMPORTRANGE(""https://docs.google.com/spreadsheets/d/""&amp;$A239&amp;""/edit#gid=156619080"",Y$3)"),0.012814748201438823)</f>
        <v>0.0128147482</v>
      </c>
      <c r="Z239" s="2">
        <f>IFERROR(__xludf.DUMMYFUNCTION("IMPORTRANGE(""https://docs.google.com/spreadsheets/d/""&amp;$A239&amp;""/edit#gid=156619080"",Z$3)"),1341.09)</f>
        <v>1341.09</v>
      </c>
      <c r="AA239" s="2">
        <f>IFERROR(__xludf.DUMMYFUNCTION("IMPORTRANGE(""https://docs.google.com/spreadsheets/d/""&amp;$A239&amp;""/edit#gid=156619080"",AA$3)"),1309.96)</f>
        <v>1309.96</v>
      </c>
      <c r="AB239" s="2">
        <f>IFERROR(__xludf.DUMMYFUNCTION("IMPORTRANGE(""https://docs.google.com/spreadsheets/d/""&amp;$A239&amp;""/edit#gid=156619080"",AB$3)"),1278.82)</f>
        <v>1278.82</v>
      </c>
      <c r="AC239" s="18">
        <f>IFERROR(__xludf.DUMMYFUNCTION("IMPORTRANGE(""https://docs.google.com/spreadsheets/d/""&amp;$A239&amp;""/edit#gid=156619080"",AC$3)"),1247.68)</f>
        <v>1247.68</v>
      </c>
      <c r="AD239" s="18">
        <f>IFERROR(__xludf.DUMMYFUNCTION("IMPORTRANGE(""https://docs.google.com/spreadsheets/d/""&amp;$A239&amp;""/edit#gid=156619080"",AD$3)"),1216.55)</f>
        <v>1216.55</v>
      </c>
      <c r="AE239" s="18">
        <f>IFERROR(__xludf.DUMMYFUNCTION("IMPORTRANGE(""https://docs.google.com/spreadsheets/d/""&amp;$A239&amp;""/edit#gid=156619080"",AE$3)"),1092.0)</f>
        <v>1092</v>
      </c>
      <c r="AF239" s="2">
        <f>IFERROR(__xludf.DUMMYFUNCTION("IMPORTRANGE(""https://docs.google.com/spreadsheets/d/""&amp;$A239&amp;""/edit#gid=156619080"",AF$3)"),967.45)</f>
        <v>967.45</v>
      </c>
      <c r="AG239" s="2">
        <f>IFERROR(__xludf.DUMMYFUNCTION("IMPORTRANGE(""https://docs.google.com/spreadsheets/d/""&amp;$A239&amp;""/edit#gid=156619080"",AG$3)"),936.32)</f>
        <v>936.32</v>
      </c>
      <c r="AH239" s="2">
        <f>IFERROR(__xludf.DUMMYFUNCTION("IMPORTRANGE(""https://docs.google.com/spreadsheets/d/""&amp;$A239&amp;""/edit#gid=156619080"",AH$3)"),905.18)</f>
        <v>905.18</v>
      </c>
      <c r="AI239" s="2">
        <f>IFERROR(__xludf.DUMMYFUNCTION("IMPORTRANGE(""https://docs.google.com/spreadsheets/d/""&amp;$A239&amp;""/edit#gid=156619080"",AI$3)"),874.04)</f>
        <v>874.04</v>
      </c>
      <c r="AJ239" s="2">
        <f>IFERROR(__xludf.DUMMYFUNCTION("IMPORTRANGE(""https://docs.google.com/spreadsheets/d/""&amp;$A239&amp;""/edit#gid=156619080"",AJ$3)"),842.91)</f>
        <v>842.91</v>
      </c>
      <c r="AK239" s="2" t="str">
        <f>IFERROR(__xludf.DUMMYFUNCTION("IMPORTRANGE(""https://docs.google.com/spreadsheets/d/""&amp;$A239&amp;""/edit#gid=156619080"",AK$3)"),"-1.5σ〜-1.75σ")</f>
        <v>-1.5σ〜-1.75σ</v>
      </c>
      <c r="AL239" s="2">
        <f>IFERROR(__xludf.DUMMYFUNCTION("IMPORTRANGE(""https://docs.google.com/spreadsheets/d/""&amp;$A239&amp;""/edit#gid=156619080"",AL$3)"),-1.0)</f>
        <v>-1</v>
      </c>
      <c r="AM239" s="2" t="str">
        <f>IFERROR(__xludf.DUMMYFUNCTION("IMPORTRANGE(""https://docs.google.com/spreadsheets/d/""&amp;$A239&amp;""/edit#gid=156619080"",AM$3)"),"")</f>
        <v/>
      </c>
      <c r="AN239" s="2">
        <f>IFERROR(__xludf.DUMMYFUNCTION("IMPORTRANGE(""https://docs.google.com/spreadsheets/d/""&amp;$A239&amp;""/edit#gid=156619080"",AN$3)"),-1.0)</f>
        <v>-1</v>
      </c>
      <c r="AO239" s="2" t="str">
        <f>IFERROR(__xludf.DUMMYFUNCTION("IMPORTRANGE(""https://docs.google.com/spreadsheets/d/""&amp;$A239&amp;""/edit#gid=156619080"",AO$3)"),"")</f>
        <v/>
      </c>
      <c r="AP239" s="2">
        <f>IFERROR(__xludf.DUMMYFUNCTION("IMPORTRANGE(""https://docs.google.com/spreadsheets/d/""&amp;$A239&amp;""/edit#gid=156619080"",AP$3)"),-1.0)</f>
        <v>-1</v>
      </c>
      <c r="AQ239" s="2" t="str">
        <f>IFERROR(__xludf.DUMMYFUNCTION("IMPORTRANGE(""https://docs.google.com/spreadsheets/d/""&amp;$A239&amp;""/edit#gid=156619080"",AQ$3)"),"")</f>
        <v/>
      </c>
      <c r="AR239" s="18">
        <f>IFERROR(__xludf.DUMMYFUNCTION("IMPORTRANGE(""https://docs.google.com/spreadsheets/d/""&amp;$A239&amp;""/edit#gid=156619080"",AR$3)"),60.0)</f>
        <v>60</v>
      </c>
      <c r="AS239" s="19" t="str">
        <f>IFERROR(__xludf.DUMMYFUNCTION("IMPORTRANGE(""https://docs.google.com/spreadsheets/d/""&amp;$A239&amp;""/edit#gid=156619080"",AS$3)"),"-90
-90
-70
-20
")</f>
        <v>-90
-90
-70
-20
</v>
      </c>
      <c r="AT239" s="18">
        <f>IFERROR(__xludf.DUMMYFUNCTION("IMPORTRANGE(""https://docs.google.com/spreadsheets/d/""&amp;$A239&amp;""/edit#gid=156619080"",AT$3)"),-86.81318681318682)</f>
        <v>-86.81318681</v>
      </c>
      <c r="AU239" s="3" t="str">
        <f>IFERROR(__xludf.DUMMYFUNCTION("IMPORTRANGE(""https://docs.google.com/spreadsheets/d/""&amp;$A239&amp;""/edit#gid=156619080"",AU$3)"),"-68.13
-68.13
-75.27
-79.12
")</f>
        <v>-68.13
-68.13
-75.27
-79.12
</v>
      </c>
      <c r="AV239" s="18">
        <f>IFERROR(__xludf.DUMMYFUNCTION("IMPORTRANGE(""https://docs.google.com/spreadsheets/d/""&amp;$A239&amp;""/edit#gid=156619080"",AV$3)"),-89.64285714285714)</f>
        <v>-89.64285714</v>
      </c>
      <c r="AW239" s="19" t="str">
        <f>IFERROR(__xludf.DUMMYFUNCTION("IMPORTRANGE(""https://docs.google.com/spreadsheets/d/""&amp;$A239&amp;""/edit#gid=156619080"",AW$3)"),"-82.24
-88.73
-91.33
-90.68
")</f>
        <v>-82.24
-88.73
-91.33
-90.68
</v>
      </c>
      <c r="AX239" s="2">
        <f>IFERROR(__xludf.DUMMYFUNCTION("IMPORTRANGE(""https://docs.google.com/spreadsheets/d/""&amp;$A239&amp;""/edit#gid=156619080"",AX$3)"),30.56)</f>
        <v>30.56</v>
      </c>
      <c r="AY239" s="2">
        <f>IFERROR(__xludf.DUMMYFUNCTION("IMPORTRANGE(""https://docs.google.com/spreadsheets/d/""&amp;$A239&amp;""/edit#gid=156619080"",AY$3)"),24.86)</f>
        <v>24.86</v>
      </c>
      <c r="AZ239" s="2">
        <f>IFERROR(__xludf.DUMMYFUNCTION("IMPORTRANGE(""https://docs.google.com/spreadsheets/d/""&amp;$A239&amp;""/edit#gid=156619080"",AZ$3)"),919.53)</f>
        <v>919.53</v>
      </c>
      <c r="BA239" s="2">
        <f>IFERROR(__xludf.DUMMYFUNCTION("IMPORTRANGE(""https://docs.google.com/spreadsheets/d/""&amp;$A239&amp;""/edit#gid=156619080"",BA$3)"),-129.05999999999995)</f>
        <v>-129.06</v>
      </c>
      <c r="BB239" s="2">
        <f>IFERROR(__xludf.DUMMYFUNCTION("IMPORTRANGE(""https://docs.google.com/spreadsheets/d/""&amp;$A239&amp;""/edit#gid=156619080"",BB$3)"),-77.48)</f>
        <v>-77.48</v>
      </c>
      <c r="BC239" s="2" t="str">
        <f>IFERROR(__xludf.DUMMYFUNCTION("IMPORTRANGE(""https://docs.google.com/spreadsheets/d/""&amp;$A239&amp;""/edit#gid=156619080"",BC$3)"),"DC→DC")</f>
        <v>DC→DC</v>
      </c>
    </row>
    <row r="240" ht="51.0" customHeight="1">
      <c r="A240" s="7" t="str">
        <f t="shared" si="5"/>
        <v>1MXvy_UcvqAR8dZnOPlWY1vhWogyWHycOB4J9zgqi4GE</v>
      </c>
      <c r="B240" s="1" t="s">
        <v>267</v>
      </c>
      <c r="C240" s="2">
        <f>IFERROR(__xludf.DUMMYFUNCTION("IMPORTRANGE(""https://docs.google.com/spreadsheets/d/""&amp;$A240&amp;""/edit#gid=156619080"",C$3)"),131.0)</f>
        <v>131</v>
      </c>
      <c r="D240" s="2">
        <f>IFERROR(__xludf.DUMMYFUNCTION("IMPORTRANGE(""https://docs.google.com/spreadsheets/d/""&amp;$A240&amp;""/edit#gid=156619080"",D$3)"),6184.0)</f>
        <v>6184</v>
      </c>
      <c r="E240" s="15">
        <f>IFERROR(__xludf.DUMMYFUNCTION("IMPORTRANGE(""https://docs.google.com/spreadsheets/d/""&amp;$A240&amp;""/edit#gid=156619080"",E$3)"),43882.0)</f>
        <v>43882</v>
      </c>
      <c r="F240" s="2">
        <f>IFERROR(__xludf.DUMMYFUNCTION("IMPORTRANGE(""https://docs.google.com/spreadsheets/d/""&amp;$A240&amp;""/edit#gid=156619080"",F$3)"),-4.0)</f>
        <v>-4</v>
      </c>
      <c r="G240" s="16">
        <f>IFERROR(__xludf.DUMMYFUNCTION("IMPORTRANGE(""https://docs.google.com/spreadsheets/d/""&amp;$A240&amp;""/edit#gid=156619080"",G$3)"),-0.24)</f>
        <v>-0.24</v>
      </c>
      <c r="H240" s="16">
        <f>IFERROR(__xludf.DUMMYFUNCTION("IMPORTRANGE(""https://docs.google.com/spreadsheets/d/""&amp;$A240&amp;""/edit#gid=156619080"",H$3)"),1645.0)</f>
        <v>1645</v>
      </c>
      <c r="I240" s="16">
        <f>IFERROR(__xludf.DUMMYFUNCTION("IMPORTRANGE(""https://docs.google.com/spreadsheets/d/""&amp;$A240&amp;""/edit#gid=156619080"",I$3)"),3.0)</f>
        <v>3</v>
      </c>
      <c r="J240" s="16">
        <f>IFERROR(__xludf.DUMMYFUNCTION("IMPORTRANGE(""https://docs.google.com/spreadsheets/d/""&amp;$A240&amp;""/edit#gid=156619080"",J$3)"),1659.0)</f>
        <v>1659</v>
      </c>
      <c r="K240" s="16">
        <f>IFERROR(__xludf.DUMMYFUNCTION("IMPORTRANGE(""https://docs.google.com/spreadsheets/d/""&amp;$A240&amp;""/edit#gid=156619080"",K$3)"),0.41458333333333336)</f>
        <v>0.4145833333</v>
      </c>
      <c r="L240" s="16">
        <f>IFERROR(__xludf.DUMMYFUNCTION("IMPORTRANGE(""https://docs.google.com/spreadsheets/d/""&amp;$A240&amp;""/edit#gid=156619080"",L$3)"),1625.0)</f>
        <v>1625</v>
      </c>
      <c r="M240" s="16">
        <f>IFERROR(__xludf.DUMMYFUNCTION("IMPORTRANGE(""https://docs.google.com/spreadsheets/d/""&amp;$A240&amp;""/edit#gid=156619080"",M$3)"),0.375)</f>
        <v>0.375</v>
      </c>
      <c r="N240" s="16">
        <f>IFERROR(__xludf.DUMMYFUNCTION("IMPORTRANGE(""https://docs.google.com/spreadsheets/d/""&amp;$A240&amp;""/edit#gid=156619080"",N$3)"),1644.0)</f>
        <v>1644</v>
      </c>
      <c r="O240" s="16" t="str">
        <f>IFERROR(__xludf.DUMMYFUNCTION("IMPORTRANGE(""https://docs.google.com/spreadsheets/d/""&amp;$A240&amp;""/edit#gid=156619080"",O$3)"),"151800株")</f>
        <v>151800株</v>
      </c>
      <c r="P240" s="16" t="str">
        <f>IFERROR(__xludf.DUMMYFUNCTION("IMPORTRANGE(""https://docs.google.com/spreadsheets/d/""&amp;$A240&amp;""/edit#gid=156619080"",P$3)"),"250百万円")</f>
        <v>250百万円</v>
      </c>
      <c r="Q240" s="16" t="str">
        <f>IFERROR(__xludf.DUMMYFUNCTION("IMPORTRANGE(""https://docs.google.com/spreadsheets/d/""&amp;$A240&amp;""/edit#gid=156619080"",Q$3)"),"641回")</f>
        <v>641回</v>
      </c>
      <c r="R240" s="16" t="str">
        <f>IFERROR(__xludf.DUMMYFUNCTION("IMPORTRANGE(""https://docs.google.com/spreadsheets/d/""&amp;$A240&amp;""/edit#gid=156619080"",R$3)"),"631億円")</f>
        <v>631億円</v>
      </c>
      <c r="S240" s="16" t="str">
        <f>IFERROR(__xludf.DUMMYFUNCTION("IMPORTRANGE(""https://docs.google.com/spreadsheets/d/""&amp;$A240&amp;""/edit#gid=156619080"",S$3)"),"陰線")</f>
        <v>陰線</v>
      </c>
      <c r="T240" s="16" t="str">
        <f>IFERROR(__xludf.DUMMYFUNCTION("IMPORTRANGE(""https://docs.google.com/spreadsheets/d/""&amp;$A240&amp;""/edit#gid=156619080"",T$3)"),"")</f>
        <v/>
      </c>
      <c r="U240" s="16">
        <f>IFERROR(__xludf.DUMMYFUNCTION("IMPORTRANGE(""https://docs.google.com/spreadsheets/d/""&amp;$A240&amp;""/edit#gid=156619080"",U$3)"),1647.6)</f>
        <v>1647.6</v>
      </c>
      <c r="V240" s="16">
        <f>IFERROR(__xludf.DUMMYFUNCTION("IMPORTRANGE(""https://docs.google.com/spreadsheets/d/""&amp;$A240&amp;""/edit#gid=156619080"",V$3)"),1665.9)</f>
        <v>1665.9</v>
      </c>
      <c r="W240" s="16">
        <f>IFERROR(__xludf.DUMMYFUNCTION("IMPORTRANGE(""https://docs.google.com/spreadsheets/d/""&amp;$A240&amp;""/edit#gid=156619080"",W$3)"),1656.6)</f>
        <v>1656.6</v>
      </c>
      <c r="X240" s="2">
        <f>IFERROR(__xludf.DUMMYFUNCTION("IMPORTRANGE(""https://docs.google.com/spreadsheets/d/""&amp;$A240&amp;""/edit#gid=156619080"",X$3)"),1613.4)</f>
        <v>1613.4</v>
      </c>
      <c r="Y240" s="17">
        <f>IFERROR(__xludf.DUMMYFUNCTION("IMPORTRANGE(""https://docs.google.com/spreadsheets/d/""&amp;$A240&amp;""/edit#gid=156619080"",Y$3)"),-0.0021849963583393476)</f>
        <v>-0.002184996358</v>
      </c>
      <c r="Z240" s="2">
        <f>IFERROR(__xludf.DUMMYFUNCTION("IMPORTRANGE(""https://docs.google.com/spreadsheets/d/""&amp;$A240&amp;""/edit#gid=156619080"",Z$3)"),1738.91)</f>
        <v>1738.91</v>
      </c>
      <c r="AA240" s="2">
        <f>IFERROR(__xludf.DUMMYFUNCTION("IMPORTRANGE(""https://docs.google.com/spreadsheets/d/""&amp;$A240&amp;""/edit#gid=156619080"",AA$3)"),1728.62)</f>
        <v>1728.62</v>
      </c>
      <c r="AB240" s="2">
        <f>IFERROR(__xludf.DUMMYFUNCTION("IMPORTRANGE(""https://docs.google.com/spreadsheets/d/""&amp;$A240&amp;""/edit#gid=156619080"",AB$3)"),1718.33)</f>
        <v>1718.33</v>
      </c>
      <c r="AC240" s="18">
        <f>IFERROR(__xludf.DUMMYFUNCTION("IMPORTRANGE(""https://docs.google.com/spreadsheets/d/""&amp;$A240&amp;""/edit#gid=156619080"",AC$3)"),1708.05)</f>
        <v>1708.05</v>
      </c>
      <c r="AD240" s="18">
        <f>IFERROR(__xludf.DUMMYFUNCTION("IMPORTRANGE(""https://docs.google.com/spreadsheets/d/""&amp;$A240&amp;""/edit#gid=156619080"",AD$3)"),1697.76)</f>
        <v>1697.76</v>
      </c>
      <c r="AE240" s="18">
        <f>IFERROR(__xludf.DUMMYFUNCTION("IMPORTRANGE(""https://docs.google.com/spreadsheets/d/""&amp;$A240&amp;""/edit#gid=156619080"",AE$3)"),1656.6)</f>
        <v>1656.6</v>
      </c>
      <c r="AF240" s="2">
        <f>IFERROR(__xludf.DUMMYFUNCTION("IMPORTRANGE(""https://docs.google.com/spreadsheets/d/""&amp;$A240&amp;""/edit#gid=156619080"",AF$3)"),1615.44)</f>
        <v>1615.44</v>
      </c>
      <c r="AG240" s="2">
        <f>IFERROR(__xludf.DUMMYFUNCTION("IMPORTRANGE(""https://docs.google.com/spreadsheets/d/""&amp;$A240&amp;""/edit#gid=156619080"",AG$3)"),1605.15)</f>
        <v>1605.15</v>
      </c>
      <c r="AH240" s="2">
        <f>IFERROR(__xludf.DUMMYFUNCTION("IMPORTRANGE(""https://docs.google.com/spreadsheets/d/""&amp;$A240&amp;""/edit#gid=156619080"",AH$3)"),1594.87)</f>
        <v>1594.87</v>
      </c>
      <c r="AI240" s="2">
        <f>IFERROR(__xludf.DUMMYFUNCTION("IMPORTRANGE(""https://docs.google.com/spreadsheets/d/""&amp;$A240&amp;""/edit#gid=156619080"",AI$3)"),1584.58)</f>
        <v>1584.58</v>
      </c>
      <c r="AJ240" s="2">
        <f>IFERROR(__xludf.DUMMYFUNCTION("IMPORTRANGE(""https://docs.google.com/spreadsheets/d/""&amp;$A240&amp;""/edit#gid=156619080"",AJ$3)"),1574.29)</f>
        <v>1574.29</v>
      </c>
      <c r="AK240" s="2" t="str">
        <f>IFERROR(__xludf.DUMMYFUNCTION("IMPORTRANGE(""https://docs.google.com/spreadsheets/d/""&amp;$A240&amp;""/edit#gid=156619080"",AK$3)"),"")</f>
        <v/>
      </c>
      <c r="AL240" s="2">
        <f>IFERROR(__xludf.DUMMYFUNCTION("IMPORTRANGE(""https://docs.google.com/spreadsheets/d/""&amp;$A240&amp;""/edit#gid=156619080"",AL$3)"),-1.0)</f>
        <v>-1</v>
      </c>
      <c r="AM240" s="2" t="str">
        <f>IFERROR(__xludf.DUMMYFUNCTION("IMPORTRANGE(""https://docs.google.com/spreadsheets/d/""&amp;$A240&amp;""/edit#gid=156619080"",AM$3)"),"")</f>
        <v/>
      </c>
      <c r="AN240" s="2">
        <f>IFERROR(__xludf.DUMMYFUNCTION("IMPORTRANGE(""https://docs.google.com/spreadsheets/d/""&amp;$A240&amp;""/edit#gid=156619080"",AN$3)"),-1.0)</f>
        <v>-1</v>
      </c>
      <c r="AO240" s="2" t="str">
        <f>IFERROR(__xludf.DUMMYFUNCTION("IMPORTRANGE(""https://docs.google.com/spreadsheets/d/""&amp;$A240&amp;""/edit#gid=156619080"",AO$3)"),"")</f>
        <v/>
      </c>
      <c r="AP240" s="2">
        <f>IFERROR(__xludf.DUMMYFUNCTION("IMPORTRANGE(""https://docs.google.com/spreadsheets/d/""&amp;$A240&amp;""/edit#gid=156619080"",AP$3)"),1.0)</f>
        <v>1</v>
      </c>
      <c r="AQ240" s="2" t="str">
        <f>IFERROR(__xludf.DUMMYFUNCTION("IMPORTRANGE(""https://docs.google.com/spreadsheets/d/""&amp;$A240&amp;""/edit#gid=156619080"",AQ$3)"),"")</f>
        <v/>
      </c>
      <c r="AR240" s="18">
        <f>IFERROR(__xludf.DUMMYFUNCTION("IMPORTRANGE(""https://docs.google.com/spreadsheets/d/""&amp;$A240&amp;""/edit#gid=156619080"",AR$3)"),9.999999999999998)</f>
        <v>10</v>
      </c>
      <c r="AS240" s="19" t="str">
        <f>IFERROR(__xludf.DUMMYFUNCTION("IMPORTRANGE(""https://docs.google.com/spreadsheets/d/""&amp;$A240&amp;""/edit#gid=156619080"",AS$3)"),"-80
-70
-10
80
")</f>
        <v>-80
-70
-10
80
</v>
      </c>
      <c r="AT240" s="18">
        <f>IFERROR(__xludf.DUMMYFUNCTION("IMPORTRANGE(""https://docs.google.com/spreadsheets/d/""&amp;$A240&amp;""/edit#gid=156619080"",AT$3)"),-17.582417582417587)</f>
        <v>-17.58241758</v>
      </c>
      <c r="AU240" s="3" t="str">
        <f>IFERROR(__xludf.DUMMYFUNCTION("IMPORTRANGE(""https://docs.google.com/spreadsheets/d/""&amp;$A240&amp;""/edit#gid=156619080"",AU$3)"),"47.39
30.77
34.07
14.29
")</f>
        <v>47.39
30.77
34.07
14.29
</v>
      </c>
      <c r="AV240" s="18">
        <f>IFERROR(__xludf.DUMMYFUNCTION("IMPORTRANGE(""https://docs.google.com/spreadsheets/d/""&amp;$A240&amp;""/edit#gid=156619080"",AV$3)"),1.558441558441559)</f>
        <v>1.558441558</v>
      </c>
      <c r="AW240" s="19" t="str">
        <f>IFERROR(__xludf.DUMMYFUNCTION("IMPORTRANGE(""https://docs.google.com/spreadsheets/d/""&amp;$A240&amp;""/edit#gid=156619080"",AW$3)"),"-13.47
-21.17
-12.99
-5.71
")</f>
        <v>-13.47
-21.17
-12.99
-5.71
</v>
      </c>
      <c r="AX240" s="2">
        <f>IFERROR(__xludf.DUMMYFUNCTION("IMPORTRANGE(""https://docs.google.com/spreadsheets/d/""&amp;$A240&amp;""/edit#gid=156619080"",AX$3)"),59.06)</f>
        <v>59.06</v>
      </c>
      <c r="AY240" s="2">
        <f>IFERROR(__xludf.DUMMYFUNCTION("IMPORTRANGE(""https://docs.google.com/spreadsheets/d/""&amp;$A240&amp;""/edit#gid=156619080"",AY$3)"),44.35)</f>
        <v>44.35</v>
      </c>
      <c r="AZ240" s="2">
        <f>IFERROR(__xludf.DUMMYFUNCTION("IMPORTRANGE(""https://docs.google.com/spreadsheets/d/""&amp;$A240&amp;""/edit#gid=156619080"",AZ$3)"),1651.33)</f>
        <v>1651.33</v>
      </c>
      <c r="BA240" s="2">
        <f>IFERROR(__xludf.DUMMYFUNCTION("IMPORTRANGE(""https://docs.google.com/spreadsheets/d/""&amp;$A240&amp;""/edit#gid=156619080"",BA$3)"),-15.019999999999982)</f>
        <v>-15.02</v>
      </c>
      <c r="BB240" s="2">
        <f>IFERROR(__xludf.DUMMYFUNCTION("IMPORTRANGE(""https://docs.google.com/spreadsheets/d/""&amp;$A240&amp;""/edit#gid=156619080"",BB$3)"),-13.91)</f>
        <v>-13.91</v>
      </c>
      <c r="BC240" s="2" t="str">
        <f>IFERROR(__xludf.DUMMYFUNCTION("IMPORTRANGE(""https://docs.google.com/spreadsheets/d/""&amp;$A240&amp;""/edit#gid=156619080"",BC$3)"),"GC→DC")</f>
        <v>GC→DC</v>
      </c>
    </row>
    <row r="241" ht="51.0" customHeight="1">
      <c r="A241" s="7" t="str">
        <f t="shared" si="5"/>
        <v>1XuvidL2YiSH-EYVp13AccLwiFI1N6hiAYX72vLuCbh0</v>
      </c>
      <c r="B241" s="1" t="s">
        <v>268</v>
      </c>
      <c r="C241" s="2">
        <f>IFERROR(__xludf.DUMMYFUNCTION("IMPORTRANGE(""https://docs.google.com/spreadsheets/d/""&amp;$A241&amp;""/edit#gid=156619080"",C$3)"),131.0)</f>
        <v>131</v>
      </c>
      <c r="D241" s="2">
        <f>IFERROR(__xludf.DUMMYFUNCTION("IMPORTRANGE(""https://docs.google.com/spreadsheets/d/""&amp;$A241&amp;""/edit#gid=156619080"",D$3)"),6754.0)</f>
        <v>6754</v>
      </c>
      <c r="E241" s="15">
        <f>IFERROR(__xludf.DUMMYFUNCTION("IMPORTRANGE(""https://docs.google.com/spreadsheets/d/""&amp;$A241&amp;""/edit#gid=156619080"",E$3)"),43882.0)</f>
        <v>43882</v>
      </c>
      <c r="F241" s="2">
        <f>IFERROR(__xludf.DUMMYFUNCTION("IMPORTRANGE(""https://docs.google.com/spreadsheets/d/""&amp;$A241&amp;""/edit#gid=156619080"",F$3)"),-21.0)</f>
        <v>-21</v>
      </c>
      <c r="G241" s="16">
        <f>IFERROR(__xludf.DUMMYFUNCTION("IMPORTRANGE(""https://docs.google.com/spreadsheets/d/""&amp;$A241&amp;""/edit#gid=156619080"",G$3)"),-1.04)</f>
        <v>-1.04</v>
      </c>
      <c r="H241" s="16">
        <f>IFERROR(__xludf.DUMMYFUNCTION("IMPORTRANGE(""https://docs.google.com/spreadsheets/d/""&amp;$A241&amp;""/edit#gid=156619080"",H$3)"),2024.0)</f>
        <v>2024</v>
      </c>
      <c r="I241" s="16">
        <f>IFERROR(__xludf.DUMMYFUNCTION("IMPORTRANGE(""https://docs.google.com/spreadsheets/d/""&amp;$A241&amp;""/edit#gid=156619080"",I$3)"),-1.0)</f>
        <v>-1</v>
      </c>
      <c r="J241" s="16">
        <f>IFERROR(__xludf.DUMMYFUNCTION("IMPORTRANGE(""https://docs.google.com/spreadsheets/d/""&amp;$A241&amp;""/edit#gid=156619080"",J$3)"),2042.0)</f>
        <v>2042</v>
      </c>
      <c r="K241" s="16">
        <f>IFERROR(__xludf.DUMMYFUNCTION("IMPORTRANGE(""https://docs.google.com/spreadsheets/d/""&amp;$A241&amp;""/edit#gid=156619080"",K$3)"),0.3909722222222222)</f>
        <v>0.3909722222</v>
      </c>
      <c r="L241" s="16">
        <f>IFERROR(__xludf.DUMMYFUNCTION("IMPORTRANGE(""https://docs.google.com/spreadsheets/d/""&amp;$A241&amp;""/edit#gid=156619080"",L$3)"),2002.0)</f>
        <v>2002</v>
      </c>
      <c r="M241" s="16">
        <f>IFERROR(__xludf.DUMMYFUNCTION("IMPORTRANGE(""https://docs.google.com/spreadsheets/d/""&amp;$A241&amp;""/edit#gid=156619080"",M$3)"),0.5381944444444444)</f>
        <v>0.5381944444</v>
      </c>
      <c r="N241" s="16">
        <f>IFERROR(__xludf.DUMMYFUNCTION("IMPORTRANGE(""https://docs.google.com/spreadsheets/d/""&amp;$A241&amp;""/edit#gid=156619080"",N$3)"),2002.0)</f>
        <v>2002</v>
      </c>
      <c r="O241" s="16" t="str">
        <f>IFERROR(__xludf.DUMMYFUNCTION("IMPORTRANGE(""https://docs.google.com/spreadsheets/d/""&amp;$A241&amp;""/edit#gid=156619080"",O$3)"),"1715400株")</f>
        <v>1715400株</v>
      </c>
      <c r="P241" s="16" t="str">
        <f>IFERROR(__xludf.DUMMYFUNCTION("IMPORTRANGE(""https://docs.google.com/spreadsheets/d/""&amp;$A241&amp;""/edit#gid=156619080"",P$3)"),"3454百万円")</f>
        <v>3454百万円</v>
      </c>
      <c r="Q241" s="16" t="str">
        <f>IFERROR(__xludf.DUMMYFUNCTION("IMPORTRANGE(""https://docs.google.com/spreadsheets/d/""&amp;$A241&amp;""/edit#gid=156619080"",Q$3)"),"3086回")</f>
        <v>3086回</v>
      </c>
      <c r="R241" s="16" t="str">
        <f>IFERROR(__xludf.DUMMYFUNCTION("IMPORTRANGE(""https://docs.google.com/spreadsheets/d/""&amp;$A241&amp;""/edit#gid=156619080"",R$3)"),"2768億円")</f>
        <v>2768億円</v>
      </c>
      <c r="S241" s="16" t="str">
        <f>IFERROR(__xludf.DUMMYFUNCTION("IMPORTRANGE(""https://docs.google.com/spreadsheets/d/""&amp;$A241&amp;""/edit#gid=156619080"",S$3)"),"陰線")</f>
        <v>陰線</v>
      </c>
      <c r="T241" s="16" t="str">
        <f>IFERROR(__xludf.DUMMYFUNCTION("IMPORTRANGE(""https://docs.google.com/spreadsheets/d/""&amp;$A241&amp;""/edit#gid=156619080"",T$3)"),"")</f>
        <v/>
      </c>
      <c r="U241" s="16">
        <f>IFERROR(__xludf.DUMMYFUNCTION("IMPORTRANGE(""https://docs.google.com/spreadsheets/d/""&amp;$A241&amp;""/edit#gid=156619080"",U$3)"),2021.6)</f>
        <v>2021.6</v>
      </c>
      <c r="V241" s="16">
        <f>IFERROR(__xludf.DUMMYFUNCTION("IMPORTRANGE(""https://docs.google.com/spreadsheets/d/""&amp;$A241&amp;""/edit#gid=156619080"",V$3)"),2095.6)</f>
        <v>2095.6</v>
      </c>
      <c r="W241" s="16">
        <f>IFERROR(__xludf.DUMMYFUNCTION("IMPORTRANGE(""https://docs.google.com/spreadsheets/d/""&amp;$A241&amp;""/edit#gid=156619080"",W$3)"),2113.0)</f>
        <v>2113</v>
      </c>
      <c r="X241" s="2">
        <f>IFERROR(__xludf.DUMMYFUNCTION("IMPORTRANGE(""https://docs.google.com/spreadsheets/d/""&amp;$A241&amp;""/edit#gid=156619080"",X$3)"),2104.2)</f>
        <v>2104.2</v>
      </c>
      <c r="Y241" s="17">
        <f>IFERROR(__xludf.DUMMYFUNCTION("IMPORTRANGE(""https://docs.google.com/spreadsheets/d/""&amp;$A241&amp;""/edit#gid=156619080"",Y$3)"),-0.009695290858725718)</f>
        <v>-0.009695290859</v>
      </c>
      <c r="Z241" s="2">
        <f>IFERROR(__xludf.DUMMYFUNCTION("IMPORTRANGE(""https://docs.google.com/spreadsheets/d/""&amp;$A241&amp;""/edit#gid=156619080"",Z$3)"),2255.17)</f>
        <v>2255.17</v>
      </c>
      <c r="AA241" s="2">
        <f>IFERROR(__xludf.DUMMYFUNCTION("IMPORTRANGE(""https://docs.google.com/spreadsheets/d/""&amp;$A241&amp;""/edit#gid=156619080"",AA$3)"),2237.4)</f>
        <v>2237.4</v>
      </c>
      <c r="AB241" s="2">
        <f>IFERROR(__xludf.DUMMYFUNCTION("IMPORTRANGE(""https://docs.google.com/spreadsheets/d/""&amp;$A241&amp;""/edit#gid=156619080"",AB$3)"),2219.63)</f>
        <v>2219.63</v>
      </c>
      <c r="AC241" s="18">
        <f>IFERROR(__xludf.DUMMYFUNCTION("IMPORTRANGE(""https://docs.google.com/spreadsheets/d/""&amp;$A241&amp;""/edit#gid=156619080"",AC$3)"),2201.86)</f>
        <v>2201.86</v>
      </c>
      <c r="AD241" s="18">
        <f>IFERROR(__xludf.DUMMYFUNCTION("IMPORTRANGE(""https://docs.google.com/spreadsheets/d/""&amp;$A241&amp;""/edit#gid=156619080"",AD$3)"),2184.09)</f>
        <v>2184.09</v>
      </c>
      <c r="AE241" s="18">
        <f>IFERROR(__xludf.DUMMYFUNCTION("IMPORTRANGE(""https://docs.google.com/spreadsheets/d/""&amp;$A241&amp;""/edit#gid=156619080"",AE$3)"),2113.0)</f>
        <v>2113</v>
      </c>
      <c r="AF241" s="2">
        <f>IFERROR(__xludf.DUMMYFUNCTION("IMPORTRANGE(""https://docs.google.com/spreadsheets/d/""&amp;$A241&amp;""/edit#gid=156619080"",AF$3)"),2041.91)</f>
        <v>2041.91</v>
      </c>
      <c r="AG241" s="2">
        <f>IFERROR(__xludf.DUMMYFUNCTION("IMPORTRANGE(""https://docs.google.com/spreadsheets/d/""&amp;$A241&amp;""/edit#gid=156619080"",AG$3)"),2024.14)</f>
        <v>2024.14</v>
      </c>
      <c r="AH241" s="2">
        <f>IFERROR(__xludf.DUMMYFUNCTION("IMPORTRANGE(""https://docs.google.com/spreadsheets/d/""&amp;$A241&amp;""/edit#gid=156619080"",AH$3)"),2006.37)</f>
        <v>2006.37</v>
      </c>
      <c r="AI241" s="2">
        <f>IFERROR(__xludf.DUMMYFUNCTION("IMPORTRANGE(""https://docs.google.com/spreadsheets/d/""&amp;$A241&amp;""/edit#gid=156619080"",AI$3)"),1988.6)</f>
        <v>1988.6</v>
      </c>
      <c r="AJ241" s="2">
        <f>IFERROR(__xludf.DUMMYFUNCTION("IMPORTRANGE(""https://docs.google.com/spreadsheets/d/""&amp;$A241&amp;""/edit#gid=156619080"",AJ$3)"),1970.83)</f>
        <v>1970.83</v>
      </c>
      <c r="AK241" s="2" t="str">
        <f>IFERROR(__xludf.DUMMYFUNCTION("IMPORTRANGE(""https://docs.google.com/spreadsheets/d/""&amp;$A241&amp;""/edit#gid=156619080"",AK$3)"),"-1.5σ〜-1.75σ")</f>
        <v>-1.5σ〜-1.75σ</v>
      </c>
      <c r="AL241" s="2">
        <f>IFERROR(__xludf.DUMMYFUNCTION("IMPORTRANGE(""https://docs.google.com/spreadsheets/d/""&amp;$A241&amp;""/edit#gid=156619080"",AL$3)"),-1.0)</f>
        <v>-1</v>
      </c>
      <c r="AM241" s="2" t="str">
        <f>IFERROR(__xludf.DUMMYFUNCTION("IMPORTRANGE(""https://docs.google.com/spreadsheets/d/""&amp;$A241&amp;""/edit#gid=156619080"",AM$3)"),"")</f>
        <v/>
      </c>
      <c r="AN241" s="2">
        <f>IFERROR(__xludf.DUMMYFUNCTION("IMPORTRANGE(""https://docs.google.com/spreadsheets/d/""&amp;$A241&amp;""/edit#gid=156619080"",AN$3)"),-1.0)</f>
        <v>-1</v>
      </c>
      <c r="AO241" s="2" t="str">
        <f>IFERROR(__xludf.DUMMYFUNCTION("IMPORTRANGE(""https://docs.google.com/spreadsheets/d/""&amp;$A241&amp;""/edit#gid=156619080"",AO$3)"),"")</f>
        <v/>
      </c>
      <c r="AP241" s="2">
        <f>IFERROR(__xludf.DUMMYFUNCTION("IMPORTRANGE(""https://docs.google.com/spreadsheets/d/""&amp;$A241&amp;""/edit#gid=156619080"",AP$3)"),-1.0)</f>
        <v>-1</v>
      </c>
      <c r="AQ241" s="2" t="str">
        <f>IFERROR(__xludf.DUMMYFUNCTION("IMPORTRANGE(""https://docs.google.com/spreadsheets/d/""&amp;$A241&amp;""/edit#gid=156619080"",AQ$3)"),"")</f>
        <v/>
      </c>
      <c r="AR241" s="18">
        <f>IFERROR(__xludf.DUMMYFUNCTION("IMPORTRANGE(""https://docs.google.com/spreadsheets/d/""&amp;$A241&amp;""/edit#gid=156619080"",AR$3)"),-39.99999999999999)</f>
        <v>-40</v>
      </c>
      <c r="AS241" s="19" t="str">
        <f>IFERROR(__xludf.DUMMYFUNCTION("IMPORTRANGE(""https://docs.google.com/spreadsheets/d/""&amp;$A241&amp;""/edit#gid=156619080"",AS$3)"),"-40
-100
-90
-70
")</f>
        <v>-40
-100
-90
-70
</v>
      </c>
      <c r="AT241" s="18">
        <f>IFERROR(__xludf.DUMMYFUNCTION("IMPORTRANGE(""https://docs.google.com/spreadsheets/d/""&amp;$A241&amp;""/edit#gid=156619080"",AT$3)"),-91.20879120879121)</f>
        <v>-91.20879121</v>
      </c>
      <c r="AU241" s="3" t="str">
        <f>IFERROR(__xludf.DUMMYFUNCTION("IMPORTRANGE(""https://docs.google.com/spreadsheets/d/""&amp;$A241&amp;""/edit#gid=156619080"",AU$3)"),"-6.18
-41.9
-84.2
-90.11
")</f>
        <v>-6.18
-41.9
-84.2
-90.11
</v>
      </c>
      <c r="AV241" s="18">
        <f>IFERROR(__xludf.DUMMYFUNCTION("IMPORTRANGE(""https://docs.google.com/spreadsheets/d/""&amp;$A241&amp;""/edit#gid=156619080"",AV$3)"),-64.57792207792208)</f>
        <v>-64.57792208</v>
      </c>
      <c r="AW241" s="19" t="str">
        <f>IFERROR(__xludf.DUMMYFUNCTION("IMPORTRANGE(""https://docs.google.com/spreadsheets/d/""&amp;$A241&amp;""/edit#gid=156619080"",AW$3)"),"-64.45
-64.06
-63.15
-66.53
")</f>
        <v>-64.45
-64.06
-63.15
-66.53
</v>
      </c>
      <c r="AX241" s="2">
        <f>IFERROR(__xludf.DUMMYFUNCTION("IMPORTRANGE(""https://docs.google.com/spreadsheets/d/""&amp;$A241&amp;""/edit#gid=156619080"",AX$3)"),16.669999999999998)</f>
        <v>16.67</v>
      </c>
      <c r="AY241" s="2">
        <f>IFERROR(__xludf.DUMMYFUNCTION("IMPORTRANGE(""https://docs.google.com/spreadsheets/d/""&amp;$A241&amp;""/edit#gid=156619080"",AY$3)"),38.4)</f>
        <v>38.4</v>
      </c>
      <c r="AZ241" s="2">
        <f>IFERROR(__xludf.DUMMYFUNCTION("IMPORTRANGE(""https://docs.google.com/spreadsheets/d/""&amp;$A241&amp;""/edit#gid=156619080"",AZ$3)"),2029.8)</f>
        <v>2029.8</v>
      </c>
      <c r="BA241" s="2">
        <f>IFERROR(__xludf.DUMMYFUNCTION("IMPORTRANGE(""https://docs.google.com/spreadsheets/d/""&amp;$A241&amp;""/edit#gid=156619080"",BA$3)"),-67.37000000000012)</f>
        <v>-67.37</v>
      </c>
      <c r="BB241" s="2">
        <f>IFERROR(__xludf.DUMMYFUNCTION("IMPORTRANGE(""https://docs.google.com/spreadsheets/d/""&amp;$A241&amp;""/edit#gid=156619080"",BB$3)"),-35.32)</f>
        <v>-35.32</v>
      </c>
      <c r="BC241" s="2" t="str">
        <f>IFERROR(__xludf.DUMMYFUNCTION("IMPORTRANGE(""https://docs.google.com/spreadsheets/d/""&amp;$A241&amp;""/edit#gid=156619080"",BC$3)"),"DC→DC")</f>
        <v>DC→DC</v>
      </c>
    </row>
    <row r="242" ht="51.0" customHeight="1">
      <c r="A242" s="7" t="str">
        <f t="shared" si="5"/>
        <v>1Sx0GoAd3J2bSBSbSHyuZm3oVYMff9KylcYyxEBU0Ulk</v>
      </c>
      <c r="B242" s="1" t="s">
        <v>269</v>
      </c>
      <c r="C242" s="2">
        <f>IFERROR(__xludf.DUMMYFUNCTION("IMPORTRANGE(""https://docs.google.com/spreadsheets/d/""&amp;$A242&amp;""/edit#gid=156619080"",C$3)"),131.0)</f>
        <v>131</v>
      </c>
      <c r="D242" s="2">
        <f>IFERROR(__xludf.DUMMYFUNCTION("IMPORTRANGE(""https://docs.google.com/spreadsheets/d/""&amp;$A242&amp;""/edit#gid=156619080"",D$3)"),6963.0)</f>
        <v>6963</v>
      </c>
      <c r="E242" s="15">
        <f>IFERROR(__xludf.DUMMYFUNCTION("IMPORTRANGE(""https://docs.google.com/spreadsheets/d/""&amp;$A242&amp;""/edit#gid=156619080"",E$3)"),43882.0)</f>
        <v>43882</v>
      </c>
      <c r="F242" s="2">
        <f>IFERROR(__xludf.DUMMYFUNCTION("IMPORTRANGE(""https://docs.google.com/spreadsheets/d/""&amp;$A242&amp;""/edit#gid=156619080"",F$3)"),70.0)</f>
        <v>70</v>
      </c>
      <c r="G242" s="16">
        <f>IFERROR(__xludf.DUMMYFUNCTION("IMPORTRANGE(""https://docs.google.com/spreadsheets/d/""&amp;$A242&amp;""/edit#gid=156619080"",G$3)"),0.85)</f>
        <v>0.85</v>
      </c>
      <c r="H242" s="16">
        <f>IFERROR(__xludf.DUMMYFUNCTION("IMPORTRANGE(""https://docs.google.com/spreadsheets/d/""&amp;$A242&amp;""/edit#gid=156619080"",H$3)"),8170.0)</f>
        <v>8170</v>
      </c>
      <c r="I242" s="16">
        <f>IFERROR(__xludf.DUMMYFUNCTION("IMPORTRANGE(""https://docs.google.com/spreadsheets/d/""&amp;$A242&amp;""/edit#gid=156619080"",I$3)"),60.0)</f>
        <v>60</v>
      </c>
      <c r="J242" s="16">
        <f>IFERROR(__xludf.DUMMYFUNCTION("IMPORTRANGE(""https://docs.google.com/spreadsheets/d/""&amp;$A242&amp;""/edit#gid=156619080"",J$3)"),8390.0)</f>
        <v>8390</v>
      </c>
      <c r="K242" s="16">
        <f>IFERROR(__xludf.DUMMYFUNCTION("IMPORTRANGE(""https://docs.google.com/spreadsheets/d/""&amp;$A242&amp;""/edit#gid=156619080"",K$3)"),0.3909722222222222)</f>
        <v>0.3909722222</v>
      </c>
      <c r="L242" s="16">
        <f>IFERROR(__xludf.DUMMYFUNCTION("IMPORTRANGE(""https://docs.google.com/spreadsheets/d/""&amp;$A242&amp;""/edit#gid=156619080"",L$3)"),8170.0)</f>
        <v>8170</v>
      </c>
      <c r="M242" s="16">
        <f>IFERROR(__xludf.DUMMYFUNCTION("IMPORTRANGE(""https://docs.google.com/spreadsheets/d/""&amp;$A242&amp;""/edit#gid=156619080"",M$3)"),0.375)</f>
        <v>0.375</v>
      </c>
      <c r="N242" s="16">
        <f>IFERROR(__xludf.DUMMYFUNCTION("IMPORTRANGE(""https://docs.google.com/spreadsheets/d/""&amp;$A242&amp;""/edit#gid=156619080"",N$3)"),8300.0)</f>
        <v>8300</v>
      </c>
      <c r="O242" s="16" t="str">
        <f>IFERROR(__xludf.DUMMYFUNCTION("IMPORTRANGE(""https://docs.google.com/spreadsheets/d/""&amp;$A242&amp;""/edit#gid=156619080"",O$3)"),"620100株")</f>
        <v>620100株</v>
      </c>
      <c r="P242" s="16" t="str">
        <f>IFERROR(__xludf.DUMMYFUNCTION("IMPORTRANGE(""https://docs.google.com/spreadsheets/d/""&amp;$A242&amp;""/edit#gid=156619080"",P$3)"),"5150百万円")</f>
        <v>5150百万円</v>
      </c>
      <c r="Q242" s="16" t="str">
        <f>IFERROR(__xludf.DUMMYFUNCTION("IMPORTRANGE(""https://docs.google.com/spreadsheets/d/""&amp;$A242&amp;""/edit#gid=156619080"",Q$3)"),"1705回")</f>
        <v>1705回</v>
      </c>
      <c r="R242" s="16" t="str">
        <f>IFERROR(__xludf.DUMMYFUNCTION("IMPORTRANGE(""https://docs.google.com/spreadsheets/d/""&amp;$A242&amp;""/edit#gid=156619080"",R$3)"),"9130億円")</f>
        <v>9130億円</v>
      </c>
      <c r="S242" s="16" t="str">
        <f>IFERROR(__xludf.DUMMYFUNCTION("IMPORTRANGE(""https://docs.google.com/spreadsheets/d/""&amp;$A242&amp;""/edit#gid=156619080"",S$3)"),"陽線")</f>
        <v>陽線</v>
      </c>
      <c r="T242" s="16" t="str">
        <f>IFERROR(__xludf.DUMMYFUNCTION("IMPORTRANGE(""https://docs.google.com/spreadsheets/d/""&amp;$A242&amp;""/edit#gid=156619080"",T$3)"),"")</f>
        <v/>
      </c>
      <c r="U242" s="16">
        <f>IFERROR(__xludf.DUMMYFUNCTION("IMPORTRANGE(""https://docs.google.com/spreadsheets/d/""&amp;$A242&amp;""/edit#gid=156619080"",U$3)"),8198.0)</f>
        <v>8198</v>
      </c>
      <c r="V242" s="16">
        <f>IFERROR(__xludf.DUMMYFUNCTION("IMPORTRANGE(""https://docs.google.com/spreadsheets/d/""&amp;$A242&amp;""/edit#gid=156619080"",V$3)"),8352.3)</f>
        <v>8352.3</v>
      </c>
      <c r="W242" s="16">
        <f>IFERROR(__xludf.DUMMYFUNCTION("IMPORTRANGE(""https://docs.google.com/spreadsheets/d/""&amp;$A242&amp;""/edit#gid=156619080"",W$3)"),8420.0)</f>
        <v>8420</v>
      </c>
      <c r="X242" s="2">
        <f>IFERROR(__xludf.DUMMYFUNCTION("IMPORTRANGE(""https://docs.google.com/spreadsheets/d/""&amp;$A242&amp;""/edit#gid=156619080"",X$3)"),8612.7)</f>
        <v>8612.7</v>
      </c>
      <c r="Y242" s="17">
        <f>IFERROR(__xludf.DUMMYFUNCTION("IMPORTRANGE(""https://docs.google.com/spreadsheets/d/""&amp;$A242&amp;""/edit#gid=156619080"",Y$3)"),0.012442059038789949)</f>
        <v>0.01244205904</v>
      </c>
      <c r="Z242" s="2">
        <f>IFERROR(__xludf.DUMMYFUNCTION("IMPORTRANGE(""https://docs.google.com/spreadsheets/d/""&amp;$A242&amp;""/edit#gid=156619080"",Z$3)"),9084.87)</f>
        <v>9084.87</v>
      </c>
      <c r="AA242" s="2">
        <f>IFERROR(__xludf.DUMMYFUNCTION("IMPORTRANGE(""https://docs.google.com/spreadsheets/d/""&amp;$A242&amp;""/edit#gid=156619080"",AA$3)"),9001.76)</f>
        <v>9001.76</v>
      </c>
      <c r="AB242" s="2">
        <f>IFERROR(__xludf.DUMMYFUNCTION("IMPORTRANGE(""https://docs.google.com/spreadsheets/d/""&amp;$A242&amp;""/edit#gid=156619080"",AB$3)"),8918.66)</f>
        <v>8918.66</v>
      </c>
      <c r="AC242" s="18">
        <f>IFERROR(__xludf.DUMMYFUNCTION("IMPORTRANGE(""https://docs.google.com/spreadsheets/d/""&amp;$A242&amp;""/edit#gid=156619080"",AC$3)"),8835.55)</f>
        <v>8835.55</v>
      </c>
      <c r="AD242" s="18">
        <f>IFERROR(__xludf.DUMMYFUNCTION("IMPORTRANGE(""https://docs.google.com/spreadsheets/d/""&amp;$A242&amp;""/edit#gid=156619080"",AD$3)"),8752.44)</f>
        <v>8752.44</v>
      </c>
      <c r="AE242" s="18">
        <f>IFERROR(__xludf.DUMMYFUNCTION("IMPORTRANGE(""https://docs.google.com/spreadsheets/d/""&amp;$A242&amp;""/edit#gid=156619080"",AE$3)"),8420.0)</f>
        <v>8420</v>
      </c>
      <c r="AF242" s="2">
        <f>IFERROR(__xludf.DUMMYFUNCTION("IMPORTRANGE(""https://docs.google.com/spreadsheets/d/""&amp;$A242&amp;""/edit#gid=156619080"",AF$3)"),8087.56)</f>
        <v>8087.56</v>
      </c>
      <c r="AG242" s="2">
        <f>IFERROR(__xludf.DUMMYFUNCTION("IMPORTRANGE(""https://docs.google.com/spreadsheets/d/""&amp;$A242&amp;""/edit#gid=156619080"",AG$3)"),8004.45)</f>
        <v>8004.45</v>
      </c>
      <c r="AH242" s="2">
        <f>IFERROR(__xludf.DUMMYFUNCTION("IMPORTRANGE(""https://docs.google.com/spreadsheets/d/""&amp;$A242&amp;""/edit#gid=156619080"",AH$3)"),7921.34)</f>
        <v>7921.34</v>
      </c>
      <c r="AI242" s="2">
        <f>IFERROR(__xludf.DUMMYFUNCTION("IMPORTRANGE(""https://docs.google.com/spreadsheets/d/""&amp;$A242&amp;""/edit#gid=156619080"",AI$3)"),7838.24)</f>
        <v>7838.24</v>
      </c>
      <c r="AJ242" s="2">
        <f>IFERROR(__xludf.DUMMYFUNCTION("IMPORTRANGE(""https://docs.google.com/spreadsheets/d/""&amp;$A242&amp;""/edit#gid=156619080"",AJ$3)"),7755.13)</f>
        <v>7755.13</v>
      </c>
      <c r="AK242" s="2" t="str">
        <f>IFERROR(__xludf.DUMMYFUNCTION("IMPORTRANGE(""https://docs.google.com/spreadsheets/d/""&amp;$A242&amp;""/edit#gid=156619080"",AK$3)"),"")</f>
        <v/>
      </c>
      <c r="AL242" s="2">
        <f>IFERROR(__xludf.DUMMYFUNCTION("IMPORTRANGE(""https://docs.google.com/spreadsheets/d/""&amp;$A242&amp;""/edit#gid=156619080"",AL$3)"),-1.0)</f>
        <v>-1</v>
      </c>
      <c r="AM242" s="2" t="str">
        <f>IFERROR(__xludf.DUMMYFUNCTION("IMPORTRANGE(""https://docs.google.com/spreadsheets/d/""&amp;$A242&amp;""/edit#gid=156619080"",AM$3)"),"")</f>
        <v/>
      </c>
      <c r="AN242" s="2">
        <f>IFERROR(__xludf.DUMMYFUNCTION("IMPORTRANGE(""https://docs.google.com/spreadsheets/d/""&amp;$A242&amp;""/edit#gid=156619080"",AN$3)"),-1.0)</f>
        <v>-1</v>
      </c>
      <c r="AO242" s="2" t="str">
        <f>IFERROR(__xludf.DUMMYFUNCTION("IMPORTRANGE(""https://docs.google.com/spreadsheets/d/""&amp;$A242&amp;""/edit#gid=156619080"",AO$3)"),"")</f>
        <v/>
      </c>
      <c r="AP242" s="2">
        <f>IFERROR(__xludf.DUMMYFUNCTION("IMPORTRANGE(""https://docs.google.com/spreadsheets/d/""&amp;$A242&amp;""/edit#gid=156619080"",AP$3)"),-1.0)</f>
        <v>-1</v>
      </c>
      <c r="AQ242" s="2" t="str">
        <f>IFERROR(__xludf.DUMMYFUNCTION("IMPORTRANGE(""https://docs.google.com/spreadsheets/d/""&amp;$A242&amp;""/edit#gid=156619080"",AQ$3)"),"")</f>
        <v/>
      </c>
      <c r="AR242" s="18">
        <f>IFERROR(__xludf.DUMMYFUNCTION("IMPORTRANGE(""https://docs.google.com/spreadsheets/d/""&amp;$A242&amp;""/edit#gid=156619080"",AR$3)"),40.0)</f>
        <v>40</v>
      </c>
      <c r="AS242" s="19" t="str">
        <f>IFERROR(__xludf.DUMMYFUNCTION("IMPORTRANGE(""https://docs.google.com/spreadsheets/d/""&amp;$A242&amp;""/edit#gid=156619080"",AS$3)"),"-40
-100
-90
-60
")</f>
        <v>-40
-100
-90
-60
</v>
      </c>
      <c r="AT242" s="18">
        <f>IFERROR(__xludf.DUMMYFUNCTION("IMPORTRANGE(""https://docs.google.com/spreadsheets/d/""&amp;$A242&amp;""/edit#gid=156619080"",AT$3)"),-29.258241758241766)</f>
        <v>-29.25824176</v>
      </c>
      <c r="AU242" s="3" t="str">
        <f>IFERROR(__xludf.DUMMYFUNCTION("IMPORTRANGE(""https://docs.google.com/spreadsheets/d/""&amp;$A242&amp;""/edit#gid=156619080"",AU$3)"),"43.68
49.18
27.88
0.96
")</f>
        <v>43.68
49.18
27.88
0.96
</v>
      </c>
      <c r="AV242" s="18">
        <f>IFERROR(__xludf.DUMMYFUNCTION("IMPORTRANGE(""https://docs.google.com/spreadsheets/d/""&amp;$A242&amp;""/edit#gid=156619080"",AV$3)"),-39.18831168831169)</f>
        <v>-39.18831169</v>
      </c>
      <c r="AW242" s="19" t="str">
        <f>IFERROR(__xludf.DUMMYFUNCTION("IMPORTRANGE(""https://docs.google.com/spreadsheets/d/""&amp;$A242&amp;""/edit#gid=156619080"",AW$3)"),"-64.38
-59.45
-53.6
-47.5
")</f>
        <v>-64.38
-59.45
-53.6
-47.5
</v>
      </c>
      <c r="AX242" s="2">
        <f>IFERROR(__xludf.DUMMYFUNCTION("IMPORTRANGE(""https://docs.google.com/spreadsheets/d/""&amp;$A242&amp;""/edit#gid=156619080"",AX$3)"),36.919999999999995)</f>
        <v>36.92</v>
      </c>
      <c r="AY242" s="2">
        <f>IFERROR(__xludf.DUMMYFUNCTION("IMPORTRANGE(""https://docs.google.com/spreadsheets/d/""&amp;$A242&amp;""/edit#gid=156619080"",AY$3)"),35.74)</f>
        <v>35.74</v>
      </c>
      <c r="AZ242" s="2">
        <f>IFERROR(__xludf.DUMMYFUNCTION("IMPORTRANGE(""https://docs.google.com/spreadsheets/d/""&amp;$A242&amp;""/edit#gid=156619080"",AZ$3)"),8259.85)</f>
        <v>8259.85</v>
      </c>
      <c r="BA242" s="2">
        <f>IFERROR(__xludf.DUMMYFUNCTION("IMPORTRANGE(""https://docs.google.com/spreadsheets/d/""&amp;$A242&amp;""/edit#gid=156619080"",BA$3)"),-170.10000000000036)</f>
        <v>-170.1</v>
      </c>
      <c r="BB242" s="2">
        <f>IFERROR(__xludf.DUMMYFUNCTION("IMPORTRANGE(""https://docs.google.com/spreadsheets/d/""&amp;$A242&amp;""/edit#gid=156619080"",BB$3)"),-167.42)</f>
        <v>-167.42</v>
      </c>
      <c r="BC242" s="2" t="str">
        <f>IFERROR(__xludf.DUMMYFUNCTION("IMPORTRANGE(""https://docs.google.com/spreadsheets/d/""&amp;$A242&amp;""/edit#gid=156619080"",BC$3)"),"DC→DC")</f>
        <v>DC→DC</v>
      </c>
    </row>
    <row r="243" ht="51.0" customHeight="1">
      <c r="A243" s="7" t="str">
        <f t="shared" si="5"/>
        <v>1_D3Ar-Kpum0GqlgknUB08wXnhL4b7cLL__A2FLoab-Q</v>
      </c>
      <c r="B243" s="1" t="s">
        <v>270</v>
      </c>
      <c r="C243" s="2">
        <f>IFERROR(__xludf.DUMMYFUNCTION("IMPORTRANGE(""https://docs.google.com/spreadsheets/d/""&amp;$A243&amp;""/edit#gid=156619080"",C$3)"),131.0)</f>
        <v>131</v>
      </c>
      <c r="D243" s="2">
        <f>IFERROR(__xludf.DUMMYFUNCTION("IMPORTRANGE(""https://docs.google.com/spreadsheets/d/""&amp;$A243&amp;""/edit#gid=156619080"",D$3)"),7974.0)</f>
        <v>7974</v>
      </c>
      <c r="E243" s="15">
        <f>IFERROR(__xludf.DUMMYFUNCTION("IMPORTRANGE(""https://docs.google.com/spreadsheets/d/""&amp;$A243&amp;""/edit#gid=156619080"",E$3)"),43882.0)</f>
        <v>43882</v>
      </c>
      <c r="F243" s="2">
        <f>IFERROR(__xludf.DUMMYFUNCTION("IMPORTRANGE(""https://docs.google.com/spreadsheets/d/""&amp;$A243&amp;""/edit#gid=156619080"",F$3)"),-150.0)</f>
        <v>-150</v>
      </c>
      <c r="G243" s="16">
        <f>IFERROR(__xludf.DUMMYFUNCTION("IMPORTRANGE(""https://docs.google.com/spreadsheets/d/""&amp;$A243&amp;""/edit#gid=156619080"",G$3)"),-0.37)</f>
        <v>-0.37</v>
      </c>
      <c r="H243" s="16">
        <f>IFERROR(__xludf.DUMMYFUNCTION("IMPORTRANGE(""https://docs.google.com/spreadsheets/d/""&amp;$A243&amp;""/edit#gid=156619080"",H$3)"),40000.0)</f>
        <v>40000</v>
      </c>
      <c r="I243" s="16">
        <f>IFERROR(__xludf.DUMMYFUNCTION("IMPORTRANGE(""https://docs.google.com/spreadsheets/d/""&amp;$A243&amp;""/edit#gid=156619080"",I$3)"),100.0)</f>
        <v>100</v>
      </c>
      <c r="J243" s="16">
        <f>IFERROR(__xludf.DUMMYFUNCTION("IMPORTRANGE(""https://docs.google.com/spreadsheets/d/""&amp;$A243&amp;""/edit#gid=156619080"",J$3)"),40050.0)</f>
        <v>40050</v>
      </c>
      <c r="K243" s="16">
        <f>IFERROR(__xludf.DUMMYFUNCTION("IMPORTRANGE(""https://docs.google.com/spreadsheets/d/""&amp;$A243&amp;""/edit#gid=156619080"",K$3)"),0.375)</f>
        <v>0.375</v>
      </c>
      <c r="L243" s="16">
        <f>IFERROR(__xludf.DUMMYFUNCTION("IMPORTRANGE(""https://docs.google.com/spreadsheets/d/""&amp;$A243&amp;""/edit#gid=156619080"",L$3)"),39860.0)</f>
        <v>39860</v>
      </c>
      <c r="M243" s="16">
        <f>IFERROR(__xludf.DUMMYFUNCTION("IMPORTRANGE(""https://docs.google.com/spreadsheets/d/""&amp;$A243&amp;""/edit#gid=156619080"",M$3)"),0.38680555555555557)</f>
        <v>0.3868055556</v>
      </c>
      <c r="N243" s="16">
        <f>IFERROR(__xludf.DUMMYFUNCTION("IMPORTRANGE(""https://docs.google.com/spreadsheets/d/""&amp;$A243&amp;""/edit#gid=156619080"",N$3)"),39950.0)</f>
        <v>39950</v>
      </c>
      <c r="O243" s="16" t="str">
        <f>IFERROR(__xludf.DUMMYFUNCTION("IMPORTRANGE(""https://docs.google.com/spreadsheets/d/""&amp;$A243&amp;""/edit#gid=156619080"",O$3)"),"915500株")</f>
        <v>915500株</v>
      </c>
      <c r="P243" s="16" t="str">
        <f>IFERROR(__xludf.DUMMYFUNCTION("IMPORTRANGE(""https://docs.google.com/spreadsheets/d/""&amp;$A243&amp;""/edit#gid=156619080"",P$3)"),"36592百万円")</f>
        <v>36592百万円</v>
      </c>
      <c r="Q243" s="16" t="str">
        <f>IFERROR(__xludf.DUMMYFUNCTION("IMPORTRANGE(""https://docs.google.com/spreadsheets/d/""&amp;$A243&amp;""/edit#gid=156619080"",Q$3)"),"3394回")</f>
        <v>3394回</v>
      </c>
      <c r="R243" s="16" t="str">
        <f>IFERROR(__xludf.DUMMYFUNCTION("IMPORTRANGE(""https://docs.google.com/spreadsheets/d/""&amp;$A243&amp;""/edit#gid=156619080"",R$3)"),"52602億円")</f>
        <v>52602億円</v>
      </c>
      <c r="S243" s="16" t="str">
        <f>IFERROR(__xludf.DUMMYFUNCTION("IMPORTRANGE(""https://docs.google.com/spreadsheets/d/""&amp;$A243&amp;""/edit#gid=156619080"",S$3)"),"陰線")</f>
        <v>陰線</v>
      </c>
      <c r="T243" s="16" t="str">
        <f>IFERROR(__xludf.DUMMYFUNCTION("IMPORTRANGE(""https://docs.google.com/spreadsheets/d/""&amp;$A243&amp;""/edit#gid=156619080"",T$3)"),"")</f>
        <v/>
      </c>
      <c r="U243" s="16">
        <f>IFERROR(__xludf.DUMMYFUNCTION("IMPORTRANGE(""https://docs.google.com/spreadsheets/d/""&amp;$A243&amp;""/edit#gid=156619080"",U$3)"),39978.0)</f>
        <v>39978</v>
      </c>
      <c r="V243" s="16">
        <f>IFERROR(__xludf.DUMMYFUNCTION("IMPORTRANGE(""https://docs.google.com/spreadsheets/d/""&amp;$A243&amp;""/edit#gid=156619080"",V$3)"),40235.4)</f>
        <v>40235.4</v>
      </c>
      <c r="W243" s="16">
        <f>IFERROR(__xludf.DUMMYFUNCTION("IMPORTRANGE(""https://docs.google.com/spreadsheets/d/""&amp;$A243&amp;""/edit#gid=156619080"",W$3)"),41004.3)</f>
        <v>41004.3</v>
      </c>
      <c r="X243" s="2">
        <f>IFERROR(__xludf.DUMMYFUNCTION("IMPORTRANGE(""https://docs.google.com/spreadsheets/d/""&amp;$A243&amp;""/edit#gid=156619080"",X$3)"),41352.9)</f>
        <v>41352.9</v>
      </c>
      <c r="Y243" s="17">
        <f>IFERROR(__xludf.DUMMYFUNCTION("IMPORTRANGE(""https://docs.google.com/spreadsheets/d/""&amp;$A243&amp;""/edit#gid=156619080"",Y$3)"),-7.003852118665266E-4)</f>
        <v>-0.0007003852119</v>
      </c>
      <c r="Z243" s="2">
        <f>IFERROR(__xludf.DUMMYFUNCTION("IMPORTRANGE(""https://docs.google.com/spreadsheets/d/""&amp;$A243&amp;""/edit#gid=156619080"",Z$3)"),43501.85)</f>
        <v>43501.85</v>
      </c>
      <c r="AA243" s="2">
        <f>IFERROR(__xludf.DUMMYFUNCTION("IMPORTRANGE(""https://docs.google.com/spreadsheets/d/""&amp;$A243&amp;""/edit#gid=156619080"",AA$3)"),43189.65)</f>
        <v>43189.65</v>
      </c>
      <c r="AB243" s="2">
        <f>IFERROR(__xludf.DUMMYFUNCTION("IMPORTRANGE(""https://docs.google.com/spreadsheets/d/""&amp;$A243&amp;""/edit#gid=156619080"",AB$3)"),42877.46)</f>
        <v>42877.46</v>
      </c>
      <c r="AC243" s="18">
        <f>IFERROR(__xludf.DUMMYFUNCTION("IMPORTRANGE(""https://docs.google.com/spreadsheets/d/""&amp;$A243&amp;""/edit#gid=156619080"",AC$3)"),42565.27)</f>
        <v>42565.27</v>
      </c>
      <c r="AD243" s="18">
        <f>IFERROR(__xludf.DUMMYFUNCTION("IMPORTRANGE(""https://docs.google.com/spreadsheets/d/""&amp;$A243&amp;""/edit#gid=156619080"",AD$3)"),42253.07)</f>
        <v>42253.07</v>
      </c>
      <c r="AE243" s="18">
        <f>IFERROR(__xludf.DUMMYFUNCTION("IMPORTRANGE(""https://docs.google.com/spreadsheets/d/""&amp;$A243&amp;""/edit#gid=156619080"",AE$3)"),41004.3)</f>
        <v>41004.3</v>
      </c>
      <c r="AF243" s="2">
        <f>IFERROR(__xludf.DUMMYFUNCTION("IMPORTRANGE(""https://docs.google.com/spreadsheets/d/""&amp;$A243&amp;""/edit#gid=156619080"",AF$3)"),39755.53)</f>
        <v>39755.53</v>
      </c>
      <c r="AG243" s="2">
        <f>IFERROR(__xludf.DUMMYFUNCTION("IMPORTRANGE(""https://docs.google.com/spreadsheets/d/""&amp;$A243&amp;""/edit#gid=156619080"",AG$3)"),39443.33)</f>
        <v>39443.33</v>
      </c>
      <c r="AH243" s="2">
        <f>IFERROR(__xludf.DUMMYFUNCTION("IMPORTRANGE(""https://docs.google.com/spreadsheets/d/""&amp;$A243&amp;""/edit#gid=156619080"",AH$3)"),39131.14)</f>
        <v>39131.14</v>
      </c>
      <c r="AI243" s="2">
        <f>IFERROR(__xludf.DUMMYFUNCTION("IMPORTRANGE(""https://docs.google.com/spreadsheets/d/""&amp;$A243&amp;""/edit#gid=156619080"",AI$3)"),38818.95)</f>
        <v>38818.95</v>
      </c>
      <c r="AJ243" s="2">
        <f>IFERROR(__xludf.DUMMYFUNCTION("IMPORTRANGE(""https://docs.google.com/spreadsheets/d/""&amp;$A243&amp;""/edit#gid=156619080"",AJ$3)"),38506.75)</f>
        <v>38506.75</v>
      </c>
      <c r="AK243" s="2" t="str">
        <f>IFERROR(__xludf.DUMMYFUNCTION("IMPORTRANGE(""https://docs.google.com/spreadsheets/d/""&amp;$A243&amp;""/edit#gid=156619080"",AK$3)"),"")</f>
        <v/>
      </c>
      <c r="AL243" s="2">
        <f>IFERROR(__xludf.DUMMYFUNCTION("IMPORTRANGE(""https://docs.google.com/spreadsheets/d/""&amp;$A243&amp;""/edit#gid=156619080"",AL$3)"),-1.0)</f>
        <v>-1</v>
      </c>
      <c r="AM243" s="2" t="str">
        <f>IFERROR(__xludf.DUMMYFUNCTION("IMPORTRANGE(""https://docs.google.com/spreadsheets/d/""&amp;$A243&amp;""/edit#gid=156619080"",AM$3)"),"")</f>
        <v/>
      </c>
      <c r="AN243" s="2">
        <f>IFERROR(__xludf.DUMMYFUNCTION("IMPORTRANGE(""https://docs.google.com/spreadsheets/d/""&amp;$A243&amp;""/edit#gid=156619080"",AN$3)"),-1.0)</f>
        <v>-1</v>
      </c>
      <c r="AO243" s="2" t="str">
        <f>IFERROR(__xludf.DUMMYFUNCTION("IMPORTRANGE(""https://docs.google.com/spreadsheets/d/""&amp;$A243&amp;""/edit#gid=156619080"",AO$3)"),"")</f>
        <v/>
      </c>
      <c r="AP243" s="2">
        <f>IFERROR(__xludf.DUMMYFUNCTION("IMPORTRANGE(""https://docs.google.com/spreadsheets/d/""&amp;$A243&amp;""/edit#gid=156619080"",AP$3)"),-1.0)</f>
        <v>-1</v>
      </c>
      <c r="AQ243" s="2" t="str">
        <f>IFERROR(__xludf.DUMMYFUNCTION("IMPORTRANGE(""https://docs.google.com/spreadsheets/d/""&amp;$A243&amp;""/edit#gid=156619080"",AQ$3)"),"")</f>
        <v/>
      </c>
      <c r="AR243" s="18">
        <f>IFERROR(__xludf.DUMMYFUNCTION("IMPORTRANGE(""https://docs.google.com/spreadsheets/d/""&amp;$A243&amp;""/edit#gid=156619080"",AR$3)"),19.999999999999996)</f>
        <v>20</v>
      </c>
      <c r="AS243" s="19" t="str">
        <f>IFERROR(__xludf.DUMMYFUNCTION("IMPORTRANGE(""https://docs.google.com/spreadsheets/d/""&amp;$A243&amp;""/edit#gid=156619080"",AS$3)"),"-90
-90
-30
70
")</f>
        <v>-90
-90
-30
70
</v>
      </c>
      <c r="AT243" s="18">
        <f>IFERROR(__xludf.DUMMYFUNCTION("IMPORTRANGE(""https://docs.google.com/spreadsheets/d/""&amp;$A243&amp;""/edit#gid=156619080"",AT$3)"),-64.42307692307692)</f>
        <v>-64.42307692</v>
      </c>
      <c r="AU243" s="3" t="str">
        <f>IFERROR(__xludf.DUMMYFUNCTION("IMPORTRANGE(""https://docs.google.com/spreadsheets/d/""&amp;$A243&amp;""/edit#gid=156619080"",AU$3)"),"-63.19
-63.19
-53.85
-40.8
")</f>
        <v>-63.19
-63.19
-53.85
-40.8
</v>
      </c>
      <c r="AV243" s="18">
        <f>IFERROR(__xludf.DUMMYFUNCTION("IMPORTRANGE(""https://docs.google.com/spreadsheets/d/""&amp;$A243&amp;""/edit#gid=156619080"",AV$3)"),-83.7987012987013)</f>
        <v>-83.7987013</v>
      </c>
      <c r="AW243" s="19" t="str">
        <f>IFERROR(__xludf.DUMMYFUNCTION("IMPORTRANGE(""https://docs.google.com/spreadsheets/d/""&amp;$A243&amp;""/edit#gid=156619080"",AW$3)"),"-86.27
-88.18
-87.27
-84.45
")</f>
        <v>-86.27
-88.18
-87.27
-84.45
</v>
      </c>
      <c r="AX243" s="2">
        <f>IFERROR(__xludf.DUMMYFUNCTION("IMPORTRANGE(""https://docs.google.com/spreadsheets/d/""&amp;$A243&amp;""/edit#gid=156619080"",AX$3)"),56.63)</f>
        <v>56.63</v>
      </c>
      <c r="AY243" s="2">
        <f>IFERROR(__xludf.DUMMYFUNCTION("IMPORTRANGE(""https://docs.google.com/spreadsheets/d/""&amp;$A243&amp;""/edit#gid=156619080"",AY$3)"),28.199999999999996)</f>
        <v>28.2</v>
      </c>
      <c r="AZ243" s="2">
        <f>IFERROR(__xludf.DUMMYFUNCTION("IMPORTRANGE(""https://docs.google.com/spreadsheets/d/""&amp;$A243&amp;""/edit#gid=156619080"",AZ$3)"),40028.61)</f>
        <v>40028.61</v>
      </c>
      <c r="BA243" s="2">
        <f>IFERROR(__xludf.DUMMYFUNCTION("IMPORTRANGE(""https://docs.google.com/spreadsheets/d/""&amp;$A243&amp;""/edit#gid=156619080"",BA$3)"),-837.1900000000023)</f>
        <v>-837.19</v>
      </c>
      <c r="BB243" s="2">
        <f>IFERROR(__xludf.DUMMYFUNCTION("IMPORTRANGE(""https://docs.google.com/spreadsheets/d/""&amp;$A243&amp;""/edit#gid=156619080"",BB$3)"),-951.12)</f>
        <v>-951.12</v>
      </c>
      <c r="BC243" s="2" t="str">
        <f>IFERROR(__xludf.DUMMYFUNCTION("IMPORTRANGE(""https://docs.google.com/spreadsheets/d/""&amp;$A243&amp;""/edit#gid=156619080"",BC$3)"),"GC→GC")</f>
        <v>GC→GC</v>
      </c>
    </row>
    <row r="244" ht="51.0" customHeight="1">
      <c r="A244" s="7" t="str">
        <f t="shared" si="5"/>
        <v>1Z3cGYnxo9kSCoQ09D-5e_DLp2XcI6MdWkKEHMpqAMac</v>
      </c>
      <c r="B244" s="1" t="s">
        <v>271</v>
      </c>
      <c r="C244" s="2">
        <f>IFERROR(__xludf.DUMMYFUNCTION("IMPORTRANGE(""https://docs.google.com/spreadsheets/d/""&amp;$A244&amp;""/edit#gid=156619080"",C$3)"),131.0)</f>
        <v>131</v>
      </c>
      <c r="D244" s="2">
        <f>IFERROR(__xludf.DUMMYFUNCTION("IMPORTRANGE(""https://docs.google.com/spreadsheets/d/""&amp;$A244&amp;""/edit#gid=156619080"",D$3)"),9467.0)</f>
        <v>9467</v>
      </c>
      <c r="E244" s="15">
        <f>IFERROR(__xludf.DUMMYFUNCTION("IMPORTRANGE(""https://docs.google.com/spreadsheets/d/""&amp;$A244&amp;""/edit#gid=156619080"",E$3)"),43882.0)</f>
        <v>43882</v>
      </c>
      <c r="F244" s="2">
        <f>IFERROR(__xludf.DUMMYFUNCTION("IMPORTRANGE(""https://docs.google.com/spreadsheets/d/""&amp;$A244&amp;""/edit#gid=156619080"",F$3)"),-33.0)</f>
        <v>-33</v>
      </c>
      <c r="G244" s="16">
        <f>IFERROR(__xludf.DUMMYFUNCTION("IMPORTRANGE(""https://docs.google.com/spreadsheets/d/""&amp;$A244&amp;""/edit#gid=156619080"",G$3)"),-1.38)</f>
        <v>-1.38</v>
      </c>
      <c r="H244" s="16">
        <f>IFERROR(__xludf.DUMMYFUNCTION("IMPORTRANGE(""https://docs.google.com/spreadsheets/d/""&amp;$A244&amp;""/edit#gid=156619080"",H$3)"),2403.0)</f>
        <v>2403</v>
      </c>
      <c r="I244" s="16">
        <f>IFERROR(__xludf.DUMMYFUNCTION("IMPORTRANGE(""https://docs.google.com/spreadsheets/d/""&amp;$A244&amp;""/edit#gid=156619080"",I$3)"),-3.0)</f>
        <v>-3</v>
      </c>
      <c r="J244" s="16">
        <f>IFERROR(__xludf.DUMMYFUNCTION("IMPORTRANGE(""https://docs.google.com/spreadsheets/d/""&amp;$A244&amp;""/edit#gid=156619080"",J$3)"),2408.0)</f>
        <v>2408</v>
      </c>
      <c r="K244" s="16">
        <f>IFERROR(__xludf.DUMMYFUNCTION("IMPORTRANGE(""https://docs.google.com/spreadsheets/d/""&amp;$A244&amp;""/edit#gid=156619080"",K$3)"),0.3784722222222222)</f>
        <v>0.3784722222</v>
      </c>
      <c r="L244" s="16">
        <f>IFERROR(__xludf.DUMMYFUNCTION("IMPORTRANGE(""https://docs.google.com/spreadsheets/d/""&amp;$A244&amp;""/edit#gid=156619080"",L$3)"),2351.0)</f>
        <v>2351</v>
      </c>
      <c r="M244" s="16">
        <f>IFERROR(__xludf.DUMMYFUNCTION("IMPORTRANGE(""https://docs.google.com/spreadsheets/d/""&amp;$A244&amp;""/edit#gid=156619080"",M$3)"),0.46111111111111114)</f>
        <v>0.4611111111</v>
      </c>
      <c r="N244" s="16">
        <f>IFERROR(__xludf.DUMMYFUNCTION("IMPORTRANGE(""https://docs.google.com/spreadsheets/d/""&amp;$A244&amp;""/edit#gid=156619080"",N$3)"),2367.0)</f>
        <v>2367</v>
      </c>
      <c r="O244" s="16" t="str">
        <f>IFERROR(__xludf.DUMMYFUNCTION("IMPORTRANGE(""https://docs.google.com/spreadsheets/d/""&amp;$A244&amp;""/edit#gid=156619080"",O$3)"),"12000株")</f>
        <v>12000株</v>
      </c>
      <c r="P244" s="16" t="str">
        <f>IFERROR(__xludf.DUMMYFUNCTION("IMPORTRANGE(""https://docs.google.com/spreadsheets/d/""&amp;$A244&amp;""/edit#gid=156619080"",P$3)"),"29百万円")</f>
        <v>29百万円</v>
      </c>
      <c r="Q244" s="16" t="str">
        <f>IFERROR(__xludf.DUMMYFUNCTION("IMPORTRANGE(""https://docs.google.com/spreadsheets/d/""&amp;$A244&amp;""/edit#gid=156619080"",Q$3)"),"94回")</f>
        <v>94回</v>
      </c>
      <c r="R244" s="16" t="str">
        <f>IFERROR(__xludf.DUMMYFUNCTION("IMPORTRANGE(""https://docs.google.com/spreadsheets/d/""&amp;$A244&amp;""/edit#gid=156619080"",R$3)"),"229億円")</f>
        <v>229億円</v>
      </c>
      <c r="S244" s="16" t="str">
        <f>IFERROR(__xludf.DUMMYFUNCTION("IMPORTRANGE(""https://docs.google.com/spreadsheets/d/""&amp;$A244&amp;""/edit#gid=156619080"",S$3)"),"陰線")</f>
        <v>陰線</v>
      </c>
      <c r="T244" s="16" t="str">
        <f>IFERROR(__xludf.DUMMYFUNCTION("IMPORTRANGE(""https://docs.google.com/spreadsheets/d/""&amp;$A244&amp;""/edit#gid=156619080"",T$3)"),"")</f>
        <v/>
      </c>
      <c r="U244" s="16">
        <f>IFERROR(__xludf.DUMMYFUNCTION("IMPORTRANGE(""https://docs.google.com/spreadsheets/d/""&amp;$A244&amp;""/edit#gid=156619080"",U$3)"),2388.8)</f>
        <v>2388.8</v>
      </c>
      <c r="V244" s="16">
        <f>IFERROR(__xludf.DUMMYFUNCTION("IMPORTRANGE(""https://docs.google.com/spreadsheets/d/""&amp;$A244&amp;""/edit#gid=156619080"",V$3)"),2505.8)</f>
        <v>2505.8</v>
      </c>
      <c r="W244" s="16">
        <f>IFERROR(__xludf.DUMMYFUNCTION("IMPORTRANGE(""https://docs.google.com/spreadsheets/d/""&amp;$A244&amp;""/edit#gid=156619080"",W$3)"),2509.1)</f>
        <v>2509.1</v>
      </c>
      <c r="X244" s="2">
        <f>IFERROR(__xludf.DUMMYFUNCTION("IMPORTRANGE(""https://docs.google.com/spreadsheets/d/""&amp;$A244&amp;""/edit#gid=156619080"",X$3)"),2282.9)</f>
        <v>2282.9</v>
      </c>
      <c r="Y244" s="17">
        <f>IFERROR(__xludf.DUMMYFUNCTION("IMPORTRANGE(""https://docs.google.com/spreadsheets/d/""&amp;$A244&amp;""/edit#gid=156619080"",Y$3)"),-0.00912592096450108)</f>
        <v>-0.009125920965</v>
      </c>
      <c r="Z244" s="2">
        <f>IFERROR(__xludf.DUMMYFUNCTION("IMPORTRANGE(""https://docs.google.com/spreadsheets/d/""&amp;$A244&amp;""/edit#gid=156619080"",Z$3)"),2740.83)</f>
        <v>2740.83</v>
      </c>
      <c r="AA244" s="2">
        <f>IFERROR(__xludf.DUMMYFUNCTION("IMPORTRANGE(""https://docs.google.com/spreadsheets/d/""&amp;$A244&amp;""/edit#gid=156619080"",AA$3)"),2711.86)</f>
        <v>2711.86</v>
      </c>
      <c r="AB244" s="2">
        <f>IFERROR(__xludf.DUMMYFUNCTION("IMPORTRANGE(""https://docs.google.com/spreadsheets/d/""&amp;$A244&amp;""/edit#gid=156619080"",AB$3)"),2682.9)</f>
        <v>2682.9</v>
      </c>
      <c r="AC244" s="18">
        <f>IFERROR(__xludf.DUMMYFUNCTION("IMPORTRANGE(""https://docs.google.com/spreadsheets/d/""&amp;$A244&amp;""/edit#gid=156619080"",AC$3)"),2653.93)</f>
        <v>2653.93</v>
      </c>
      <c r="AD244" s="18">
        <f>IFERROR(__xludf.DUMMYFUNCTION("IMPORTRANGE(""https://docs.google.com/spreadsheets/d/""&amp;$A244&amp;""/edit#gid=156619080"",AD$3)"),2624.96)</f>
        <v>2624.96</v>
      </c>
      <c r="AE244" s="18">
        <f>IFERROR(__xludf.DUMMYFUNCTION("IMPORTRANGE(""https://docs.google.com/spreadsheets/d/""&amp;$A244&amp;""/edit#gid=156619080"",AE$3)"),2509.1)</f>
        <v>2509.1</v>
      </c>
      <c r="AF244" s="2">
        <f>IFERROR(__xludf.DUMMYFUNCTION("IMPORTRANGE(""https://docs.google.com/spreadsheets/d/""&amp;$A244&amp;""/edit#gid=156619080"",AF$3)"),2393.24)</f>
        <v>2393.24</v>
      </c>
      <c r="AG244" s="2">
        <f>IFERROR(__xludf.DUMMYFUNCTION("IMPORTRANGE(""https://docs.google.com/spreadsheets/d/""&amp;$A244&amp;""/edit#gid=156619080"",AG$3)"),2364.27)</f>
        <v>2364.27</v>
      </c>
      <c r="AH244" s="2">
        <f>IFERROR(__xludf.DUMMYFUNCTION("IMPORTRANGE(""https://docs.google.com/spreadsheets/d/""&amp;$A244&amp;""/edit#gid=156619080"",AH$3)"),2335.3)</f>
        <v>2335.3</v>
      </c>
      <c r="AI244" s="2">
        <f>IFERROR(__xludf.DUMMYFUNCTION("IMPORTRANGE(""https://docs.google.com/spreadsheets/d/""&amp;$A244&amp;""/edit#gid=156619080"",AI$3)"),2306.34)</f>
        <v>2306.34</v>
      </c>
      <c r="AJ244" s="2">
        <f>IFERROR(__xludf.DUMMYFUNCTION("IMPORTRANGE(""https://docs.google.com/spreadsheets/d/""&amp;$A244&amp;""/edit#gid=156619080"",AJ$3)"),2277.37)</f>
        <v>2277.37</v>
      </c>
      <c r="AK244" s="2" t="str">
        <f>IFERROR(__xludf.DUMMYFUNCTION("IMPORTRANGE(""https://docs.google.com/spreadsheets/d/""&amp;$A244&amp;""/edit#gid=156619080"",AK$3)"),"-1〜-1.25σ")</f>
        <v>-1〜-1.25σ</v>
      </c>
      <c r="AL244" s="2">
        <f>IFERROR(__xludf.DUMMYFUNCTION("IMPORTRANGE(""https://docs.google.com/spreadsheets/d/""&amp;$A244&amp;""/edit#gid=156619080"",AL$3)"),-1.0)</f>
        <v>-1</v>
      </c>
      <c r="AM244" s="2" t="str">
        <f>IFERROR(__xludf.DUMMYFUNCTION("IMPORTRANGE(""https://docs.google.com/spreadsheets/d/""&amp;$A244&amp;""/edit#gid=156619080"",AM$3)"),"")</f>
        <v/>
      </c>
      <c r="AN244" s="2">
        <f>IFERROR(__xludf.DUMMYFUNCTION("IMPORTRANGE(""https://docs.google.com/spreadsheets/d/""&amp;$A244&amp;""/edit#gid=156619080"",AN$3)"),-1.0)</f>
        <v>-1</v>
      </c>
      <c r="AO244" s="2" t="str">
        <f>IFERROR(__xludf.DUMMYFUNCTION("IMPORTRANGE(""https://docs.google.com/spreadsheets/d/""&amp;$A244&amp;""/edit#gid=156619080"",AO$3)"),"")</f>
        <v/>
      </c>
      <c r="AP244" s="2">
        <f>IFERROR(__xludf.DUMMYFUNCTION("IMPORTRANGE(""https://docs.google.com/spreadsheets/d/""&amp;$A244&amp;""/edit#gid=156619080"",AP$3)"),-1.0)</f>
        <v>-1</v>
      </c>
      <c r="AQ244" s="2" t="str">
        <f>IFERROR(__xludf.DUMMYFUNCTION("IMPORTRANGE(""https://docs.google.com/spreadsheets/d/""&amp;$A244&amp;""/edit#gid=156619080"",AQ$3)"),"")</f>
        <v/>
      </c>
      <c r="AR244" s="18">
        <f>IFERROR(__xludf.DUMMYFUNCTION("IMPORTRANGE(""https://docs.google.com/spreadsheets/d/""&amp;$A244&amp;""/edit#gid=156619080"",AR$3)"),30.000000000000004)</f>
        <v>30</v>
      </c>
      <c r="AS244" s="19" t="str">
        <f>IFERROR(__xludf.DUMMYFUNCTION("IMPORTRANGE(""https://docs.google.com/spreadsheets/d/""&amp;$A244&amp;""/edit#gid=156619080"",AS$3)"),"-60
-80
-30
60
")</f>
        <v>-60
-80
-30
60
</v>
      </c>
      <c r="AT244" s="18">
        <f>IFERROR(__xludf.DUMMYFUNCTION("IMPORTRANGE(""https://docs.google.com/spreadsheets/d/""&amp;$A244&amp;""/edit#gid=156619080"",AT$3)"),-58.241758241758234)</f>
        <v>-58.24175824</v>
      </c>
      <c r="AU244" s="3" t="str">
        <f>IFERROR(__xludf.DUMMYFUNCTION("IMPORTRANGE(""https://docs.google.com/spreadsheets/d/""&amp;$A244&amp;""/edit#gid=156619080"",AU$3)"),"22.94
3.16
-17.72
-39.01
")</f>
        <v>22.94
3.16
-17.72
-39.01
</v>
      </c>
      <c r="AV244" s="18">
        <f>IFERROR(__xludf.DUMMYFUNCTION("IMPORTRANGE(""https://docs.google.com/spreadsheets/d/""&amp;$A244&amp;""/edit#gid=156619080"",AV$3)"),-42.50000000000001)</f>
        <v>-42.5</v>
      </c>
      <c r="AW244" s="19" t="str">
        <f>IFERROR(__xludf.DUMMYFUNCTION("IMPORTRANGE(""https://docs.google.com/spreadsheets/d/""&amp;$A244&amp;""/edit#gid=156619080"",AW$3)"),"-30.26
-36.4
-37.82
-41.07
")</f>
        <v>-30.26
-36.4
-37.82
-41.07
</v>
      </c>
      <c r="AX244" s="2">
        <f>IFERROR(__xludf.DUMMYFUNCTION("IMPORTRANGE(""https://docs.google.com/spreadsheets/d/""&amp;$A244&amp;""/edit#gid=156619080"",AX$3)"),40.67)</f>
        <v>40.67</v>
      </c>
      <c r="AY244" s="2">
        <f>IFERROR(__xludf.DUMMYFUNCTION("IMPORTRANGE(""https://docs.google.com/spreadsheets/d/""&amp;$A244&amp;""/edit#gid=156619080"",AY$3)"),35.83)</f>
        <v>35.83</v>
      </c>
      <c r="AZ244" s="2">
        <f>IFERROR(__xludf.DUMMYFUNCTION("IMPORTRANGE(""https://docs.google.com/spreadsheets/d/""&amp;$A244&amp;""/edit#gid=156619080"",AZ$3)"),2411.18)</f>
        <v>2411.18</v>
      </c>
      <c r="BA244" s="2">
        <f>IFERROR(__xludf.DUMMYFUNCTION("IMPORTRANGE(""https://docs.google.com/spreadsheets/d/""&amp;$A244&amp;""/edit#gid=156619080"",BA$3)"),-83.84000000000015)</f>
        <v>-83.84</v>
      </c>
      <c r="BB244" s="2">
        <f>IFERROR(__xludf.DUMMYFUNCTION("IMPORTRANGE(""https://docs.google.com/spreadsheets/d/""&amp;$A244&amp;""/edit#gid=156619080"",BB$3)"),-29.4)</f>
        <v>-29.4</v>
      </c>
      <c r="BC244" s="2" t="str">
        <f>IFERROR(__xludf.DUMMYFUNCTION("IMPORTRANGE(""https://docs.google.com/spreadsheets/d/""&amp;$A244&amp;""/edit#gid=156619080"",BC$3)"),"DC→DC")</f>
        <v>DC→DC</v>
      </c>
    </row>
    <row r="245" ht="51.0" customHeight="1">
      <c r="A245" s="7" t="str">
        <f t="shared" si="5"/>
        <v>1F3dx-pXYTf_DPeAAPQyOpMgOzwexNl5hvu9HP57POcE</v>
      </c>
      <c r="B245" s="1" t="s">
        <v>272</v>
      </c>
      <c r="C245" s="2">
        <f>IFERROR(__xludf.DUMMYFUNCTION("IMPORTRANGE(""https://docs.google.com/spreadsheets/d/""&amp;$A245&amp;""/edit#gid=156619080"",C$3)"),131.0)</f>
        <v>131</v>
      </c>
      <c r="D245" s="2">
        <f>IFERROR(__xludf.DUMMYFUNCTION("IMPORTRANGE(""https://docs.google.com/spreadsheets/d/""&amp;$A245&amp;""/edit#gid=156619080"",D$3)"),3110.0)</f>
        <v>3110</v>
      </c>
      <c r="E245" s="15">
        <f>IFERROR(__xludf.DUMMYFUNCTION("IMPORTRANGE(""https://docs.google.com/spreadsheets/d/""&amp;$A245&amp;""/edit#gid=156619080"",E$3)"),43882.0)</f>
        <v>43882</v>
      </c>
      <c r="F245" s="2">
        <f>IFERROR(__xludf.DUMMYFUNCTION("IMPORTRANGE(""https://docs.google.com/spreadsheets/d/""&amp;$A245&amp;""/edit#gid=156619080"",F$3)"),80.0)</f>
        <v>80</v>
      </c>
      <c r="G245" s="16">
        <f>IFERROR(__xludf.DUMMYFUNCTION("IMPORTRANGE(""https://docs.google.com/spreadsheets/d/""&amp;$A245&amp;""/edit#gid=156619080"",G$3)"),1.58)</f>
        <v>1.58</v>
      </c>
      <c r="H245" s="16">
        <f>IFERROR(__xludf.DUMMYFUNCTION("IMPORTRANGE(""https://docs.google.com/spreadsheets/d/""&amp;$A245&amp;""/edit#gid=156619080"",H$3)"),5020.0)</f>
        <v>5020</v>
      </c>
      <c r="I245" s="16">
        <f>IFERROR(__xludf.DUMMYFUNCTION("IMPORTRANGE(""https://docs.google.com/spreadsheets/d/""&amp;$A245&amp;""/edit#gid=156619080"",I$3)"),30.0)</f>
        <v>30</v>
      </c>
      <c r="J245" s="16">
        <f>IFERROR(__xludf.DUMMYFUNCTION("IMPORTRANGE(""https://docs.google.com/spreadsheets/d/""&amp;$A245&amp;""/edit#gid=156619080"",J$3)"),5190.0)</f>
        <v>5190</v>
      </c>
      <c r="K245" s="16">
        <f>IFERROR(__xludf.DUMMYFUNCTION("IMPORTRANGE(""https://docs.google.com/spreadsheets/d/""&amp;$A245&amp;""/edit#gid=156619080"",K$3)"),0.5645833333333333)</f>
        <v>0.5645833333</v>
      </c>
      <c r="L245" s="16">
        <f>IFERROR(__xludf.DUMMYFUNCTION("IMPORTRANGE(""https://docs.google.com/spreadsheets/d/""&amp;$A245&amp;""/edit#gid=156619080"",L$3)"),4990.0)</f>
        <v>4990</v>
      </c>
      <c r="M245" s="16">
        <f>IFERROR(__xludf.DUMMYFUNCTION("IMPORTRANGE(""https://docs.google.com/spreadsheets/d/""&amp;$A245&amp;""/edit#gid=156619080"",M$3)"),0.37569444444444444)</f>
        <v>0.3756944444</v>
      </c>
      <c r="N245" s="16">
        <f>IFERROR(__xludf.DUMMYFUNCTION("IMPORTRANGE(""https://docs.google.com/spreadsheets/d/""&amp;$A245&amp;""/edit#gid=156619080"",N$3)"),5130.0)</f>
        <v>5130</v>
      </c>
      <c r="O245" s="16" t="str">
        <f>IFERROR(__xludf.DUMMYFUNCTION("IMPORTRANGE(""https://docs.google.com/spreadsheets/d/""&amp;$A245&amp;""/edit#gid=156619080"",O$3)"),"142200株")</f>
        <v>142200株</v>
      </c>
      <c r="P245" s="16" t="str">
        <f>IFERROR(__xludf.DUMMYFUNCTION("IMPORTRANGE(""https://docs.google.com/spreadsheets/d/""&amp;$A245&amp;""/edit#gid=156619080"",P$3)"),"726百万円")</f>
        <v>726百万円</v>
      </c>
      <c r="Q245" s="16" t="str">
        <f>IFERROR(__xludf.DUMMYFUNCTION("IMPORTRANGE(""https://docs.google.com/spreadsheets/d/""&amp;$A245&amp;""/edit#gid=156619080"",Q$3)"),"489回")</f>
        <v>489回</v>
      </c>
      <c r="R245" s="16" t="str">
        <f>IFERROR(__xludf.DUMMYFUNCTION("IMPORTRANGE(""https://docs.google.com/spreadsheets/d/""&amp;$A245&amp;""/edit#gid=156619080"",R$3)"),"2049億円")</f>
        <v>2049億円</v>
      </c>
      <c r="S245" s="16" t="str">
        <f>IFERROR(__xludf.DUMMYFUNCTION("IMPORTRANGE(""https://docs.google.com/spreadsheets/d/""&amp;$A245&amp;""/edit#gid=156619080"",S$3)"),"陽線")</f>
        <v>陽線</v>
      </c>
      <c r="T245" s="16" t="str">
        <f>IFERROR(__xludf.DUMMYFUNCTION("IMPORTRANGE(""https://docs.google.com/spreadsheets/d/""&amp;$A245&amp;""/edit#gid=156619080"",T$3)"),"")</f>
        <v/>
      </c>
      <c r="U245" s="16">
        <f>IFERROR(__xludf.DUMMYFUNCTION("IMPORTRANGE(""https://docs.google.com/spreadsheets/d/""&amp;$A245&amp;""/edit#gid=156619080"",U$3)"),5047.0)</f>
        <v>5047</v>
      </c>
      <c r="V245" s="16">
        <f>IFERROR(__xludf.DUMMYFUNCTION("IMPORTRANGE(""https://docs.google.com/spreadsheets/d/""&amp;$A245&amp;""/edit#gid=156619080"",V$3)"),4980.8)</f>
        <v>4980.8</v>
      </c>
      <c r="W245" s="16">
        <f>IFERROR(__xludf.DUMMYFUNCTION("IMPORTRANGE(""https://docs.google.com/spreadsheets/d/""&amp;$A245&amp;""/edit#gid=156619080"",W$3)"),4899.0)</f>
        <v>4899</v>
      </c>
      <c r="X245" s="2">
        <f>IFERROR(__xludf.DUMMYFUNCTION("IMPORTRANGE(""https://docs.google.com/spreadsheets/d/""&amp;$A245&amp;""/edit#gid=156619080"",X$3)"),4028.8)</f>
        <v>4028.8</v>
      </c>
      <c r="Y245" s="17">
        <f>IFERROR(__xludf.DUMMYFUNCTION("IMPORTRANGE(""https://docs.google.com/spreadsheets/d/""&amp;$A245&amp;""/edit#gid=156619080"",Y$3)"),0.016445413116702993)</f>
        <v>0.01644541312</v>
      </c>
      <c r="Z245" s="2">
        <f>IFERROR(__xludf.DUMMYFUNCTION("IMPORTRANGE(""https://docs.google.com/spreadsheets/d/""&amp;$A245&amp;""/edit#gid=156619080"",Z$3)"),5351.37)</f>
        <v>5351.37</v>
      </c>
      <c r="AA245" s="2">
        <f>IFERROR(__xludf.DUMMYFUNCTION("IMPORTRANGE(""https://docs.google.com/spreadsheets/d/""&amp;$A245&amp;""/edit#gid=156619080"",AA$3)"),5294.82)</f>
        <v>5294.82</v>
      </c>
      <c r="AB245" s="2">
        <f>IFERROR(__xludf.DUMMYFUNCTION("IMPORTRANGE(""https://docs.google.com/spreadsheets/d/""&amp;$A245&amp;""/edit#gid=156619080"",AB$3)"),5238.27)</f>
        <v>5238.27</v>
      </c>
      <c r="AC245" s="18">
        <f>IFERROR(__xludf.DUMMYFUNCTION("IMPORTRANGE(""https://docs.google.com/spreadsheets/d/""&amp;$A245&amp;""/edit#gid=156619080"",AC$3)"),5181.73)</f>
        <v>5181.73</v>
      </c>
      <c r="AD245" s="18">
        <f>IFERROR(__xludf.DUMMYFUNCTION("IMPORTRANGE(""https://docs.google.com/spreadsheets/d/""&amp;$A245&amp;""/edit#gid=156619080"",AD$3)"),5125.18)</f>
        <v>5125.18</v>
      </c>
      <c r="AE245" s="18">
        <f>IFERROR(__xludf.DUMMYFUNCTION("IMPORTRANGE(""https://docs.google.com/spreadsheets/d/""&amp;$A245&amp;""/edit#gid=156619080"",AE$3)"),4899.0)</f>
        <v>4899</v>
      </c>
      <c r="AF245" s="2">
        <f>IFERROR(__xludf.DUMMYFUNCTION("IMPORTRANGE(""https://docs.google.com/spreadsheets/d/""&amp;$A245&amp;""/edit#gid=156619080"",AF$3)"),4672.82)</f>
        <v>4672.82</v>
      </c>
      <c r="AG245" s="2">
        <f>IFERROR(__xludf.DUMMYFUNCTION("IMPORTRANGE(""https://docs.google.com/spreadsheets/d/""&amp;$A245&amp;""/edit#gid=156619080"",AG$3)"),4616.27)</f>
        <v>4616.27</v>
      </c>
      <c r="AH245" s="2">
        <f>IFERROR(__xludf.DUMMYFUNCTION("IMPORTRANGE(""https://docs.google.com/spreadsheets/d/""&amp;$A245&amp;""/edit#gid=156619080"",AH$3)"),4559.73)</f>
        <v>4559.73</v>
      </c>
      <c r="AI245" s="2">
        <f>IFERROR(__xludf.DUMMYFUNCTION("IMPORTRANGE(""https://docs.google.com/spreadsheets/d/""&amp;$A245&amp;""/edit#gid=156619080"",AI$3)"),4503.18)</f>
        <v>4503.18</v>
      </c>
      <c r="AJ245" s="2">
        <f>IFERROR(__xludf.DUMMYFUNCTION("IMPORTRANGE(""https://docs.google.com/spreadsheets/d/""&amp;$A245&amp;""/edit#gid=156619080"",AJ$3)"),4446.63)</f>
        <v>4446.63</v>
      </c>
      <c r="AK245" s="2" t="str">
        <f>IFERROR(__xludf.DUMMYFUNCTION("IMPORTRANGE(""https://docs.google.com/spreadsheets/d/""&amp;$A245&amp;""/edit#gid=156619080"",AK$3)"),"1〜1.25σ")</f>
        <v>1〜1.25σ</v>
      </c>
      <c r="AL245" s="2">
        <f>IFERROR(__xludf.DUMMYFUNCTION("IMPORTRANGE(""https://docs.google.com/spreadsheets/d/""&amp;$A245&amp;""/edit#gid=156619080"",AL$3)"),1.0)</f>
        <v>1</v>
      </c>
      <c r="AM245" s="2" t="str">
        <f>IFERROR(__xludf.DUMMYFUNCTION("IMPORTRANGE(""https://docs.google.com/spreadsheets/d/""&amp;$A245&amp;""/edit#gid=156619080"",AM$3)"),"")</f>
        <v/>
      </c>
      <c r="AN245" s="2">
        <f>IFERROR(__xludf.DUMMYFUNCTION("IMPORTRANGE(""https://docs.google.com/spreadsheets/d/""&amp;$A245&amp;""/edit#gid=156619080"",AN$3)"),1.0)</f>
        <v>1</v>
      </c>
      <c r="AO245" s="2" t="str">
        <f>IFERROR(__xludf.DUMMYFUNCTION("IMPORTRANGE(""https://docs.google.com/spreadsheets/d/""&amp;$A245&amp;""/edit#gid=156619080"",AO$3)"),"")</f>
        <v/>
      </c>
      <c r="AP245" s="2">
        <f>IFERROR(__xludf.DUMMYFUNCTION("IMPORTRANGE(""https://docs.google.com/spreadsheets/d/""&amp;$A245&amp;""/edit#gid=156619080"",AP$3)"),1.0)</f>
        <v>1</v>
      </c>
      <c r="AQ245" s="2" t="str">
        <f>IFERROR(__xludf.DUMMYFUNCTION("IMPORTRANGE(""https://docs.google.com/spreadsheets/d/""&amp;$A245&amp;""/edit#gid=156619080"",AQ$3)"),"")</f>
        <v/>
      </c>
      <c r="AR245" s="18">
        <f>IFERROR(__xludf.DUMMYFUNCTION("IMPORTRANGE(""https://docs.google.com/spreadsheets/d/""&amp;$A245&amp;""/edit#gid=156619080"",AR$3)"),-10.000000000000009)</f>
        <v>-10</v>
      </c>
      <c r="AS245" s="19" t="str">
        <f>IFERROR(__xludf.DUMMYFUNCTION("IMPORTRANGE(""https://docs.google.com/spreadsheets/d/""&amp;$A245&amp;""/edit#gid=156619080"",AS$3)"),"82.5
-17.5
-77.5
-70
")</f>
        <v>82.5
-17.5
-77.5
-70
</v>
      </c>
      <c r="AT245" s="18">
        <f>IFERROR(__xludf.DUMMYFUNCTION("IMPORTRANGE(""https://docs.google.com/spreadsheets/d/""&amp;$A245&amp;""/edit#gid=156619080"",AT$3)"),58.51648351648351)</f>
        <v>58.51648352</v>
      </c>
      <c r="AU245" s="3" t="str">
        <f>IFERROR(__xludf.DUMMYFUNCTION("IMPORTRANGE(""https://docs.google.com/spreadsheets/d/""&amp;$A245&amp;""/edit#gid=156619080"",AU$3)"),"95.74
90.8
80.49
70.6
")</f>
        <v>95.74
90.8
80.49
70.6
</v>
      </c>
      <c r="AV245" s="18">
        <f>IFERROR(__xludf.DUMMYFUNCTION("IMPORTRANGE(""https://docs.google.com/spreadsheets/d/""&amp;$A245&amp;""/edit#gid=156619080"",AV$3)"),47.532467532467535)</f>
        <v>47.53246753</v>
      </c>
      <c r="AW245" s="19" t="str">
        <f>IFERROR(__xludf.DUMMYFUNCTION("IMPORTRANGE(""https://docs.google.com/spreadsheets/d/""&amp;$A245&amp;""/edit#gid=156619080"",AW$3)"),"11.66
17.99
17.5
33.77
")</f>
        <v>11.66
17.99
17.5
33.77
</v>
      </c>
      <c r="AX245" s="2">
        <f>IFERROR(__xludf.DUMMYFUNCTION("IMPORTRANGE(""https://docs.google.com/spreadsheets/d/""&amp;$A245&amp;""/edit#gid=156619080"",AX$3)"),40.63)</f>
        <v>40.63</v>
      </c>
      <c r="AY245" s="2">
        <f>IFERROR(__xludf.DUMMYFUNCTION("IMPORTRANGE(""https://docs.google.com/spreadsheets/d/""&amp;$A245&amp;""/edit#gid=156619080"",AY$3)"),52.32)</f>
        <v>52.32</v>
      </c>
      <c r="AZ245" s="2">
        <f>IFERROR(__xludf.DUMMYFUNCTION("IMPORTRANGE(""https://docs.google.com/spreadsheets/d/""&amp;$A245&amp;""/edit#gid=156619080"",AZ$3)"),5058.75)</f>
        <v>5058.75</v>
      </c>
      <c r="BA245" s="2">
        <f>IFERROR(__xludf.DUMMYFUNCTION("IMPORTRANGE(""https://docs.google.com/spreadsheets/d/""&amp;$A245&amp;""/edit#gid=156619080"",BA$3)"),122.55000000000018)</f>
        <v>122.55</v>
      </c>
      <c r="BB245" s="2">
        <f>IFERROR(__xludf.DUMMYFUNCTION("IMPORTRANGE(""https://docs.google.com/spreadsheets/d/""&amp;$A245&amp;""/edit#gid=156619080"",BB$3)"),119.28)</f>
        <v>119.28</v>
      </c>
      <c r="BC245" s="2" t="str">
        <f>IFERROR(__xludf.DUMMYFUNCTION("IMPORTRANGE(""https://docs.google.com/spreadsheets/d/""&amp;$A245&amp;""/edit#gid=156619080"",BC$3)"),"DC→GC")</f>
        <v>DC→GC</v>
      </c>
    </row>
    <row r="246" ht="51.0" customHeight="1">
      <c r="A246" s="7" t="str">
        <f t="shared" si="5"/>
        <v>13_DNDJ6x5Pl9MM71gjyCbF39KMWOf77qUYyYQijHZSY</v>
      </c>
      <c r="B246" s="1" t="s">
        <v>273</v>
      </c>
      <c r="C246" s="2">
        <f>IFERROR(__xludf.DUMMYFUNCTION("IMPORTRANGE(""https://docs.google.com/spreadsheets/d/""&amp;$A246&amp;""/edit#gid=156619080"",C$3)"),131.0)</f>
        <v>131</v>
      </c>
      <c r="D246" s="2">
        <f>IFERROR(__xludf.DUMMYFUNCTION("IMPORTRANGE(""https://docs.google.com/spreadsheets/d/""&amp;$A246&amp;""/edit#gid=156619080"",D$3)"),3038.0)</f>
        <v>3038</v>
      </c>
      <c r="E246" s="15">
        <f>IFERROR(__xludf.DUMMYFUNCTION("IMPORTRANGE(""https://docs.google.com/spreadsheets/d/""&amp;$A246&amp;""/edit#gid=156619080"",E$3)"),43882.0)</f>
        <v>43882</v>
      </c>
      <c r="F246" s="2">
        <f>IFERROR(__xludf.DUMMYFUNCTION("IMPORTRANGE(""https://docs.google.com/spreadsheets/d/""&amp;$A246&amp;""/edit#gid=156619080"",F$3)"),-5.0)</f>
        <v>-5</v>
      </c>
      <c r="G246" s="16">
        <f>IFERROR(__xludf.DUMMYFUNCTION("IMPORTRANGE(""https://docs.google.com/spreadsheets/d/""&amp;$A246&amp;""/edit#gid=156619080"",G$3)"),-0.11)</f>
        <v>-0.11</v>
      </c>
      <c r="H246" s="16">
        <f>IFERROR(__xludf.DUMMYFUNCTION("IMPORTRANGE(""https://docs.google.com/spreadsheets/d/""&amp;$A246&amp;""/edit#gid=156619080"",H$3)"),4440.0)</f>
        <v>4440</v>
      </c>
      <c r="I246" s="16">
        <f>IFERROR(__xludf.DUMMYFUNCTION("IMPORTRANGE(""https://docs.google.com/spreadsheets/d/""&amp;$A246&amp;""/edit#gid=156619080"",I$3)"),20.0)</f>
        <v>20</v>
      </c>
      <c r="J246" s="16">
        <f>IFERROR(__xludf.DUMMYFUNCTION("IMPORTRANGE(""https://docs.google.com/spreadsheets/d/""&amp;$A246&amp;""/edit#gid=156619080"",J$3)"),4470.0)</f>
        <v>4470</v>
      </c>
      <c r="K246" s="16">
        <f>IFERROR(__xludf.DUMMYFUNCTION("IMPORTRANGE(""https://docs.google.com/spreadsheets/d/""&amp;$A246&amp;""/edit#gid=156619080"",K$3)"),0.5555555555555556)</f>
        <v>0.5555555556</v>
      </c>
      <c r="L246" s="16">
        <f>IFERROR(__xludf.DUMMYFUNCTION("IMPORTRANGE(""https://docs.google.com/spreadsheets/d/""&amp;$A246&amp;""/edit#gid=156619080"",L$3)"),4380.0)</f>
        <v>4380</v>
      </c>
      <c r="M246" s="16">
        <f>IFERROR(__xludf.DUMMYFUNCTION("IMPORTRANGE(""https://docs.google.com/spreadsheets/d/""&amp;$A246&amp;""/edit#gid=156619080"",M$3)"),0.3875)</f>
        <v>0.3875</v>
      </c>
      <c r="N246" s="16">
        <f>IFERROR(__xludf.DUMMYFUNCTION("IMPORTRANGE(""https://docs.google.com/spreadsheets/d/""&amp;$A246&amp;""/edit#gid=156619080"",N$3)"),4455.0)</f>
        <v>4455</v>
      </c>
      <c r="O246" s="16" t="str">
        <f>IFERROR(__xludf.DUMMYFUNCTION("IMPORTRANGE(""https://docs.google.com/spreadsheets/d/""&amp;$A246&amp;""/edit#gid=156619080"",O$3)"),"1147700株")</f>
        <v>1147700株</v>
      </c>
      <c r="P246" s="16" t="str">
        <f>IFERROR(__xludf.DUMMYFUNCTION("IMPORTRANGE(""https://docs.google.com/spreadsheets/d/""&amp;$A246&amp;""/edit#gid=156619080"",P$3)"),"5091百万円")</f>
        <v>5091百万円</v>
      </c>
      <c r="Q246" s="16" t="str">
        <f>IFERROR(__xludf.DUMMYFUNCTION("IMPORTRANGE(""https://docs.google.com/spreadsheets/d/""&amp;$A246&amp;""/edit#gid=156619080"",Q$3)"),"2230回")</f>
        <v>2230回</v>
      </c>
      <c r="R246" s="16" t="str">
        <f>IFERROR(__xludf.DUMMYFUNCTION("IMPORTRANGE(""https://docs.google.com/spreadsheets/d/""&amp;$A246&amp;""/edit#gid=156619080"",R$3)"),"6094億円")</f>
        <v>6094億円</v>
      </c>
      <c r="S246" s="16" t="str">
        <f>IFERROR(__xludf.DUMMYFUNCTION("IMPORTRANGE(""https://docs.google.com/spreadsheets/d/""&amp;$A246&amp;""/edit#gid=156619080"",S$3)"),"陽線")</f>
        <v>陽線</v>
      </c>
      <c r="T246" s="16" t="str">
        <f>IFERROR(__xludf.DUMMYFUNCTION("IMPORTRANGE(""https://docs.google.com/spreadsheets/d/""&amp;$A246&amp;""/edit#gid=156619080"",T$3)"),"")</f>
        <v/>
      </c>
      <c r="U246" s="16">
        <f>IFERROR(__xludf.DUMMYFUNCTION("IMPORTRANGE(""https://docs.google.com/spreadsheets/d/""&amp;$A246&amp;""/edit#gid=156619080"",U$3)"),4473.0)</f>
        <v>4473</v>
      </c>
      <c r="V246" s="16">
        <f>IFERROR(__xludf.DUMMYFUNCTION("IMPORTRANGE(""https://docs.google.com/spreadsheets/d/""&amp;$A246&amp;""/edit#gid=156619080"",V$3)"),4449.6)</f>
        <v>4449.6</v>
      </c>
      <c r="W246" s="16">
        <f>IFERROR(__xludf.DUMMYFUNCTION("IMPORTRANGE(""https://docs.google.com/spreadsheets/d/""&amp;$A246&amp;""/edit#gid=156619080"",W$3)"),4370.0)</f>
        <v>4370</v>
      </c>
      <c r="X246" s="2">
        <f>IFERROR(__xludf.DUMMYFUNCTION("IMPORTRANGE(""https://docs.google.com/spreadsheets/d/""&amp;$A246&amp;""/edit#gid=156619080"",X$3)"),4254.5)</f>
        <v>4254.5</v>
      </c>
      <c r="Y246" s="17">
        <f>IFERROR(__xludf.DUMMYFUNCTION("IMPORTRANGE(""https://docs.google.com/spreadsheets/d/""&amp;$A246&amp;""/edit#gid=156619080"",Y$3)"),-0.004024144869215292)</f>
        <v>-0.004024144869</v>
      </c>
      <c r="Z246" s="2">
        <f>IFERROR(__xludf.DUMMYFUNCTION("IMPORTRANGE(""https://docs.google.com/spreadsheets/d/""&amp;$A246&amp;""/edit#gid=156619080"",Z$3)"),4641.89)</f>
        <v>4641.89</v>
      </c>
      <c r="AA246" s="2">
        <f>IFERROR(__xludf.DUMMYFUNCTION("IMPORTRANGE(""https://docs.google.com/spreadsheets/d/""&amp;$A246&amp;""/edit#gid=156619080"",AA$3)"),4607.9)</f>
        <v>4607.9</v>
      </c>
      <c r="AB246" s="2">
        <f>IFERROR(__xludf.DUMMYFUNCTION("IMPORTRANGE(""https://docs.google.com/spreadsheets/d/""&amp;$A246&amp;""/edit#gid=156619080"",AB$3)"),4573.92)</f>
        <v>4573.92</v>
      </c>
      <c r="AC246" s="18">
        <f>IFERROR(__xludf.DUMMYFUNCTION("IMPORTRANGE(""https://docs.google.com/spreadsheets/d/""&amp;$A246&amp;""/edit#gid=156619080"",AC$3)"),4539.93)</f>
        <v>4539.93</v>
      </c>
      <c r="AD246" s="18">
        <f>IFERROR(__xludf.DUMMYFUNCTION("IMPORTRANGE(""https://docs.google.com/spreadsheets/d/""&amp;$A246&amp;""/edit#gid=156619080"",AD$3)"),4505.94)</f>
        <v>4505.94</v>
      </c>
      <c r="AE246" s="18">
        <f>IFERROR(__xludf.DUMMYFUNCTION("IMPORTRANGE(""https://docs.google.com/spreadsheets/d/""&amp;$A246&amp;""/edit#gid=156619080"",AE$3)"),4370.0)</f>
        <v>4370</v>
      </c>
      <c r="AF246" s="2">
        <f>IFERROR(__xludf.DUMMYFUNCTION("IMPORTRANGE(""https://docs.google.com/spreadsheets/d/""&amp;$A246&amp;""/edit#gid=156619080"",AF$3)"),4234.06)</f>
        <v>4234.06</v>
      </c>
      <c r="AG246" s="2">
        <f>IFERROR(__xludf.DUMMYFUNCTION("IMPORTRANGE(""https://docs.google.com/spreadsheets/d/""&amp;$A246&amp;""/edit#gid=156619080"",AG$3)"),4200.07)</f>
        <v>4200.07</v>
      </c>
      <c r="AH246" s="2">
        <f>IFERROR(__xludf.DUMMYFUNCTION("IMPORTRANGE(""https://docs.google.com/spreadsheets/d/""&amp;$A246&amp;""/edit#gid=156619080"",AH$3)"),4166.08)</f>
        <v>4166.08</v>
      </c>
      <c r="AI246" s="2">
        <f>IFERROR(__xludf.DUMMYFUNCTION("IMPORTRANGE(""https://docs.google.com/spreadsheets/d/""&amp;$A246&amp;""/edit#gid=156619080"",AI$3)"),4132.1)</f>
        <v>4132.1</v>
      </c>
      <c r="AJ246" s="2">
        <f>IFERROR(__xludf.DUMMYFUNCTION("IMPORTRANGE(""https://docs.google.com/spreadsheets/d/""&amp;$A246&amp;""/edit#gid=156619080"",AJ$3)"),4098.11)</f>
        <v>4098.11</v>
      </c>
      <c r="AK246" s="2" t="str">
        <f>IFERROR(__xludf.DUMMYFUNCTION("IMPORTRANGE(""https://docs.google.com/spreadsheets/d/""&amp;$A246&amp;""/edit#gid=156619080"",AK$3)"),"")</f>
        <v/>
      </c>
      <c r="AL246" s="2">
        <f>IFERROR(__xludf.DUMMYFUNCTION("IMPORTRANGE(""https://docs.google.com/spreadsheets/d/""&amp;$A246&amp;""/edit#gid=156619080"",AL$3)"),1.0)</f>
        <v>1</v>
      </c>
      <c r="AM246" s="2" t="str">
        <f>IFERROR(__xludf.DUMMYFUNCTION("IMPORTRANGE(""https://docs.google.com/spreadsheets/d/""&amp;$A246&amp;""/edit#gid=156619080"",AM$3)"),"")</f>
        <v/>
      </c>
      <c r="AN246" s="2">
        <f>IFERROR(__xludf.DUMMYFUNCTION("IMPORTRANGE(""https://docs.google.com/spreadsheets/d/""&amp;$A246&amp;""/edit#gid=156619080"",AN$3)"),1.0)</f>
        <v>1</v>
      </c>
      <c r="AO246" s="2" t="str">
        <f>IFERROR(__xludf.DUMMYFUNCTION("IMPORTRANGE(""https://docs.google.com/spreadsheets/d/""&amp;$A246&amp;""/edit#gid=156619080"",AO$3)"),"")</f>
        <v/>
      </c>
      <c r="AP246" s="2">
        <f>IFERROR(__xludf.DUMMYFUNCTION("IMPORTRANGE(""https://docs.google.com/spreadsheets/d/""&amp;$A246&amp;""/edit#gid=156619080"",AP$3)"),1.0)</f>
        <v>1</v>
      </c>
      <c r="AQ246" s="2" t="str">
        <f>IFERROR(__xludf.DUMMYFUNCTION("IMPORTRANGE(""https://docs.google.com/spreadsheets/d/""&amp;$A246&amp;""/edit#gid=156619080"",AQ$3)"),"")</f>
        <v/>
      </c>
      <c r="AR246" s="18">
        <f>IFERROR(__xludf.DUMMYFUNCTION("IMPORTRANGE(""https://docs.google.com/spreadsheets/d/""&amp;$A246&amp;""/edit#gid=156619080"",AR$3)"),-19.999999999999996)</f>
        <v>-20</v>
      </c>
      <c r="AS246" s="19" t="str">
        <f>IFERROR(__xludf.DUMMYFUNCTION("IMPORTRANGE(""https://docs.google.com/spreadsheets/d/""&amp;$A246&amp;""/edit#gid=156619080"",AS$3)"),"30
-70
-70
-50
")</f>
        <v>30
-70
-70
-50
</v>
      </c>
      <c r="AT246" s="18">
        <f>IFERROR(__xludf.DUMMYFUNCTION("IMPORTRANGE(""https://docs.google.com/spreadsheets/d/""&amp;$A246&amp;""/edit#gid=156619080"",AT$3)"),59.34065934065934)</f>
        <v>59.34065934</v>
      </c>
      <c r="AU246" s="3" t="str">
        <f>IFERROR(__xludf.DUMMYFUNCTION("IMPORTRANGE(""https://docs.google.com/spreadsheets/d/""&amp;$A246&amp;""/edit#gid=156619080"",AU$3)"),"95.05
90.11
83.52
73.08
")</f>
        <v>95.05
90.11
83.52
73.08
</v>
      </c>
      <c r="AV246" s="18">
        <f>IFERROR(__xludf.DUMMYFUNCTION("IMPORTRANGE(""https://docs.google.com/spreadsheets/d/""&amp;$A246&amp;""/edit#gid=156619080"",AV$3)"),74.67532467532467)</f>
        <v>74.67532468</v>
      </c>
      <c r="AW246" s="19" t="str">
        <f>IFERROR(__xludf.DUMMYFUNCTION("IMPORTRANGE(""https://docs.google.com/spreadsheets/d/""&amp;$A246&amp;""/edit#gid=156619080"",AW$3)"),"57.24
55.81
60.65
63.77
")</f>
        <v>57.24
55.81
60.65
63.77
</v>
      </c>
      <c r="AX246" s="2">
        <f>IFERROR(__xludf.DUMMYFUNCTION("IMPORTRANGE(""https://docs.google.com/spreadsheets/d/""&amp;$A246&amp;""/edit#gid=156619080"",AX$3)"),35.709999999999994)</f>
        <v>35.71</v>
      </c>
      <c r="AY246" s="2">
        <f>IFERROR(__xludf.DUMMYFUNCTION("IMPORTRANGE(""https://docs.google.com/spreadsheets/d/""&amp;$A246&amp;""/edit#gid=156619080"",AY$3)"),51.31)</f>
        <v>51.31</v>
      </c>
      <c r="AZ246" s="2">
        <f>IFERROR(__xludf.DUMMYFUNCTION("IMPORTRANGE(""https://docs.google.com/spreadsheets/d/""&amp;$A246&amp;""/edit#gid=156619080"",AZ$3)"),4475.78)</f>
        <v>4475.78</v>
      </c>
      <c r="BA246" s="2">
        <f>IFERROR(__xludf.DUMMYFUNCTION("IMPORTRANGE(""https://docs.google.com/spreadsheets/d/""&amp;$A246&amp;""/edit#gid=156619080"",BA$3)"),112.13999999999942)</f>
        <v>112.14</v>
      </c>
      <c r="BB246" s="2">
        <f>IFERROR(__xludf.DUMMYFUNCTION("IMPORTRANGE(""https://docs.google.com/spreadsheets/d/""&amp;$A246&amp;""/edit#gid=156619080"",BB$3)"),154.48)</f>
        <v>154.48</v>
      </c>
      <c r="BC246" s="2" t="str">
        <f>IFERROR(__xludf.DUMMYFUNCTION("IMPORTRANGE(""https://docs.google.com/spreadsheets/d/""&amp;$A246&amp;""/edit#gid=156619080"",BC$3)"),"DC→DC")</f>
        <v>DC→DC</v>
      </c>
    </row>
    <row r="247" ht="51.0" customHeight="1">
      <c r="A247" s="7" t="str">
        <f t="shared" si="5"/>
        <v>1oyM5WQ2FpujpbrOgBfsFb1qtjZ0lJG01tbsj0omXO2E</v>
      </c>
      <c r="B247" s="1" t="s">
        <v>274</v>
      </c>
      <c r="C247" s="2">
        <f>IFERROR(__xludf.DUMMYFUNCTION("IMPORTRANGE(""https://docs.google.com/spreadsheets/d/""&amp;$A247&amp;""/edit#gid=156619080"",C$3)"),131.0)</f>
        <v>131</v>
      </c>
      <c r="D247" s="2">
        <f>IFERROR(__xludf.DUMMYFUNCTION("IMPORTRANGE(""https://docs.google.com/spreadsheets/d/""&amp;$A247&amp;""/edit#gid=156619080"",D$3)"),2326.0)</f>
        <v>2326</v>
      </c>
      <c r="E247" s="15">
        <f>IFERROR(__xludf.DUMMYFUNCTION("IMPORTRANGE(""https://docs.google.com/spreadsheets/d/""&amp;$A247&amp;""/edit#gid=156619080"",E$3)"),43882.0)</f>
        <v>43882</v>
      </c>
      <c r="F247" s="2">
        <f>IFERROR(__xludf.DUMMYFUNCTION("IMPORTRANGE(""https://docs.google.com/spreadsheets/d/""&amp;$A247&amp;""/edit#gid=156619080"",F$3)"),110.0)</f>
        <v>110</v>
      </c>
      <c r="G247" s="16">
        <f>IFERROR(__xludf.DUMMYFUNCTION("IMPORTRANGE(""https://docs.google.com/spreadsheets/d/""&amp;$A247&amp;""/edit#gid=156619080"",G$3)"),2.01)</f>
        <v>2.01</v>
      </c>
      <c r="H247" s="16">
        <f>IFERROR(__xludf.DUMMYFUNCTION("IMPORTRANGE(""https://docs.google.com/spreadsheets/d/""&amp;$A247&amp;""/edit#gid=156619080"",H$3)"),5420.0)</f>
        <v>5420</v>
      </c>
      <c r="I247" s="16">
        <f>IFERROR(__xludf.DUMMYFUNCTION("IMPORTRANGE(""https://docs.google.com/spreadsheets/d/""&amp;$A247&amp;""/edit#gid=156619080"",I$3)"),50.0)</f>
        <v>50</v>
      </c>
      <c r="J247" s="16">
        <f>IFERROR(__xludf.DUMMYFUNCTION("IMPORTRANGE(""https://docs.google.com/spreadsheets/d/""&amp;$A247&amp;""/edit#gid=156619080"",J$3)"),5650.0)</f>
        <v>5650</v>
      </c>
      <c r="K247" s="16">
        <f>IFERROR(__xludf.DUMMYFUNCTION("IMPORTRANGE(""https://docs.google.com/spreadsheets/d/""&amp;$A247&amp;""/edit#gid=156619080"",K$3)"),0.5784722222222223)</f>
        <v>0.5784722222</v>
      </c>
      <c r="L247" s="16">
        <f>IFERROR(__xludf.DUMMYFUNCTION("IMPORTRANGE(""https://docs.google.com/spreadsheets/d/""&amp;$A247&amp;""/edit#gid=156619080"",L$3)"),5360.0)</f>
        <v>5360</v>
      </c>
      <c r="M247" s="16">
        <f>IFERROR(__xludf.DUMMYFUNCTION("IMPORTRANGE(""https://docs.google.com/spreadsheets/d/""&amp;$A247&amp;""/edit#gid=156619080"",M$3)"),0.37569444444444444)</f>
        <v>0.3756944444</v>
      </c>
      <c r="N247" s="16">
        <f>IFERROR(__xludf.DUMMYFUNCTION("IMPORTRANGE(""https://docs.google.com/spreadsheets/d/""&amp;$A247&amp;""/edit#gid=156619080"",N$3)"),5580.0)</f>
        <v>5580</v>
      </c>
      <c r="O247" s="16" t="str">
        <f>IFERROR(__xludf.DUMMYFUNCTION("IMPORTRANGE(""https://docs.google.com/spreadsheets/d/""&amp;$A247&amp;""/edit#gid=156619080"",O$3)"),"259200株")</f>
        <v>259200株</v>
      </c>
      <c r="P247" s="16" t="str">
        <f>IFERROR(__xludf.DUMMYFUNCTION("IMPORTRANGE(""https://docs.google.com/spreadsheets/d/""&amp;$A247&amp;""/edit#gid=156619080"",P$3)"),"1435百万円")</f>
        <v>1435百万円</v>
      </c>
      <c r="Q247" s="16" t="str">
        <f>IFERROR(__xludf.DUMMYFUNCTION("IMPORTRANGE(""https://docs.google.com/spreadsheets/d/""&amp;$A247&amp;""/edit#gid=156619080"",Q$3)"),"926回")</f>
        <v>926回</v>
      </c>
      <c r="R247" s="16" t="str">
        <f>IFERROR(__xludf.DUMMYFUNCTION("IMPORTRANGE(""https://docs.google.com/spreadsheets/d/""&amp;$A247&amp;""/edit#gid=156619080"",R$3)"),"789億円")</f>
        <v>789億円</v>
      </c>
      <c r="S247" s="16" t="str">
        <f>IFERROR(__xludf.DUMMYFUNCTION("IMPORTRANGE(""https://docs.google.com/spreadsheets/d/""&amp;$A247&amp;""/edit#gid=156619080"",S$3)"),"陽線")</f>
        <v>陽線</v>
      </c>
      <c r="T247" s="16" t="str">
        <f>IFERROR(__xludf.DUMMYFUNCTION("IMPORTRANGE(""https://docs.google.com/spreadsheets/d/""&amp;$A247&amp;""/edit#gid=156619080"",T$3)"),"")</f>
        <v/>
      </c>
      <c r="U247" s="16">
        <f>IFERROR(__xludf.DUMMYFUNCTION("IMPORTRANGE(""https://docs.google.com/spreadsheets/d/""&amp;$A247&amp;""/edit#gid=156619080"",U$3)"),5508.0)</f>
        <v>5508</v>
      </c>
      <c r="V247" s="16">
        <f>IFERROR(__xludf.DUMMYFUNCTION("IMPORTRANGE(""https://docs.google.com/spreadsheets/d/""&amp;$A247&amp;""/edit#gid=156619080"",V$3)"),5573.8)</f>
        <v>5573.8</v>
      </c>
      <c r="W247" s="16">
        <f>IFERROR(__xludf.DUMMYFUNCTION("IMPORTRANGE(""https://docs.google.com/spreadsheets/d/""&amp;$A247&amp;""/edit#gid=156619080"",W$3)"),5478.8)</f>
        <v>5478.8</v>
      </c>
      <c r="X247" s="2">
        <f>IFERROR(__xludf.DUMMYFUNCTION("IMPORTRANGE(""https://docs.google.com/spreadsheets/d/""&amp;$A247&amp;""/edit#gid=156619080"",X$3)"),6018.5)</f>
        <v>6018.5</v>
      </c>
      <c r="Y247" s="17">
        <f>IFERROR(__xludf.DUMMYFUNCTION("IMPORTRANGE(""https://docs.google.com/spreadsheets/d/""&amp;$A247&amp;""/edit#gid=156619080"",Y$3)"),0.013071895424836602)</f>
        <v>0.01307189542</v>
      </c>
      <c r="Z247" s="2">
        <f>IFERROR(__xludf.DUMMYFUNCTION("IMPORTRANGE(""https://docs.google.com/spreadsheets/d/""&amp;$A247&amp;""/edit#gid=156619080"",Z$3)"),5948.45)</f>
        <v>5948.45</v>
      </c>
      <c r="AA247" s="2">
        <f>IFERROR(__xludf.DUMMYFUNCTION("IMPORTRANGE(""https://docs.google.com/spreadsheets/d/""&amp;$A247&amp;""/edit#gid=156619080"",AA$3)"),5889.74)</f>
        <v>5889.74</v>
      </c>
      <c r="AB247" s="2">
        <f>IFERROR(__xludf.DUMMYFUNCTION("IMPORTRANGE(""https://docs.google.com/spreadsheets/d/""&amp;$A247&amp;""/edit#gid=156619080"",AB$3)"),5831.04)</f>
        <v>5831.04</v>
      </c>
      <c r="AC247" s="18">
        <f>IFERROR(__xludf.DUMMYFUNCTION("IMPORTRANGE(""https://docs.google.com/spreadsheets/d/""&amp;$A247&amp;""/edit#gid=156619080"",AC$3)"),5772.33)</f>
        <v>5772.33</v>
      </c>
      <c r="AD247" s="18">
        <f>IFERROR(__xludf.DUMMYFUNCTION("IMPORTRANGE(""https://docs.google.com/spreadsheets/d/""&amp;$A247&amp;""/edit#gid=156619080"",AD$3)"),5713.62)</f>
        <v>5713.62</v>
      </c>
      <c r="AE247" s="18">
        <f>IFERROR(__xludf.DUMMYFUNCTION("IMPORTRANGE(""https://docs.google.com/spreadsheets/d/""&amp;$A247&amp;""/edit#gid=156619080"",AE$3)"),5478.8)</f>
        <v>5478.8</v>
      </c>
      <c r="AF247" s="2">
        <f>IFERROR(__xludf.DUMMYFUNCTION("IMPORTRANGE(""https://docs.google.com/spreadsheets/d/""&amp;$A247&amp;""/edit#gid=156619080"",AF$3)"),5243.98)</f>
        <v>5243.98</v>
      </c>
      <c r="AG247" s="2">
        <f>IFERROR(__xludf.DUMMYFUNCTION("IMPORTRANGE(""https://docs.google.com/spreadsheets/d/""&amp;$A247&amp;""/edit#gid=156619080"",AG$3)"),5185.27)</f>
        <v>5185.27</v>
      </c>
      <c r="AH247" s="2">
        <f>IFERROR(__xludf.DUMMYFUNCTION("IMPORTRANGE(""https://docs.google.com/spreadsheets/d/""&amp;$A247&amp;""/edit#gid=156619080"",AH$3)"),5126.56)</f>
        <v>5126.56</v>
      </c>
      <c r="AI247" s="2">
        <f>IFERROR(__xludf.DUMMYFUNCTION("IMPORTRANGE(""https://docs.google.com/spreadsheets/d/""&amp;$A247&amp;""/edit#gid=156619080"",AI$3)"),5067.86)</f>
        <v>5067.86</v>
      </c>
      <c r="AJ247" s="2">
        <f>IFERROR(__xludf.DUMMYFUNCTION("IMPORTRANGE(""https://docs.google.com/spreadsheets/d/""&amp;$A247&amp;""/edit#gid=156619080"",AJ$3)"),5009.15)</f>
        <v>5009.15</v>
      </c>
      <c r="AK247" s="2" t="str">
        <f>IFERROR(__xludf.DUMMYFUNCTION("IMPORTRANGE(""https://docs.google.com/spreadsheets/d/""&amp;$A247&amp;""/edit#gid=156619080"",AK$3)"),"")</f>
        <v/>
      </c>
      <c r="AL247" s="2">
        <f>IFERROR(__xludf.DUMMYFUNCTION("IMPORTRANGE(""https://docs.google.com/spreadsheets/d/""&amp;$A247&amp;""/edit#gid=156619080"",AL$3)"),-1.0)</f>
        <v>-1</v>
      </c>
      <c r="AM247" s="2" t="str">
        <f>IFERROR(__xludf.DUMMYFUNCTION("IMPORTRANGE(""https://docs.google.com/spreadsheets/d/""&amp;$A247&amp;""/edit#gid=156619080"",AM$3)"),"bs1")</f>
        <v>bs1</v>
      </c>
      <c r="AN247" s="2">
        <f>IFERROR(__xludf.DUMMYFUNCTION("IMPORTRANGE(""https://docs.google.com/spreadsheets/d/""&amp;$A247&amp;""/edit#gid=156619080"",AN$3)"),1.0)</f>
        <v>1</v>
      </c>
      <c r="AO247" s="2" t="str">
        <f>IFERROR(__xludf.DUMMYFUNCTION("IMPORTRANGE(""https://docs.google.com/spreadsheets/d/""&amp;$A247&amp;""/edit#gid=156619080"",AO$3)"),"")</f>
        <v/>
      </c>
      <c r="AP247" s="2">
        <f>IFERROR(__xludf.DUMMYFUNCTION("IMPORTRANGE(""https://docs.google.com/spreadsheets/d/""&amp;$A247&amp;""/edit#gid=156619080"",AP$3)"),1.0)</f>
        <v>1</v>
      </c>
      <c r="AQ247" s="2" t="str">
        <f>IFERROR(__xludf.DUMMYFUNCTION("IMPORTRANGE(""https://docs.google.com/spreadsheets/d/""&amp;$A247&amp;""/edit#gid=156619080"",AQ$3)"),"")</f>
        <v/>
      </c>
      <c r="AR247" s="18">
        <f>IFERROR(__xludf.DUMMYFUNCTION("IMPORTRANGE(""https://docs.google.com/spreadsheets/d/""&amp;$A247&amp;""/edit#gid=156619080"",AR$3)"),62.5)</f>
        <v>62.5</v>
      </c>
      <c r="AS247" s="19" t="str">
        <f>IFERROR(__xludf.DUMMYFUNCTION("IMPORTRANGE(""https://docs.google.com/spreadsheets/d/""&amp;$A247&amp;""/edit#gid=156619080"",AS$3)"),"-10
-60
-60
-17.5
")</f>
        <v>-10
-60
-60
-17.5
</v>
      </c>
      <c r="AT247" s="18">
        <f>IFERROR(__xludf.DUMMYFUNCTION("IMPORTRANGE(""https://docs.google.com/spreadsheets/d/""&amp;$A247&amp;""/edit#gid=156619080"",AT$3)"),2.197802197802201)</f>
        <v>2.197802198</v>
      </c>
      <c r="AU247" s="3" t="str">
        <f>IFERROR(__xludf.DUMMYFUNCTION("IMPORTRANGE(""https://docs.google.com/spreadsheets/d/""&amp;$A247&amp;""/edit#gid=156619080"",AU$3)"),"76.79
64.7
50.96
28.57
")</f>
        <v>76.79
64.7
50.96
28.57
</v>
      </c>
      <c r="AV247" s="18">
        <f>IFERROR(__xludf.DUMMYFUNCTION("IMPORTRANGE(""https://docs.google.com/spreadsheets/d/""&amp;$A247&amp;""/edit#gid=156619080"",AV$3)"),26.590909090909086)</f>
        <v>26.59090909</v>
      </c>
      <c r="AW247" s="19" t="str">
        <f>IFERROR(__xludf.DUMMYFUNCTION("IMPORTRANGE(""https://docs.google.com/spreadsheets/d/""&amp;$A247&amp;""/edit#gid=156619080"",AW$3)"),"-29.64
-19.03
-2.79
10.62
")</f>
        <v>-29.64
-19.03
-2.79
10.62
</v>
      </c>
      <c r="AX247" s="2">
        <f>IFERROR(__xludf.DUMMYFUNCTION("IMPORTRANGE(""https://docs.google.com/spreadsheets/d/""&amp;$A247&amp;""/edit#gid=156619080"",AX$3)"),43.0)</f>
        <v>43</v>
      </c>
      <c r="AY247" s="2">
        <f>IFERROR(__xludf.DUMMYFUNCTION("IMPORTRANGE(""https://docs.google.com/spreadsheets/d/""&amp;$A247&amp;""/edit#gid=156619080"",AY$3)"),46.39)</f>
        <v>46.39</v>
      </c>
      <c r="AZ247" s="2">
        <f>IFERROR(__xludf.DUMMYFUNCTION("IMPORTRANGE(""https://docs.google.com/spreadsheets/d/""&amp;$A247&amp;""/edit#gid=156619080"",AZ$3)"),5555.46)</f>
        <v>5555.46</v>
      </c>
      <c r="BA247" s="2">
        <f>IFERROR(__xludf.DUMMYFUNCTION("IMPORTRANGE(""https://docs.google.com/spreadsheets/d/""&amp;$A247&amp;""/edit#gid=156619080"",BA$3)"),-1.1300000000001091)</f>
        <v>-1.13</v>
      </c>
      <c r="BB247" s="2">
        <f>IFERROR(__xludf.DUMMYFUNCTION("IMPORTRANGE(""https://docs.google.com/spreadsheets/d/""&amp;$A247&amp;""/edit#gid=156619080"",BB$3)"),-23.81)</f>
        <v>-23.81</v>
      </c>
      <c r="BC247" s="2" t="str">
        <f>IFERROR(__xludf.DUMMYFUNCTION("IMPORTRANGE(""https://docs.google.com/spreadsheets/d/""&amp;$A247&amp;""/edit#gid=156619080"",BC$3)"),"GC→GC")</f>
        <v>GC→GC</v>
      </c>
    </row>
    <row r="248" ht="51.0" customHeight="1">
      <c r="A248" s="7" t="str">
        <f t="shared" si="5"/>
        <v>1KHCny69dkwDSguQDL57_0iswaY2J-k9DpQT0IDRBW4E</v>
      </c>
      <c r="B248" s="1" t="s">
        <v>275</v>
      </c>
      <c r="C248" s="2">
        <f>IFERROR(__xludf.DUMMYFUNCTION("IMPORTRANGE(""https://docs.google.com/spreadsheets/d/""&amp;$A248&amp;""/edit#gid=156619080"",C$3)"),113.0)</f>
        <v>113</v>
      </c>
      <c r="D248" s="2">
        <f>IFERROR(__xludf.DUMMYFUNCTION("IMPORTRANGE(""https://docs.google.com/spreadsheets/d/""&amp;$A248&amp;""/edit#gid=156619080"",D$3)"),2384.0)</f>
        <v>2384</v>
      </c>
      <c r="E248" s="15">
        <f>IFERROR(__xludf.DUMMYFUNCTION("IMPORTRANGE(""https://docs.google.com/spreadsheets/d/""&amp;$A248&amp;""/edit#gid=156619080"",E$3)"),43882.0)</f>
        <v>43882</v>
      </c>
      <c r="F248" s="2">
        <f>IFERROR(__xludf.DUMMYFUNCTION("IMPORTRANGE(""https://docs.google.com/spreadsheets/d/""&amp;$A248&amp;""/edit#gid=156619080"",F$3)"),10.0)</f>
        <v>10</v>
      </c>
      <c r="G248" s="16">
        <f>IFERROR(__xludf.DUMMYFUNCTION("IMPORTRANGE(""https://docs.google.com/spreadsheets/d/""&amp;$A248&amp;""/edit#gid=156619080"",G$3)"),0.55)</f>
        <v>0.55</v>
      </c>
      <c r="H248" s="16">
        <f>IFERROR(__xludf.DUMMYFUNCTION("IMPORTRANGE(""https://docs.google.com/spreadsheets/d/""&amp;$A248&amp;""/edit#gid=156619080"",H$3)"),1817.0)</f>
        <v>1817</v>
      </c>
      <c r="I248" s="16">
        <f>IFERROR(__xludf.DUMMYFUNCTION("IMPORTRANGE(""https://docs.google.com/spreadsheets/d/""&amp;$A248&amp;""/edit#gid=156619080"",I$3)"),-1.0)</f>
        <v>-1</v>
      </c>
      <c r="J248" s="16">
        <f>IFERROR(__xludf.DUMMYFUNCTION("IMPORTRANGE(""https://docs.google.com/spreadsheets/d/""&amp;$A248&amp;""/edit#gid=156619080"",J$3)"),1866.0)</f>
        <v>1866</v>
      </c>
      <c r="K248" s="16">
        <f>IFERROR(__xludf.DUMMYFUNCTION("IMPORTRANGE(""https://docs.google.com/spreadsheets/d/""&amp;$A248&amp;""/edit#gid=156619080"",K$3)"),0.44027777777777777)</f>
        <v>0.4402777778</v>
      </c>
      <c r="L248" s="16">
        <f>IFERROR(__xludf.DUMMYFUNCTION("IMPORTRANGE(""https://docs.google.com/spreadsheets/d/""&amp;$A248&amp;""/edit#gid=156619080"",L$3)"),1817.0)</f>
        <v>1817</v>
      </c>
      <c r="M248" s="16">
        <f>IFERROR(__xludf.DUMMYFUNCTION("IMPORTRANGE(""https://docs.google.com/spreadsheets/d/""&amp;$A248&amp;""/edit#gid=156619080"",M$3)"),0.375)</f>
        <v>0.375</v>
      </c>
      <c r="N248" s="16">
        <f>IFERROR(__xludf.DUMMYFUNCTION("IMPORTRANGE(""https://docs.google.com/spreadsheets/d/""&amp;$A248&amp;""/edit#gid=156619080"",N$3)"),1826.0)</f>
        <v>1826</v>
      </c>
      <c r="O248" s="16" t="str">
        <f>IFERROR(__xludf.DUMMYFUNCTION("IMPORTRANGE(""https://docs.google.com/spreadsheets/d/""&amp;$A248&amp;""/edit#gid=156619080"",O$3)"),"147000株")</f>
        <v>147000株</v>
      </c>
      <c r="P248" s="16" t="str">
        <f>IFERROR(__xludf.DUMMYFUNCTION("IMPORTRANGE(""https://docs.google.com/spreadsheets/d/""&amp;$A248&amp;""/edit#gid=156619080"",P$3)"),"271百万円")</f>
        <v>271百万円</v>
      </c>
      <c r="Q248" s="16" t="str">
        <f>IFERROR(__xludf.DUMMYFUNCTION("IMPORTRANGE(""https://docs.google.com/spreadsheets/d/""&amp;$A248&amp;""/edit#gid=156619080"",Q$3)"),"844回")</f>
        <v>844回</v>
      </c>
      <c r="R248" s="16" t="str">
        <f>IFERROR(__xludf.DUMMYFUNCTION("IMPORTRANGE(""https://docs.google.com/spreadsheets/d/""&amp;$A248&amp;""/edit#gid=156619080"",R$3)"),"725億円")</f>
        <v>725億円</v>
      </c>
      <c r="S248" s="16" t="str">
        <f>IFERROR(__xludf.DUMMYFUNCTION("IMPORTRANGE(""https://docs.google.com/spreadsheets/d/""&amp;$A248&amp;""/edit#gid=156619080"",S$3)"),"陽線")</f>
        <v>陽線</v>
      </c>
      <c r="T248" s="16" t="str">
        <f>IFERROR(__xludf.DUMMYFUNCTION("IMPORTRANGE(""https://docs.google.com/spreadsheets/d/""&amp;$A248&amp;""/edit#gid=156619080"",T$3)"),"")</f>
        <v/>
      </c>
      <c r="U248" s="16">
        <f>IFERROR(__xludf.DUMMYFUNCTION("IMPORTRANGE(""https://docs.google.com/spreadsheets/d/""&amp;$A248&amp;""/edit#gid=156619080"",U$3)"),1863.4)</f>
        <v>1863.4</v>
      </c>
      <c r="V248" s="16">
        <f>IFERROR(__xludf.DUMMYFUNCTION("IMPORTRANGE(""https://docs.google.com/spreadsheets/d/""&amp;$A248&amp;""/edit#gid=156619080"",V$3)"),1902.5)</f>
        <v>1902.5</v>
      </c>
      <c r="W248" s="16">
        <f>IFERROR(__xludf.DUMMYFUNCTION("IMPORTRANGE(""https://docs.google.com/spreadsheets/d/""&amp;$A248&amp;""/edit#gid=156619080"",W$3)"),1884.9)</f>
        <v>1884.9</v>
      </c>
      <c r="X248" s="2">
        <f>IFERROR(__xludf.DUMMYFUNCTION("IMPORTRANGE(""https://docs.google.com/spreadsheets/d/""&amp;$A248&amp;""/edit#gid=156619080"",X$3)"),1827.3)</f>
        <v>1827.3</v>
      </c>
      <c r="Y248" s="17">
        <f>IFERROR(__xludf.DUMMYFUNCTION("IMPORTRANGE(""https://docs.google.com/spreadsheets/d/""&amp;$A248&amp;""/edit#gid=156619080"",Y$3)"),-0.020070838252656483)</f>
        <v>-0.02007083825</v>
      </c>
      <c r="Z248" s="2">
        <f>IFERROR(__xludf.DUMMYFUNCTION("IMPORTRANGE(""https://docs.google.com/spreadsheets/d/""&amp;$A248&amp;""/edit#gid=156619080"",Z$3)"),1995.87)</f>
        <v>1995.87</v>
      </c>
      <c r="AA248" s="2">
        <f>IFERROR(__xludf.DUMMYFUNCTION("IMPORTRANGE(""https://docs.google.com/spreadsheets/d/""&amp;$A248&amp;""/edit#gid=156619080"",AA$3)"),1982.0)</f>
        <v>1982</v>
      </c>
      <c r="AB248" s="2">
        <f>IFERROR(__xludf.DUMMYFUNCTION("IMPORTRANGE(""https://docs.google.com/spreadsheets/d/""&amp;$A248&amp;""/edit#gid=156619080"",AB$3)"),1968.12)</f>
        <v>1968.12</v>
      </c>
      <c r="AC248" s="18">
        <f>IFERROR(__xludf.DUMMYFUNCTION("IMPORTRANGE(""https://docs.google.com/spreadsheets/d/""&amp;$A248&amp;""/edit#gid=156619080"",AC$3)"),1954.25)</f>
        <v>1954.25</v>
      </c>
      <c r="AD248" s="18">
        <f>IFERROR(__xludf.DUMMYFUNCTION("IMPORTRANGE(""https://docs.google.com/spreadsheets/d/""&amp;$A248&amp;""/edit#gid=156619080"",AD$3)"),1940.38)</f>
        <v>1940.38</v>
      </c>
      <c r="AE248" s="18">
        <f>IFERROR(__xludf.DUMMYFUNCTION("IMPORTRANGE(""https://docs.google.com/spreadsheets/d/""&amp;$A248&amp;""/edit#gid=156619080"",AE$3)"),1884.9)</f>
        <v>1884.9</v>
      </c>
      <c r="AF248" s="2">
        <f>IFERROR(__xludf.DUMMYFUNCTION("IMPORTRANGE(""https://docs.google.com/spreadsheets/d/""&amp;$A248&amp;""/edit#gid=156619080"",AF$3)"),1829.42)</f>
        <v>1829.42</v>
      </c>
      <c r="AG248" s="2">
        <f>IFERROR(__xludf.DUMMYFUNCTION("IMPORTRANGE(""https://docs.google.com/spreadsheets/d/""&amp;$A248&amp;""/edit#gid=156619080"",AG$3)"),1815.55)</f>
        <v>1815.55</v>
      </c>
      <c r="AH248" s="2">
        <f>IFERROR(__xludf.DUMMYFUNCTION("IMPORTRANGE(""https://docs.google.com/spreadsheets/d/""&amp;$A248&amp;""/edit#gid=156619080"",AH$3)"),1801.68)</f>
        <v>1801.68</v>
      </c>
      <c r="AI248" s="2">
        <f>IFERROR(__xludf.DUMMYFUNCTION("IMPORTRANGE(""https://docs.google.com/spreadsheets/d/""&amp;$A248&amp;""/edit#gid=156619080"",AI$3)"),1787.8)</f>
        <v>1787.8</v>
      </c>
      <c r="AJ248" s="2">
        <f>IFERROR(__xludf.DUMMYFUNCTION("IMPORTRANGE(""https://docs.google.com/spreadsheets/d/""&amp;$A248&amp;""/edit#gid=156619080"",AJ$3)"),1773.93)</f>
        <v>1773.93</v>
      </c>
      <c r="AK248" s="2" t="str">
        <f>IFERROR(__xludf.DUMMYFUNCTION("IMPORTRANGE(""https://docs.google.com/spreadsheets/d/""&amp;$A248&amp;""/edit#gid=156619080"",AK$3)"),"-1〜-1.25σ")</f>
        <v>-1〜-1.25σ</v>
      </c>
      <c r="AL248" s="2">
        <f>IFERROR(__xludf.DUMMYFUNCTION("IMPORTRANGE(""https://docs.google.com/spreadsheets/d/""&amp;$A248&amp;""/edit#gid=156619080"",AL$3)"),-1.0)</f>
        <v>-1</v>
      </c>
      <c r="AM248" s="2" t="str">
        <f>IFERROR(__xludf.DUMMYFUNCTION("IMPORTRANGE(""https://docs.google.com/spreadsheets/d/""&amp;$A248&amp;""/edit#gid=156619080"",AM$3)"),"")</f>
        <v/>
      </c>
      <c r="AN248" s="2">
        <f>IFERROR(__xludf.DUMMYFUNCTION("IMPORTRANGE(""https://docs.google.com/spreadsheets/d/""&amp;$A248&amp;""/edit#gid=156619080"",AN$3)"),-1.0)</f>
        <v>-1</v>
      </c>
      <c r="AO248" s="2" t="str">
        <f>IFERROR(__xludf.DUMMYFUNCTION("IMPORTRANGE(""https://docs.google.com/spreadsheets/d/""&amp;$A248&amp;""/edit#gid=156619080"",AO$3)"),"")</f>
        <v/>
      </c>
      <c r="AP248" s="2">
        <f>IFERROR(__xludf.DUMMYFUNCTION("IMPORTRANGE(""https://docs.google.com/spreadsheets/d/""&amp;$A248&amp;""/edit#gid=156619080"",AP$3)"),1.0)</f>
        <v>1</v>
      </c>
      <c r="AQ248" s="2" t="str">
        <f>IFERROR(__xludf.DUMMYFUNCTION("IMPORTRANGE(""https://docs.google.com/spreadsheets/d/""&amp;$A248&amp;""/edit#gid=156619080"",AQ$3)"),"")</f>
        <v/>
      </c>
      <c r="AR248" s="18">
        <f>IFERROR(__xludf.DUMMYFUNCTION("IMPORTRANGE(""https://docs.google.com/spreadsheets/d/""&amp;$A248&amp;""/edit#gid=156619080"",AR$3)"),-89.99999999999999)</f>
        <v>-90</v>
      </c>
      <c r="AS248" s="19" t="str">
        <f>IFERROR(__xludf.DUMMYFUNCTION("IMPORTRANGE(""https://docs.google.com/spreadsheets/d/""&amp;$A248&amp;""/edit#gid=156619080"",AS$3)"),"-60
-90
-90
-90
")</f>
        <v>-60
-90
-90
-90
</v>
      </c>
      <c r="AT248" s="18">
        <f>IFERROR(__xludf.DUMMYFUNCTION("IMPORTRANGE(""https://docs.google.com/spreadsheets/d/""&amp;$A248&amp;""/edit#gid=156619080"",AT$3)"),-31.868131868131865)</f>
        <v>-31.86813187</v>
      </c>
      <c r="AU248" s="3" t="str">
        <f>IFERROR(__xludf.DUMMYFUNCTION("IMPORTRANGE(""https://docs.google.com/spreadsheets/d/""&amp;$A248&amp;""/edit#gid=156619080"",AU$3)"),"88.05
70.88
46.15
3.85
")</f>
        <v>88.05
70.88
46.15
3.85
</v>
      </c>
      <c r="AV248" s="18">
        <f>IFERROR(__xludf.DUMMYFUNCTION("IMPORTRANGE(""https://docs.google.com/spreadsheets/d/""&amp;$A248&amp;""/edit#gid=156619080"",AV$3)"),7.1753246753246795)</f>
        <v>7.175324675</v>
      </c>
      <c r="AW248" s="19" t="str">
        <f>IFERROR(__xludf.DUMMYFUNCTION("IMPORTRANGE(""https://docs.google.com/spreadsheets/d/""&amp;$A248&amp;""/edit#gid=156619080"",AW$3)"),"32.11
23.93
13.02
8.86
")</f>
        <v>32.11
23.93
13.02
8.86
</v>
      </c>
      <c r="AX248" s="2">
        <f>IFERROR(__xludf.DUMMYFUNCTION("IMPORTRANGE(""https://docs.google.com/spreadsheets/d/""&amp;$A248&amp;""/edit#gid=156619080"",AX$3)"),14.180000000000001)</f>
        <v>14.18</v>
      </c>
      <c r="AY248" s="2">
        <f>IFERROR(__xludf.DUMMYFUNCTION("IMPORTRANGE(""https://docs.google.com/spreadsheets/d/""&amp;$A248&amp;""/edit#gid=156619080"",AY$3)"),39.22)</f>
        <v>39.22</v>
      </c>
      <c r="AZ248" s="2">
        <f>IFERROR(__xludf.DUMMYFUNCTION("IMPORTRANGE(""https://docs.google.com/spreadsheets/d/""&amp;$A248&amp;""/edit#gid=156619080"",AZ$3)"),1857.71)</f>
        <v>1857.71</v>
      </c>
      <c r="BA248" s="2">
        <f>IFERROR(__xludf.DUMMYFUNCTION("IMPORTRANGE(""https://docs.google.com/spreadsheets/d/""&amp;$A248&amp;""/edit#gid=156619080"",BA$3)"),-31.639999999999873)</f>
        <v>-31.64</v>
      </c>
      <c r="BB248" s="2">
        <f>IFERROR(__xludf.DUMMYFUNCTION("IMPORTRANGE(""https://docs.google.com/spreadsheets/d/""&amp;$A248&amp;""/edit#gid=156619080"",BB$3)"),-0.33)</f>
        <v>-0.33</v>
      </c>
      <c r="BC248" s="2" t="str">
        <f>IFERROR(__xludf.DUMMYFUNCTION("IMPORTRANGE(""https://docs.google.com/spreadsheets/d/""&amp;$A248&amp;""/edit#gid=156619080"",BC$3)"),"DC→DC")</f>
        <v>DC→DC</v>
      </c>
    </row>
    <row r="249" ht="51.0" customHeight="1">
      <c r="A249" s="7" t="str">
        <f t="shared" si="5"/>
        <v>14Lo5jioE1dHZnU9vsHPF5leXuHbhcUcEkp-4Chq7rpk</v>
      </c>
      <c r="B249" s="1" t="s">
        <v>276</v>
      </c>
      <c r="C249" s="2">
        <f>IFERROR(__xludf.DUMMYFUNCTION("IMPORTRANGE(""https://docs.google.com/spreadsheets/d/""&amp;$A249&amp;""/edit#gid=156619080"",C$3)"),131.0)</f>
        <v>131</v>
      </c>
      <c r="D249" s="2">
        <f>IFERROR(__xludf.DUMMYFUNCTION("IMPORTRANGE(""https://docs.google.com/spreadsheets/d/""&amp;$A249&amp;""/edit#gid=156619080"",D$3)"),3046.0)</f>
        <v>3046</v>
      </c>
      <c r="E249" s="15">
        <f>IFERROR(__xludf.DUMMYFUNCTION("IMPORTRANGE(""https://docs.google.com/spreadsheets/d/""&amp;$A249&amp;""/edit#gid=156619080"",E$3)"),43882.0)</f>
        <v>43882</v>
      </c>
      <c r="F249" s="2">
        <f>IFERROR(__xludf.DUMMYFUNCTION("IMPORTRANGE(""https://docs.google.com/spreadsheets/d/""&amp;$A249&amp;""/edit#gid=156619080"",F$3)"),-110.0)</f>
        <v>-110</v>
      </c>
      <c r="G249" s="16">
        <f>IFERROR(__xludf.DUMMYFUNCTION("IMPORTRANGE(""https://docs.google.com/spreadsheets/d/""&amp;$A249&amp;""/edit#gid=156619080"",G$3)"),-1.48)</f>
        <v>-1.48</v>
      </c>
      <c r="H249" s="16">
        <f>IFERROR(__xludf.DUMMYFUNCTION("IMPORTRANGE(""https://docs.google.com/spreadsheets/d/""&amp;$A249&amp;""/edit#gid=156619080"",H$3)"),7370.0)</f>
        <v>7370</v>
      </c>
      <c r="I249" s="16">
        <f>IFERROR(__xludf.DUMMYFUNCTION("IMPORTRANGE(""https://docs.google.com/spreadsheets/d/""&amp;$A249&amp;""/edit#gid=156619080"",I$3)"),40.0)</f>
        <v>40</v>
      </c>
      <c r="J249" s="16">
        <f>IFERROR(__xludf.DUMMYFUNCTION("IMPORTRANGE(""https://docs.google.com/spreadsheets/d/""&amp;$A249&amp;""/edit#gid=156619080"",J$3)"),7430.0)</f>
        <v>7430</v>
      </c>
      <c r="K249" s="16">
        <f>IFERROR(__xludf.DUMMYFUNCTION("IMPORTRANGE(""https://docs.google.com/spreadsheets/d/""&amp;$A249&amp;""/edit#gid=156619080"",K$3)"),0.41041666666666665)</f>
        <v>0.4104166667</v>
      </c>
      <c r="L249" s="16">
        <f>IFERROR(__xludf.DUMMYFUNCTION("IMPORTRANGE(""https://docs.google.com/spreadsheets/d/""&amp;$A249&amp;""/edit#gid=156619080"",L$3)"),7290.0)</f>
        <v>7290</v>
      </c>
      <c r="M249" s="16">
        <f>IFERROR(__xludf.DUMMYFUNCTION("IMPORTRANGE(""https://docs.google.com/spreadsheets/d/""&amp;$A249&amp;""/edit#gid=156619080"",M$3)"),0.6034722222222222)</f>
        <v>0.6034722222</v>
      </c>
      <c r="N249" s="16">
        <f>IFERROR(__xludf.DUMMYFUNCTION("IMPORTRANGE(""https://docs.google.com/spreadsheets/d/""&amp;$A249&amp;""/edit#gid=156619080"",N$3)"),7300.0)</f>
        <v>7300</v>
      </c>
      <c r="O249" s="16" t="str">
        <f>IFERROR(__xludf.DUMMYFUNCTION("IMPORTRANGE(""https://docs.google.com/spreadsheets/d/""&amp;$A249&amp;""/edit#gid=156619080"",O$3)"),"45900株")</f>
        <v>45900株</v>
      </c>
      <c r="P249" s="16" t="str">
        <f>IFERROR(__xludf.DUMMYFUNCTION("IMPORTRANGE(""https://docs.google.com/spreadsheets/d/""&amp;$A249&amp;""/edit#gid=156619080"",P$3)"),"337百万円")</f>
        <v>337百万円</v>
      </c>
      <c r="Q249" s="16" t="str">
        <f>IFERROR(__xludf.DUMMYFUNCTION("IMPORTRANGE(""https://docs.google.com/spreadsheets/d/""&amp;$A249&amp;""/edit#gid=156619080"",Q$3)"),"236回")</f>
        <v>236回</v>
      </c>
      <c r="R249" s="16" t="str">
        <f>IFERROR(__xludf.DUMMYFUNCTION("IMPORTRANGE(""https://docs.google.com/spreadsheets/d/""&amp;$A249&amp;""/edit#gid=156619080"",R$3)"),"1751億円")</f>
        <v>1751億円</v>
      </c>
      <c r="S249" s="16" t="str">
        <f>IFERROR(__xludf.DUMMYFUNCTION("IMPORTRANGE(""https://docs.google.com/spreadsheets/d/""&amp;$A249&amp;""/edit#gid=156619080"",S$3)"),"陰線")</f>
        <v>陰線</v>
      </c>
      <c r="T249" s="16" t="str">
        <f>IFERROR(__xludf.DUMMYFUNCTION("IMPORTRANGE(""https://docs.google.com/spreadsheets/d/""&amp;$A249&amp;""/edit#gid=156619080"",T$3)"),"")</f>
        <v/>
      </c>
      <c r="U249" s="16">
        <f>IFERROR(__xludf.DUMMYFUNCTION("IMPORTRANGE(""https://docs.google.com/spreadsheets/d/""&amp;$A249&amp;""/edit#gid=156619080"",U$3)"),7480.0)</f>
        <v>7480</v>
      </c>
      <c r="V249" s="16">
        <f>IFERROR(__xludf.DUMMYFUNCTION("IMPORTRANGE(""https://docs.google.com/spreadsheets/d/""&amp;$A249&amp;""/edit#gid=156619080"",V$3)"),7650.0)</f>
        <v>7650</v>
      </c>
      <c r="W249" s="16">
        <f>IFERROR(__xludf.DUMMYFUNCTION("IMPORTRANGE(""https://docs.google.com/spreadsheets/d/""&amp;$A249&amp;""/edit#gid=156619080"",W$3)"),7656.7)</f>
        <v>7656.7</v>
      </c>
      <c r="X249" s="2">
        <f>IFERROR(__xludf.DUMMYFUNCTION("IMPORTRANGE(""https://docs.google.com/spreadsheets/d/""&amp;$A249&amp;""/edit#gid=156619080"",X$3)"),6940.7)</f>
        <v>6940.7</v>
      </c>
      <c r="Y249" s="17">
        <f>IFERROR(__xludf.DUMMYFUNCTION("IMPORTRANGE(""https://docs.google.com/spreadsheets/d/""&amp;$A249&amp;""/edit#gid=156619080"",Y$3)"),-0.02406417112299465)</f>
        <v>-0.02406417112</v>
      </c>
      <c r="Z249" s="2">
        <f>IFERROR(__xludf.DUMMYFUNCTION("IMPORTRANGE(""https://docs.google.com/spreadsheets/d/""&amp;$A249&amp;""/edit#gid=156619080"",Z$3)"),7962.41)</f>
        <v>7962.41</v>
      </c>
      <c r="AA249" s="2">
        <f>IFERROR(__xludf.DUMMYFUNCTION("IMPORTRANGE(""https://docs.google.com/spreadsheets/d/""&amp;$A249&amp;""/edit#gid=156619080"",AA$3)"),7924.2)</f>
        <v>7924.2</v>
      </c>
      <c r="AB249" s="2">
        <f>IFERROR(__xludf.DUMMYFUNCTION("IMPORTRANGE(""https://docs.google.com/spreadsheets/d/""&amp;$A249&amp;""/edit#gid=156619080"",AB$3)"),7885.98)</f>
        <v>7885.98</v>
      </c>
      <c r="AC249" s="18">
        <f>IFERROR(__xludf.DUMMYFUNCTION("IMPORTRANGE(""https://docs.google.com/spreadsheets/d/""&amp;$A249&amp;""/edit#gid=156619080"",AC$3)"),7847.77)</f>
        <v>7847.77</v>
      </c>
      <c r="AD249" s="18">
        <f>IFERROR(__xludf.DUMMYFUNCTION("IMPORTRANGE(""https://docs.google.com/spreadsheets/d/""&amp;$A249&amp;""/edit#gid=156619080"",AD$3)"),7809.56)</f>
        <v>7809.56</v>
      </c>
      <c r="AE249" s="18">
        <f>IFERROR(__xludf.DUMMYFUNCTION("IMPORTRANGE(""https://docs.google.com/spreadsheets/d/""&amp;$A249&amp;""/edit#gid=156619080"",AE$3)"),7656.7)</f>
        <v>7656.7</v>
      </c>
      <c r="AF249" s="2">
        <f>IFERROR(__xludf.DUMMYFUNCTION("IMPORTRANGE(""https://docs.google.com/spreadsheets/d/""&amp;$A249&amp;""/edit#gid=156619080"",AF$3)"),7503.84)</f>
        <v>7503.84</v>
      </c>
      <c r="AG249" s="2">
        <f>IFERROR(__xludf.DUMMYFUNCTION("IMPORTRANGE(""https://docs.google.com/spreadsheets/d/""&amp;$A249&amp;""/edit#gid=156619080"",AG$3)"),7465.63)</f>
        <v>7465.63</v>
      </c>
      <c r="AH249" s="2">
        <f>IFERROR(__xludf.DUMMYFUNCTION("IMPORTRANGE(""https://docs.google.com/spreadsheets/d/""&amp;$A249&amp;""/edit#gid=156619080"",AH$3)"),7427.42)</f>
        <v>7427.42</v>
      </c>
      <c r="AI249" s="2">
        <f>IFERROR(__xludf.DUMMYFUNCTION("IMPORTRANGE(""https://docs.google.com/spreadsheets/d/""&amp;$A249&amp;""/edit#gid=156619080"",AI$3)"),7389.2)</f>
        <v>7389.2</v>
      </c>
      <c r="AJ249" s="2">
        <f>IFERROR(__xludf.DUMMYFUNCTION("IMPORTRANGE(""https://docs.google.com/spreadsheets/d/""&amp;$A249&amp;""/edit#gid=156619080"",AJ$3)"),7350.99)</f>
        <v>7350.99</v>
      </c>
      <c r="AK249" s="2" t="str">
        <f>IFERROR(__xludf.DUMMYFUNCTION("IMPORTRANGE(""https://docs.google.com/spreadsheets/d/""&amp;$A249&amp;""/edit#gid=156619080"",AK$3)"),"-2σ以下")</f>
        <v>-2σ以下</v>
      </c>
      <c r="AL249" s="2">
        <f>IFERROR(__xludf.DUMMYFUNCTION("IMPORTRANGE(""https://docs.google.com/spreadsheets/d/""&amp;$A249&amp;""/edit#gid=156619080"",AL$3)"),-1.0)</f>
        <v>-1</v>
      </c>
      <c r="AM249" s="2" t="str">
        <f>IFERROR(__xludf.DUMMYFUNCTION("IMPORTRANGE(""https://docs.google.com/spreadsheets/d/""&amp;$A249&amp;""/edit#gid=156619080"",AM$3)"),"")</f>
        <v/>
      </c>
      <c r="AN249" s="2">
        <f>IFERROR(__xludf.DUMMYFUNCTION("IMPORTRANGE(""https://docs.google.com/spreadsheets/d/""&amp;$A249&amp;""/edit#gid=156619080"",AN$3)"),-1.0)</f>
        <v>-1</v>
      </c>
      <c r="AO249" s="2" t="str">
        <f>IFERROR(__xludf.DUMMYFUNCTION("IMPORTRANGE(""https://docs.google.com/spreadsheets/d/""&amp;$A249&amp;""/edit#gid=156619080"",AO$3)"),"")</f>
        <v/>
      </c>
      <c r="AP249" s="2">
        <f>IFERROR(__xludf.DUMMYFUNCTION("IMPORTRANGE(""https://docs.google.com/spreadsheets/d/""&amp;$A249&amp;""/edit#gid=156619080"",AP$3)"),-1.0)</f>
        <v>-1</v>
      </c>
      <c r="AQ249" s="2" t="str">
        <f>IFERROR(__xludf.DUMMYFUNCTION("IMPORTRANGE(""https://docs.google.com/spreadsheets/d/""&amp;$A249&amp;""/edit#gid=156619080"",AQ$3)"),"")</f>
        <v/>
      </c>
      <c r="AR249" s="18">
        <f>IFERROR(__xludf.DUMMYFUNCTION("IMPORTRANGE(""https://docs.google.com/spreadsheets/d/""&amp;$A249&amp;""/edit#gid=156619080"",AR$3)"),-77.49999999999999)</f>
        <v>-77.5</v>
      </c>
      <c r="AS249" s="19" t="str">
        <f>IFERROR(__xludf.DUMMYFUNCTION("IMPORTRANGE(""https://docs.google.com/spreadsheets/d/""&amp;$A249&amp;""/edit#gid=156619080"",AS$3)"),"-60
-90
-77.5
-77.5
")</f>
        <v>-60
-90
-77.5
-77.5
</v>
      </c>
      <c r="AT249" s="18">
        <f>IFERROR(__xludf.DUMMYFUNCTION("IMPORTRANGE(""https://docs.google.com/spreadsheets/d/""&amp;$A249&amp;""/edit#gid=156619080"",AT$3)"),-57.005494505494504)</f>
        <v>-57.00549451</v>
      </c>
      <c r="AU249" s="3" t="str">
        <f>IFERROR(__xludf.DUMMYFUNCTION("IMPORTRANGE(""https://docs.google.com/spreadsheets/d/""&amp;$A249&amp;""/edit#gid=156619080"",AU$3)"),"45.6
5.49
-22.39
-38.87
")</f>
        <v>45.6
5.49
-22.39
-38.87
</v>
      </c>
      <c r="AV249" s="18">
        <f>IFERROR(__xludf.DUMMYFUNCTION("IMPORTRANGE(""https://docs.google.com/spreadsheets/d/""&amp;$A249&amp;""/edit#gid=156619080"",AV$3)"),-27.142857142857135)</f>
        <v>-27.14285714</v>
      </c>
      <c r="AW249" s="19" t="str">
        <f>IFERROR(__xludf.DUMMYFUNCTION("IMPORTRANGE(""https://docs.google.com/spreadsheets/d/""&amp;$A249&amp;""/edit#gid=156619080"",AW$3)"),"-11.66
-18.57
-21.43
-27.14
")</f>
        <v>-11.66
-18.57
-21.43
-27.14
</v>
      </c>
      <c r="AX249" s="2">
        <f>IFERROR(__xludf.DUMMYFUNCTION("IMPORTRANGE(""https://docs.google.com/spreadsheets/d/""&amp;$A249&amp;""/edit#gid=156619080"",AX$3)"),21.21)</f>
        <v>21.21</v>
      </c>
      <c r="AY249" s="2">
        <f>IFERROR(__xludf.DUMMYFUNCTION("IMPORTRANGE(""https://docs.google.com/spreadsheets/d/""&amp;$A249&amp;""/edit#gid=156619080"",AY$3)"),34.96)</f>
        <v>34.96</v>
      </c>
      <c r="AZ249" s="2">
        <f>IFERROR(__xludf.DUMMYFUNCTION("IMPORTRANGE(""https://docs.google.com/spreadsheets/d/""&amp;$A249&amp;""/edit#gid=156619080"",AZ$3)"),7469.37)</f>
        <v>7469.37</v>
      </c>
      <c r="BA249" s="2">
        <f>IFERROR(__xludf.DUMMYFUNCTION("IMPORTRANGE(""https://docs.google.com/spreadsheets/d/""&amp;$A249&amp;""/edit#gid=156619080"",BA$3)"),-135.76000000000022)</f>
        <v>-135.76</v>
      </c>
      <c r="BB249" s="2">
        <f>IFERROR(__xludf.DUMMYFUNCTION("IMPORTRANGE(""https://docs.google.com/spreadsheets/d/""&amp;$A249&amp;""/edit#gid=156619080"",BB$3)"),17.32)</f>
        <v>17.32</v>
      </c>
      <c r="BC249" s="2" t="str">
        <f>IFERROR(__xludf.DUMMYFUNCTION("IMPORTRANGE(""https://docs.google.com/spreadsheets/d/""&amp;$A249&amp;""/edit#gid=156619080"",BC$3)"),"DC→DC")</f>
        <v>DC→DC</v>
      </c>
    </row>
    <row r="250" ht="51.0" customHeight="1">
      <c r="A250" s="7" t="str">
        <f t="shared" si="5"/>
        <v>1XKtHK0em8brNPAYo5zUo2UlPWzKoaBZkCvse7vt6ioQ</v>
      </c>
      <c r="B250" s="1" t="s">
        <v>277</v>
      </c>
      <c r="C250" s="2">
        <f>IFERROR(__xludf.DUMMYFUNCTION("IMPORTRANGE(""https://docs.google.com/spreadsheets/d/""&amp;$A250&amp;""/edit#gid=156619080"",C$3)"),131.0)</f>
        <v>131</v>
      </c>
      <c r="D250" s="2">
        <f>IFERROR(__xludf.DUMMYFUNCTION("IMPORTRANGE(""https://docs.google.com/spreadsheets/d/""&amp;$A250&amp;""/edit#gid=156619080"",D$3)"),3064.0)</f>
        <v>3064</v>
      </c>
      <c r="E250" s="15">
        <f>IFERROR(__xludf.DUMMYFUNCTION("IMPORTRANGE(""https://docs.google.com/spreadsheets/d/""&amp;$A250&amp;""/edit#gid=156619080"",E$3)"),43882.0)</f>
        <v>43882</v>
      </c>
      <c r="F250" s="2">
        <f>IFERROR(__xludf.DUMMYFUNCTION("IMPORTRANGE(""https://docs.google.com/spreadsheets/d/""&amp;$A250&amp;""/edit#gid=156619080"",F$3)"),3.0)</f>
        <v>3</v>
      </c>
      <c r="G250" s="16">
        <f>IFERROR(__xludf.DUMMYFUNCTION("IMPORTRANGE(""https://docs.google.com/spreadsheets/d/""&amp;$A250&amp;""/edit#gid=156619080"",G$3)"),0.11)</f>
        <v>0.11</v>
      </c>
      <c r="H250" s="16">
        <f>IFERROR(__xludf.DUMMYFUNCTION("IMPORTRANGE(""https://docs.google.com/spreadsheets/d/""&amp;$A250&amp;""/edit#gid=156619080"",H$3)"),2645.0)</f>
        <v>2645</v>
      </c>
      <c r="I250" s="16">
        <f>IFERROR(__xludf.DUMMYFUNCTION("IMPORTRANGE(""https://docs.google.com/spreadsheets/d/""&amp;$A250&amp;""/edit#gid=156619080"",I$3)"),-10.0)</f>
        <v>-10</v>
      </c>
      <c r="J250" s="16">
        <f>IFERROR(__xludf.DUMMYFUNCTION("IMPORTRANGE(""https://docs.google.com/spreadsheets/d/""&amp;$A250&amp;""/edit#gid=156619080"",J$3)"),2700.0)</f>
        <v>2700</v>
      </c>
      <c r="K250" s="16">
        <f>IFERROR(__xludf.DUMMYFUNCTION("IMPORTRANGE(""https://docs.google.com/spreadsheets/d/""&amp;$A250&amp;""/edit#gid=156619080"",K$3)"),0.39166666666666666)</f>
        <v>0.3916666667</v>
      </c>
      <c r="L250" s="16">
        <f>IFERROR(__xludf.DUMMYFUNCTION("IMPORTRANGE(""https://docs.google.com/spreadsheets/d/""&amp;$A250&amp;""/edit#gid=156619080"",L$3)"),2625.0)</f>
        <v>2625</v>
      </c>
      <c r="M250" s="16">
        <f>IFERROR(__xludf.DUMMYFUNCTION("IMPORTRANGE(""https://docs.google.com/spreadsheets/d/""&amp;$A250&amp;""/edit#gid=156619080"",M$3)"),0.5222222222222223)</f>
        <v>0.5222222222</v>
      </c>
      <c r="N250" s="16">
        <f>IFERROR(__xludf.DUMMYFUNCTION("IMPORTRANGE(""https://docs.google.com/spreadsheets/d/""&amp;$A250&amp;""/edit#gid=156619080"",N$3)"),2638.0)</f>
        <v>2638</v>
      </c>
      <c r="O250" s="16" t="str">
        <f>IFERROR(__xludf.DUMMYFUNCTION("IMPORTRANGE(""https://docs.google.com/spreadsheets/d/""&amp;$A250&amp;""/edit#gid=156619080"",O$3)"),"1017800株")</f>
        <v>1017800株</v>
      </c>
      <c r="P250" s="16" t="str">
        <f>IFERROR(__xludf.DUMMYFUNCTION("IMPORTRANGE(""https://docs.google.com/spreadsheets/d/""&amp;$A250&amp;""/edit#gid=156619080"",P$3)"),"2703百万円")</f>
        <v>2703百万円</v>
      </c>
      <c r="Q250" s="16" t="str">
        <f>IFERROR(__xludf.DUMMYFUNCTION("IMPORTRANGE(""https://docs.google.com/spreadsheets/d/""&amp;$A250&amp;""/edit#gid=156619080"",Q$3)"),"2937回")</f>
        <v>2937回</v>
      </c>
      <c r="R250" s="16" t="str">
        <f>IFERROR(__xludf.DUMMYFUNCTION("IMPORTRANGE(""https://docs.google.com/spreadsheets/d/""&amp;$A250&amp;""/edit#gid=156619080"",R$3)"),"6611億円")</f>
        <v>6611億円</v>
      </c>
      <c r="S250" s="16" t="str">
        <f>IFERROR(__xludf.DUMMYFUNCTION("IMPORTRANGE(""https://docs.google.com/spreadsheets/d/""&amp;$A250&amp;""/edit#gid=156619080"",S$3)"),"陰線")</f>
        <v>陰線</v>
      </c>
      <c r="T250" s="16" t="str">
        <f>IFERROR(__xludf.DUMMYFUNCTION("IMPORTRANGE(""https://docs.google.com/spreadsheets/d/""&amp;$A250&amp;""/edit#gid=156619080"",T$3)"),"")</f>
        <v/>
      </c>
      <c r="U250" s="16">
        <f>IFERROR(__xludf.DUMMYFUNCTION("IMPORTRANGE(""https://docs.google.com/spreadsheets/d/""&amp;$A250&amp;""/edit#gid=156619080"",U$3)"),2635.6)</f>
        <v>2635.6</v>
      </c>
      <c r="V250" s="16">
        <f>IFERROR(__xludf.DUMMYFUNCTION("IMPORTRANGE(""https://docs.google.com/spreadsheets/d/""&amp;$A250&amp;""/edit#gid=156619080"",V$3)"),2739.4)</f>
        <v>2739.4</v>
      </c>
      <c r="W250" s="16">
        <f>IFERROR(__xludf.DUMMYFUNCTION("IMPORTRANGE(""https://docs.google.com/spreadsheets/d/""&amp;$A250&amp;""/edit#gid=156619080"",W$3)"),2721.1)</f>
        <v>2721.1</v>
      </c>
      <c r="X250" s="2">
        <f>IFERROR(__xludf.DUMMYFUNCTION("IMPORTRANGE(""https://docs.google.com/spreadsheets/d/""&amp;$A250&amp;""/edit#gid=156619080"",X$3)"),2878.7)</f>
        <v>2878.7</v>
      </c>
      <c r="Y250" s="17">
        <f>IFERROR(__xludf.DUMMYFUNCTION("IMPORTRANGE(""https://docs.google.com/spreadsheets/d/""&amp;$A250&amp;""/edit#gid=156619080"",Y$3)"),9.106085900744009E-4)</f>
        <v>0.0009106085901</v>
      </c>
      <c r="Z250" s="2">
        <f>IFERROR(__xludf.DUMMYFUNCTION("IMPORTRANGE(""https://docs.google.com/spreadsheets/d/""&amp;$A250&amp;""/edit#gid=156619080"",Z$3)"),2878.04)</f>
        <v>2878.04</v>
      </c>
      <c r="AA250" s="2">
        <f>IFERROR(__xludf.DUMMYFUNCTION("IMPORTRANGE(""https://docs.google.com/spreadsheets/d/""&amp;$A250&amp;""/edit#gid=156619080"",AA$3)"),2858.42)</f>
        <v>2858.42</v>
      </c>
      <c r="AB250" s="2">
        <f>IFERROR(__xludf.DUMMYFUNCTION("IMPORTRANGE(""https://docs.google.com/spreadsheets/d/""&amp;$A250&amp;""/edit#gid=156619080"",AB$3)"),2838.8)</f>
        <v>2838.8</v>
      </c>
      <c r="AC250" s="18">
        <f>IFERROR(__xludf.DUMMYFUNCTION("IMPORTRANGE(""https://docs.google.com/spreadsheets/d/""&amp;$A250&amp;""/edit#gid=156619080"",AC$3)"),2819.19)</f>
        <v>2819.19</v>
      </c>
      <c r="AD250" s="18">
        <f>IFERROR(__xludf.DUMMYFUNCTION("IMPORTRANGE(""https://docs.google.com/spreadsheets/d/""&amp;$A250&amp;""/edit#gid=156619080"",AD$3)"),2799.57)</f>
        <v>2799.57</v>
      </c>
      <c r="AE250" s="18">
        <f>IFERROR(__xludf.DUMMYFUNCTION("IMPORTRANGE(""https://docs.google.com/spreadsheets/d/""&amp;$A250&amp;""/edit#gid=156619080"",AE$3)"),2721.1)</f>
        <v>2721.1</v>
      </c>
      <c r="AF250" s="2">
        <f>IFERROR(__xludf.DUMMYFUNCTION("IMPORTRANGE(""https://docs.google.com/spreadsheets/d/""&amp;$A250&amp;""/edit#gid=156619080"",AF$3)"),2642.63)</f>
        <v>2642.63</v>
      </c>
      <c r="AG250" s="2">
        <f>IFERROR(__xludf.DUMMYFUNCTION("IMPORTRANGE(""https://docs.google.com/spreadsheets/d/""&amp;$A250&amp;""/edit#gid=156619080"",AG$3)"),2623.01)</f>
        <v>2623.01</v>
      </c>
      <c r="AH250" s="2">
        <f>IFERROR(__xludf.DUMMYFUNCTION("IMPORTRANGE(""https://docs.google.com/spreadsheets/d/""&amp;$A250&amp;""/edit#gid=156619080"",AH$3)"),2603.4)</f>
        <v>2603.4</v>
      </c>
      <c r="AI250" s="2">
        <f>IFERROR(__xludf.DUMMYFUNCTION("IMPORTRANGE(""https://docs.google.com/spreadsheets/d/""&amp;$A250&amp;""/edit#gid=156619080"",AI$3)"),2583.78)</f>
        <v>2583.78</v>
      </c>
      <c r="AJ250" s="2">
        <f>IFERROR(__xludf.DUMMYFUNCTION("IMPORTRANGE(""https://docs.google.com/spreadsheets/d/""&amp;$A250&amp;""/edit#gid=156619080"",AJ$3)"),2564.16)</f>
        <v>2564.16</v>
      </c>
      <c r="AK250" s="2" t="str">
        <f>IFERROR(__xludf.DUMMYFUNCTION("IMPORTRANGE(""https://docs.google.com/spreadsheets/d/""&amp;$A250&amp;""/edit#gid=156619080"",AK$3)"),"-1〜-1.25σ")</f>
        <v>-1〜-1.25σ</v>
      </c>
      <c r="AL250" s="2">
        <f>IFERROR(__xludf.DUMMYFUNCTION("IMPORTRANGE(""https://docs.google.com/spreadsheets/d/""&amp;$A250&amp;""/edit#gid=156619080"",AL$3)"),-1.0)</f>
        <v>-1</v>
      </c>
      <c r="AM250" s="2" t="str">
        <f>IFERROR(__xludf.DUMMYFUNCTION("IMPORTRANGE(""https://docs.google.com/spreadsheets/d/""&amp;$A250&amp;""/edit#gid=156619080"",AM$3)"),"")</f>
        <v/>
      </c>
      <c r="AN250" s="2">
        <f>IFERROR(__xludf.DUMMYFUNCTION("IMPORTRANGE(""https://docs.google.com/spreadsheets/d/""&amp;$A250&amp;""/edit#gid=156619080"",AN$3)"),-1.0)</f>
        <v>-1</v>
      </c>
      <c r="AO250" s="2" t="str">
        <f>IFERROR(__xludf.DUMMYFUNCTION("IMPORTRANGE(""https://docs.google.com/spreadsheets/d/""&amp;$A250&amp;""/edit#gid=156619080"",AO$3)"),"")</f>
        <v/>
      </c>
      <c r="AP250" s="2">
        <f>IFERROR(__xludf.DUMMYFUNCTION("IMPORTRANGE(""https://docs.google.com/spreadsheets/d/""&amp;$A250&amp;""/edit#gid=156619080"",AP$3)"),1.0)</f>
        <v>1</v>
      </c>
      <c r="AQ250" s="2" t="str">
        <f>IFERROR(__xludf.DUMMYFUNCTION("IMPORTRANGE(""https://docs.google.com/spreadsheets/d/""&amp;$A250&amp;""/edit#gid=156619080"",AQ$3)"),"")</f>
        <v/>
      </c>
      <c r="AR250" s="18">
        <f>IFERROR(__xludf.DUMMYFUNCTION("IMPORTRANGE(""https://docs.google.com/spreadsheets/d/""&amp;$A250&amp;""/edit#gid=156619080"",AR$3)"),0.0)</f>
        <v>0</v>
      </c>
      <c r="AS250" s="19" t="str">
        <f>IFERROR(__xludf.DUMMYFUNCTION("IMPORTRANGE(""https://docs.google.com/spreadsheets/d/""&amp;$A250&amp;""/edit#gid=156619080"",AS$3)"),"-60
-60
-80
-60
")</f>
        <v>-60
-60
-80
-60
</v>
      </c>
      <c r="AT250" s="18">
        <f>IFERROR(__xludf.DUMMYFUNCTION("IMPORTRANGE(""https://docs.google.com/spreadsheets/d/""&amp;$A250&amp;""/edit#gid=156619080"",AT$3)"),-74.72527472527473)</f>
        <v>-74.72527473</v>
      </c>
      <c r="AU250" s="3" t="str">
        <f>IFERROR(__xludf.DUMMYFUNCTION("IMPORTRANGE(""https://docs.google.com/spreadsheets/d/""&amp;$A250&amp;""/edit#gid=156619080"",AU$3)"),"51.65
10.44
-24.73
-53.3
")</f>
        <v>51.65
10.44
-24.73
-53.3
</v>
      </c>
      <c r="AV250" s="18">
        <f>IFERROR(__xludf.DUMMYFUNCTION("IMPORTRANGE(""https://docs.google.com/spreadsheets/d/""&amp;$A250&amp;""/edit#gid=156619080"",AV$3)"),-7.532467532467524)</f>
        <v>-7.532467532</v>
      </c>
      <c r="AW250" s="19" t="str">
        <f>IFERROR(__xludf.DUMMYFUNCTION("IMPORTRANGE(""https://docs.google.com/spreadsheets/d/""&amp;$A250&amp;""/edit#gid=156619080"",AW$3)"),"64.42
48.31
30.91
9.61
")</f>
        <v>64.42
48.31
30.91
9.61
</v>
      </c>
      <c r="AX250" s="2">
        <f>IFERROR(__xludf.DUMMYFUNCTION("IMPORTRANGE(""https://docs.google.com/spreadsheets/d/""&amp;$A250&amp;""/edit#gid=156619080"",AX$3)"),26.200000000000003)</f>
        <v>26.2</v>
      </c>
      <c r="AY250" s="2">
        <f>IFERROR(__xludf.DUMMYFUNCTION("IMPORTRANGE(""https://docs.google.com/spreadsheets/d/""&amp;$A250&amp;""/edit#gid=156619080"",AY$3)"),46.61)</f>
        <v>46.61</v>
      </c>
      <c r="AZ250" s="2">
        <f>IFERROR(__xludf.DUMMYFUNCTION("IMPORTRANGE(""https://docs.google.com/spreadsheets/d/""&amp;$A250&amp;""/edit#gid=156619080"",AZ$3)"),2653.96)</f>
        <v>2653.96</v>
      </c>
      <c r="BA250" s="2">
        <f>IFERROR(__xludf.DUMMYFUNCTION("IMPORTRANGE(""https://docs.google.com/spreadsheets/d/""&amp;$A250&amp;""/edit#gid=156619080"",BA$3)"),-71.52999999999975)</f>
        <v>-71.53</v>
      </c>
      <c r="BB250" s="2">
        <f>IFERROR(__xludf.DUMMYFUNCTION("IMPORTRANGE(""https://docs.google.com/spreadsheets/d/""&amp;$A250&amp;""/edit#gid=156619080"",BB$3)"),-39.21)</f>
        <v>-39.21</v>
      </c>
      <c r="BC250" s="2" t="str">
        <f>IFERROR(__xludf.DUMMYFUNCTION("IMPORTRANGE(""https://docs.google.com/spreadsheets/d/""&amp;$A250&amp;""/edit#gid=156619080"",BC$3)"),"DC→DC")</f>
        <v>DC→DC</v>
      </c>
    </row>
    <row r="251" ht="51.0" customHeight="1">
      <c r="A251" s="7" t="str">
        <f t="shared" si="5"/>
        <v>1FgOTU_5M-lX3UDylTEhTtUBEtXpAD1S7xTp2xR-o_KQ</v>
      </c>
      <c r="B251" s="1" t="s">
        <v>278</v>
      </c>
      <c r="C251" s="2">
        <f>IFERROR(__xludf.DUMMYFUNCTION("IMPORTRANGE(""https://docs.google.com/spreadsheets/d/""&amp;$A251&amp;""/edit#gid=156619080"",C$3)"),131.0)</f>
        <v>131</v>
      </c>
      <c r="D251" s="2">
        <f>IFERROR(__xludf.DUMMYFUNCTION("IMPORTRANGE(""https://docs.google.com/spreadsheets/d/""&amp;$A251&amp;""/edit#gid=156619080"",D$3)"),3349.0)</f>
        <v>3349</v>
      </c>
      <c r="E251" s="15">
        <f>IFERROR(__xludf.DUMMYFUNCTION("IMPORTRANGE(""https://docs.google.com/spreadsheets/d/""&amp;$A251&amp;""/edit#gid=156619080"",E$3)"),43882.0)</f>
        <v>43882</v>
      </c>
      <c r="F251" s="2">
        <f>IFERROR(__xludf.DUMMYFUNCTION("IMPORTRANGE(""https://docs.google.com/spreadsheets/d/""&amp;$A251&amp;""/edit#gid=156619080"",F$3)"),350.0)</f>
        <v>350</v>
      </c>
      <c r="G251" s="16">
        <f>IFERROR(__xludf.DUMMYFUNCTION("IMPORTRANGE(""https://docs.google.com/spreadsheets/d/""&amp;$A251&amp;""/edit#gid=156619080"",G$3)"),1.49)</f>
        <v>1.49</v>
      </c>
      <c r="H251" s="16">
        <f>IFERROR(__xludf.DUMMYFUNCTION("IMPORTRANGE(""https://docs.google.com/spreadsheets/d/""&amp;$A251&amp;""/edit#gid=156619080"",H$3)"),23450.0)</f>
        <v>23450</v>
      </c>
      <c r="I251" s="16">
        <f>IFERROR(__xludf.DUMMYFUNCTION("IMPORTRANGE(""https://docs.google.com/spreadsheets/d/""&amp;$A251&amp;""/edit#gid=156619080"",I$3)"),40.0)</f>
        <v>40</v>
      </c>
      <c r="J251" s="16">
        <f>IFERROR(__xludf.DUMMYFUNCTION("IMPORTRANGE(""https://docs.google.com/spreadsheets/d/""&amp;$A251&amp;""/edit#gid=156619080"",J$3)"),23920.0)</f>
        <v>23920</v>
      </c>
      <c r="K251" s="16">
        <f>IFERROR(__xludf.DUMMYFUNCTION("IMPORTRANGE(""https://docs.google.com/spreadsheets/d/""&amp;$A251&amp;""/edit#gid=156619080"",K$3)"),0.5479166666666667)</f>
        <v>0.5479166667</v>
      </c>
      <c r="L251" s="16">
        <f>IFERROR(__xludf.DUMMYFUNCTION("IMPORTRANGE(""https://docs.google.com/spreadsheets/d/""&amp;$A251&amp;""/edit#gid=156619080"",L$3)"),23450.0)</f>
        <v>23450</v>
      </c>
      <c r="M251" s="16">
        <f>IFERROR(__xludf.DUMMYFUNCTION("IMPORTRANGE(""https://docs.google.com/spreadsheets/d/""&amp;$A251&amp;""/edit#gid=156619080"",M$3)"),0.375)</f>
        <v>0.375</v>
      </c>
      <c r="N251" s="16">
        <f>IFERROR(__xludf.DUMMYFUNCTION("IMPORTRANGE(""https://docs.google.com/spreadsheets/d/""&amp;$A251&amp;""/edit#gid=156619080"",N$3)"),23840.0)</f>
        <v>23840</v>
      </c>
      <c r="O251" s="16" t="str">
        <f>IFERROR(__xludf.DUMMYFUNCTION("IMPORTRANGE(""https://docs.google.com/spreadsheets/d/""&amp;$A251&amp;""/edit#gid=156619080"",O$3)"),"50400株")</f>
        <v>50400株</v>
      </c>
      <c r="P251" s="16" t="str">
        <f>IFERROR(__xludf.DUMMYFUNCTION("IMPORTRANGE(""https://docs.google.com/spreadsheets/d/""&amp;$A251&amp;""/edit#gid=156619080"",P$3)"),"1199百万円")</f>
        <v>1199百万円</v>
      </c>
      <c r="Q251" s="16" t="str">
        <f>IFERROR(__xludf.DUMMYFUNCTION("IMPORTRANGE(""https://docs.google.com/spreadsheets/d/""&amp;$A251&amp;""/edit#gid=156619080"",Q$3)"),"333回")</f>
        <v>333回</v>
      </c>
      <c r="R251" s="16" t="str">
        <f>IFERROR(__xludf.DUMMYFUNCTION("IMPORTRANGE(""https://docs.google.com/spreadsheets/d/""&amp;$A251&amp;""/edit#gid=156619080"",R$3)"),"4768億円")</f>
        <v>4768億円</v>
      </c>
      <c r="S251" s="16" t="str">
        <f>IFERROR(__xludf.DUMMYFUNCTION("IMPORTRANGE(""https://docs.google.com/spreadsheets/d/""&amp;$A251&amp;""/edit#gid=156619080"",S$3)"),"陽線")</f>
        <v>陽線</v>
      </c>
      <c r="T251" s="16" t="str">
        <f>IFERROR(__xludf.DUMMYFUNCTION("IMPORTRANGE(""https://docs.google.com/spreadsheets/d/""&amp;$A251&amp;""/edit#gid=156619080"",T$3)"),"")</f>
        <v/>
      </c>
      <c r="U251" s="16">
        <f>IFERROR(__xludf.DUMMYFUNCTION("IMPORTRANGE(""https://docs.google.com/spreadsheets/d/""&amp;$A251&amp;""/edit#gid=156619080"",U$3)"),23640.0)</f>
        <v>23640</v>
      </c>
      <c r="V251" s="16">
        <f>IFERROR(__xludf.DUMMYFUNCTION("IMPORTRANGE(""https://docs.google.com/spreadsheets/d/""&amp;$A251&amp;""/edit#gid=156619080"",V$3)"),24283.8)</f>
        <v>24283.8</v>
      </c>
      <c r="W251" s="16">
        <f>IFERROR(__xludf.DUMMYFUNCTION("IMPORTRANGE(""https://docs.google.com/spreadsheets/d/""&amp;$A251&amp;""/edit#gid=156619080"",W$3)"),24192.9)</f>
        <v>24192.9</v>
      </c>
      <c r="X251" s="2">
        <f>IFERROR(__xludf.DUMMYFUNCTION("IMPORTRANGE(""https://docs.google.com/spreadsheets/d/""&amp;$A251&amp;""/edit#gid=156619080"",X$3)"),22666.3)</f>
        <v>22666.3</v>
      </c>
      <c r="Y251" s="17">
        <f>IFERROR(__xludf.DUMMYFUNCTION("IMPORTRANGE(""https://docs.google.com/spreadsheets/d/""&amp;$A251&amp;""/edit#gid=156619080"",Y$3)"),0.008460236886632826)</f>
        <v>0.008460236887</v>
      </c>
      <c r="Z251" s="2">
        <f>IFERROR(__xludf.DUMMYFUNCTION("IMPORTRANGE(""https://docs.google.com/spreadsheets/d/""&amp;$A251&amp;""/edit#gid=156619080"",Z$3)"),25188.3)</f>
        <v>25188.3</v>
      </c>
      <c r="AA251" s="2">
        <f>IFERROR(__xludf.DUMMYFUNCTION("IMPORTRANGE(""https://docs.google.com/spreadsheets/d/""&amp;$A251&amp;""/edit#gid=156619080"",AA$3)"),25063.88)</f>
        <v>25063.88</v>
      </c>
      <c r="AB251" s="2">
        <f>IFERROR(__xludf.DUMMYFUNCTION("IMPORTRANGE(""https://docs.google.com/spreadsheets/d/""&amp;$A251&amp;""/edit#gid=156619080"",AB$3)"),24939.45)</f>
        <v>24939.45</v>
      </c>
      <c r="AC251" s="18">
        <f>IFERROR(__xludf.DUMMYFUNCTION("IMPORTRANGE(""https://docs.google.com/spreadsheets/d/""&amp;$A251&amp;""/edit#gid=156619080"",AC$3)"),24815.03)</f>
        <v>24815.03</v>
      </c>
      <c r="AD251" s="18">
        <f>IFERROR(__xludf.DUMMYFUNCTION("IMPORTRANGE(""https://docs.google.com/spreadsheets/d/""&amp;$A251&amp;""/edit#gid=156619080"",AD$3)"),24690.6)</f>
        <v>24690.6</v>
      </c>
      <c r="AE251" s="18">
        <f>IFERROR(__xludf.DUMMYFUNCTION("IMPORTRANGE(""https://docs.google.com/spreadsheets/d/""&amp;$A251&amp;""/edit#gid=156619080"",AE$3)"),24192.9)</f>
        <v>24192.9</v>
      </c>
      <c r="AF251" s="2">
        <f>IFERROR(__xludf.DUMMYFUNCTION("IMPORTRANGE(""https://docs.google.com/spreadsheets/d/""&amp;$A251&amp;""/edit#gid=156619080"",AF$3)"),23695.2)</f>
        <v>23695.2</v>
      </c>
      <c r="AG251" s="2">
        <f>IFERROR(__xludf.DUMMYFUNCTION("IMPORTRANGE(""https://docs.google.com/spreadsheets/d/""&amp;$A251&amp;""/edit#gid=156619080"",AG$3)"),23570.77)</f>
        <v>23570.77</v>
      </c>
      <c r="AH251" s="2">
        <f>IFERROR(__xludf.DUMMYFUNCTION("IMPORTRANGE(""https://docs.google.com/spreadsheets/d/""&amp;$A251&amp;""/edit#gid=156619080"",AH$3)"),23446.35)</f>
        <v>23446.35</v>
      </c>
      <c r="AI251" s="2">
        <f>IFERROR(__xludf.DUMMYFUNCTION("IMPORTRANGE(""https://docs.google.com/spreadsheets/d/""&amp;$A251&amp;""/edit#gid=156619080"",AI$3)"),23321.92)</f>
        <v>23321.92</v>
      </c>
      <c r="AJ251" s="2">
        <f>IFERROR(__xludf.DUMMYFUNCTION("IMPORTRANGE(""https://docs.google.com/spreadsheets/d/""&amp;$A251&amp;""/edit#gid=156619080"",AJ$3)"),23197.5)</f>
        <v>23197.5</v>
      </c>
      <c r="AK251" s="2" t="str">
        <f>IFERROR(__xludf.DUMMYFUNCTION("IMPORTRANGE(""https://docs.google.com/spreadsheets/d/""&amp;$A251&amp;""/edit#gid=156619080"",AK$3)"),"")</f>
        <v/>
      </c>
      <c r="AL251" s="2">
        <f>IFERROR(__xludf.DUMMYFUNCTION("IMPORTRANGE(""https://docs.google.com/spreadsheets/d/""&amp;$A251&amp;""/edit#gid=156619080"",AL$3)"),-1.0)</f>
        <v>-1</v>
      </c>
      <c r="AM251" s="2" t="str">
        <f>IFERROR(__xludf.DUMMYFUNCTION("IMPORTRANGE(""https://docs.google.com/spreadsheets/d/""&amp;$A251&amp;""/edit#gid=156619080"",AM$3)"),"")</f>
        <v/>
      </c>
      <c r="AN251" s="2">
        <f>IFERROR(__xludf.DUMMYFUNCTION("IMPORTRANGE(""https://docs.google.com/spreadsheets/d/""&amp;$A251&amp;""/edit#gid=156619080"",AN$3)"),-1.0)</f>
        <v>-1</v>
      </c>
      <c r="AO251" s="2" t="str">
        <f>IFERROR(__xludf.DUMMYFUNCTION("IMPORTRANGE(""https://docs.google.com/spreadsheets/d/""&amp;$A251&amp;""/edit#gid=156619080"",AO$3)"),"")</f>
        <v/>
      </c>
      <c r="AP251" s="2">
        <f>IFERROR(__xludf.DUMMYFUNCTION("IMPORTRANGE(""https://docs.google.com/spreadsheets/d/""&amp;$A251&amp;""/edit#gid=156619080"",AP$3)"),1.0)</f>
        <v>1</v>
      </c>
      <c r="AQ251" s="2" t="str">
        <f>IFERROR(__xludf.DUMMYFUNCTION("IMPORTRANGE(""https://docs.google.com/spreadsheets/d/""&amp;$A251&amp;""/edit#gid=156619080"",AQ$3)"),"")</f>
        <v/>
      </c>
      <c r="AR251" s="18">
        <f>IFERROR(__xludf.DUMMYFUNCTION("IMPORTRANGE(""https://docs.google.com/spreadsheets/d/""&amp;$A251&amp;""/edit#gid=156619080"",AR$3)"),-10.000000000000009)</f>
        <v>-10</v>
      </c>
      <c r="AS251" s="19" t="str">
        <f>IFERROR(__xludf.DUMMYFUNCTION("IMPORTRANGE(""https://docs.google.com/spreadsheets/d/""&amp;$A251&amp;""/edit#gid=156619080"",AS$3)"),"-100
-100
-90
-70
")</f>
        <v>-100
-100
-90
-70
</v>
      </c>
      <c r="AT251" s="18">
        <f>IFERROR(__xludf.DUMMYFUNCTION("IMPORTRANGE(""https://docs.google.com/spreadsheets/d/""&amp;$A251&amp;""/edit#gid=156619080"",AT$3)"),-81.86813186813187)</f>
        <v>-81.86813187</v>
      </c>
      <c r="AU251" s="3" t="str">
        <f>IFERROR(__xludf.DUMMYFUNCTION("IMPORTRANGE(""https://docs.google.com/spreadsheets/d/""&amp;$A251&amp;""/edit#gid=156619080"",AU$3)"),"36.26
-6.04
-41.76
-65.38
")</f>
        <v>36.26
-6.04
-41.76
-65.38
</v>
      </c>
      <c r="AV251" s="18">
        <f>IFERROR(__xludf.DUMMYFUNCTION("IMPORTRANGE(""https://docs.google.com/spreadsheets/d/""&amp;$A251&amp;""/edit#gid=156619080"",AV$3)"),-24.57792207792209)</f>
        <v>-24.57792208</v>
      </c>
      <c r="AW251" s="19" t="str">
        <f>IFERROR(__xludf.DUMMYFUNCTION("IMPORTRANGE(""https://docs.google.com/spreadsheets/d/""&amp;$A251&amp;""/edit#gid=156619080"",AW$3)"),"-3.15
-8.99
-16.14
-24.71
")</f>
        <v>-3.15
-8.99
-16.14
-24.71
</v>
      </c>
      <c r="AX251" s="2">
        <f>IFERROR(__xludf.DUMMYFUNCTION("IMPORTRANGE(""https://docs.google.com/spreadsheets/d/""&amp;$A251&amp;""/edit#gid=156619080"",AX$3)"),35.06)</f>
        <v>35.06</v>
      </c>
      <c r="AY251" s="2">
        <f>IFERROR(__xludf.DUMMYFUNCTION("IMPORTRANGE(""https://docs.google.com/spreadsheets/d/""&amp;$A251&amp;""/edit#gid=156619080"",AY$3)"),39.96)</f>
        <v>39.96</v>
      </c>
      <c r="AZ251" s="2">
        <f>IFERROR(__xludf.DUMMYFUNCTION("IMPORTRANGE(""https://docs.google.com/spreadsheets/d/""&amp;$A251&amp;""/edit#gid=156619080"",AZ$3)"),23774.31)</f>
        <v>23774.31</v>
      </c>
      <c r="BA251" s="2">
        <f>IFERROR(__xludf.DUMMYFUNCTION("IMPORTRANGE(""https://docs.google.com/spreadsheets/d/""&amp;$A251&amp;""/edit#gid=156619080"",BA$3)"),-272.73999999999796)</f>
        <v>-272.74</v>
      </c>
      <c r="BB251" s="2">
        <f>IFERROR(__xludf.DUMMYFUNCTION("IMPORTRANGE(""https://docs.google.com/spreadsheets/d/""&amp;$A251&amp;""/edit#gid=156619080"",BB$3)"),63.65)</f>
        <v>63.65</v>
      </c>
      <c r="BC251" s="2" t="str">
        <f>IFERROR(__xludf.DUMMYFUNCTION("IMPORTRANGE(""https://docs.google.com/spreadsheets/d/""&amp;$A251&amp;""/edit#gid=156619080"",BC$3)"),"DC→DC")</f>
        <v>DC→DC</v>
      </c>
    </row>
    <row r="252" ht="51.0" customHeight="1">
      <c r="A252" s="7" t="str">
        <f t="shared" si="5"/>
        <v>1wL8rqsmxlLv5a8G-gWsn6-2Ql1L_2ONsP0x7wzvPX9w</v>
      </c>
      <c r="B252" s="1" t="s">
        <v>279</v>
      </c>
      <c r="C252" s="2">
        <f>IFERROR(__xludf.DUMMYFUNCTION("IMPORTRANGE(""https://docs.google.com/spreadsheets/d/""&amp;$A252&amp;""/edit#gid=156619080"",C$3)"),131.0)</f>
        <v>131</v>
      </c>
      <c r="D252" s="2">
        <f>IFERROR(__xludf.DUMMYFUNCTION("IMPORTRANGE(""https://docs.google.com/spreadsheets/d/""&amp;$A252&amp;""/edit#gid=156619080"",D$3)"),3479.0)</f>
        <v>3479</v>
      </c>
      <c r="E252" s="15">
        <f>IFERROR(__xludf.DUMMYFUNCTION("IMPORTRANGE(""https://docs.google.com/spreadsheets/d/""&amp;$A252&amp;""/edit#gid=156619080"",E$3)"),43882.0)</f>
        <v>43882</v>
      </c>
      <c r="F252" s="2">
        <f>IFERROR(__xludf.DUMMYFUNCTION("IMPORTRANGE(""https://docs.google.com/spreadsheets/d/""&amp;$A252&amp;""/edit#gid=156619080"",F$3)"),-40.0)</f>
        <v>-40</v>
      </c>
      <c r="G252" s="16">
        <f>IFERROR(__xludf.DUMMYFUNCTION("IMPORTRANGE(""https://docs.google.com/spreadsheets/d/""&amp;$A252&amp;""/edit#gid=156619080"",G$3)"),-1.25)</f>
        <v>-1.25</v>
      </c>
      <c r="H252" s="16">
        <f>IFERROR(__xludf.DUMMYFUNCTION("IMPORTRANGE(""https://docs.google.com/spreadsheets/d/""&amp;$A252&amp;""/edit#gid=156619080"",H$3)"),3145.0)</f>
        <v>3145</v>
      </c>
      <c r="I252" s="16">
        <f>IFERROR(__xludf.DUMMYFUNCTION("IMPORTRANGE(""https://docs.google.com/spreadsheets/d/""&amp;$A252&amp;""/edit#gid=156619080"",I$3)"),65.0)</f>
        <v>65</v>
      </c>
      <c r="J252" s="16">
        <f>IFERROR(__xludf.DUMMYFUNCTION("IMPORTRANGE(""https://docs.google.com/spreadsheets/d/""&amp;$A252&amp;""/edit#gid=156619080"",J$3)"),3185.0)</f>
        <v>3185</v>
      </c>
      <c r="K252" s="16">
        <f>IFERROR(__xludf.DUMMYFUNCTION("IMPORTRANGE(""https://docs.google.com/spreadsheets/d/""&amp;$A252&amp;""/edit#gid=156619080"",K$3)"),0.3819444444444444)</f>
        <v>0.3819444444</v>
      </c>
      <c r="L252" s="16">
        <f>IFERROR(__xludf.DUMMYFUNCTION("IMPORTRANGE(""https://docs.google.com/spreadsheets/d/""&amp;$A252&amp;""/edit#gid=156619080"",L$3)"),3015.0)</f>
        <v>3015</v>
      </c>
      <c r="M252" s="16">
        <f>IFERROR(__xludf.DUMMYFUNCTION("IMPORTRANGE(""https://docs.google.com/spreadsheets/d/""&amp;$A252&amp;""/edit#gid=156619080"",M$3)"),0.43680555555555556)</f>
        <v>0.4368055556</v>
      </c>
      <c r="N252" s="16">
        <f>IFERROR(__xludf.DUMMYFUNCTION("IMPORTRANGE(""https://docs.google.com/spreadsheets/d/""&amp;$A252&amp;""/edit#gid=156619080"",N$3)"),3170.0)</f>
        <v>3170</v>
      </c>
      <c r="O252" s="16" t="str">
        <f>IFERROR(__xludf.DUMMYFUNCTION("IMPORTRANGE(""https://docs.google.com/spreadsheets/d/""&amp;$A252&amp;""/edit#gid=156619080"",O$3)"),"439000株")</f>
        <v>439000株</v>
      </c>
      <c r="P252" s="16" t="str">
        <f>IFERROR(__xludf.DUMMYFUNCTION("IMPORTRANGE(""https://docs.google.com/spreadsheets/d/""&amp;$A252&amp;""/edit#gid=156619080"",P$3)"),"1368百万円")</f>
        <v>1368百万円</v>
      </c>
      <c r="Q252" s="16" t="str">
        <f>IFERROR(__xludf.DUMMYFUNCTION("IMPORTRANGE(""https://docs.google.com/spreadsheets/d/""&amp;$A252&amp;""/edit#gid=156619080"",Q$3)"),"1729回")</f>
        <v>1729回</v>
      </c>
      <c r="R252" s="16" t="str">
        <f>IFERROR(__xludf.DUMMYFUNCTION("IMPORTRANGE(""https://docs.google.com/spreadsheets/d/""&amp;$A252&amp;""/edit#gid=156619080"",R$3)"),"1206億円")</f>
        <v>1206億円</v>
      </c>
      <c r="S252" s="16" t="str">
        <f>IFERROR(__xludf.DUMMYFUNCTION("IMPORTRANGE(""https://docs.google.com/spreadsheets/d/""&amp;$A252&amp;""/edit#gid=156619080"",S$3)"),"陽線")</f>
        <v>陽線</v>
      </c>
      <c r="T252" s="16" t="str">
        <f>IFERROR(__xludf.DUMMYFUNCTION("IMPORTRANGE(""https://docs.google.com/spreadsheets/d/""&amp;$A252&amp;""/edit#gid=156619080"",T$3)"),"RSV1")</f>
        <v>RSV1</v>
      </c>
      <c r="U252" s="16">
        <f>IFERROR(__xludf.DUMMYFUNCTION("IMPORTRANGE(""https://docs.google.com/spreadsheets/d/""&amp;$A252&amp;""/edit#gid=156619080"",U$3)"),3347.0)</f>
        <v>3347</v>
      </c>
      <c r="V252" s="16">
        <f>IFERROR(__xludf.DUMMYFUNCTION("IMPORTRANGE(""https://docs.google.com/spreadsheets/d/""&amp;$A252&amp;""/edit#gid=156619080"",V$3)"),3620.0)</f>
        <v>3620</v>
      </c>
      <c r="W252" s="16">
        <f>IFERROR(__xludf.DUMMYFUNCTION("IMPORTRANGE(""https://docs.google.com/spreadsheets/d/""&amp;$A252&amp;""/edit#gid=156619080"",W$3)"),3783.1)</f>
        <v>3783.1</v>
      </c>
      <c r="X252" s="2">
        <f>IFERROR(__xludf.DUMMYFUNCTION("IMPORTRANGE(""https://docs.google.com/spreadsheets/d/""&amp;$A252&amp;""/edit#gid=156619080"",X$3)"),4471.6)</f>
        <v>4471.6</v>
      </c>
      <c r="Y252" s="17">
        <f>IFERROR(__xludf.DUMMYFUNCTION("IMPORTRANGE(""https://docs.google.com/spreadsheets/d/""&amp;$A252&amp;""/edit#gid=156619080"",Y$3)"),-0.052883178966238426)</f>
        <v>-0.05288317897</v>
      </c>
      <c r="Z252" s="2">
        <f>IFERROR(__xludf.DUMMYFUNCTION("IMPORTRANGE(""https://docs.google.com/spreadsheets/d/""&amp;$A252&amp;""/edit#gid=156619080"",Z$3)"),4390.36)</f>
        <v>4390.36</v>
      </c>
      <c r="AA252" s="2">
        <f>IFERROR(__xludf.DUMMYFUNCTION("IMPORTRANGE(""https://docs.google.com/spreadsheets/d/""&amp;$A252&amp;""/edit#gid=156619080"",AA$3)"),4314.45)</f>
        <v>4314.45</v>
      </c>
      <c r="AB252" s="2">
        <f>IFERROR(__xludf.DUMMYFUNCTION("IMPORTRANGE(""https://docs.google.com/spreadsheets/d/""&amp;$A252&amp;""/edit#gid=156619080"",AB$3)"),4238.55)</f>
        <v>4238.55</v>
      </c>
      <c r="AC252" s="18">
        <f>IFERROR(__xludf.DUMMYFUNCTION("IMPORTRANGE(""https://docs.google.com/spreadsheets/d/""&amp;$A252&amp;""/edit#gid=156619080"",AC$3)"),4162.64)</f>
        <v>4162.64</v>
      </c>
      <c r="AD252" s="18">
        <f>IFERROR(__xludf.DUMMYFUNCTION("IMPORTRANGE(""https://docs.google.com/spreadsheets/d/""&amp;$A252&amp;""/edit#gid=156619080"",AD$3)"),4086.73)</f>
        <v>4086.73</v>
      </c>
      <c r="AE252" s="18">
        <f>IFERROR(__xludf.DUMMYFUNCTION("IMPORTRANGE(""https://docs.google.com/spreadsheets/d/""&amp;$A252&amp;""/edit#gid=156619080"",AE$3)"),3783.1)</f>
        <v>3783.1</v>
      </c>
      <c r="AF252" s="2">
        <f>IFERROR(__xludf.DUMMYFUNCTION("IMPORTRANGE(""https://docs.google.com/spreadsheets/d/""&amp;$A252&amp;""/edit#gid=156619080"",AF$3)"),3479.47)</f>
        <v>3479.47</v>
      </c>
      <c r="AG252" s="2">
        <f>IFERROR(__xludf.DUMMYFUNCTION("IMPORTRANGE(""https://docs.google.com/spreadsheets/d/""&amp;$A252&amp;""/edit#gid=156619080"",AG$3)"),3403.56)</f>
        <v>3403.56</v>
      </c>
      <c r="AH252" s="2">
        <f>IFERROR(__xludf.DUMMYFUNCTION("IMPORTRANGE(""https://docs.google.com/spreadsheets/d/""&amp;$A252&amp;""/edit#gid=156619080"",AH$3)"),3327.65)</f>
        <v>3327.65</v>
      </c>
      <c r="AI252" s="2">
        <f>IFERROR(__xludf.DUMMYFUNCTION("IMPORTRANGE(""https://docs.google.com/spreadsheets/d/""&amp;$A252&amp;""/edit#gid=156619080"",AI$3)"),3251.75)</f>
        <v>3251.75</v>
      </c>
      <c r="AJ252" s="2">
        <f>IFERROR(__xludf.DUMMYFUNCTION("IMPORTRANGE(""https://docs.google.com/spreadsheets/d/""&amp;$A252&amp;""/edit#gid=156619080"",AJ$3)"),3175.84)</f>
        <v>3175.84</v>
      </c>
      <c r="AK252" s="2" t="str">
        <f>IFERROR(__xludf.DUMMYFUNCTION("IMPORTRANGE(""https://docs.google.com/spreadsheets/d/""&amp;$A252&amp;""/edit#gid=156619080"",AK$3)"),"-2σ以下")</f>
        <v>-2σ以下</v>
      </c>
      <c r="AL252" s="2">
        <f>IFERROR(__xludf.DUMMYFUNCTION("IMPORTRANGE(""https://docs.google.com/spreadsheets/d/""&amp;$A252&amp;""/edit#gid=156619080"",AL$3)"),-1.0)</f>
        <v>-1</v>
      </c>
      <c r="AM252" s="2" t="str">
        <f>IFERROR(__xludf.DUMMYFUNCTION("IMPORTRANGE(""https://docs.google.com/spreadsheets/d/""&amp;$A252&amp;""/edit#gid=156619080"",AM$3)"),"")</f>
        <v/>
      </c>
      <c r="AN252" s="2">
        <f>IFERROR(__xludf.DUMMYFUNCTION("IMPORTRANGE(""https://docs.google.com/spreadsheets/d/""&amp;$A252&amp;""/edit#gid=156619080"",AN$3)"),-1.0)</f>
        <v>-1</v>
      </c>
      <c r="AO252" s="2" t="str">
        <f>IFERROR(__xludf.DUMMYFUNCTION("IMPORTRANGE(""https://docs.google.com/spreadsheets/d/""&amp;$A252&amp;""/edit#gid=156619080"",AO$3)"),"")</f>
        <v/>
      </c>
      <c r="AP252" s="2">
        <f>IFERROR(__xludf.DUMMYFUNCTION("IMPORTRANGE(""https://docs.google.com/spreadsheets/d/""&amp;$A252&amp;""/edit#gid=156619080"",AP$3)"),-1.0)</f>
        <v>-1</v>
      </c>
      <c r="AQ252" s="2" t="str">
        <f>IFERROR(__xludf.DUMMYFUNCTION("IMPORTRANGE(""https://docs.google.com/spreadsheets/d/""&amp;$A252&amp;""/edit#gid=156619080"",AQ$3)"),"")</f>
        <v/>
      </c>
      <c r="AR252" s="18">
        <f>IFERROR(__xludf.DUMMYFUNCTION("IMPORTRANGE(""https://docs.google.com/spreadsheets/d/""&amp;$A252&amp;""/edit#gid=156619080"",AR$3)"),-100.0)</f>
        <v>-100</v>
      </c>
      <c r="AS252" s="19" t="str">
        <f>IFERROR(__xludf.DUMMYFUNCTION("IMPORTRANGE(""https://docs.google.com/spreadsheets/d/""&amp;$A252&amp;""/edit#gid=156619080"",AS$3)"),"-70
-90
-100
-100
")</f>
        <v>-70
-90
-100
-100
</v>
      </c>
      <c r="AT252" s="18">
        <f>IFERROR(__xludf.DUMMYFUNCTION("IMPORTRANGE(""https://docs.google.com/spreadsheets/d/""&amp;$A252&amp;""/edit#gid=156619080"",AT$3)"),-87.5)</f>
        <v>-87.5</v>
      </c>
      <c r="AU252" s="3" t="str">
        <f>IFERROR(__xludf.DUMMYFUNCTION("IMPORTRANGE(""https://docs.google.com/spreadsheets/d/""&amp;$A252&amp;""/edit#gid=156619080"",AU$3)"),"-72.12
-72.12
-77.06
-80.91
")</f>
        <v>-72.12
-72.12
-77.06
-80.91
</v>
      </c>
      <c r="AV252" s="18">
        <f>IFERROR(__xludf.DUMMYFUNCTION("IMPORTRANGE(""https://docs.google.com/spreadsheets/d/""&amp;$A252&amp;""/edit#gid=156619080"",AV$3)"),-93.27922077922078)</f>
        <v>-93.27922078</v>
      </c>
      <c r="AW252" s="19" t="str">
        <f>IFERROR(__xludf.DUMMYFUNCTION("IMPORTRANGE(""https://docs.google.com/spreadsheets/d/""&amp;$A252&amp;""/edit#gid=156619080"",AW$3)"),"-92.11
-92.89
-93.28
-93.28
")</f>
        <v>-92.11
-92.89
-93.28
-93.28
</v>
      </c>
      <c r="AX252" s="2">
        <f>IFERROR(__xludf.DUMMYFUNCTION("IMPORTRANGE(""https://docs.google.com/spreadsheets/d/""&amp;$A252&amp;""/edit#gid=156619080"",AX$3)"),0.0)</f>
        <v>0</v>
      </c>
      <c r="AY252" s="2">
        <f>IFERROR(__xludf.DUMMYFUNCTION("IMPORTRANGE(""https://docs.google.com/spreadsheets/d/""&amp;$A252&amp;""/edit#gid=156619080"",AY$3)"),17.18)</f>
        <v>17.18</v>
      </c>
      <c r="AZ252" s="2">
        <f>IFERROR(__xludf.DUMMYFUNCTION("IMPORTRANGE(""https://docs.google.com/spreadsheets/d/""&amp;$A252&amp;""/edit#gid=156619080"",AZ$3)"),3335.17)</f>
        <v>3335.17</v>
      </c>
      <c r="BA252" s="2">
        <f>IFERROR(__xludf.DUMMYFUNCTION("IMPORTRANGE(""https://docs.google.com/spreadsheets/d/""&amp;$A252&amp;""/edit#gid=156619080"",BA$3)"),-394.52999999999975)</f>
        <v>-394.53</v>
      </c>
      <c r="BB252" s="2">
        <f>IFERROR(__xludf.DUMMYFUNCTION("IMPORTRANGE(""https://docs.google.com/spreadsheets/d/""&amp;$A252&amp;""/edit#gid=156619080"",BB$3)"),-272.46)</f>
        <v>-272.46</v>
      </c>
      <c r="BC252" s="2" t="str">
        <f>IFERROR(__xludf.DUMMYFUNCTION("IMPORTRANGE(""https://docs.google.com/spreadsheets/d/""&amp;$A252&amp;""/edit#gid=156619080"",BC$3)"),"DC→DC")</f>
        <v>DC→DC</v>
      </c>
    </row>
    <row r="253" ht="51.0" customHeight="1">
      <c r="A253" s="7" t="str">
        <f t="shared" si="5"/>
        <v>1FdFjs-ONsyzt4WGnp1xG2zhQkJb-yng4M4TEXilri3M</v>
      </c>
      <c r="B253" s="1" t="s">
        <v>280</v>
      </c>
      <c r="C253" s="2">
        <f>IFERROR(__xludf.DUMMYFUNCTION("IMPORTRANGE(""https://docs.google.com/spreadsheets/d/""&amp;$A253&amp;""/edit#gid=156619080"",C$3)"),131.0)</f>
        <v>131</v>
      </c>
      <c r="D253" s="2">
        <f>IFERROR(__xludf.DUMMYFUNCTION("IMPORTRANGE(""https://docs.google.com/spreadsheets/d/""&amp;$A253&amp;""/edit#gid=156619080"",D$3)"),3687.0)</f>
        <v>3687</v>
      </c>
      <c r="E253" s="15">
        <f>IFERROR(__xludf.DUMMYFUNCTION("IMPORTRANGE(""https://docs.google.com/spreadsheets/d/""&amp;$A253&amp;""/edit#gid=156619080"",E$3)"),43882.0)</f>
        <v>43882</v>
      </c>
      <c r="F253" s="2">
        <f>IFERROR(__xludf.DUMMYFUNCTION("IMPORTRANGE(""https://docs.google.com/spreadsheets/d/""&amp;$A253&amp;""/edit#gid=156619080"",F$3)"),-3.0)</f>
        <v>-3</v>
      </c>
      <c r="G253" s="16">
        <f>IFERROR(__xludf.DUMMYFUNCTION("IMPORTRANGE(""https://docs.google.com/spreadsheets/d/""&amp;$A253&amp;""/edit#gid=156619080"",G$3)"),-0.22)</f>
        <v>-0.22</v>
      </c>
      <c r="H253" s="16">
        <f>IFERROR(__xludf.DUMMYFUNCTION("IMPORTRANGE(""https://docs.google.com/spreadsheets/d/""&amp;$A253&amp;""/edit#gid=156619080"",H$3)"),1331.0)</f>
        <v>1331</v>
      </c>
      <c r="I253" s="16">
        <f>IFERROR(__xludf.DUMMYFUNCTION("IMPORTRANGE(""https://docs.google.com/spreadsheets/d/""&amp;$A253&amp;""/edit#gid=156619080"",I$3)"),18.0)</f>
        <v>18</v>
      </c>
      <c r="J253" s="16">
        <f>IFERROR(__xludf.DUMMYFUNCTION("IMPORTRANGE(""https://docs.google.com/spreadsheets/d/""&amp;$A253&amp;""/edit#gid=156619080"",J$3)"),1358.0)</f>
        <v>1358</v>
      </c>
      <c r="K253" s="16">
        <f>IFERROR(__xludf.DUMMYFUNCTION("IMPORTRANGE(""https://docs.google.com/spreadsheets/d/""&amp;$A253&amp;""/edit#gid=156619080"",K$3)"),0.5305555555555556)</f>
        <v>0.5305555556</v>
      </c>
      <c r="L253" s="16">
        <f>IFERROR(__xludf.DUMMYFUNCTION("IMPORTRANGE(""https://docs.google.com/spreadsheets/d/""&amp;$A253&amp;""/edit#gid=156619080"",L$3)"),1327.0)</f>
        <v>1327</v>
      </c>
      <c r="M253" s="16">
        <f>IFERROR(__xludf.DUMMYFUNCTION("IMPORTRANGE(""https://docs.google.com/spreadsheets/d/""&amp;$A253&amp;""/edit#gid=156619080"",M$3)"),0.3798611111111111)</f>
        <v>0.3798611111</v>
      </c>
      <c r="N253" s="16">
        <f>IFERROR(__xludf.DUMMYFUNCTION("IMPORTRANGE(""https://docs.google.com/spreadsheets/d/""&amp;$A253&amp;""/edit#gid=156619080"",N$3)"),1346.0)</f>
        <v>1346</v>
      </c>
      <c r="O253" s="16" t="str">
        <f>IFERROR(__xludf.DUMMYFUNCTION("IMPORTRANGE(""https://docs.google.com/spreadsheets/d/""&amp;$A253&amp;""/edit#gid=156619080"",O$3)"),"221400株")</f>
        <v>221400株</v>
      </c>
      <c r="P253" s="16" t="str">
        <f>IFERROR(__xludf.DUMMYFUNCTION("IMPORTRANGE(""https://docs.google.com/spreadsheets/d/""&amp;$A253&amp;""/edit#gid=156619080"",P$3)"),"298百万円")</f>
        <v>298百万円</v>
      </c>
      <c r="Q253" s="16" t="str">
        <f>IFERROR(__xludf.DUMMYFUNCTION("IMPORTRANGE(""https://docs.google.com/spreadsheets/d/""&amp;$A253&amp;""/edit#gid=156619080"",Q$3)"),"935回")</f>
        <v>935回</v>
      </c>
      <c r="R253" s="16" t="str">
        <f>IFERROR(__xludf.DUMMYFUNCTION("IMPORTRANGE(""https://docs.google.com/spreadsheets/d/""&amp;$A253&amp;""/edit#gid=156619080"",R$3)"),"452億円")</f>
        <v>452億円</v>
      </c>
      <c r="S253" s="16" t="str">
        <f>IFERROR(__xludf.DUMMYFUNCTION("IMPORTRANGE(""https://docs.google.com/spreadsheets/d/""&amp;$A253&amp;""/edit#gid=156619080"",S$3)"),"陽線")</f>
        <v>陽線</v>
      </c>
      <c r="T253" s="16" t="str">
        <f>IFERROR(__xludf.DUMMYFUNCTION("IMPORTRANGE(""https://docs.google.com/spreadsheets/d/""&amp;$A253&amp;""/edit#gid=156619080"",T$3)"),"")</f>
        <v/>
      </c>
      <c r="U253" s="16">
        <f>IFERROR(__xludf.DUMMYFUNCTION("IMPORTRANGE(""https://docs.google.com/spreadsheets/d/""&amp;$A253&amp;""/edit#gid=156619080"",U$3)"),1345.2)</f>
        <v>1345.2</v>
      </c>
      <c r="V253" s="16">
        <f>IFERROR(__xludf.DUMMYFUNCTION("IMPORTRANGE(""https://docs.google.com/spreadsheets/d/""&amp;$A253&amp;""/edit#gid=156619080"",V$3)"),1426.2)</f>
        <v>1426.2</v>
      </c>
      <c r="W253" s="16">
        <f>IFERROR(__xludf.DUMMYFUNCTION("IMPORTRANGE(""https://docs.google.com/spreadsheets/d/""&amp;$A253&amp;""/edit#gid=156619080"",W$3)"),1483.4)</f>
        <v>1483.4</v>
      </c>
      <c r="X253" s="2">
        <f>IFERROR(__xludf.DUMMYFUNCTION("IMPORTRANGE(""https://docs.google.com/spreadsheets/d/""&amp;$A253&amp;""/edit#gid=156619080"",X$3)"),1500.1)</f>
        <v>1500.1</v>
      </c>
      <c r="Y253" s="17">
        <f>IFERROR(__xludf.DUMMYFUNCTION("IMPORTRANGE(""https://docs.google.com/spreadsheets/d/""&amp;$A253&amp;""/edit#gid=156619080"",Y$3)"),5.947071067498918E-4)</f>
        <v>0.0005947071067</v>
      </c>
      <c r="Z253" s="2">
        <f>IFERROR(__xludf.DUMMYFUNCTION("IMPORTRANGE(""https://docs.google.com/spreadsheets/d/""&amp;$A253&amp;""/edit#gid=156619080"",Z$3)"),1679.65)</f>
        <v>1679.65</v>
      </c>
      <c r="AA253" s="2">
        <f>IFERROR(__xludf.DUMMYFUNCTION("IMPORTRANGE(""https://docs.google.com/spreadsheets/d/""&amp;$A253&amp;""/edit#gid=156619080"",AA$3)"),1655.12)</f>
        <v>1655.12</v>
      </c>
      <c r="AB253" s="2">
        <f>IFERROR(__xludf.DUMMYFUNCTION("IMPORTRANGE(""https://docs.google.com/spreadsheets/d/""&amp;$A253&amp;""/edit#gid=156619080"",AB$3)"),1630.58)</f>
        <v>1630.58</v>
      </c>
      <c r="AC253" s="18">
        <f>IFERROR(__xludf.DUMMYFUNCTION("IMPORTRANGE(""https://docs.google.com/spreadsheets/d/""&amp;$A253&amp;""/edit#gid=156619080"",AC$3)"),1606.05)</f>
        <v>1606.05</v>
      </c>
      <c r="AD253" s="18">
        <f>IFERROR(__xludf.DUMMYFUNCTION("IMPORTRANGE(""https://docs.google.com/spreadsheets/d/""&amp;$A253&amp;""/edit#gid=156619080"",AD$3)"),1581.52)</f>
        <v>1581.52</v>
      </c>
      <c r="AE253" s="18">
        <f>IFERROR(__xludf.DUMMYFUNCTION("IMPORTRANGE(""https://docs.google.com/spreadsheets/d/""&amp;$A253&amp;""/edit#gid=156619080"",AE$3)"),1483.4)</f>
        <v>1483.4</v>
      </c>
      <c r="AF253" s="2">
        <f>IFERROR(__xludf.DUMMYFUNCTION("IMPORTRANGE(""https://docs.google.com/spreadsheets/d/""&amp;$A253&amp;""/edit#gid=156619080"",AF$3)"),1385.28)</f>
        <v>1385.28</v>
      </c>
      <c r="AG253" s="2">
        <f>IFERROR(__xludf.DUMMYFUNCTION("IMPORTRANGE(""https://docs.google.com/spreadsheets/d/""&amp;$A253&amp;""/edit#gid=156619080"",AG$3)"),1360.75)</f>
        <v>1360.75</v>
      </c>
      <c r="AH253" s="2">
        <f>IFERROR(__xludf.DUMMYFUNCTION("IMPORTRANGE(""https://docs.google.com/spreadsheets/d/""&amp;$A253&amp;""/edit#gid=156619080"",AH$3)"),1336.22)</f>
        <v>1336.22</v>
      </c>
      <c r="AI253" s="2">
        <f>IFERROR(__xludf.DUMMYFUNCTION("IMPORTRANGE(""https://docs.google.com/spreadsheets/d/""&amp;$A253&amp;""/edit#gid=156619080"",AI$3)"),1311.68)</f>
        <v>1311.68</v>
      </c>
      <c r="AJ253" s="2">
        <f>IFERROR(__xludf.DUMMYFUNCTION("IMPORTRANGE(""https://docs.google.com/spreadsheets/d/""&amp;$A253&amp;""/edit#gid=156619080"",AJ$3)"),1287.15)</f>
        <v>1287.15</v>
      </c>
      <c r="AK253" s="2" t="str">
        <f>IFERROR(__xludf.DUMMYFUNCTION("IMPORTRANGE(""https://docs.google.com/spreadsheets/d/""&amp;$A253&amp;""/edit#gid=156619080"",AK$3)"),"-1.25σ〜-1.5σ")</f>
        <v>-1.25σ〜-1.5σ</v>
      </c>
      <c r="AL253" s="2">
        <f>IFERROR(__xludf.DUMMYFUNCTION("IMPORTRANGE(""https://docs.google.com/spreadsheets/d/""&amp;$A253&amp;""/edit#gid=156619080"",AL$3)"),-1.0)</f>
        <v>-1</v>
      </c>
      <c r="AM253" s="2" t="str">
        <f>IFERROR(__xludf.DUMMYFUNCTION("IMPORTRANGE(""https://docs.google.com/spreadsheets/d/""&amp;$A253&amp;""/edit#gid=156619080"",AM$3)"),"")</f>
        <v/>
      </c>
      <c r="AN253" s="2">
        <f>IFERROR(__xludf.DUMMYFUNCTION("IMPORTRANGE(""https://docs.google.com/spreadsheets/d/""&amp;$A253&amp;""/edit#gid=156619080"",AN$3)"),-1.0)</f>
        <v>-1</v>
      </c>
      <c r="AO253" s="2" t="str">
        <f>IFERROR(__xludf.DUMMYFUNCTION("IMPORTRANGE(""https://docs.google.com/spreadsheets/d/""&amp;$A253&amp;""/edit#gid=156619080"",AO$3)"),"")</f>
        <v/>
      </c>
      <c r="AP253" s="2">
        <f>IFERROR(__xludf.DUMMYFUNCTION("IMPORTRANGE(""https://docs.google.com/spreadsheets/d/""&amp;$A253&amp;""/edit#gid=156619080"",AP$3)"),-1.0)</f>
        <v>-1</v>
      </c>
      <c r="AQ253" s="2" t="str">
        <f>IFERROR(__xludf.DUMMYFUNCTION("IMPORTRANGE(""https://docs.google.com/spreadsheets/d/""&amp;$A253&amp;""/edit#gid=156619080"",AQ$3)"),"")</f>
        <v/>
      </c>
      <c r="AR253" s="18">
        <f>IFERROR(__xludf.DUMMYFUNCTION("IMPORTRANGE(""https://docs.google.com/spreadsheets/d/""&amp;$A253&amp;""/edit#gid=156619080"",AR$3)"),-10.000000000000009)</f>
        <v>-10</v>
      </c>
      <c r="AS253" s="19" t="str">
        <f>IFERROR(__xludf.DUMMYFUNCTION("IMPORTRANGE(""https://docs.google.com/spreadsheets/d/""&amp;$A253&amp;""/edit#gid=156619080"",AS$3)"),"-90
-100
-90
-60
")</f>
        <v>-90
-100
-90
-60
</v>
      </c>
      <c r="AT253" s="18">
        <f>IFERROR(__xludf.DUMMYFUNCTION("IMPORTRANGE(""https://docs.google.com/spreadsheets/d/""&amp;$A253&amp;""/edit#gid=156619080"",AT$3)"),-81.31868131868131)</f>
        <v>-81.31868132</v>
      </c>
      <c r="AU253" s="3" t="str">
        <f>IFERROR(__xludf.DUMMYFUNCTION("IMPORTRANGE(""https://docs.google.com/spreadsheets/d/""&amp;$A253&amp;""/edit#gid=156619080"",AU$3)"),"-70.88
-70.88
-76.37
-79.12
")</f>
        <v>-70.88
-70.88
-76.37
-79.12
</v>
      </c>
      <c r="AV253" s="18">
        <f>IFERROR(__xludf.DUMMYFUNCTION("IMPORTRANGE(""https://docs.google.com/spreadsheets/d/""&amp;$A253&amp;""/edit#gid=156619080"",AV$3)"),-91.55844155844154)</f>
        <v>-91.55844156</v>
      </c>
      <c r="AW253" s="19" t="str">
        <f>IFERROR(__xludf.DUMMYFUNCTION("IMPORTRANGE(""https://docs.google.com/spreadsheets/d/""&amp;$A253&amp;""/edit#gid=156619080"",AW$3)"),"-91.17
-91.17
-91.82
-91.95
")</f>
        <v>-91.17
-91.17
-91.82
-91.95
</v>
      </c>
      <c r="AX253" s="2">
        <f>IFERROR(__xludf.DUMMYFUNCTION("IMPORTRANGE(""https://docs.google.com/spreadsheets/d/""&amp;$A253&amp;""/edit#gid=156619080"",AX$3)"),24.32)</f>
        <v>24.32</v>
      </c>
      <c r="AY253" s="2">
        <f>IFERROR(__xludf.DUMMYFUNCTION("IMPORTRANGE(""https://docs.google.com/spreadsheets/d/""&amp;$A253&amp;""/edit#gid=156619080"",AY$3)"),29.03)</f>
        <v>29.03</v>
      </c>
      <c r="AZ253" s="2">
        <f>IFERROR(__xludf.DUMMYFUNCTION("IMPORTRANGE(""https://docs.google.com/spreadsheets/d/""&amp;$A253&amp;""/edit#gid=156619080"",AZ$3)"),1359.59)</f>
        <v>1359.59</v>
      </c>
      <c r="BA253" s="2">
        <f>IFERROR(__xludf.DUMMYFUNCTION("IMPORTRANGE(""https://docs.google.com/spreadsheets/d/""&amp;$A253&amp;""/edit#gid=156619080"",BA$3)"),-98.06000000000017)</f>
        <v>-98.06</v>
      </c>
      <c r="BB253" s="2">
        <f>IFERROR(__xludf.DUMMYFUNCTION("IMPORTRANGE(""https://docs.google.com/spreadsheets/d/""&amp;$A253&amp;""/edit#gid=156619080"",BB$3)"),-70.04)</f>
        <v>-70.04</v>
      </c>
      <c r="BC253" s="2" t="str">
        <f>IFERROR(__xludf.DUMMYFUNCTION("IMPORTRANGE(""https://docs.google.com/spreadsheets/d/""&amp;$A253&amp;""/edit#gid=156619080"",BC$3)"),"DC→DC")</f>
        <v>DC→DC</v>
      </c>
    </row>
    <row r="254" ht="51.0" customHeight="1">
      <c r="A254" s="7" t="str">
        <f t="shared" si="5"/>
        <v>1YyPpDDDWpBrCvs6DeExR_B1XOqtUPj8zbZUYF6jK8y4</v>
      </c>
      <c r="B254" s="1" t="s">
        <v>281</v>
      </c>
      <c r="C254" s="2">
        <f>IFERROR(__xludf.DUMMYFUNCTION("IMPORTRANGE(""https://docs.google.com/spreadsheets/d/""&amp;$A254&amp;""/edit#gid=156619080"",C$3)"),131.0)</f>
        <v>131</v>
      </c>
      <c r="D254" s="2">
        <f>IFERROR(__xludf.DUMMYFUNCTION("IMPORTRANGE(""https://docs.google.com/spreadsheets/d/""&amp;$A254&amp;""/edit#gid=156619080"",D$3)"),6920.0)</f>
        <v>6920</v>
      </c>
      <c r="E254" s="15">
        <f>IFERROR(__xludf.DUMMYFUNCTION("IMPORTRANGE(""https://docs.google.com/spreadsheets/d/""&amp;$A254&amp;""/edit#gid=156619080"",E$3)"),43882.0)</f>
        <v>43882</v>
      </c>
      <c r="F254" s="2">
        <f>IFERROR(__xludf.DUMMYFUNCTION("IMPORTRANGE(""https://docs.google.com/spreadsheets/d/""&amp;$A254&amp;""/edit#gid=156619080"",F$3)"),-110.0)</f>
        <v>-110</v>
      </c>
      <c r="G254" s="16">
        <f>IFERROR(__xludf.DUMMYFUNCTION("IMPORTRANGE(""https://docs.google.com/spreadsheets/d/""&amp;$A254&amp;""/edit#gid=156619080"",G$3)"),-1.95)</f>
        <v>-1.95</v>
      </c>
      <c r="H254" s="16">
        <f>IFERROR(__xludf.DUMMYFUNCTION("IMPORTRANGE(""https://docs.google.com/spreadsheets/d/""&amp;$A254&amp;""/edit#gid=156619080"",H$3)"),5570.0)</f>
        <v>5570</v>
      </c>
      <c r="I254" s="16">
        <f>IFERROR(__xludf.DUMMYFUNCTION("IMPORTRANGE(""https://docs.google.com/spreadsheets/d/""&amp;$A254&amp;""/edit#gid=156619080"",I$3)"),60.0)</f>
        <v>60</v>
      </c>
      <c r="J254" s="16">
        <f>IFERROR(__xludf.DUMMYFUNCTION("IMPORTRANGE(""https://docs.google.com/spreadsheets/d/""&amp;$A254&amp;""/edit#gid=156619080"",J$3)"),5680.0)</f>
        <v>5680</v>
      </c>
      <c r="K254" s="16">
        <f>IFERROR(__xludf.DUMMYFUNCTION("IMPORTRANGE(""https://docs.google.com/spreadsheets/d/""&amp;$A254&amp;""/edit#gid=156619080"",K$3)"),0.3902777777777778)</f>
        <v>0.3902777778</v>
      </c>
      <c r="L254" s="16">
        <f>IFERROR(__xludf.DUMMYFUNCTION("IMPORTRANGE(""https://docs.google.com/spreadsheets/d/""&amp;$A254&amp;""/edit#gid=156619080"",L$3)"),5510.0)</f>
        <v>5510</v>
      </c>
      <c r="M254" s="16">
        <f>IFERROR(__xludf.DUMMYFUNCTION("IMPORTRANGE(""https://docs.google.com/spreadsheets/d/""&amp;$A254&amp;""/edit#gid=156619080"",M$3)"),0.5625)</f>
        <v>0.5625</v>
      </c>
      <c r="N254" s="16">
        <f>IFERROR(__xludf.DUMMYFUNCTION("IMPORTRANGE(""https://docs.google.com/spreadsheets/d/""&amp;$A254&amp;""/edit#gid=156619080"",N$3)"),5520.0)</f>
        <v>5520</v>
      </c>
      <c r="O254" s="16" t="str">
        <f>IFERROR(__xludf.DUMMYFUNCTION("IMPORTRANGE(""https://docs.google.com/spreadsheets/d/""&amp;$A254&amp;""/edit#gid=156619080"",O$3)"),"1043400株")</f>
        <v>1043400株</v>
      </c>
      <c r="P254" s="16" t="str">
        <f>IFERROR(__xludf.DUMMYFUNCTION("IMPORTRANGE(""https://docs.google.com/spreadsheets/d/""&amp;$A254&amp;""/edit#gid=156619080"",P$3)"),"5801百万円")</f>
        <v>5801百万円</v>
      </c>
      <c r="Q254" s="16" t="str">
        <f>IFERROR(__xludf.DUMMYFUNCTION("IMPORTRANGE(""https://docs.google.com/spreadsheets/d/""&amp;$A254&amp;""/edit#gid=156619080"",Q$3)"),"1993回")</f>
        <v>1993回</v>
      </c>
      <c r="R254" s="16" t="str">
        <f>IFERROR(__xludf.DUMMYFUNCTION("IMPORTRANGE(""https://docs.google.com/spreadsheets/d/""&amp;$A254&amp;""/edit#gid=156619080"",R$3)"),"5205億円")</f>
        <v>5205億円</v>
      </c>
      <c r="S254" s="16" t="str">
        <f>IFERROR(__xludf.DUMMYFUNCTION("IMPORTRANGE(""https://docs.google.com/spreadsheets/d/""&amp;$A254&amp;""/edit#gid=156619080"",S$3)"),"陰線")</f>
        <v>陰線</v>
      </c>
      <c r="T254" s="16" t="str">
        <f>IFERROR(__xludf.DUMMYFUNCTION("IMPORTRANGE(""https://docs.google.com/spreadsheets/d/""&amp;$A254&amp;""/edit#gid=156619080"",T$3)"),"")</f>
        <v/>
      </c>
      <c r="U254" s="16">
        <f>IFERROR(__xludf.DUMMYFUNCTION("IMPORTRANGE(""https://docs.google.com/spreadsheets/d/""&amp;$A254&amp;""/edit#gid=156619080"",U$3)"),5678.0)</f>
        <v>5678</v>
      </c>
      <c r="V254" s="16">
        <f>IFERROR(__xludf.DUMMYFUNCTION("IMPORTRANGE(""https://docs.google.com/spreadsheets/d/""&amp;$A254&amp;""/edit#gid=156619080"",V$3)"),5660.0)</f>
        <v>5660</v>
      </c>
      <c r="W254" s="16">
        <f>IFERROR(__xludf.DUMMYFUNCTION("IMPORTRANGE(""https://docs.google.com/spreadsheets/d/""&amp;$A254&amp;""/edit#gid=156619080"",W$3)"),5698.6)</f>
        <v>5698.6</v>
      </c>
      <c r="X254" s="2">
        <f>IFERROR(__xludf.DUMMYFUNCTION("IMPORTRANGE(""https://docs.google.com/spreadsheets/d/""&amp;$A254&amp;""/edit#gid=156619080"",X$3)"),7396.5)</f>
        <v>7396.5</v>
      </c>
      <c r="Y254" s="17">
        <f>IFERROR(__xludf.DUMMYFUNCTION("IMPORTRANGE(""https://docs.google.com/spreadsheets/d/""&amp;$A254&amp;""/edit#gid=156619080"",Y$3)"),-0.027826699542092288)</f>
        <v>-0.02782669954</v>
      </c>
      <c r="Z254" s="2">
        <f>IFERROR(__xludf.DUMMYFUNCTION("IMPORTRANGE(""https://docs.google.com/spreadsheets/d/""&amp;$A254&amp;""/edit#gid=156619080"",Z$3)"),6190.57)</f>
        <v>6190.57</v>
      </c>
      <c r="AA254" s="2">
        <f>IFERROR(__xludf.DUMMYFUNCTION("IMPORTRANGE(""https://docs.google.com/spreadsheets/d/""&amp;$A254&amp;""/edit#gid=156619080"",AA$3)"),6129.07)</f>
        <v>6129.07</v>
      </c>
      <c r="AB254" s="2">
        <f>IFERROR(__xludf.DUMMYFUNCTION("IMPORTRANGE(""https://docs.google.com/spreadsheets/d/""&amp;$A254&amp;""/edit#gid=156619080"",AB$3)"),6067.57)</f>
        <v>6067.57</v>
      </c>
      <c r="AC254" s="18">
        <f>IFERROR(__xludf.DUMMYFUNCTION("IMPORTRANGE(""https://docs.google.com/spreadsheets/d/""&amp;$A254&amp;""/edit#gid=156619080"",AC$3)"),6006.08)</f>
        <v>6006.08</v>
      </c>
      <c r="AD254" s="18">
        <f>IFERROR(__xludf.DUMMYFUNCTION("IMPORTRANGE(""https://docs.google.com/spreadsheets/d/""&amp;$A254&amp;""/edit#gid=156619080"",AD$3)"),5944.58)</f>
        <v>5944.58</v>
      </c>
      <c r="AE254" s="18">
        <f>IFERROR(__xludf.DUMMYFUNCTION("IMPORTRANGE(""https://docs.google.com/spreadsheets/d/""&amp;$A254&amp;""/edit#gid=156619080"",AE$3)"),5698.6)</f>
        <v>5698.6</v>
      </c>
      <c r="AF254" s="2">
        <f>IFERROR(__xludf.DUMMYFUNCTION("IMPORTRANGE(""https://docs.google.com/spreadsheets/d/""&amp;$A254&amp;""/edit#gid=156619080"",AF$3)"),5452.62)</f>
        <v>5452.62</v>
      </c>
      <c r="AG254" s="2">
        <f>IFERROR(__xludf.DUMMYFUNCTION("IMPORTRANGE(""https://docs.google.com/spreadsheets/d/""&amp;$A254&amp;""/edit#gid=156619080"",AG$3)"),5391.12)</f>
        <v>5391.12</v>
      </c>
      <c r="AH254" s="2">
        <f>IFERROR(__xludf.DUMMYFUNCTION("IMPORTRANGE(""https://docs.google.com/spreadsheets/d/""&amp;$A254&amp;""/edit#gid=156619080"",AH$3)"),5329.63)</f>
        <v>5329.63</v>
      </c>
      <c r="AI254" s="2">
        <f>IFERROR(__xludf.DUMMYFUNCTION("IMPORTRANGE(""https://docs.google.com/spreadsheets/d/""&amp;$A254&amp;""/edit#gid=156619080"",AI$3)"),5268.13)</f>
        <v>5268.13</v>
      </c>
      <c r="AJ254" s="2">
        <f>IFERROR(__xludf.DUMMYFUNCTION("IMPORTRANGE(""https://docs.google.com/spreadsheets/d/""&amp;$A254&amp;""/edit#gid=156619080"",AJ$3)"),5206.63)</f>
        <v>5206.63</v>
      </c>
      <c r="AK254" s="2" t="str">
        <f>IFERROR(__xludf.DUMMYFUNCTION("IMPORTRANGE(""https://docs.google.com/spreadsheets/d/""&amp;$A254&amp;""/edit#gid=156619080"",AK$3)"),"")</f>
        <v/>
      </c>
      <c r="AL254" s="2">
        <f>IFERROR(__xludf.DUMMYFUNCTION("IMPORTRANGE(""https://docs.google.com/spreadsheets/d/""&amp;$A254&amp;""/edit#gid=156619080"",AL$3)"),1.0)</f>
        <v>1</v>
      </c>
      <c r="AM254" s="2" t="str">
        <f>IFERROR(__xludf.DUMMYFUNCTION("IMPORTRANGE(""https://docs.google.com/spreadsheets/d/""&amp;$A254&amp;""/edit#gid=156619080"",AM$3)"),"")</f>
        <v/>
      </c>
      <c r="AN254" s="2">
        <f>IFERROR(__xludf.DUMMYFUNCTION("IMPORTRANGE(""https://docs.google.com/spreadsheets/d/""&amp;$A254&amp;""/edit#gid=156619080"",AN$3)"),-1.0)</f>
        <v>-1</v>
      </c>
      <c r="AO254" s="2" t="str">
        <f>IFERROR(__xludf.DUMMYFUNCTION("IMPORTRANGE(""https://docs.google.com/spreadsheets/d/""&amp;$A254&amp;""/edit#gid=156619080"",AO$3)"),"bs2")</f>
        <v>bs2</v>
      </c>
      <c r="AP254" s="2">
        <f>IFERROR(__xludf.DUMMYFUNCTION("IMPORTRANGE(""https://docs.google.com/spreadsheets/d/""&amp;$A254&amp;""/edit#gid=156619080"",AP$3)"),-1.0)</f>
        <v>-1</v>
      </c>
      <c r="AQ254" s="2" t="str">
        <f>IFERROR(__xludf.DUMMYFUNCTION("IMPORTRANGE(""https://docs.google.com/spreadsheets/d/""&amp;$A254&amp;""/edit#gid=156619080"",AQ$3)"),"")</f>
        <v/>
      </c>
      <c r="AR254" s="18">
        <f>IFERROR(__xludf.DUMMYFUNCTION("IMPORTRANGE(""https://docs.google.com/spreadsheets/d/""&amp;$A254&amp;""/edit#gid=156619080"",AR$3)"),-70.0)</f>
        <v>-70</v>
      </c>
      <c r="AS254" s="19" t="str">
        <f>IFERROR(__xludf.DUMMYFUNCTION("IMPORTRANGE(""https://docs.google.com/spreadsheets/d/""&amp;$A254&amp;""/edit#gid=156619080"",AS$3)"),"60
-40
-90
-70
")</f>
        <v>60
-40
-90
-70
</v>
      </c>
      <c r="AT254" s="18">
        <f>IFERROR(__xludf.DUMMYFUNCTION("IMPORTRANGE(""https://docs.google.com/spreadsheets/d/""&amp;$A254&amp;""/edit#gid=156619080"",AT$3)"),47.93956043956044)</f>
        <v>47.93956044</v>
      </c>
      <c r="AU254" s="3" t="str">
        <f>IFERROR(__xludf.DUMMYFUNCTION("IMPORTRANGE(""https://docs.google.com/spreadsheets/d/""&amp;$A254&amp;""/edit#gid=156619080"",AU$3)"),"58.65
75.14
71.29
66.48
")</f>
        <v>58.65
75.14
71.29
66.48
</v>
      </c>
      <c r="AV254" s="18">
        <f>IFERROR(__xludf.DUMMYFUNCTION("IMPORTRANGE(""https://docs.google.com/spreadsheets/d/""&amp;$A254&amp;""/edit#gid=156619080"",AV$3)"),-6.590909090909092)</f>
        <v>-6.590909091</v>
      </c>
      <c r="AW254" s="19" t="str">
        <f>IFERROR(__xludf.DUMMYFUNCTION("IMPORTRANGE(""https://docs.google.com/spreadsheets/d/""&amp;$A254&amp;""/edit#gid=156619080"",AW$3)"),"-9.35
-15.45
-15.19
-12.6
")</f>
        <v>-9.35
-15.45
-15.19
-12.6
</v>
      </c>
      <c r="AX254" s="2">
        <f>IFERROR(__xludf.DUMMYFUNCTION("IMPORTRANGE(""https://docs.google.com/spreadsheets/d/""&amp;$A254&amp;""/edit#gid=156619080"",AX$3)"),18.68)</f>
        <v>18.68</v>
      </c>
      <c r="AY254" s="2">
        <f>IFERROR(__xludf.DUMMYFUNCTION("IMPORTRANGE(""https://docs.google.com/spreadsheets/d/""&amp;$A254&amp;""/edit#gid=156619080"",AY$3)"),41.949999999999996)</f>
        <v>41.95</v>
      </c>
      <c r="AZ254" s="2">
        <f>IFERROR(__xludf.DUMMYFUNCTION("IMPORTRANGE(""https://docs.google.com/spreadsheets/d/""&amp;$A254&amp;""/edit#gid=156619080"",AZ$3)"),5656.1)</f>
        <v>5656.1</v>
      </c>
      <c r="BA254" s="2">
        <f>IFERROR(__xludf.DUMMYFUNCTION("IMPORTRANGE(""https://docs.google.com/spreadsheets/d/""&amp;$A254&amp;""/edit#gid=156619080"",BA$3)"),-196.15999999999985)</f>
        <v>-196.16</v>
      </c>
      <c r="BB254" s="2">
        <f>IFERROR(__xludf.DUMMYFUNCTION("IMPORTRANGE(""https://docs.google.com/spreadsheets/d/""&amp;$A254&amp;""/edit#gid=156619080"",BB$3)"),-312.08)</f>
        <v>-312.08</v>
      </c>
      <c r="BC254" s="2" t="str">
        <f>IFERROR(__xludf.DUMMYFUNCTION("IMPORTRANGE(""https://docs.google.com/spreadsheets/d/""&amp;$A254&amp;""/edit#gid=156619080"",BC$3)"),"GC→GC")</f>
        <v>GC→GC</v>
      </c>
    </row>
    <row r="255" ht="51.0" customHeight="1">
      <c r="A255" s="7" t="str">
        <f t="shared" si="5"/>
        <v>1pUfyn3j1OlKJzdVTxqunb-3B5PecAaVj6-R-4r9-3qU</v>
      </c>
      <c r="B255" s="1" t="s">
        <v>282</v>
      </c>
      <c r="C255" s="2">
        <f>IFERROR(__xludf.DUMMYFUNCTION("IMPORTRANGE(""https://docs.google.com/spreadsheets/d/""&amp;$A255&amp;""/edit#gid=156619080"",C$3)"),131.0)</f>
        <v>131</v>
      </c>
      <c r="D255" s="2">
        <f>IFERROR(__xludf.DUMMYFUNCTION("IMPORTRANGE(""https://docs.google.com/spreadsheets/d/""&amp;$A255&amp;""/edit#gid=156619080"",D$3)"),7309.0)</f>
        <v>7309</v>
      </c>
      <c r="E255" s="15">
        <f>IFERROR(__xludf.DUMMYFUNCTION("IMPORTRANGE(""https://docs.google.com/spreadsheets/d/""&amp;$A255&amp;""/edit#gid=156619080"",E$3)"),43882.0)</f>
        <v>43882</v>
      </c>
      <c r="F255" s="2">
        <f>IFERROR(__xludf.DUMMYFUNCTION("IMPORTRANGE(""https://docs.google.com/spreadsheets/d/""&amp;$A255&amp;""/edit#gid=156619080"",F$3)"),0.0)</f>
        <v>0</v>
      </c>
      <c r="G255" s="16">
        <f>IFERROR(__xludf.DUMMYFUNCTION("IMPORTRANGE(""https://docs.google.com/spreadsheets/d/""&amp;$A255&amp;""/edit#gid=156619080"",G$3)"),0.0)</f>
        <v>0</v>
      </c>
      <c r="H255" s="16">
        <f>IFERROR(__xludf.DUMMYFUNCTION("IMPORTRANGE(""https://docs.google.com/spreadsheets/d/""&amp;$A255&amp;""/edit#gid=156619080"",H$3)"),15610.0)</f>
        <v>15610</v>
      </c>
      <c r="I255" s="16">
        <f>IFERROR(__xludf.DUMMYFUNCTION("IMPORTRANGE(""https://docs.google.com/spreadsheets/d/""&amp;$A255&amp;""/edit#gid=156619080"",I$3)"),-60.0)</f>
        <v>-60</v>
      </c>
      <c r="J255" s="16">
        <f>IFERROR(__xludf.DUMMYFUNCTION("IMPORTRANGE(""https://docs.google.com/spreadsheets/d/""&amp;$A255&amp;""/edit#gid=156619080"",J$3)"),15670.0)</f>
        <v>15670</v>
      </c>
      <c r="K255" s="16">
        <f>IFERROR(__xludf.DUMMYFUNCTION("IMPORTRANGE(""https://docs.google.com/spreadsheets/d/""&amp;$A255&amp;""/edit#gid=156619080"",K$3)"),0.4166666666666667)</f>
        <v>0.4166666667</v>
      </c>
      <c r="L255" s="16">
        <f>IFERROR(__xludf.DUMMYFUNCTION("IMPORTRANGE(""https://docs.google.com/spreadsheets/d/""&amp;$A255&amp;""/edit#gid=156619080"",L$3)"),15500.0)</f>
        <v>15500</v>
      </c>
      <c r="M255" s="16">
        <f>IFERROR(__xludf.DUMMYFUNCTION("IMPORTRANGE(""https://docs.google.com/spreadsheets/d/""&amp;$A255&amp;""/edit#gid=156619080"",M$3)"),0.37916666666666665)</f>
        <v>0.3791666667</v>
      </c>
      <c r="N255" s="16">
        <f>IFERROR(__xludf.DUMMYFUNCTION("IMPORTRANGE(""https://docs.google.com/spreadsheets/d/""&amp;$A255&amp;""/edit#gid=156619080"",N$3)"),15550.0)</f>
        <v>15550</v>
      </c>
      <c r="O255" s="16" t="str">
        <f>IFERROR(__xludf.DUMMYFUNCTION("IMPORTRANGE(""https://docs.google.com/spreadsheets/d/""&amp;$A255&amp;""/edit#gid=156619080"",O$3)"),"207900株")</f>
        <v>207900株</v>
      </c>
      <c r="P255" s="16" t="str">
        <f>IFERROR(__xludf.DUMMYFUNCTION("IMPORTRANGE(""https://docs.google.com/spreadsheets/d/""&amp;$A255&amp;""/edit#gid=156619080"",P$3)"),"3240百万円")</f>
        <v>3240百万円</v>
      </c>
      <c r="Q255" s="16" t="str">
        <f>IFERROR(__xludf.DUMMYFUNCTION("IMPORTRANGE(""https://docs.google.com/spreadsheets/d/""&amp;$A255&amp;""/edit#gid=156619080"",Q$3)"),"951回")</f>
        <v>951回</v>
      </c>
      <c r="R255" s="16" t="str">
        <f>IFERROR(__xludf.DUMMYFUNCTION("IMPORTRANGE(""https://docs.google.com/spreadsheets/d/""&amp;$A255&amp;""/edit#gid=156619080"",R$3)"),"14418億円")</f>
        <v>14418億円</v>
      </c>
      <c r="S255" s="16" t="str">
        <f>IFERROR(__xludf.DUMMYFUNCTION("IMPORTRANGE(""https://docs.google.com/spreadsheets/d/""&amp;$A255&amp;""/edit#gid=156619080"",S$3)"),"陰線")</f>
        <v>陰線</v>
      </c>
      <c r="T255" s="16" t="str">
        <f>IFERROR(__xludf.DUMMYFUNCTION("IMPORTRANGE(""https://docs.google.com/spreadsheets/d/""&amp;$A255&amp;""/edit#gid=156619080"",T$3)"),"")</f>
        <v/>
      </c>
      <c r="U255" s="16">
        <f>IFERROR(__xludf.DUMMYFUNCTION("IMPORTRANGE(""https://docs.google.com/spreadsheets/d/""&amp;$A255&amp;""/edit#gid=156619080"",U$3)"),15566.0)</f>
        <v>15566</v>
      </c>
      <c r="V255" s="16">
        <f>IFERROR(__xludf.DUMMYFUNCTION("IMPORTRANGE(""https://docs.google.com/spreadsheets/d/""&amp;$A255&amp;""/edit#gid=156619080"",V$3)"),16638.5)</f>
        <v>16638.5</v>
      </c>
      <c r="W255" s="16">
        <f>IFERROR(__xludf.DUMMYFUNCTION("IMPORTRANGE(""https://docs.google.com/spreadsheets/d/""&amp;$A255&amp;""/edit#gid=156619080"",W$3)"),16737.6)</f>
        <v>16737.6</v>
      </c>
      <c r="X255" s="2">
        <f>IFERROR(__xludf.DUMMYFUNCTION("IMPORTRANGE(""https://docs.google.com/spreadsheets/d/""&amp;$A255&amp;""/edit#gid=156619080"",X$3)"),16840.4)</f>
        <v>16840.4</v>
      </c>
      <c r="Y255" s="17">
        <f>IFERROR(__xludf.DUMMYFUNCTION("IMPORTRANGE(""https://docs.google.com/spreadsheets/d/""&amp;$A255&amp;""/edit#gid=156619080"",Y$3)"),-0.0010278812797121933)</f>
        <v>-0.00102788128</v>
      </c>
      <c r="Z255" s="2">
        <f>IFERROR(__xludf.DUMMYFUNCTION("IMPORTRANGE(""https://docs.google.com/spreadsheets/d/""&amp;$A255&amp;""/edit#gid=156619080"",Z$3)"),18368.68)</f>
        <v>18368.68</v>
      </c>
      <c r="AA255" s="2">
        <f>IFERROR(__xludf.DUMMYFUNCTION("IMPORTRANGE(""https://docs.google.com/spreadsheets/d/""&amp;$A255&amp;""/edit#gid=156619080"",AA$3)"),18164.79)</f>
        <v>18164.79</v>
      </c>
      <c r="AB255" s="2">
        <f>IFERROR(__xludf.DUMMYFUNCTION("IMPORTRANGE(""https://docs.google.com/spreadsheets/d/""&amp;$A255&amp;""/edit#gid=156619080"",AB$3)"),17960.91)</f>
        <v>17960.91</v>
      </c>
      <c r="AC255" s="18">
        <f>IFERROR(__xludf.DUMMYFUNCTION("IMPORTRANGE(""https://docs.google.com/spreadsheets/d/""&amp;$A255&amp;""/edit#gid=156619080"",AC$3)"),17757.02)</f>
        <v>17757.02</v>
      </c>
      <c r="AD255" s="18">
        <f>IFERROR(__xludf.DUMMYFUNCTION("IMPORTRANGE(""https://docs.google.com/spreadsheets/d/""&amp;$A255&amp;""/edit#gid=156619080"",AD$3)"),17553.14)</f>
        <v>17553.14</v>
      </c>
      <c r="AE255" s="18">
        <f>IFERROR(__xludf.DUMMYFUNCTION("IMPORTRANGE(""https://docs.google.com/spreadsheets/d/""&amp;$A255&amp;""/edit#gid=156619080"",AE$3)"),16737.6)</f>
        <v>16737.6</v>
      </c>
      <c r="AF255" s="2">
        <f>IFERROR(__xludf.DUMMYFUNCTION("IMPORTRANGE(""https://docs.google.com/spreadsheets/d/""&amp;$A255&amp;""/edit#gid=156619080"",AF$3)"),15922.06)</f>
        <v>15922.06</v>
      </c>
      <c r="AG255" s="2">
        <f>IFERROR(__xludf.DUMMYFUNCTION("IMPORTRANGE(""https://docs.google.com/spreadsheets/d/""&amp;$A255&amp;""/edit#gid=156619080"",AG$3)"),15718.18)</f>
        <v>15718.18</v>
      </c>
      <c r="AH255" s="2">
        <f>IFERROR(__xludf.DUMMYFUNCTION("IMPORTRANGE(""https://docs.google.com/spreadsheets/d/""&amp;$A255&amp;""/edit#gid=156619080"",AH$3)"),15514.29)</f>
        <v>15514.29</v>
      </c>
      <c r="AI255" s="2">
        <f>IFERROR(__xludf.DUMMYFUNCTION("IMPORTRANGE(""https://docs.google.com/spreadsheets/d/""&amp;$A255&amp;""/edit#gid=156619080"",AI$3)"),15310.41)</f>
        <v>15310.41</v>
      </c>
      <c r="AJ255" s="2">
        <f>IFERROR(__xludf.DUMMYFUNCTION("IMPORTRANGE(""https://docs.google.com/spreadsheets/d/""&amp;$A255&amp;""/edit#gid=156619080"",AJ$3)"),15106.52)</f>
        <v>15106.52</v>
      </c>
      <c r="AK255" s="2" t="str">
        <f>IFERROR(__xludf.DUMMYFUNCTION("IMPORTRANGE(""https://docs.google.com/spreadsheets/d/""&amp;$A255&amp;""/edit#gid=156619080"",AK$3)"),"-1.25σ〜-1.5σ")</f>
        <v>-1.25σ〜-1.5σ</v>
      </c>
      <c r="AL255" s="2">
        <f>IFERROR(__xludf.DUMMYFUNCTION("IMPORTRANGE(""https://docs.google.com/spreadsheets/d/""&amp;$A255&amp;""/edit#gid=156619080"",AL$3)"),-1.0)</f>
        <v>-1</v>
      </c>
      <c r="AM255" s="2" t="str">
        <f>IFERROR(__xludf.DUMMYFUNCTION("IMPORTRANGE(""https://docs.google.com/spreadsheets/d/""&amp;$A255&amp;""/edit#gid=156619080"",AM$3)"),"")</f>
        <v/>
      </c>
      <c r="AN255" s="2">
        <f>IFERROR(__xludf.DUMMYFUNCTION("IMPORTRANGE(""https://docs.google.com/spreadsheets/d/""&amp;$A255&amp;""/edit#gid=156619080"",AN$3)"),-1.0)</f>
        <v>-1</v>
      </c>
      <c r="AO255" s="2" t="str">
        <f>IFERROR(__xludf.DUMMYFUNCTION("IMPORTRANGE(""https://docs.google.com/spreadsheets/d/""&amp;$A255&amp;""/edit#gid=156619080"",AO$3)"),"")</f>
        <v/>
      </c>
      <c r="AP255" s="2">
        <f>IFERROR(__xludf.DUMMYFUNCTION("IMPORTRANGE(""https://docs.google.com/spreadsheets/d/""&amp;$A255&amp;""/edit#gid=156619080"",AP$3)"),-1.0)</f>
        <v>-1</v>
      </c>
      <c r="AQ255" s="2" t="str">
        <f>IFERROR(__xludf.DUMMYFUNCTION("IMPORTRANGE(""https://docs.google.com/spreadsheets/d/""&amp;$A255&amp;""/edit#gid=156619080"",AQ$3)"),"")</f>
        <v/>
      </c>
      <c r="AR255" s="18">
        <f>IFERROR(__xludf.DUMMYFUNCTION("IMPORTRANGE(""https://docs.google.com/spreadsheets/d/""&amp;$A255&amp;""/edit#gid=156619080"",AR$3)"),-12.5)</f>
        <v>-12.5</v>
      </c>
      <c r="AS255" s="19" t="str">
        <f>IFERROR(__xludf.DUMMYFUNCTION("IMPORTRANGE(""https://docs.google.com/spreadsheets/d/""&amp;$A255&amp;""/edit#gid=156619080"",AS$3)"),"-100
-100
-100
-70
")</f>
        <v>-100
-100
-100
-70
</v>
      </c>
      <c r="AT255" s="18">
        <f>IFERROR(__xludf.DUMMYFUNCTION("IMPORTRANGE(""https://docs.google.com/spreadsheets/d/""&amp;$A255&amp;""/edit#gid=156619080"",AT$3)"),-80.9065934065934)</f>
        <v>-80.90659341</v>
      </c>
      <c r="AU255" s="3" t="str">
        <f>IFERROR(__xludf.DUMMYFUNCTION("IMPORTRANGE(""https://docs.google.com/spreadsheets/d/""&amp;$A255&amp;""/edit#gid=156619080"",AU$3)"),"-15.38
-39.56
-59.34
-72.53
")</f>
        <v>-15.38
-39.56
-59.34
-72.53
</v>
      </c>
      <c r="AV255" s="18">
        <f>IFERROR(__xludf.DUMMYFUNCTION("IMPORTRANGE(""https://docs.google.com/spreadsheets/d/""&amp;$A255&amp;""/edit#gid=156619080"",AV$3)"),-52.75974025974026)</f>
        <v>-52.75974026</v>
      </c>
      <c r="AW255" s="19" t="str">
        <f>IFERROR(__xludf.DUMMYFUNCTION("IMPORTRANGE(""https://docs.google.com/spreadsheets/d/""&amp;$A255&amp;""/edit#gid=156619080"",AW$3)"),"-23.9
-32.73
-40.26
-47.01
")</f>
        <v>-23.9
-32.73
-40.26
-47.01
</v>
      </c>
      <c r="AX255" s="2">
        <f>IFERROR(__xludf.DUMMYFUNCTION("IMPORTRANGE(""https://docs.google.com/spreadsheets/d/""&amp;$A255&amp;""/edit#gid=156619080"",AX$3)"),16.39)</f>
        <v>16.39</v>
      </c>
      <c r="AY255" s="2">
        <f>IFERROR(__xludf.DUMMYFUNCTION("IMPORTRANGE(""https://docs.google.com/spreadsheets/d/""&amp;$A255&amp;""/edit#gid=156619080"",AY$3)"),31.45)</f>
        <v>31.45</v>
      </c>
      <c r="AZ255" s="2">
        <f>IFERROR(__xludf.DUMMYFUNCTION("IMPORTRANGE(""https://docs.google.com/spreadsheets/d/""&amp;$A255&amp;""/edit#gid=156619080"",AZ$3)"),15717.46)</f>
        <v>15717.46</v>
      </c>
      <c r="BA255" s="2">
        <f>IFERROR(__xludf.DUMMYFUNCTION("IMPORTRANGE(""https://docs.google.com/spreadsheets/d/""&amp;$A255&amp;""/edit#gid=156619080"",BA$3)"),-863.4000000000015)</f>
        <v>-863.4</v>
      </c>
      <c r="BB255" s="2">
        <f>IFERROR(__xludf.DUMMYFUNCTION("IMPORTRANGE(""https://docs.google.com/spreadsheets/d/""&amp;$A255&amp;""/edit#gid=156619080"",BB$3)"),-465.53)</f>
        <v>-465.53</v>
      </c>
      <c r="BC255" s="2" t="str">
        <f>IFERROR(__xludf.DUMMYFUNCTION("IMPORTRANGE(""https://docs.google.com/spreadsheets/d/""&amp;$A255&amp;""/edit#gid=156619080"",BC$3)"),"DC→DC")</f>
        <v>DC→DC</v>
      </c>
    </row>
    <row r="256" ht="51.0" customHeight="1">
      <c r="A256" s="7" t="str">
        <f t="shared" si="5"/>
        <v>1rKbxtIeNGPy1ix7pVC_oC7tf382pwVpj2H3bqtkzbRU</v>
      </c>
      <c r="B256" s="1" t="s">
        <v>283</v>
      </c>
      <c r="C256" s="2">
        <f>IFERROR(__xludf.DUMMYFUNCTION("IMPORTRANGE(""https://docs.google.com/spreadsheets/d/""&amp;$A256&amp;""/edit#gid=156619080"",C$3)"),131.0)</f>
        <v>131</v>
      </c>
      <c r="D256" s="2">
        <f>IFERROR(__xludf.DUMMYFUNCTION("IMPORTRANGE(""https://docs.google.com/spreadsheets/d/""&amp;$A256&amp;""/edit#gid=156619080"",D$3)"),7550.0)</f>
        <v>7550</v>
      </c>
      <c r="E256" s="15">
        <f>IFERROR(__xludf.DUMMYFUNCTION("IMPORTRANGE(""https://docs.google.com/spreadsheets/d/""&amp;$A256&amp;""/edit#gid=156619080"",E$3)"),43882.0)</f>
        <v>43882</v>
      </c>
      <c r="F256" s="2">
        <f>IFERROR(__xludf.DUMMYFUNCTION("IMPORTRANGE(""https://docs.google.com/spreadsheets/d/""&amp;$A256&amp;""/edit#gid=156619080"",F$3)"),-38.0)</f>
        <v>-38</v>
      </c>
      <c r="G256" s="16">
        <f>IFERROR(__xludf.DUMMYFUNCTION("IMPORTRANGE(""https://docs.google.com/spreadsheets/d/""&amp;$A256&amp;""/edit#gid=156619080"",G$3)"),-1.54)</f>
        <v>-1.54</v>
      </c>
      <c r="H256" s="16">
        <f>IFERROR(__xludf.DUMMYFUNCTION("IMPORTRANGE(""https://docs.google.com/spreadsheets/d/""&amp;$A256&amp;""/edit#gid=156619080"",H$3)"),2467.0)</f>
        <v>2467</v>
      </c>
      <c r="I256" s="16">
        <f>IFERROR(__xludf.DUMMYFUNCTION("IMPORTRANGE(""https://docs.google.com/spreadsheets/d/""&amp;$A256&amp;""/edit#gid=156619080"",I$3)"),-5.0)</f>
        <v>-5</v>
      </c>
      <c r="J256" s="16">
        <f>IFERROR(__xludf.DUMMYFUNCTION("IMPORTRANGE(""https://docs.google.com/spreadsheets/d/""&amp;$A256&amp;""/edit#gid=156619080"",J$3)"),2474.0)</f>
        <v>2474</v>
      </c>
      <c r="K256" s="16">
        <f>IFERROR(__xludf.DUMMYFUNCTION("IMPORTRANGE(""https://docs.google.com/spreadsheets/d/""&amp;$A256&amp;""/edit#gid=156619080"",K$3)"),0.375)</f>
        <v>0.375</v>
      </c>
      <c r="L256" s="16">
        <f>IFERROR(__xludf.DUMMYFUNCTION("IMPORTRANGE(""https://docs.google.com/spreadsheets/d/""&amp;$A256&amp;""/edit#gid=156619080"",L$3)"),2423.0)</f>
        <v>2423</v>
      </c>
      <c r="M256" s="16">
        <f>IFERROR(__xludf.DUMMYFUNCTION("IMPORTRANGE(""https://docs.google.com/spreadsheets/d/""&amp;$A256&amp;""/edit#gid=156619080"",M$3)"),0.6208333333333333)</f>
        <v>0.6208333333</v>
      </c>
      <c r="N256" s="16">
        <f>IFERROR(__xludf.DUMMYFUNCTION("IMPORTRANGE(""https://docs.google.com/spreadsheets/d/""&amp;$A256&amp;""/edit#gid=156619080"",N$3)"),2424.0)</f>
        <v>2424</v>
      </c>
      <c r="O256" s="16" t="str">
        <f>IFERROR(__xludf.DUMMYFUNCTION("IMPORTRANGE(""https://docs.google.com/spreadsheets/d/""&amp;$A256&amp;""/edit#gid=156619080"",O$3)"),"366700株")</f>
        <v>366700株</v>
      </c>
      <c r="P256" s="16" t="str">
        <f>IFERROR(__xludf.DUMMYFUNCTION("IMPORTRANGE(""https://docs.google.com/spreadsheets/d/""&amp;$A256&amp;""/edit#gid=156619080"",P$3)"),"896百万円")</f>
        <v>896百万円</v>
      </c>
      <c r="Q256" s="16" t="str">
        <f>IFERROR(__xludf.DUMMYFUNCTION("IMPORTRANGE(""https://docs.google.com/spreadsheets/d/""&amp;$A256&amp;""/edit#gid=156619080"",Q$3)"),"1227回")</f>
        <v>1227回</v>
      </c>
      <c r="R256" s="16" t="str">
        <f>IFERROR(__xludf.DUMMYFUNCTION("IMPORTRANGE(""https://docs.google.com/spreadsheets/d/""&amp;$A256&amp;""/edit#gid=156619080"",R$3)"),"3754億円")</f>
        <v>3754億円</v>
      </c>
      <c r="S256" s="16" t="str">
        <f>IFERROR(__xludf.DUMMYFUNCTION("IMPORTRANGE(""https://docs.google.com/spreadsheets/d/""&amp;$A256&amp;""/edit#gid=156619080"",S$3)"),"陰線")</f>
        <v>陰線</v>
      </c>
      <c r="T256" s="16" t="str">
        <f>IFERROR(__xludf.DUMMYFUNCTION("IMPORTRANGE(""https://docs.google.com/spreadsheets/d/""&amp;$A256&amp;""/edit#gid=156619080"",T$3)"),"")</f>
        <v/>
      </c>
      <c r="U256" s="16">
        <f>IFERROR(__xludf.DUMMYFUNCTION("IMPORTRANGE(""https://docs.google.com/spreadsheets/d/""&amp;$A256&amp;""/edit#gid=156619080"",U$3)"),2456.6)</f>
        <v>2456.6</v>
      </c>
      <c r="V256" s="16">
        <f>IFERROR(__xludf.DUMMYFUNCTION("IMPORTRANGE(""https://docs.google.com/spreadsheets/d/""&amp;$A256&amp;""/edit#gid=156619080"",V$3)"),2429.8)</f>
        <v>2429.8</v>
      </c>
      <c r="W256" s="16">
        <f>IFERROR(__xludf.DUMMYFUNCTION("IMPORTRANGE(""https://docs.google.com/spreadsheets/d/""&amp;$A256&amp;""/edit#gid=156619080"",W$3)"),2407.8)</f>
        <v>2407.8</v>
      </c>
      <c r="X256" s="2">
        <f>IFERROR(__xludf.DUMMYFUNCTION("IMPORTRANGE(""https://docs.google.com/spreadsheets/d/""&amp;$A256&amp;""/edit#gid=156619080"",X$3)"),2409.8)</f>
        <v>2409.8</v>
      </c>
      <c r="Y256" s="17">
        <f>IFERROR(__xludf.DUMMYFUNCTION("IMPORTRANGE(""https://docs.google.com/spreadsheets/d/""&amp;$A256&amp;""/edit#gid=156619080"",Y$3)"),-0.013270373687209928)</f>
        <v>-0.01327037369</v>
      </c>
      <c r="Z256" s="2">
        <f>IFERROR(__xludf.DUMMYFUNCTION("IMPORTRANGE(""https://docs.google.com/spreadsheets/d/""&amp;$A256&amp;""/edit#gid=156619080"",Z$3)"),2525.44)</f>
        <v>2525.44</v>
      </c>
      <c r="AA256" s="2">
        <f>IFERROR(__xludf.DUMMYFUNCTION("IMPORTRANGE(""https://docs.google.com/spreadsheets/d/""&amp;$A256&amp;""/edit#gid=156619080"",AA$3)"),2510.73)</f>
        <v>2510.73</v>
      </c>
      <c r="AB256" s="2">
        <f>IFERROR(__xludf.DUMMYFUNCTION("IMPORTRANGE(""https://docs.google.com/spreadsheets/d/""&amp;$A256&amp;""/edit#gid=156619080"",AB$3)"),2496.03)</f>
        <v>2496.03</v>
      </c>
      <c r="AC256" s="18">
        <f>IFERROR(__xludf.DUMMYFUNCTION("IMPORTRANGE(""https://docs.google.com/spreadsheets/d/""&amp;$A256&amp;""/edit#gid=156619080"",AC$3)"),2481.32)</f>
        <v>2481.32</v>
      </c>
      <c r="AD256" s="18">
        <f>IFERROR(__xludf.DUMMYFUNCTION("IMPORTRANGE(""https://docs.google.com/spreadsheets/d/""&amp;$A256&amp;""/edit#gid=156619080"",AD$3)"),2466.62)</f>
        <v>2466.62</v>
      </c>
      <c r="AE256" s="18">
        <f>IFERROR(__xludf.DUMMYFUNCTION("IMPORTRANGE(""https://docs.google.com/spreadsheets/d/""&amp;$A256&amp;""/edit#gid=156619080"",AE$3)"),2407.8)</f>
        <v>2407.8</v>
      </c>
      <c r="AF256" s="2">
        <f>IFERROR(__xludf.DUMMYFUNCTION("IMPORTRANGE(""https://docs.google.com/spreadsheets/d/""&amp;$A256&amp;""/edit#gid=156619080"",AF$3)"),2348.98)</f>
        <v>2348.98</v>
      </c>
      <c r="AG256" s="2">
        <f>IFERROR(__xludf.DUMMYFUNCTION("IMPORTRANGE(""https://docs.google.com/spreadsheets/d/""&amp;$A256&amp;""/edit#gid=156619080"",AG$3)"),2334.28)</f>
        <v>2334.28</v>
      </c>
      <c r="AH256" s="2">
        <f>IFERROR(__xludf.DUMMYFUNCTION("IMPORTRANGE(""https://docs.google.com/spreadsheets/d/""&amp;$A256&amp;""/edit#gid=156619080"",AH$3)"),2319.57)</f>
        <v>2319.57</v>
      </c>
      <c r="AI256" s="2">
        <f>IFERROR(__xludf.DUMMYFUNCTION("IMPORTRANGE(""https://docs.google.com/spreadsheets/d/""&amp;$A256&amp;""/edit#gid=156619080"",AI$3)"),2304.87)</f>
        <v>2304.87</v>
      </c>
      <c r="AJ256" s="2">
        <f>IFERROR(__xludf.DUMMYFUNCTION("IMPORTRANGE(""https://docs.google.com/spreadsheets/d/""&amp;$A256&amp;""/edit#gid=156619080"",AJ$3)"),2290.16)</f>
        <v>2290.16</v>
      </c>
      <c r="AK256" s="2" t="str">
        <f>IFERROR(__xludf.DUMMYFUNCTION("IMPORTRANGE(""https://docs.google.com/spreadsheets/d/""&amp;$A256&amp;""/edit#gid=156619080"",AK$3)"),"")</f>
        <v/>
      </c>
      <c r="AL256" s="2">
        <f>IFERROR(__xludf.DUMMYFUNCTION("IMPORTRANGE(""https://docs.google.com/spreadsheets/d/""&amp;$A256&amp;""/edit#gid=156619080"",AL$3)"),1.0)</f>
        <v>1</v>
      </c>
      <c r="AM256" s="2" t="str">
        <f>IFERROR(__xludf.DUMMYFUNCTION("IMPORTRANGE(""https://docs.google.com/spreadsheets/d/""&amp;$A256&amp;""/edit#gid=156619080"",AM$3)"),"")</f>
        <v/>
      </c>
      <c r="AN256" s="2">
        <f>IFERROR(__xludf.DUMMYFUNCTION("IMPORTRANGE(""https://docs.google.com/spreadsheets/d/""&amp;$A256&amp;""/edit#gid=156619080"",AN$3)"),1.0)</f>
        <v>1</v>
      </c>
      <c r="AO256" s="2" t="str">
        <f>IFERROR(__xludf.DUMMYFUNCTION("IMPORTRANGE(""https://docs.google.com/spreadsheets/d/""&amp;$A256&amp;""/edit#gid=156619080"",AO$3)"),"")</f>
        <v/>
      </c>
      <c r="AP256" s="2">
        <f>IFERROR(__xludf.DUMMYFUNCTION("IMPORTRANGE(""https://docs.google.com/spreadsheets/d/""&amp;$A256&amp;""/edit#gid=156619080"",AP$3)"),1.0)</f>
        <v>1</v>
      </c>
      <c r="AQ256" s="2" t="str">
        <f>IFERROR(__xludf.DUMMYFUNCTION("IMPORTRANGE(""https://docs.google.com/spreadsheets/d/""&amp;$A256&amp;""/edit#gid=156619080"",AQ$3)"),"")</f>
        <v/>
      </c>
      <c r="AR256" s="18">
        <f>IFERROR(__xludf.DUMMYFUNCTION("IMPORTRANGE(""https://docs.google.com/spreadsheets/d/""&amp;$A256&amp;""/edit#gid=156619080"",AR$3)"),-10.000000000000009)</f>
        <v>-10</v>
      </c>
      <c r="AS256" s="19" t="str">
        <f>IFERROR(__xludf.DUMMYFUNCTION("IMPORTRANGE(""https://docs.google.com/spreadsheets/d/""&amp;$A256&amp;""/edit#gid=156619080"",AS$3)"),"50
10
10
20
")</f>
        <v>50
10
10
20
</v>
      </c>
      <c r="AT256" s="18">
        <f>IFERROR(__xludf.DUMMYFUNCTION("IMPORTRANGE(""https://docs.google.com/spreadsheets/d/""&amp;$A256&amp;""/edit#gid=156619080"",AT$3)"),75.82417582417582)</f>
        <v>75.82417582</v>
      </c>
      <c r="AU256" s="3" t="str">
        <f>IFERROR(__xludf.DUMMYFUNCTION("IMPORTRANGE(""https://docs.google.com/spreadsheets/d/""&amp;$A256&amp;""/edit#gid=156619080"",AU$3)"),"87.91
90.66
92.31
87.36
")</f>
        <v>87.91
90.66
92.31
87.36
</v>
      </c>
      <c r="AV256" s="18">
        <f>IFERROR(__xludf.DUMMYFUNCTION("IMPORTRANGE(""https://docs.google.com/spreadsheets/d/""&amp;$A256&amp;""/edit#gid=156619080"",AV$3)"),48.701298701298704)</f>
        <v>48.7012987</v>
      </c>
      <c r="AW256" s="19" t="str">
        <f>IFERROR(__xludf.DUMMYFUNCTION("IMPORTRANGE(""https://docs.google.com/spreadsheets/d/""&amp;$A256&amp;""/edit#gid=156619080"",AW$3)"),"-11.98
4.38
26.88
43.25
")</f>
        <v>-11.98
4.38
26.88
43.25
</v>
      </c>
      <c r="AX256" s="2">
        <f>IFERROR(__xludf.DUMMYFUNCTION("IMPORTRANGE(""https://docs.google.com/spreadsheets/d/""&amp;$A256&amp;""/edit#gid=156619080"",AX$3)"),34.81)</f>
        <v>34.81</v>
      </c>
      <c r="AY256" s="2">
        <f>IFERROR(__xludf.DUMMYFUNCTION("IMPORTRANGE(""https://docs.google.com/spreadsheets/d/""&amp;$A256&amp;""/edit#gid=156619080"",AY$3)"),49.78)</f>
        <v>49.78</v>
      </c>
      <c r="AZ256" s="2">
        <f>IFERROR(__xludf.DUMMYFUNCTION("IMPORTRANGE(""https://docs.google.com/spreadsheets/d/""&amp;$A256&amp;""/edit#gid=156619080"",AZ$3)"),2450.69)</f>
        <v>2450.69</v>
      </c>
      <c r="BA256" s="2">
        <f>IFERROR(__xludf.DUMMYFUNCTION("IMPORTRANGE(""https://docs.google.com/spreadsheets/d/""&amp;$A256&amp;""/edit#gid=156619080"",BA$3)"),19.450000000000273)</f>
        <v>19.45</v>
      </c>
      <c r="BB256" s="2">
        <f>IFERROR(__xludf.DUMMYFUNCTION("IMPORTRANGE(""https://docs.google.com/spreadsheets/d/""&amp;$A256&amp;""/edit#gid=156619080"",BB$3)"),6.69)</f>
        <v>6.69</v>
      </c>
      <c r="BC256" s="2" t="str">
        <f>IFERROR(__xludf.DUMMYFUNCTION("IMPORTRANGE(""https://docs.google.com/spreadsheets/d/""&amp;$A256&amp;""/edit#gid=156619080"",BC$3)"),"GC→GC")</f>
        <v>GC→GC</v>
      </c>
    </row>
    <row r="257" ht="51.0" customHeight="1">
      <c r="A257" s="7" t="str">
        <f t="shared" si="5"/>
        <v>195ZtlezMoZ_MVz0ETr7RzQ_A77CtAJlEOcX4neYoKYY</v>
      </c>
      <c r="B257" s="1" t="s">
        <v>284</v>
      </c>
      <c r="C257" s="2">
        <f>IFERROR(__xludf.DUMMYFUNCTION("IMPORTRANGE(""https://docs.google.com/spreadsheets/d/""&amp;$A257&amp;""/edit#gid=156619080"",C$3)"),131.0)</f>
        <v>131</v>
      </c>
      <c r="D257" s="2">
        <f>IFERROR(__xludf.DUMMYFUNCTION("IMPORTRANGE(""https://docs.google.com/spreadsheets/d/""&amp;$A257&amp;""/edit#gid=156619080"",D$3)"),7564.0)</f>
        <v>7564</v>
      </c>
      <c r="E257" s="15">
        <f>IFERROR(__xludf.DUMMYFUNCTION("IMPORTRANGE(""https://docs.google.com/spreadsheets/d/""&amp;$A257&amp;""/edit#gid=156619080"",E$3)"),43882.0)</f>
        <v>43882</v>
      </c>
      <c r="F257" s="2">
        <f>IFERROR(__xludf.DUMMYFUNCTION("IMPORTRANGE(""https://docs.google.com/spreadsheets/d/""&amp;$A257&amp;""/edit#gid=156619080"",F$3)"),10.0)</f>
        <v>10</v>
      </c>
      <c r="G257" s="16">
        <f>IFERROR(__xludf.DUMMYFUNCTION("IMPORTRANGE(""https://docs.google.com/spreadsheets/d/""&amp;$A257&amp;""/edit#gid=156619080"",G$3)"),0.12)</f>
        <v>0.12</v>
      </c>
      <c r="H257" s="16">
        <f>IFERROR(__xludf.DUMMYFUNCTION("IMPORTRANGE(""https://docs.google.com/spreadsheets/d/""&amp;$A257&amp;""/edit#gid=156619080"",H$3)"),8120.0)</f>
        <v>8120</v>
      </c>
      <c r="I257" s="16">
        <f>IFERROR(__xludf.DUMMYFUNCTION("IMPORTRANGE(""https://docs.google.com/spreadsheets/d/""&amp;$A257&amp;""/edit#gid=156619080"",I$3)"),40.0)</f>
        <v>40</v>
      </c>
      <c r="J257" s="16">
        <f>IFERROR(__xludf.DUMMYFUNCTION("IMPORTRANGE(""https://docs.google.com/spreadsheets/d/""&amp;$A257&amp;""/edit#gid=156619080"",J$3)"),8230.0)</f>
        <v>8230</v>
      </c>
      <c r="K257" s="16">
        <f>IFERROR(__xludf.DUMMYFUNCTION("IMPORTRANGE(""https://docs.google.com/spreadsheets/d/""&amp;$A257&amp;""/edit#gid=156619080"",K$3)"),0.38958333333333334)</f>
        <v>0.3895833333</v>
      </c>
      <c r="L257" s="16">
        <f>IFERROR(__xludf.DUMMYFUNCTION("IMPORTRANGE(""https://docs.google.com/spreadsheets/d/""&amp;$A257&amp;""/edit#gid=156619080"",L$3)"),8100.0)</f>
        <v>8100</v>
      </c>
      <c r="M257" s="16">
        <f>IFERROR(__xludf.DUMMYFUNCTION("IMPORTRANGE(""https://docs.google.com/spreadsheets/d/""&amp;$A257&amp;""/edit#gid=156619080"",M$3)"),0.3798611111111111)</f>
        <v>0.3798611111</v>
      </c>
      <c r="N257" s="16">
        <f>IFERROR(__xludf.DUMMYFUNCTION("IMPORTRANGE(""https://docs.google.com/spreadsheets/d/""&amp;$A257&amp;""/edit#gid=156619080"",N$3)"),8170.0)</f>
        <v>8170</v>
      </c>
      <c r="O257" s="16" t="str">
        <f>IFERROR(__xludf.DUMMYFUNCTION("IMPORTRANGE(""https://docs.google.com/spreadsheets/d/""&amp;$A257&amp;""/edit#gid=156619080"",O$3)"),"234700株")</f>
        <v>234700株</v>
      </c>
      <c r="P257" s="16" t="str">
        <f>IFERROR(__xludf.DUMMYFUNCTION("IMPORTRANGE(""https://docs.google.com/spreadsheets/d/""&amp;$A257&amp;""/edit#gid=156619080"",P$3)"),"1915百万円")</f>
        <v>1915百万円</v>
      </c>
      <c r="Q257" s="16" t="str">
        <f>IFERROR(__xludf.DUMMYFUNCTION("IMPORTRANGE(""https://docs.google.com/spreadsheets/d/""&amp;$A257&amp;""/edit#gid=156619080"",Q$3)"),"990回")</f>
        <v>990回</v>
      </c>
      <c r="R257" s="16" t="str">
        <f>IFERROR(__xludf.DUMMYFUNCTION("IMPORTRANGE(""https://docs.google.com/spreadsheets/d/""&amp;$A257&amp;""/edit#gid=156619080"",R$3)"),"6687億円")</f>
        <v>6687億円</v>
      </c>
      <c r="S257" s="16" t="str">
        <f>IFERROR(__xludf.DUMMYFUNCTION("IMPORTRANGE(""https://docs.google.com/spreadsheets/d/""&amp;$A257&amp;""/edit#gid=156619080"",S$3)"),"陽線")</f>
        <v>陽線</v>
      </c>
      <c r="T257" s="16" t="str">
        <f>IFERROR(__xludf.DUMMYFUNCTION("IMPORTRANGE(""https://docs.google.com/spreadsheets/d/""&amp;$A257&amp;""/edit#gid=156619080"",T$3)"),"")</f>
        <v/>
      </c>
      <c r="U257" s="16">
        <f>IFERROR(__xludf.DUMMYFUNCTION("IMPORTRANGE(""https://docs.google.com/spreadsheets/d/""&amp;$A257&amp;""/edit#gid=156619080"",U$3)"),8214.0)</f>
        <v>8214</v>
      </c>
      <c r="V257" s="16">
        <f>IFERROR(__xludf.DUMMYFUNCTION("IMPORTRANGE(""https://docs.google.com/spreadsheets/d/""&amp;$A257&amp;""/edit#gid=156619080"",V$3)"),8549.2)</f>
        <v>8549.2</v>
      </c>
      <c r="W257" s="16">
        <f>IFERROR(__xludf.DUMMYFUNCTION("IMPORTRANGE(""https://docs.google.com/spreadsheets/d/""&amp;$A257&amp;""/edit#gid=156619080"",W$3)"),8799.0)</f>
        <v>8799</v>
      </c>
      <c r="X257" s="2">
        <f>IFERROR(__xludf.DUMMYFUNCTION("IMPORTRANGE(""https://docs.google.com/spreadsheets/d/""&amp;$A257&amp;""/edit#gid=156619080"",X$3)"),8645.3)</f>
        <v>8645.3</v>
      </c>
      <c r="Y257" s="17">
        <f>IFERROR(__xludf.DUMMYFUNCTION("IMPORTRANGE(""https://docs.google.com/spreadsheets/d/""&amp;$A257&amp;""/edit#gid=156619080"",Y$3)"),-0.005356708059410762)</f>
        <v>-0.005356708059</v>
      </c>
      <c r="Z257" s="2">
        <f>IFERROR(__xludf.DUMMYFUNCTION("IMPORTRANGE(""https://docs.google.com/spreadsheets/d/""&amp;$A257&amp;""/edit#gid=156619080"",Z$3)"),9647.59)</f>
        <v>9647.59</v>
      </c>
      <c r="AA257" s="2">
        <f>IFERROR(__xludf.DUMMYFUNCTION("IMPORTRANGE(""https://docs.google.com/spreadsheets/d/""&amp;$A257&amp;""/edit#gid=156619080"",AA$3)"),9541.52)</f>
        <v>9541.52</v>
      </c>
      <c r="AB257" s="2">
        <f>IFERROR(__xludf.DUMMYFUNCTION("IMPORTRANGE(""https://docs.google.com/spreadsheets/d/""&amp;$A257&amp;""/edit#gid=156619080"",AB$3)"),9435.45)</f>
        <v>9435.45</v>
      </c>
      <c r="AC257" s="18">
        <f>IFERROR(__xludf.DUMMYFUNCTION("IMPORTRANGE(""https://docs.google.com/spreadsheets/d/""&amp;$A257&amp;""/edit#gid=156619080"",AC$3)"),9329.37)</f>
        <v>9329.37</v>
      </c>
      <c r="AD257" s="18">
        <f>IFERROR(__xludf.DUMMYFUNCTION("IMPORTRANGE(""https://docs.google.com/spreadsheets/d/""&amp;$A257&amp;""/edit#gid=156619080"",AD$3)"),9223.3)</f>
        <v>9223.3</v>
      </c>
      <c r="AE257" s="18">
        <f>IFERROR(__xludf.DUMMYFUNCTION("IMPORTRANGE(""https://docs.google.com/spreadsheets/d/""&amp;$A257&amp;""/edit#gid=156619080"",AE$3)"),8799.0)</f>
        <v>8799</v>
      </c>
      <c r="AF257" s="2">
        <f>IFERROR(__xludf.DUMMYFUNCTION("IMPORTRANGE(""https://docs.google.com/spreadsheets/d/""&amp;$A257&amp;""/edit#gid=156619080"",AF$3)"),8374.7)</f>
        <v>8374.7</v>
      </c>
      <c r="AG257" s="2">
        <f>IFERROR(__xludf.DUMMYFUNCTION("IMPORTRANGE(""https://docs.google.com/spreadsheets/d/""&amp;$A257&amp;""/edit#gid=156619080"",AG$3)"),8268.63)</f>
        <v>8268.63</v>
      </c>
      <c r="AH257" s="2">
        <f>IFERROR(__xludf.DUMMYFUNCTION("IMPORTRANGE(""https://docs.google.com/spreadsheets/d/""&amp;$A257&amp;""/edit#gid=156619080"",AH$3)"),8162.55)</f>
        <v>8162.55</v>
      </c>
      <c r="AI257" s="2">
        <f>IFERROR(__xludf.DUMMYFUNCTION("IMPORTRANGE(""https://docs.google.com/spreadsheets/d/""&amp;$A257&amp;""/edit#gid=156619080"",AI$3)"),8056.48)</f>
        <v>8056.48</v>
      </c>
      <c r="AJ257" s="2">
        <f>IFERROR(__xludf.DUMMYFUNCTION("IMPORTRANGE(""https://docs.google.com/spreadsheets/d/""&amp;$A257&amp;""/edit#gid=156619080"",AJ$3)"),7950.41)</f>
        <v>7950.41</v>
      </c>
      <c r="AK257" s="2" t="str">
        <f>IFERROR(__xludf.DUMMYFUNCTION("IMPORTRANGE(""https://docs.google.com/spreadsheets/d/""&amp;$A257&amp;""/edit#gid=156619080"",AK$3)"),"-1.25σ〜-1.5σ")</f>
        <v>-1.25σ〜-1.5σ</v>
      </c>
      <c r="AL257" s="2">
        <f>IFERROR(__xludf.DUMMYFUNCTION("IMPORTRANGE(""https://docs.google.com/spreadsheets/d/""&amp;$A257&amp;""/edit#gid=156619080"",AL$3)"),-1.0)</f>
        <v>-1</v>
      </c>
      <c r="AM257" s="2" t="str">
        <f>IFERROR(__xludf.DUMMYFUNCTION("IMPORTRANGE(""https://docs.google.com/spreadsheets/d/""&amp;$A257&amp;""/edit#gid=156619080"",AM$3)"),"")</f>
        <v/>
      </c>
      <c r="AN257" s="2">
        <f>IFERROR(__xludf.DUMMYFUNCTION("IMPORTRANGE(""https://docs.google.com/spreadsheets/d/""&amp;$A257&amp;""/edit#gid=156619080"",AN$3)"),-1.0)</f>
        <v>-1</v>
      </c>
      <c r="AO257" s="2" t="str">
        <f>IFERROR(__xludf.DUMMYFUNCTION("IMPORTRANGE(""https://docs.google.com/spreadsheets/d/""&amp;$A257&amp;""/edit#gid=156619080"",AO$3)"),"")</f>
        <v/>
      </c>
      <c r="AP257" s="2">
        <f>IFERROR(__xludf.DUMMYFUNCTION("IMPORTRANGE(""https://docs.google.com/spreadsheets/d/""&amp;$A257&amp;""/edit#gid=156619080"",AP$3)"),-1.0)</f>
        <v>-1</v>
      </c>
      <c r="AQ257" s="2" t="str">
        <f>IFERROR(__xludf.DUMMYFUNCTION("IMPORTRANGE(""https://docs.google.com/spreadsheets/d/""&amp;$A257&amp;""/edit#gid=156619080"",AQ$3)"),"")</f>
        <v/>
      </c>
      <c r="AR257" s="18">
        <f>IFERROR(__xludf.DUMMYFUNCTION("IMPORTRANGE(""https://docs.google.com/spreadsheets/d/""&amp;$A257&amp;""/edit#gid=156619080"",AR$3)"),-37.5)</f>
        <v>-37.5</v>
      </c>
      <c r="AS257" s="19" t="str">
        <f>IFERROR(__xludf.DUMMYFUNCTION("IMPORTRANGE(""https://docs.google.com/spreadsheets/d/""&amp;$A257&amp;""/edit#gid=156619080"",AS$3)"),"-90
-90
-90
-77.5
")</f>
        <v>-90
-90
-90
-77.5
</v>
      </c>
      <c r="AT257" s="18">
        <f>IFERROR(__xludf.DUMMYFUNCTION("IMPORTRANGE(""https://docs.google.com/spreadsheets/d/""&amp;$A257&amp;""/edit#gid=156619080"",AT$3)"),-77.88461538461537)</f>
        <v>-77.88461538</v>
      </c>
      <c r="AU257" s="3" t="str">
        <f>IFERROR(__xludf.DUMMYFUNCTION("IMPORTRANGE(""https://docs.google.com/spreadsheets/d/""&amp;$A257&amp;""/edit#gid=156619080"",AU$3)"),"-72.53
-72.53
-76.37
-78.43
")</f>
        <v>-72.53
-72.53
-76.37
-78.43
</v>
      </c>
      <c r="AV257" s="18">
        <f>IFERROR(__xludf.DUMMYFUNCTION("IMPORTRANGE(""https://docs.google.com/spreadsheets/d/""&amp;$A257&amp;""/edit#gid=156619080"",AV$3)"),-92.6948051948052)</f>
        <v>-92.69480519</v>
      </c>
      <c r="AW257" s="19" t="str">
        <f>IFERROR(__xludf.DUMMYFUNCTION("IMPORTRANGE(""https://docs.google.com/spreadsheets/d/""&amp;$A257&amp;""/edit#gid=156619080"",AW$3)"),"-89.87
-91.43
-92.6
-93.21
")</f>
        <v>-89.87
-91.43
-92.6
-93.21
</v>
      </c>
      <c r="AX257" s="2">
        <f>IFERROR(__xludf.DUMMYFUNCTION("IMPORTRANGE(""https://docs.google.com/spreadsheets/d/""&amp;$A257&amp;""/edit#gid=156619080"",AX$3)"),18.52)</f>
        <v>18.52</v>
      </c>
      <c r="AY257" s="2">
        <f>IFERROR(__xludf.DUMMYFUNCTION("IMPORTRANGE(""https://docs.google.com/spreadsheets/d/""&amp;$A257&amp;""/edit#gid=156619080"",AY$3)"),23.97)</f>
        <v>23.97</v>
      </c>
      <c r="AZ257" s="2">
        <f>IFERROR(__xludf.DUMMYFUNCTION("IMPORTRANGE(""https://docs.google.com/spreadsheets/d/""&amp;$A257&amp;""/edit#gid=156619080"",AZ$3)"),8259.73)</f>
        <v>8259.73</v>
      </c>
      <c r="BA257" s="2">
        <f>IFERROR(__xludf.DUMMYFUNCTION("IMPORTRANGE(""https://docs.google.com/spreadsheets/d/""&amp;$A257&amp;""/edit#gid=156619080"",BA$3)"),-478.72000000000116)</f>
        <v>-478.72</v>
      </c>
      <c r="BB257" s="2">
        <f>IFERROR(__xludf.DUMMYFUNCTION("IMPORTRANGE(""https://docs.google.com/spreadsheets/d/""&amp;$A257&amp;""/edit#gid=156619080"",BB$3)"),-396.4)</f>
        <v>-396.4</v>
      </c>
      <c r="BC257" s="2" t="str">
        <f>IFERROR(__xludf.DUMMYFUNCTION("IMPORTRANGE(""https://docs.google.com/spreadsheets/d/""&amp;$A257&amp;""/edit#gid=156619080"",BC$3)"),"DC→DC")</f>
        <v>DC→DC</v>
      </c>
    </row>
    <row r="258" ht="51.0" customHeight="1">
      <c r="A258" s="7" t="str">
        <f t="shared" si="5"/>
        <v>1WfyaenuSmyrqHpXtoSQ4BEFsi1SNz40Spyy40_EHxxg</v>
      </c>
      <c r="B258" s="1" t="s">
        <v>285</v>
      </c>
      <c r="C258" s="2">
        <f>IFERROR(__xludf.DUMMYFUNCTION("IMPORTRANGE(""https://docs.google.com/spreadsheets/d/""&amp;$A258&amp;""/edit#gid=156619080"",C$3)"),131.0)</f>
        <v>131</v>
      </c>
      <c r="D258" s="2">
        <f>IFERROR(__xludf.DUMMYFUNCTION("IMPORTRANGE(""https://docs.google.com/spreadsheets/d/""&amp;$A258&amp;""/edit#gid=156619080"",D$3)"),7816.0)</f>
        <v>7816</v>
      </c>
      <c r="E258" s="15">
        <f>IFERROR(__xludf.DUMMYFUNCTION("IMPORTRANGE(""https://docs.google.com/spreadsheets/d/""&amp;$A258&amp;""/edit#gid=156619080"",E$3)"),43882.0)</f>
        <v>43882</v>
      </c>
      <c r="F258" s="2">
        <f>IFERROR(__xludf.DUMMYFUNCTION("IMPORTRANGE(""https://docs.google.com/spreadsheets/d/""&amp;$A258&amp;""/edit#gid=156619080"",F$3)"),-30.0)</f>
        <v>-30</v>
      </c>
      <c r="G258" s="16">
        <f>IFERROR(__xludf.DUMMYFUNCTION("IMPORTRANGE(""https://docs.google.com/spreadsheets/d/""&amp;$A258&amp;""/edit#gid=156619080"",G$3)"),-3.53)</f>
        <v>-3.53</v>
      </c>
      <c r="H258" s="16">
        <f>IFERROR(__xludf.DUMMYFUNCTION("IMPORTRANGE(""https://docs.google.com/spreadsheets/d/""&amp;$A258&amp;""/edit#gid=156619080"",H$3)"),845.0)</f>
        <v>845</v>
      </c>
      <c r="I258" s="16">
        <f>IFERROR(__xludf.DUMMYFUNCTION("IMPORTRANGE(""https://docs.google.com/spreadsheets/d/""&amp;$A258&amp;""/edit#gid=156619080"",I$3)"),6.0)</f>
        <v>6</v>
      </c>
      <c r="J258" s="16">
        <f>IFERROR(__xludf.DUMMYFUNCTION("IMPORTRANGE(""https://docs.google.com/spreadsheets/d/""&amp;$A258&amp;""/edit#gid=156619080"",J$3)"),845.0)</f>
        <v>845</v>
      </c>
      <c r="K258" s="16">
        <f>IFERROR(__xludf.DUMMYFUNCTION("IMPORTRANGE(""https://docs.google.com/spreadsheets/d/""&amp;$A258&amp;""/edit#gid=156619080"",K$3)"),0.375)</f>
        <v>0.375</v>
      </c>
      <c r="L258" s="16">
        <f>IFERROR(__xludf.DUMMYFUNCTION("IMPORTRANGE(""https://docs.google.com/spreadsheets/d/""&amp;$A258&amp;""/edit#gid=156619080"",L$3)"),821.0)</f>
        <v>821</v>
      </c>
      <c r="M258" s="16">
        <f>IFERROR(__xludf.DUMMYFUNCTION("IMPORTRANGE(""https://docs.google.com/spreadsheets/d/""&amp;$A258&amp;""/edit#gid=156619080"",M$3)"),0.625)</f>
        <v>0.625</v>
      </c>
      <c r="N258" s="16">
        <f>IFERROR(__xludf.DUMMYFUNCTION("IMPORTRANGE(""https://docs.google.com/spreadsheets/d/""&amp;$A258&amp;""/edit#gid=156619080"",N$3)"),821.0)</f>
        <v>821</v>
      </c>
      <c r="O258" s="16" t="str">
        <f>IFERROR(__xludf.DUMMYFUNCTION("IMPORTRANGE(""https://docs.google.com/spreadsheets/d/""&amp;$A258&amp;""/edit#gid=156619080"",O$3)"),"335900株")</f>
        <v>335900株</v>
      </c>
      <c r="P258" s="16" t="str">
        <f>IFERROR(__xludf.DUMMYFUNCTION("IMPORTRANGE(""https://docs.google.com/spreadsheets/d/""&amp;$A258&amp;""/edit#gid=156619080"",P$3)"),"278百万円")</f>
        <v>278百万円</v>
      </c>
      <c r="Q258" s="16" t="str">
        <f>IFERROR(__xludf.DUMMYFUNCTION("IMPORTRANGE(""https://docs.google.com/spreadsheets/d/""&amp;$A258&amp;""/edit#gid=156619080"",Q$3)"),"1295回")</f>
        <v>1295回</v>
      </c>
      <c r="R258" s="16" t="str">
        <f>IFERROR(__xludf.DUMMYFUNCTION("IMPORTRANGE(""https://docs.google.com/spreadsheets/d/""&amp;$A258&amp;""/edit#gid=156619080"",R$3)"),"147億円")</f>
        <v>147億円</v>
      </c>
      <c r="S258" s="16" t="str">
        <f>IFERROR(__xludf.DUMMYFUNCTION("IMPORTRANGE(""https://docs.google.com/spreadsheets/d/""&amp;$A258&amp;""/edit#gid=156619080"",S$3)"),"陰線")</f>
        <v>陰線</v>
      </c>
      <c r="T258" s="16" t="str">
        <f>IFERROR(__xludf.DUMMYFUNCTION("IMPORTRANGE(""https://docs.google.com/spreadsheets/d/""&amp;$A258&amp;""/edit#gid=156619080"",T$3)"),"")</f>
        <v/>
      </c>
      <c r="U258" s="16">
        <f>IFERROR(__xludf.DUMMYFUNCTION("IMPORTRANGE(""https://docs.google.com/spreadsheets/d/""&amp;$A258&amp;""/edit#gid=156619080"",U$3)"),859.2)</f>
        <v>859.2</v>
      </c>
      <c r="V258" s="16">
        <f>IFERROR(__xludf.DUMMYFUNCTION("IMPORTRANGE(""https://docs.google.com/spreadsheets/d/""&amp;$A258&amp;""/edit#gid=156619080"",V$3)"),967.7)</f>
        <v>967.7</v>
      </c>
      <c r="W258" s="16">
        <f>IFERROR(__xludf.DUMMYFUNCTION("IMPORTRANGE(""https://docs.google.com/spreadsheets/d/""&amp;$A258&amp;""/edit#gid=156619080"",W$3)"),992.1)</f>
        <v>992.1</v>
      </c>
      <c r="X258" s="2">
        <f>IFERROR(__xludf.DUMMYFUNCTION("IMPORTRANGE(""https://docs.google.com/spreadsheets/d/""&amp;$A258&amp;""/edit#gid=156619080"",X$3)"),1097.5)</f>
        <v>1097.5</v>
      </c>
      <c r="Y258" s="17">
        <f>IFERROR(__xludf.DUMMYFUNCTION("IMPORTRANGE(""https://docs.google.com/spreadsheets/d/""&amp;$A258&amp;""/edit#gid=156619080"",Y$3)"),-0.04445996275605219)</f>
        <v>-0.04445996276</v>
      </c>
      <c r="Z258" s="2">
        <f>IFERROR(__xludf.DUMMYFUNCTION("IMPORTRANGE(""https://docs.google.com/spreadsheets/d/""&amp;$A258&amp;""/edit#gid=156619080"",Z$3)"),1153.09)</f>
        <v>1153.09</v>
      </c>
      <c r="AA258" s="2">
        <f>IFERROR(__xludf.DUMMYFUNCTION("IMPORTRANGE(""https://docs.google.com/spreadsheets/d/""&amp;$A258&amp;""/edit#gid=156619080"",AA$3)"),1132.97)</f>
        <v>1132.97</v>
      </c>
      <c r="AB258" s="2">
        <f>IFERROR(__xludf.DUMMYFUNCTION("IMPORTRANGE(""https://docs.google.com/spreadsheets/d/""&amp;$A258&amp;""/edit#gid=156619080"",AB$3)"),1112.85)</f>
        <v>1112.85</v>
      </c>
      <c r="AC258" s="18">
        <f>IFERROR(__xludf.DUMMYFUNCTION("IMPORTRANGE(""https://docs.google.com/spreadsheets/d/""&amp;$A258&amp;""/edit#gid=156619080"",AC$3)"),1092.72)</f>
        <v>1092.72</v>
      </c>
      <c r="AD258" s="18">
        <f>IFERROR(__xludf.DUMMYFUNCTION("IMPORTRANGE(""https://docs.google.com/spreadsheets/d/""&amp;$A258&amp;""/edit#gid=156619080"",AD$3)"),1072.6)</f>
        <v>1072.6</v>
      </c>
      <c r="AE258" s="18">
        <f>IFERROR(__xludf.DUMMYFUNCTION("IMPORTRANGE(""https://docs.google.com/spreadsheets/d/""&amp;$A258&amp;""/edit#gid=156619080"",AE$3)"),992.1)</f>
        <v>992.1</v>
      </c>
      <c r="AF258" s="2">
        <f>IFERROR(__xludf.DUMMYFUNCTION("IMPORTRANGE(""https://docs.google.com/spreadsheets/d/""&amp;$A258&amp;""/edit#gid=156619080"",AF$3)"),911.6)</f>
        <v>911.6</v>
      </c>
      <c r="AG258" s="2">
        <f>IFERROR(__xludf.DUMMYFUNCTION("IMPORTRANGE(""https://docs.google.com/spreadsheets/d/""&amp;$A258&amp;""/edit#gid=156619080"",AG$3)"),891.48)</f>
        <v>891.48</v>
      </c>
      <c r="AH258" s="2">
        <f>IFERROR(__xludf.DUMMYFUNCTION("IMPORTRANGE(""https://docs.google.com/spreadsheets/d/""&amp;$A258&amp;""/edit#gid=156619080"",AH$3)"),871.35)</f>
        <v>871.35</v>
      </c>
      <c r="AI258" s="2">
        <f>IFERROR(__xludf.DUMMYFUNCTION("IMPORTRANGE(""https://docs.google.com/spreadsheets/d/""&amp;$A258&amp;""/edit#gid=156619080"",AI$3)"),851.23)</f>
        <v>851.23</v>
      </c>
      <c r="AJ258" s="2">
        <f>IFERROR(__xludf.DUMMYFUNCTION("IMPORTRANGE(""https://docs.google.com/spreadsheets/d/""&amp;$A258&amp;""/edit#gid=156619080"",AJ$3)"),831.11)</f>
        <v>831.11</v>
      </c>
      <c r="AK258" s="2" t="str">
        <f>IFERROR(__xludf.DUMMYFUNCTION("IMPORTRANGE(""https://docs.google.com/spreadsheets/d/""&amp;$A258&amp;""/edit#gid=156619080"",AK$3)"),"-2σ以下")</f>
        <v>-2σ以下</v>
      </c>
      <c r="AL258" s="2">
        <f>IFERROR(__xludf.DUMMYFUNCTION("IMPORTRANGE(""https://docs.google.com/spreadsheets/d/""&amp;$A258&amp;""/edit#gid=156619080"",AL$3)"),-1.0)</f>
        <v>-1</v>
      </c>
      <c r="AM258" s="2" t="str">
        <f>IFERROR(__xludf.DUMMYFUNCTION("IMPORTRANGE(""https://docs.google.com/spreadsheets/d/""&amp;$A258&amp;""/edit#gid=156619080"",AM$3)"),"")</f>
        <v/>
      </c>
      <c r="AN258" s="2">
        <f>IFERROR(__xludf.DUMMYFUNCTION("IMPORTRANGE(""https://docs.google.com/spreadsheets/d/""&amp;$A258&amp;""/edit#gid=156619080"",AN$3)"),-1.0)</f>
        <v>-1</v>
      </c>
      <c r="AO258" s="2" t="str">
        <f>IFERROR(__xludf.DUMMYFUNCTION("IMPORTRANGE(""https://docs.google.com/spreadsheets/d/""&amp;$A258&amp;""/edit#gid=156619080"",AO$3)"),"")</f>
        <v/>
      </c>
      <c r="AP258" s="2">
        <f>IFERROR(__xludf.DUMMYFUNCTION("IMPORTRANGE(""https://docs.google.com/spreadsheets/d/""&amp;$A258&amp;""/edit#gid=156619080"",AP$3)"),-1.0)</f>
        <v>-1</v>
      </c>
      <c r="AQ258" s="2" t="str">
        <f>IFERROR(__xludf.DUMMYFUNCTION("IMPORTRANGE(""https://docs.google.com/spreadsheets/d/""&amp;$A258&amp;""/edit#gid=156619080"",AQ$3)"),"")</f>
        <v/>
      </c>
      <c r="AR258" s="18">
        <f>IFERROR(__xludf.DUMMYFUNCTION("IMPORTRANGE(""https://docs.google.com/spreadsheets/d/""&amp;$A258&amp;""/edit#gid=156619080"",AR$3)"),-89.99999999999999)</f>
        <v>-90</v>
      </c>
      <c r="AS258" s="19" t="str">
        <f>IFERROR(__xludf.DUMMYFUNCTION("IMPORTRANGE(""https://docs.google.com/spreadsheets/d/""&amp;$A258&amp;""/edit#gid=156619080"",AS$3)"),"-60
-90
-90
-90
")</f>
        <v>-60
-90
-90
-90
</v>
      </c>
      <c r="AT258" s="18">
        <f>IFERROR(__xludf.DUMMYFUNCTION("IMPORTRANGE(""https://docs.google.com/spreadsheets/d/""&amp;$A258&amp;""/edit#gid=156619080"",AT$3)"),-69.23076923076923)</f>
        <v>-69.23076923</v>
      </c>
      <c r="AU258" s="3" t="str">
        <f>IFERROR(__xludf.DUMMYFUNCTION("IMPORTRANGE(""https://docs.google.com/spreadsheets/d/""&amp;$A258&amp;""/edit#gid=156619080"",AU$3)"),"11.95
-11.54
-34.62
-53.85
")</f>
        <v>11.95
-11.54
-34.62
-53.85
</v>
      </c>
      <c r="AV258" s="18">
        <f>IFERROR(__xludf.DUMMYFUNCTION("IMPORTRANGE(""https://docs.google.com/spreadsheets/d/""&amp;$A258&amp;""/edit#gid=156619080"",AV$3)"),-53.5064935064935)</f>
        <v>-53.50649351</v>
      </c>
      <c r="AW258" s="19" t="str">
        <f>IFERROR(__xludf.DUMMYFUNCTION("IMPORTRANGE(""https://docs.google.com/spreadsheets/d/""&amp;$A258&amp;""/edit#gid=156619080"",AW$3)"),"-49.48
-49.48
-49.35
-51.56
")</f>
        <v>-49.48
-49.48
-49.35
-51.56
</v>
      </c>
      <c r="AX258" s="2">
        <f>IFERROR(__xludf.DUMMYFUNCTION("IMPORTRANGE(""https://docs.google.com/spreadsheets/d/""&amp;$A258&amp;""/edit#gid=156619080"",AX$3)"),2.36)</f>
        <v>2.36</v>
      </c>
      <c r="AY258" s="2">
        <f>IFERROR(__xludf.DUMMYFUNCTION("IMPORTRANGE(""https://docs.google.com/spreadsheets/d/""&amp;$A258&amp;""/edit#gid=156619080"",AY$3)"),22.830000000000002)</f>
        <v>22.83</v>
      </c>
      <c r="AZ258" s="2">
        <f>IFERROR(__xludf.DUMMYFUNCTION("IMPORTRANGE(""https://docs.google.com/spreadsheets/d/""&amp;$A258&amp;""/edit#gid=156619080"",AZ$3)"),869.36)</f>
        <v>869.36</v>
      </c>
      <c r="BA258" s="2">
        <f>IFERROR(__xludf.DUMMYFUNCTION("IMPORTRANGE(""https://docs.google.com/spreadsheets/d/""&amp;$A258&amp;""/edit#gid=156619080"",BA$3)"),-103.58000000000004)</f>
        <v>-103.58</v>
      </c>
      <c r="BB258" s="2">
        <f>IFERROR(__xludf.DUMMYFUNCTION("IMPORTRANGE(""https://docs.google.com/spreadsheets/d/""&amp;$A258&amp;""/edit#gid=156619080"",BB$3)"),-52.97)</f>
        <v>-52.97</v>
      </c>
      <c r="BC258" s="2" t="str">
        <f>IFERROR(__xludf.DUMMYFUNCTION("IMPORTRANGE(""https://docs.google.com/spreadsheets/d/""&amp;$A258&amp;""/edit#gid=156619080"",BC$3)"),"DC→DC")</f>
        <v>DC→DC</v>
      </c>
    </row>
    <row r="259" ht="51.0" customHeight="1">
      <c r="A259" s="7" t="str">
        <f t="shared" si="5"/>
        <v>1WHItq5fnDcSM2mF_QiN_u-Vbjo3_4Dw-_-3pLxK96uI</v>
      </c>
      <c r="B259" s="1" t="s">
        <v>286</v>
      </c>
      <c r="C259" s="2">
        <f>IFERROR(__xludf.DUMMYFUNCTION("IMPORTRANGE(""https://docs.google.com/spreadsheets/d/""&amp;$A259&amp;""/edit#gid=156619080"",C$3)"),131.0)</f>
        <v>131</v>
      </c>
      <c r="D259" s="2">
        <f>IFERROR(__xludf.DUMMYFUNCTION("IMPORTRANGE(""https://docs.google.com/spreadsheets/d/""&amp;$A259&amp;""/edit#gid=156619080"",D$3)"),9934.0)</f>
        <v>9934</v>
      </c>
      <c r="E259" s="15">
        <f>IFERROR(__xludf.DUMMYFUNCTION("IMPORTRANGE(""https://docs.google.com/spreadsheets/d/""&amp;$A259&amp;""/edit#gid=156619080"",E$3)"),43882.0)</f>
        <v>43882</v>
      </c>
      <c r="F259" s="2">
        <f>IFERROR(__xludf.DUMMYFUNCTION("IMPORTRANGE(""https://docs.google.com/spreadsheets/d/""&amp;$A259&amp;""/edit#gid=156619080"",F$3)"),6.0)</f>
        <v>6</v>
      </c>
      <c r="G259" s="16">
        <f>IFERROR(__xludf.DUMMYFUNCTION("IMPORTRANGE(""https://docs.google.com/spreadsheets/d/""&amp;$A259&amp;""/edit#gid=156619080"",G$3)"),0.23)</f>
        <v>0.23</v>
      </c>
      <c r="H259" s="16">
        <f>IFERROR(__xludf.DUMMYFUNCTION("IMPORTRANGE(""https://docs.google.com/spreadsheets/d/""&amp;$A259&amp;""/edit#gid=156619080"",H$3)"),2619.0)</f>
        <v>2619</v>
      </c>
      <c r="I259" s="16">
        <f>IFERROR(__xludf.DUMMYFUNCTION("IMPORTRANGE(""https://docs.google.com/spreadsheets/d/""&amp;$A259&amp;""/edit#gid=156619080"",I$3)"),-4.0)</f>
        <v>-4</v>
      </c>
      <c r="J259" s="16">
        <f>IFERROR(__xludf.DUMMYFUNCTION("IMPORTRANGE(""https://docs.google.com/spreadsheets/d/""&amp;$A259&amp;""/edit#gid=156619080"",J$3)"),2644.0)</f>
        <v>2644</v>
      </c>
      <c r="K259" s="16">
        <f>IFERROR(__xludf.DUMMYFUNCTION("IMPORTRANGE(""https://docs.google.com/spreadsheets/d/""&amp;$A259&amp;""/edit#gid=156619080"",K$3)"),0.3923611111111111)</f>
        <v>0.3923611111</v>
      </c>
      <c r="L259" s="16">
        <f>IFERROR(__xludf.DUMMYFUNCTION("IMPORTRANGE(""https://docs.google.com/spreadsheets/d/""&amp;$A259&amp;""/edit#gid=156619080"",L$3)"),2617.0)</f>
        <v>2617</v>
      </c>
      <c r="M259" s="16">
        <f>IFERROR(__xludf.DUMMYFUNCTION("IMPORTRANGE(""https://docs.google.com/spreadsheets/d/""&amp;$A259&amp;""/edit#gid=156619080"",M$3)"),0.6180555555555556)</f>
        <v>0.6180555556</v>
      </c>
      <c r="N259" s="16">
        <f>IFERROR(__xludf.DUMMYFUNCTION("IMPORTRANGE(""https://docs.google.com/spreadsheets/d/""&amp;$A259&amp;""/edit#gid=156619080"",N$3)"),2621.0)</f>
        <v>2621</v>
      </c>
      <c r="O259" s="16" t="str">
        <f>IFERROR(__xludf.DUMMYFUNCTION("IMPORTRANGE(""https://docs.google.com/spreadsheets/d/""&amp;$A259&amp;""/edit#gid=156619080"",O$3)"),"73100株")</f>
        <v>73100株</v>
      </c>
      <c r="P259" s="16" t="str">
        <f>IFERROR(__xludf.DUMMYFUNCTION("IMPORTRANGE(""https://docs.google.com/spreadsheets/d/""&amp;$A259&amp;""/edit#gid=156619080"",P$3)"),"192百万円")</f>
        <v>192百万円</v>
      </c>
      <c r="Q259" s="16" t="str">
        <f>IFERROR(__xludf.DUMMYFUNCTION("IMPORTRANGE(""https://docs.google.com/spreadsheets/d/""&amp;$A259&amp;""/edit#gid=156619080"",Q$3)"),"374回")</f>
        <v>374回</v>
      </c>
      <c r="R259" s="16" t="str">
        <f>IFERROR(__xludf.DUMMYFUNCTION("IMPORTRANGE(""https://docs.google.com/spreadsheets/d/""&amp;$A259&amp;""/edit#gid=156619080"",R$3)"),"1479億円")</f>
        <v>1479億円</v>
      </c>
      <c r="S259" s="16" t="str">
        <f>IFERROR(__xludf.DUMMYFUNCTION("IMPORTRANGE(""https://docs.google.com/spreadsheets/d/""&amp;$A259&amp;""/edit#gid=156619080"",S$3)"),"陽線")</f>
        <v>陽線</v>
      </c>
      <c r="T259" s="16" t="str">
        <f>IFERROR(__xludf.DUMMYFUNCTION("IMPORTRANGE(""https://docs.google.com/spreadsheets/d/""&amp;$A259&amp;""/edit#gid=156619080"",T$3)"),"")</f>
        <v/>
      </c>
      <c r="U259" s="16">
        <f>IFERROR(__xludf.DUMMYFUNCTION("IMPORTRANGE(""https://docs.google.com/spreadsheets/d/""&amp;$A259&amp;""/edit#gid=156619080"",U$3)"),2636.6)</f>
        <v>2636.6</v>
      </c>
      <c r="V259" s="16">
        <f>IFERROR(__xludf.DUMMYFUNCTION("IMPORTRANGE(""https://docs.google.com/spreadsheets/d/""&amp;$A259&amp;""/edit#gid=156619080"",V$3)"),2690.5)</f>
        <v>2690.5</v>
      </c>
      <c r="W259" s="16">
        <f>IFERROR(__xludf.DUMMYFUNCTION("IMPORTRANGE(""https://docs.google.com/spreadsheets/d/""&amp;$A259&amp;""/edit#gid=156619080"",W$3)"),2713.2)</f>
        <v>2713.2</v>
      </c>
      <c r="X259" s="2">
        <f>IFERROR(__xludf.DUMMYFUNCTION("IMPORTRANGE(""https://docs.google.com/spreadsheets/d/""&amp;$A259&amp;""/edit#gid=156619080"",X$3)"),3760.2)</f>
        <v>3760.2</v>
      </c>
      <c r="Y259" s="17">
        <f>IFERROR(__xludf.DUMMYFUNCTION("IMPORTRANGE(""https://docs.google.com/spreadsheets/d/""&amp;$A259&amp;""/edit#gid=156619080"",Y$3)"),-0.005916710915573053)</f>
        <v>-0.005916710916</v>
      </c>
      <c r="Z259" s="2">
        <f>IFERROR(__xludf.DUMMYFUNCTION("IMPORTRANGE(""https://docs.google.com/spreadsheets/d/""&amp;$A259&amp;""/edit#gid=156619080"",Z$3)"),2817.68)</f>
        <v>2817.68</v>
      </c>
      <c r="AA259" s="2">
        <f>IFERROR(__xludf.DUMMYFUNCTION("IMPORTRANGE(""https://docs.google.com/spreadsheets/d/""&amp;$A259&amp;""/edit#gid=156619080"",AA$3)"),2804.62)</f>
        <v>2804.62</v>
      </c>
      <c r="AB259" s="2">
        <f>IFERROR(__xludf.DUMMYFUNCTION("IMPORTRANGE(""https://docs.google.com/spreadsheets/d/""&amp;$A259&amp;""/edit#gid=156619080"",AB$3)"),2791.56)</f>
        <v>2791.56</v>
      </c>
      <c r="AC259" s="18">
        <f>IFERROR(__xludf.DUMMYFUNCTION("IMPORTRANGE(""https://docs.google.com/spreadsheets/d/""&amp;$A259&amp;""/edit#gid=156619080"",AC$3)"),2778.5)</f>
        <v>2778.5</v>
      </c>
      <c r="AD259" s="18">
        <f>IFERROR(__xludf.DUMMYFUNCTION("IMPORTRANGE(""https://docs.google.com/spreadsheets/d/""&amp;$A259&amp;""/edit#gid=156619080"",AD$3)"),2765.44)</f>
        <v>2765.44</v>
      </c>
      <c r="AE259" s="18">
        <f>IFERROR(__xludf.DUMMYFUNCTION("IMPORTRANGE(""https://docs.google.com/spreadsheets/d/""&amp;$A259&amp;""/edit#gid=156619080"",AE$3)"),2713.2)</f>
        <v>2713.2</v>
      </c>
      <c r="AF259" s="2">
        <f>IFERROR(__xludf.DUMMYFUNCTION("IMPORTRANGE(""https://docs.google.com/spreadsheets/d/""&amp;$A259&amp;""/edit#gid=156619080"",AF$3)"),2660.96)</f>
        <v>2660.96</v>
      </c>
      <c r="AG259" s="2">
        <f>IFERROR(__xludf.DUMMYFUNCTION("IMPORTRANGE(""https://docs.google.com/spreadsheets/d/""&amp;$A259&amp;""/edit#gid=156619080"",AG$3)"),2647.9)</f>
        <v>2647.9</v>
      </c>
      <c r="AH259" s="2">
        <f>IFERROR(__xludf.DUMMYFUNCTION("IMPORTRANGE(""https://docs.google.com/spreadsheets/d/""&amp;$A259&amp;""/edit#gid=156619080"",AH$3)"),2634.84)</f>
        <v>2634.84</v>
      </c>
      <c r="AI259" s="2">
        <f>IFERROR(__xludf.DUMMYFUNCTION("IMPORTRANGE(""https://docs.google.com/spreadsheets/d/""&amp;$A259&amp;""/edit#gid=156619080"",AI$3)"),2621.78)</f>
        <v>2621.78</v>
      </c>
      <c r="AJ259" s="2">
        <f>IFERROR(__xludf.DUMMYFUNCTION("IMPORTRANGE(""https://docs.google.com/spreadsheets/d/""&amp;$A259&amp;""/edit#gid=156619080"",AJ$3)"),2608.72)</f>
        <v>2608.72</v>
      </c>
      <c r="AK259" s="2" t="str">
        <f>IFERROR(__xludf.DUMMYFUNCTION("IMPORTRANGE(""https://docs.google.com/spreadsheets/d/""&amp;$A259&amp;""/edit#gid=156619080"",AK$3)"),"-1.75σ〜-2σ")</f>
        <v>-1.75σ〜-2σ</v>
      </c>
      <c r="AL259" s="2">
        <f>IFERROR(__xludf.DUMMYFUNCTION("IMPORTRANGE(""https://docs.google.com/spreadsheets/d/""&amp;$A259&amp;""/edit#gid=156619080"",AL$3)"),-1.0)</f>
        <v>-1</v>
      </c>
      <c r="AM259" s="2" t="str">
        <f>IFERROR(__xludf.DUMMYFUNCTION("IMPORTRANGE(""https://docs.google.com/spreadsheets/d/""&amp;$A259&amp;""/edit#gid=156619080"",AM$3)"),"")</f>
        <v/>
      </c>
      <c r="AN259" s="2">
        <f>IFERROR(__xludf.DUMMYFUNCTION("IMPORTRANGE(""https://docs.google.com/spreadsheets/d/""&amp;$A259&amp;""/edit#gid=156619080"",AN$3)"),-1.0)</f>
        <v>-1</v>
      </c>
      <c r="AO259" s="2" t="str">
        <f>IFERROR(__xludf.DUMMYFUNCTION("IMPORTRANGE(""https://docs.google.com/spreadsheets/d/""&amp;$A259&amp;""/edit#gid=156619080"",AO$3)"),"")</f>
        <v/>
      </c>
      <c r="AP259" s="2">
        <f>IFERROR(__xludf.DUMMYFUNCTION("IMPORTRANGE(""https://docs.google.com/spreadsheets/d/""&amp;$A259&amp;""/edit#gid=156619080"",AP$3)"),-1.0)</f>
        <v>-1</v>
      </c>
      <c r="AQ259" s="2" t="str">
        <f>IFERROR(__xludf.DUMMYFUNCTION("IMPORTRANGE(""https://docs.google.com/spreadsheets/d/""&amp;$A259&amp;""/edit#gid=156619080"",AQ$3)"),"")</f>
        <v/>
      </c>
      <c r="AR259" s="18">
        <f>IFERROR(__xludf.DUMMYFUNCTION("IMPORTRANGE(""https://docs.google.com/spreadsheets/d/""&amp;$A259&amp;""/edit#gid=156619080"",AR$3)"),-80.0)</f>
        <v>-80</v>
      </c>
      <c r="AS259" s="19" t="str">
        <f>IFERROR(__xludf.DUMMYFUNCTION("IMPORTRANGE(""https://docs.google.com/spreadsheets/d/""&amp;$A259&amp;""/edit#gid=156619080"",AS$3)"),"-90
-90
-80
-90
")</f>
        <v>-90
-90
-80
-90
</v>
      </c>
      <c r="AT259" s="18">
        <f>IFERROR(__xludf.DUMMYFUNCTION("IMPORTRANGE(""https://docs.google.com/spreadsheets/d/""&amp;$A259&amp;""/edit#gid=156619080"",AT$3)"),-86.81318681318682)</f>
        <v>-86.81318681</v>
      </c>
      <c r="AU259" s="3" t="str">
        <f>IFERROR(__xludf.DUMMYFUNCTION("IMPORTRANGE(""https://docs.google.com/spreadsheets/d/""&amp;$A259&amp;""/edit#gid=156619080"",AU$3)"),"-48.9
-57.14
-69.23
-71.43
")</f>
        <v>-48.9
-57.14
-69.23
-71.43
</v>
      </c>
      <c r="AV259" s="18">
        <f>IFERROR(__xludf.DUMMYFUNCTION("IMPORTRANGE(""https://docs.google.com/spreadsheets/d/""&amp;$A259&amp;""/edit#gid=156619080"",AV$3)"),-84.02597402597402)</f>
        <v>-84.02597403</v>
      </c>
      <c r="AW259" s="19" t="str">
        <f>IFERROR(__xludf.DUMMYFUNCTION("IMPORTRANGE(""https://docs.google.com/spreadsheets/d/""&amp;$A259&amp;""/edit#gid=156619080"",AW$3)"),"-56.62
-75.06
-81.56
-83.9
")</f>
        <v>-56.62
-75.06
-81.56
-83.9
</v>
      </c>
      <c r="AX259" s="2">
        <f>IFERROR(__xludf.DUMMYFUNCTION("IMPORTRANGE(""https://docs.google.com/spreadsheets/d/""&amp;$A259&amp;""/edit#gid=156619080"",AX$3)"),11.110000000000001)</f>
        <v>11.11</v>
      </c>
      <c r="AY259" s="2">
        <f>IFERROR(__xludf.DUMMYFUNCTION("IMPORTRANGE(""https://docs.google.com/spreadsheets/d/""&amp;$A259&amp;""/edit#gid=156619080"",AY$3)"),33.4)</f>
        <v>33.4</v>
      </c>
      <c r="AZ259" s="2">
        <f>IFERROR(__xludf.DUMMYFUNCTION("IMPORTRANGE(""https://docs.google.com/spreadsheets/d/""&amp;$A259&amp;""/edit#gid=156619080"",AZ$3)"),2638.65)</f>
        <v>2638.65</v>
      </c>
      <c r="BA259" s="2">
        <f>IFERROR(__xludf.DUMMYFUNCTION("IMPORTRANGE(""https://docs.google.com/spreadsheets/d/""&amp;$A259&amp;""/edit#gid=156619080"",BA$3)"),-71.67000000000007)</f>
        <v>-71.67</v>
      </c>
      <c r="BB259" s="2">
        <f>IFERROR(__xludf.DUMMYFUNCTION("IMPORTRANGE(""https://docs.google.com/spreadsheets/d/""&amp;$A259&amp;""/edit#gid=156619080"",BB$3)"),-65.71)</f>
        <v>-65.71</v>
      </c>
      <c r="BC259" s="2" t="str">
        <f>IFERROR(__xludf.DUMMYFUNCTION("IMPORTRANGE(""https://docs.google.com/spreadsheets/d/""&amp;$A259&amp;""/edit#gid=156619080"",BC$3)"),"DC→DC")</f>
        <v>DC→DC</v>
      </c>
    </row>
    <row r="260" ht="51.0" customHeight="1">
      <c r="A260" s="7" t="str">
        <f t="shared" si="5"/>
        <v>1o9p0SYwZeKbIZaJpBxJ8tpEYCfLZbL4LDPwm-XvNP4s</v>
      </c>
      <c r="B260" s="1" t="s">
        <v>287</v>
      </c>
      <c r="C260" s="2">
        <f>IFERROR(__xludf.DUMMYFUNCTION("IMPORTRANGE(""https://docs.google.com/spreadsheets/d/""&amp;$A260&amp;""/edit#gid=156619080"",C$3)"),131.0)</f>
        <v>131</v>
      </c>
      <c r="D260" s="2">
        <f>IFERROR(__xludf.DUMMYFUNCTION("IMPORTRANGE(""https://docs.google.com/spreadsheets/d/""&amp;$A260&amp;""/edit#gid=156619080"",D$3)"),1357.0)</f>
        <v>1357</v>
      </c>
      <c r="E260" s="15">
        <f>IFERROR(__xludf.DUMMYFUNCTION("IMPORTRANGE(""https://docs.google.com/spreadsheets/d/""&amp;$A260&amp;""/edit#gid=156619080"",E$3)"),43882.0)</f>
        <v>43882</v>
      </c>
      <c r="F260" s="2">
        <f>IFERROR(__xludf.DUMMYFUNCTION("IMPORTRANGE(""https://docs.google.com/spreadsheets/d/""&amp;$A260&amp;""/edit#gid=156619080"",F$3)"),9.0)</f>
        <v>9</v>
      </c>
      <c r="G260" s="16">
        <f>IFERROR(__xludf.DUMMYFUNCTION("IMPORTRANGE(""https://docs.google.com/spreadsheets/d/""&amp;$A260&amp;""/edit#gid=156619080"",G$3)"),1.02)</f>
        <v>1.02</v>
      </c>
      <c r="H260" s="16">
        <f>IFERROR(__xludf.DUMMYFUNCTION("IMPORTRANGE(""https://docs.google.com/spreadsheets/d/""&amp;$A260&amp;""/edit#gid=156619080"",H$3)"),887.0)</f>
        <v>887</v>
      </c>
      <c r="I260" s="16">
        <f>IFERROR(__xludf.DUMMYFUNCTION("IMPORTRANGE(""https://docs.google.com/spreadsheets/d/""&amp;$A260&amp;""/edit#gid=156619080"",I$3)"),-7.0)</f>
        <v>-7</v>
      </c>
      <c r="J260" s="16">
        <f>IFERROR(__xludf.DUMMYFUNCTION("IMPORTRANGE(""https://docs.google.com/spreadsheets/d/""&amp;$A260&amp;""/edit#gid=156619080"",J$3)"),890.0)</f>
        <v>890</v>
      </c>
      <c r="K260" s="16">
        <f>IFERROR(__xludf.DUMMYFUNCTION("IMPORTRANGE(""https://docs.google.com/spreadsheets/d/""&amp;$A260&amp;""/edit#gid=156619080"",K$3)"),0.6208333333333333)</f>
        <v>0.6208333333</v>
      </c>
      <c r="L260" s="16">
        <f>IFERROR(__xludf.DUMMYFUNCTION("IMPORTRANGE(""https://docs.google.com/spreadsheets/d/""&amp;$A260&amp;""/edit#gid=156619080"",L$3)"),873.0)</f>
        <v>873</v>
      </c>
      <c r="M260" s="16">
        <f>IFERROR(__xludf.DUMMYFUNCTION("IMPORTRANGE(""https://docs.google.com/spreadsheets/d/""&amp;$A260&amp;""/edit#gid=156619080"",M$3)"),0.40208333333333335)</f>
        <v>0.4020833333</v>
      </c>
      <c r="N260" s="16">
        <f>IFERROR(__xludf.DUMMYFUNCTION("IMPORTRANGE(""https://docs.google.com/spreadsheets/d/""&amp;$A260&amp;""/edit#gid=156619080"",N$3)"),889.0)</f>
        <v>889</v>
      </c>
      <c r="O260" s="16" t="str">
        <f>IFERROR(__xludf.DUMMYFUNCTION("IMPORTRANGE(""https://docs.google.com/spreadsheets/d/""&amp;$A260&amp;""/edit#gid=156619080"",O$3)"),"30189946株")</f>
        <v>30189946株</v>
      </c>
      <c r="P260" s="16" t="str">
        <f>IFERROR(__xludf.DUMMYFUNCTION("IMPORTRANGE(""https://docs.google.com/spreadsheets/d/""&amp;$A260&amp;""/edit#gid=156619080"",P$3)"),"26647百万円")</f>
        <v>26647百万円</v>
      </c>
      <c r="Q260" s="16" t="str">
        <f>IFERROR(__xludf.DUMMYFUNCTION("IMPORTRANGE(""https://docs.google.com/spreadsheets/d/""&amp;$A260&amp;""/edit#gid=156619080"",Q$3)"),"5531回")</f>
        <v>5531回</v>
      </c>
      <c r="R260" s="16" t="str">
        <f>IFERROR(__xludf.DUMMYFUNCTION("IMPORTRANGE(""https://docs.google.com/spreadsheets/d/""&amp;$A260&amp;""/edit#gid=156619080"",R$3)"),"2785億円")</f>
        <v>2785億円</v>
      </c>
      <c r="S260" s="16" t="str">
        <f>IFERROR(__xludf.DUMMYFUNCTION("IMPORTRANGE(""https://docs.google.com/spreadsheets/d/""&amp;$A260&amp;""/edit#gid=156619080"",S$3)"),"陽線")</f>
        <v>陽線</v>
      </c>
      <c r="T260" s="16" t="str">
        <f>IFERROR(__xludf.DUMMYFUNCTION("IMPORTRANGE(""https://docs.google.com/spreadsheets/d/""&amp;$A260&amp;""/edit#gid=156619080"",T$3)"),"")</f>
        <v/>
      </c>
      <c r="U260" s="16">
        <f>IFERROR(__xludf.DUMMYFUNCTION("IMPORTRANGE(""https://docs.google.com/spreadsheets/d/""&amp;$A260&amp;""/edit#gid=156619080"",U$3)"),888.2)</f>
        <v>888.2</v>
      </c>
      <c r="V260" s="16">
        <f>IFERROR(__xludf.DUMMYFUNCTION("IMPORTRANGE(""https://docs.google.com/spreadsheets/d/""&amp;$A260&amp;""/edit#gid=156619080"",V$3)"),878.2)</f>
        <v>878.2</v>
      </c>
      <c r="W260" s="16">
        <f>IFERROR(__xludf.DUMMYFUNCTION("IMPORTRANGE(""https://docs.google.com/spreadsheets/d/""&amp;$A260&amp;""/edit#gid=156619080"",W$3)"),886.2)</f>
        <v>886.2</v>
      </c>
      <c r="X260" s="2">
        <f>IFERROR(__xludf.DUMMYFUNCTION("IMPORTRANGE(""https://docs.google.com/spreadsheets/d/""&amp;$A260&amp;""/edit#gid=156619080"",X$3)"),924.1)</f>
        <v>924.1</v>
      </c>
      <c r="Y260" s="17">
        <f>IFERROR(__xludf.DUMMYFUNCTION("IMPORTRANGE(""https://docs.google.com/spreadsheets/d/""&amp;$A260&amp;""/edit#gid=156619080"",Y$3)"),9.006980409817096E-4)</f>
        <v>0.000900698041</v>
      </c>
      <c r="Z260" s="2">
        <f>IFERROR(__xludf.DUMMYFUNCTION("IMPORTRANGE(""https://docs.google.com/spreadsheets/d/""&amp;$A260&amp;""/edit#gid=156619080"",Z$3)"),932.25)</f>
        <v>932.25</v>
      </c>
      <c r="AA260" s="2">
        <f>IFERROR(__xludf.DUMMYFUNCTION("IMPORTRANGE(""https://docs.google.com/spreadsheets/d/""&amp;$A260&amp;""/edit#gid=156619080"",AA$3)"),926.49)</f>
        <v>926.49</v>
      </c>
      <c r="AB260" s="2">
        <f>IFERROR(__xludf.DUMMYFUNCTION("IMPORTRANGE(""https://docs.google.com/spreadsheets/d/""&amp;$A260&amp;""/edit#gid=156619080"",AB$3)"),920.74)</f>
        <v>920.74</v>
      </c>
      <c r="AC260" s="18">
        <f>IFERROR(__xludf.DUMMYFUNCTION("IMPORTRANGE(""https://docs.google.com/spreadsheets/d/""&amp;$A260&amp;""/edit#gid=156619080"",AC$3)"),914.98)</f>
        <v>914.98</v>
      </c>
      <c r="AD260" s="18">
        <f>IFERROR(__xludf.DUMMYFUNCTION("IMPORTRANGE(""https://docs.google.com/spreadsheets/d/""&amp;$A260&amp;""/edit#gid=156619080"",AD$3)"),909.23)</f>
        <v>909.23</v>
      </c>
      <c r="AE260" s="18">
        <f>IFERROR(__xludf.DUMMYFUNCTION("IMPORTRANGE(""https://docs.google.com/spreadsheets/d/""&amp;$A260&amp;""/edit#gid=156619080"",AE$3)"),886.2)</f>
        <v>886.2</v>
      </c>
      <c r="AF260" s="2">
        <f>IFERROR(__xludf.DUMMYFUNCTION("IMPORTRANGE(""https://docs.google.com/spreadsheets/d/""&amp;$A260&amp;""/edit#gid=156619080"",AF$3)"),863.17)</f>
        <v>863.17</v>
      </c>
      <c r="AG260" s="2">
        <f>IFERROR(__xludf.DUMMYFUNCTION("IMPORTRANGE(""https://docs.google.com/spreadsheets/d/""&amp;$A260&amp;""/edit#gid=156619080"",AG$3)"),857.42)</f>
        <v>857.42</v>
      </c>
      <c r="AH260" s="2">
        <f>IFERROR(__xludf.DUMMYFUNCTION("IMPORTRANGE(""https://docs.google.com/spreadsheets/d/""&amp;$A260&amp;""/edit#gid=156619080"",AH$3)"),851.66)</f>
        <v>851.66</v>
      </c>
      <c r="AI260" s="2">
        <f>IFERROR(__xludf.DUMMYFUNCTION("IMPORTRANGE(""https://docs.google.com/spreadsheets/d/""&amp;$A260&amp;""/edit#gid=156619080"",AI$3)"),845.91)</f>
        <v>845.91</v>
      </c>
      <c r="AJ260" s="2">
        <f>IFERROR(__xludf.DUMMYFUNCTION("IMPORTRANGE(""https://docs.google.com/spreadsheets/d/""&amp;$A260&amp;""/edit#gid=156619080"",AJ$3)"),840.15)</f>
        <v>840.15</v>
      </c>
      <c r="AK260" s="2" t="str">
        <f>IFERROR(__xludf.DUMMYFUNCTION("IMPORTRANGE(""https://docs.google.com/spreadsheets/d/""&amp;$A260&amp;""/edit#gid=156619080"",AK$3)"),"")</f>
        <v/>
      </c>
      <c r="AL260" s="2">
        <f>IFERROR(__xludf.DUMMYFUNCTION("IMPORTRANGE(""https://docs.google.com/spreadsheets/d/""&amp;$A260&amp;""/edit#gid=156619080"",AL$3)"),1.0)</f>
        <v>1</v>
      </c>
      <c r="AM260" s="2" t="str">
        <f>IFERROR(__xludf.DUMMYFUNCTION("IMPORTRANGE(""https://docs.google.com/spreadsheets/d/""&amp;$A260&amp;""/edit#gid=156619080"",AM$3)"),"")</f>
        <v/>
      </c>
      <c r="AN260" s="2">
        <f>IFERROR(__xludf.DUMMYFUNCTION("IMPORTRANGE(""https://docs.google.com/spreadsheets/d/""&amp;$A260&amp;""/edit#gid=156619080"",AN$3)"),1.0)</f>
        <v>1</v>
      </c>
      <c r="AO260" s="2" t="str">
        <f>IFERROR(__xludf.DUMMYFUNCTION("IMPORTRANGE(""https://docs.google.com/spreadsheets/d/""&amp;$A260&amp;""/edit#gid=156619080"",AO$3)"),"ws2")</f>
        <v>ws2</v>
      </c>
      <c r="AP260" s="2">
        <f>IFERROR(__xludf.DUMMYFUNCTION("IMPORTRANGE(""https://docs.google.com/spreadsheets/d/""&amp;$A260&amp;""/edit#gid=156619080"",AP$3)"),-1.0)</f>
        <v>-1</v>
      </c>
      <c r="AQ260" s="2" t="str">
        <f>IFERROR(__xludf.DUMMYFUNCTION("IMPORTRANGE(""https://docs.google.com/spreadsheets/d/""&amp;$A260&amp;""/edit#gid=156619080"",AQ$3)"),"")</f>
        <v/>
      </c>
      <c r="AR260" s="18">
        <f>IFERROR(__xludf.DUMMYFUNCTION("IMPORTRANGE(""https://docs.google.com/spreadsheets/d/""&amp;$A260&amp;""/edit#gid=156619080"",AR$3)"),17.500000000000004)</f>
        <v>17.5</v>
      </c>
      <c r="AS260" s="19" t="str">
        <f>IFERROR(__xludf.DUMMYFUNCTION("IMPORTRANGE(""https://docs.google.com/spreadsheets/d/""&amp;$A260&amp;""/edit#gid=156619080"",AS$3)"),"70
100
90
47.5
")</f>
        <v>70
100
90
47.5
</v>
      </c>
      <c r="AT260" s="18">
        <f>IFERROR(__xludf.DUMMYFUNCTION("IMPORTRANGE(""https://docs.google.com/spreadsheets/d/""&amp;$A260&amp;""/edit#gid=156619080"",AT$3)"),15.659340659340659)</f>
        <v>15.65934066</v>
      </c>
      <c r="AU260" s="3" t="str">
        <f>IFERROR(__xludf.DUMMYFUNCTION("IMPORTRANGE(""https://docs.google.com/spreadsheets/d/""&amp;$A260&amp;""/edit#gid=156619080"",AU$3)"),"-64.42
-52.88
-33.65
-12.91
")</f>
        <v>-64.42
-52.88
-33.65
-12.91
</v>
      </c>
      <c r="AV260" s="18">
        <f>IFERROR(__xludf.DUMMYFUNCTION("IMPORTRANGE(""https://docs.google.com/spreadsheets/d/""&amp;$A260&amp;""/edit#gid=156619080"",AV$3)"),-23.27922077922078)</f>
        <v>-23.27922078</v>
      </c>
      <c r="AW260" s="19" t="str">
        <f>IFERROR(__xludf.DUMMYFUNCTION("IMPORTRANGE(""https://docs.google.com/spreadsheets/d/""&amp;$A260&amp;""/edit#gid=156619080"",AW$3)"),"19.45
12.31
-0.81
-7.82
")</f>
        <v>19.45
12.31
-0.81
-7.82
</v>
      </c>
      <c r="AX260" s="2">
        <f>IFERROR(__xludf.DUMMYFUNCTION("IMPORTRANGE(""https://docs.google.com/spreadsheets/d/""&amp;$A260&amp;""/edit#gid=156619080"",AX$3)"),64.71000000000001)</f>
        <v>64.71</v>
      </c>
      <c r="AY260" s="2">
        <f>IFERROR(__xludf.DUMMYFUNCTION("IMPORTRANGE(""https://docs.google.com/spreadsheets/d/""&amp;$A260&amp;""/edit#gid=156619080"",AY$3)"),55.86)</f>
        <v>55.86</v>
      </c>
      <c r="AZ260" s="2">
        <f>IFERROR(__xludf.DUMMYFUNCTION("IMPORTRANGE(""https://docs.google.com/spreadsheets/d/""&amp;$A260&amp;""/edit#gid=156619080"",AZ$3)"),884.74)</f>
        <v>884.74</v>
      </c>
      <c r="BA260" s="2">
        <f>IFERROR(__xludf.DUMMYFUNCTION("IMPORTRANGE(""https://docs.google.com/spreadsheets/d/""&amp;$A260&amp;""/edit#gid=156619080"",BA$3)"),2.9500000000000455)</f>
        <v>2.95</v>
      </c>
      <c r="BB260" s="2">
        <f>IFERROR(__xludf.DUMMYFUNCTION("IMPORTRANGE(""https://docs.google.com/spreadsheets/d/""&amp;$A260&amp;""/edit#gid=156619080"",BB$3)"),-0.75)</f>
        <v>-0.75</v>
      </c>
      <c r="BC260" s="2" t="str">
        <f>IFERROR(__xludf.DUMMYFUNCTION("IMPORTRANGE(""https://docs.google.com/spreadsheets/d/""&amp;$A260&amp;""/edit#gid=156619080"",BC$3)"),"GC→GC")</f>
        <v>GC→GC</v>
      </c>
    </row>
    <row r="261" ht="51.0" customHeight="1">
      <c r="A261" s="7" t="str">
        <f t="shared" si="5"/>
        <v>1QwWnm2kDJ3CWMIDA5RmZ0SP2uiHqr1lceRs5k0uUOdU</v>
      </c>
      <c r="B261" s="1" t="s">
        <v>288</v>
      </c>
      <c r="C261" s="2">
        <f>IFERROR(__xludf.DUMMYFUNCTION("IMPORTRANGE(""https://docs.google.com/spreadsheets/d/""&amp;$A261&amp;""/edit#gid=156619080"",C$3)"),131.0)</f>
        <v>131</v>
      </c>
      <c r="D261" s="2">
        <f>IFERROR(__xludf.DUMMYFUNCTION("IMPORTRANGE(""https://docs.google.com/spreadsheets/d/""&amp;$A261&amp;""/edit#gid=156619080"",D$3)"),4588.0)</f>
        <v>4588</v>
      </c>
      <c r="E261" s="15">
        <f>IFERROR(__xludf.DUMMYFUNCTION("IMPORTRANGE(""https://docs.google.com/spreadsheets/d/""&amp;$A261&amp;""/edit#gid=156619080"",E$3)"),43882.0)</f>
        <v>43882</v>
      </c>
      <c r="F261" s="2">
        <f>IFERROR(__xludf.DUMMYFUNCTION("IMPORTRANGE(""https://docs.google.com/spreadsheets/d/""&amp;$A261&amp;""/edit#gid=156619080"",F$3)"),-7.0)</f>
        <v>-7</v>
      </c>
      <c r="G261" s="16">
        <f>IFERROR(__xludf.DUMMYFUNCTION("IMPORTRANGE(""https://docs.google.com/spreadsheets/d/""&amp;$A261&amp;""/edit#gid=156619080"",G$3)"),-0.4)</f>
        <v>-0.4</v>
      </c>
      <c r="H261" s="16">
        <f>IFERROR(__xludf.DUMMYFUNCTION("IMPORTRANGE(""https://docs.google.com/spreadsheets/d/""&amp;$A261&amp;""/edit#gid=156619080"",H$3)"),1718.0)</f>
        <v>1718</v>
      </c>
      <c r="I261" s="16">
        <f>IFERROR(__xludf.DUMMYFUNCTION("IMPORTRANGE(""https://docs.google.com/spreadsheets/d/""&amp;$A261&amp;""/edit#gid=156619080"",I$3)"),15.0)</f>
        <v>15</v>
      </c>
      <c r="J261" s="16">
        <f>IFERROR(__xludf.DUMMYFUNCTION("IMPORTRANGE(""https://docs.google.com/spreadsheets/d/""&amp;$A261&amp;""/edit#gid=156619080"",J$3)"),1743.0)</f>
        <v>1743</v>
      </c>
      <c r="K261" s="16">
        <f>IFERROR(__xludf.DUMMYFUNCTION("IMPORTRANGE(""https://docs.google.com/spreadsheets/d/""&amp;$A261&amp;""/edit#gid=156619080"",K$3)"),0.3909722222222222)</f>
        <v>0.3909722222</v>
      </c>
      <c r="L261" s="16">
        <f>IFERROR(__xludf.DUMMYFUNCTION("IMPORTRANGE(""https://docs.google.com/spreadsheets/d/""&amp;$A261&amp;""/edit#gid=156619080"",L$3)"),1718.0)</f>
        <v>1718</v>
      </c>
      <c r="M261" s="16">
        <f>IFERROR(__xludf.DUMMYFUNCTION("IMPORTRANGE(""https://docs.google.com/spreadsheets/d/""&amp;$A261&amp;""/edit#gid=156619080"",M$3)"),0.375)</f>
        <v>0.375</v>
      </c>
      <c r="N261" s="16">
        <f>IFERROR(__xludf.DUMMYFUNCTION("IMPORTRANGE(""https://docs.google.com/spreadsheets/d/""&amp;$A261&amp;""/edit#gid=156619080"",N$3)"),1726.0)</f>
        <v>1726</v>
      </c>
      <c r="O261" s="16" t="str">
        <f>IFERROR(__xludf.DUMMYFUNCTION("IMPORTRANGE(""https://docs.google.com/spreadsheets/d/""&amp;$A261&amp;""/edit#gid=156619080"",O$3)"),"98300株")</f>
        <v>98300株</v>
      </c>
      <c r="P261" s="16" t="str">
        <f>IFERROR(__xludf.DUMMYFUNCTION("IMPORTRANGE(""https://docs.google.com/spreadsheets/d/""&amp;$A261&amp;""/edit#gid=156619080"",P$3)"),"170百万円")</f>
        <v>170百万円</v>
      </c>
      <c r="Q261" s="16" t="str">
        <f>IFERROR(__xludf.DUMMYFUNCTION("IMPORTRANGE(""https://docs.google.com/spreadsheets/d/""&amp;$A261&amp;""/edit#gid=156619080"",Q$3)"),"359回")</f>
        <v>359回</v>
      </c>
      <c r="R261" s="16" t="str">
        <f>IFERROR(__xludf.DUMMYFUNCTION("IMPORTRANGE(""https://docs.google.com/spreadsheets/d/""&amp;$A261&amp;""/edit#gid=156619080"",R$3)"),"247億円")</f>
        <v>247億円</v>
      </c>
      <c r="S261" s="16" t="str">
        <f>IFERROR(__xludf.DUMMYFUNCTION("IMPORTRANGE(""https://docs.google.com/spreadsheets/d/""&amp;$A261&amp;""/edit#gid=156619080"",S$3)"),"陽線")</f>
        <v>陽線</v>
      </c>
      <c r="T261" s="16" t="str">
        <f>IFERROR(__xludf.DUMMYFUNCTION("IMPORTRANGE(""https://docs.google.com/spreadsheets/d/""&amp;$A261&amp;""/edit#gid=156619080"",T$3)"),"")</f>
        <v/>
      </c>
      <c r="U261" s="16">
        <f>IFERROR(__xludf.DUMMYFUNCTION("IMPORTRANGE(""https://docs.google.com/spreadsheets/d/""&amp;$A261&amp;""/edit#gid=156619080"",U$3)"),1742.0)</f>
        <v>1742</v>
      </c>
      <c r="V261" s="16">
        <f>IFERROR(__xludf.DUMMYFUNCTION("IMPORTRANGE(""https://docs.google.com/spreadsheets/d/""&amp;$A261&amp;""/edit#gid=156619080"",V$3)"),1765.1)</f>
        <v>1765.1</v>
      </c>
      <c r="W261" s="16">
        <f>IFERROR(__xludf.DUMMYFUNCTION("IMPORTRANGE(""https://docs.google.com/spreadsheets/d/""&amp;$A261&amp;""/edit#gid=156619080"",W$3)"),1804.1)</f>
        <v>1804.1</v>
      </c>
      <c r="X261" s="2">
        <f>IFERROR(__xludf.DUMMYFUNCTION("IMPORTRANGE(""https://docs.google.com/spreadsheets/d/""&amp;$A261&amp;""/edit#gid=156619080"",X$3)"),1915.3)</f>
        <v>1915.3</v>
      </c>
      <c r="Y261" s="17">
        <f>IFERROR(__xludf.DUMMYFUNCTION("IMPORTRANGE(""https://docs.google.com/spreadsheets/d/""&amp;$A261&amp;""/edit#gid=156619080"",Y$3)"),-0.009184845005740528)</f>
        <v>-0.009184845006</v>
      </c>
      <c r="Z261" s="2">
        <f>IFERROR(__xludf.DUMMYFUNCTION("IMPORTRANGE(""https://docs.google.com/spreadsheets/d/""&amp;$A261&amp;""/edit#gid=156619080"",Z$3)"),1972.48)</f>
        <v>1972.48</v>
      </c>
      <c r="AA261" s="2">
        <f>IFERROR(__xludf.DUMMYFUNCTION("IMPORTRANGE(""https://docs.google.com/spreadsheets/d/""&amp;$A261&amp;""/edit#gid=156619080"",AA$3)"),1951.44)</f>
        <v>1951.44</v>
      </c>
      <c r="AB261" s="2">
        <f>IFERROR(__xludf.DUMMYFUNCTION("IMPORTRANGE(""https://docs.google.com/spreadsheets/d/""&amp;$A261&amp;""/edit#gid=156619080"",AB$3)"),1930.39)</f>
        <v>1930.39</v>
      </c>
      <c r="AC261" s="18">
        <f>IFERROR(__xludf.DUMMYFUNCTION("IMPORTRANGE(""https://docs.google.com/spreadsheets/d/""&amp;$A261&amp;""/edit#gid=156619080"",AC$3)"),1909.34)</f>
        <v>1909.34</v>
      </c>
      <c r="AD261" s="18">
        <f>IFERROR(__xludf.DUMMYFUNCTION("IMPORTRANGE(""https://docs.google.com/spreadsheets/d/""&amp;$A261&amp;""/edit#gid=156619080"",AD$3)"),1888.29)</f>
        <v>1888.29</v>
      </c>
      <c r="AE261" s="18">
        <f>IFERROR(__xludf.DUMMYFUNCTION("IMPORTRANGE(""https://docs.google.com/spreadsheets/d/""&amp;$A261&amp;""/edit#gid=156619080"",AE$3)"),1804.1)</f>
        <v>1804.1</v>
      </c>
      <c r="AF261" s="2">
        <f>IFERROR(__xludf.DUMMYFUNCTION("IMPORTRANGE(""https://docs.google.com/spreadsheets/d/""&amp;$A261&amp;""/edit#gid=156619080"",AF$3)"),1719.91)</f>
        <v>1719.91</v>
      </c>
      <c r="AG261" s="2">
        <f>IFERROR(__xludf.DUMMYFUNCTION("IMPORTRANGE(""https://docs.google.com/spreadsheets/d/""&amp;$A261&amp;""/edit#gid=156619080"",AG$3)"),1698.86)</f>
        <v>1698.86</v>
      </c>
      <c r="AH261" s="2">
        <f>IFERROR(__xludf.DUMMYFUNCTION("IMPORTRANGE(""https://docs.google.com/spreadsheets/d/""&amp;$A261&amp;""/edit#gid=156619080"",AH$3)"),1677.81)</f>
        <v>1677.81</v>
      </c>
      <c r="AI261" s="2">
        <f>IFERROR(__xludf.DUMMYFUNCTION("IMPORTRANGE(""https://docs.google.com/spreadsheets/d/""&amp;$A261&amp;""/edit#gid=156619080"",AI$3)"),1656.76)</f>
        <v>1656.76</v>
      </c>
      <c r="AJ261" s="2">
        <f>IFERROR(__xludf.DUMMYFUNCTION("IMPORTRANGE(""https://docs.google.com/spreadsheets/d/""&amp;$A261&amp;""/edit#gid=156619080"",AJ$3)"),1635.72)</f>
        <v>1635.72</v>
      </c>
      <c r="AK261" s="2" t="str">
        <f>IFERROR(__xludf.DUMMYFUNCTION("IMPORTRANGE(""https://docs.google.com/spreadsheets/d/""&amp;$A261&amp;""/edit#gid=156619080"",AK$3)"),"")</f>
        <v/>
      </c>
      <c r="AL261" s="2">
        <f>IFERROR(__xludf.DUMMYFUNCTION("IMPORTRANGE(""https://docs.google.com/spreadsheets/d/""&amp;$A261&amp;""/edit#gid=156619080"",AL$3)"),-1.0)</f>
        <v>-1</v>
      </c>
      <c r="AM261" s="2" t="str">
        <f>IFERROR(__xludf.DUMMYFUNCTION("IMPORTRANGE(""https://docs.google.com/spreadsheets/d/""&amp;$A261&amp;""/edit#gid=156619080"",AM$3)"),"")</f>
        <v/>
      </c>
      <c r="AN261" s="2">
        <f>IFERROR(__xludf.DUMMYFUNCTION("IMPORTRANGE(""https://docs.google.com/spreadsheets/d/""&amp;$A261&amp;""/edit#gid=156619080"",AN$3)"),-1.0)</f>
        <v>-1</v>
      </c>
      <c r="AO261" s="2" t="str">
        <f>IFERROR(__xludf.DUMMYFUNCTION("IMPORTRANGE(""https://docs.google.com/spreadsheets/d/""&amp;$A261&amp;""/edit#gid=156619080"",AO$3)"),"")</f>
        <v/>
      </c>
      <c r="AP261" s="2">
        <f>IFERROR(__xludf.DUMMYFUNCTION("IMPORTRANGE(""https://docs.google.com/spreadsheets/d/""&amp;$A261&amp;""/edit#gid=156619080"",AP$3)"),-1.0)</f>
        <v>-1</v>
      </c>
      <c r="AQ261" s="2" t="str">
        <f>IFERROR(__xludf.DUMMYFUNCTION("IMPORTRANGE(""https://docs.google.com/spreadsheets/d/""&amp;$A261&amp;""/edit#gid=156619080"",AQ$3)"),"")</f>
        <v/>
      </c>
      <c r="AR261" s="18">
        <f>IFERROR(__xludf.DUMMYFUNCTION("IMPORTRANGE(""https://docs.google.com/spreadsheets/d/""&amp;$A261&amp;""/edit#gid=156619080"",AR$3)"),-39.99999999999999)</f>
        <v>-40</v>
      </c>
      <c r="AS261" s="19" t="str">
        <f>IFERROR(__xludf.DUMMYFUNCTION("IMPORTRANGE(""https://docs.google.com/spreadsheets/d/""&amp;$A261&amp;""/edit#gid=156619080"",AS$3)"),"0
-100
-90
-70
")</f>
        <v>0
-100
-90
-70
</v>
      </c>
      <c r="AT261" s="18">
        <f>IFERROR(__xludf.DUMMYFUNCTION("IMPORTRANGE(""https://docs.google.com/spreadsheets/d/""&amp;$A261&amp;""/edit#gid=156619080"",AT$3)"),-29.670329670329675)</f>
        <v>-29.67032967</v>
      </c>
      <c r="AU261" s="3" t="str">
        <f>IFERROR(__xludf.DUMMYFUNCTION("IMPORTRANGE(""https://docs.google.com/spreadsheets/d/""&amp;$A261&amp;""/edit#gid=156619080"",AU$3)"),"22.53
22.53
18.13
-2.2
")</f>
        <v>22.53
22.53
18.13
-2.2
</v>
      </c>
      <c r="AV261" s="18">
        <f>IFERROR(__xludf.DUMMYFUNCTION("IMPORTRANGE(""https://docs.google.com/spreadsheets/d/""&amp;$A261&amp;""/edit#gid=156619080"",AV$3)"),-62.597402597402606)</f>
        <v>-62.5974026</v>
      </c>
      <c r="AW261" s="19" t="str">
        <f>IFERROR(__xludf.DUMMYFUNCTION("IMPORTRANGE(""https://docs.google.com/spreadsheets/d/""&amp;$A261&amp;""/edit#gid=156619080"",AW$3)"),"-49.74
-56.49
-59.61
-61.82
")</f>
        <v>-49.74
-56.49
-59.61
-61.82
</v>
      </c>
      <c r="AX261" s="2">
        <f>IFERROR(__xludf.DUMMYFUNCTION("IMPORTRANGE(""https://docs.google.com/spreadsheets/d/""&amp;$A261&amp;""/edit#gid=156619080"",AX$3)"),24.03)</f>
        <v>24.03</v>
      </c>
      <c r="AY261" s="2">
        <f>IFERROR(__xludf.DUMMYFUNCTION("IMPORTRANGE(""https://docs.google.com/spreadsheets/d/""&amp;$A261&amp;""/edit#gid=156619080"",AY$3)"),41.88)</f>
        <v>41.88</v>
      </c>
      <c r="AZ261" s="2">
        <f>IFERROR(__xludf.DUMMYFUNCTION("IMPORTRANGE(""https://docs.google.com/spreadsheets/d/""&amp;$A261&amp;""/edit#gid=156619080"",AZ$3)"),1743.65)</f>
        <v>1743.65</v>
      </c>
      <c r="BA261" s="2">
        <f>IFERROR(__xludf.DUMMYFUNCTION("IMPORTRANGE(""https://docs.google.com/spreadsheets/d/""&amp;$A261&amp;""/edit#gid=156619080"",BA$3)"),-47.5)</f>
        <v>-47.5</v>
      </c>
      <c r="BB261" s="2">
        <f>IFERROR(__xludf.DUMMYFUNCTION("IMPORTRANGE(""https://docs.google.com/spreadsheets/d/""&amp;$A261&amp;""/edit#gid=156619080"",BB$3)"),-40.2)</f>
        <v>-40.2</v>
      </c>
      <c r="BC261" s="2" t="str">
        <f>IFERROR(__xludf.DUMMYFUNCTION("IMPORTRANGE(""https://docs.google.com/spreadsheets/d/""&amp;$A261&amp;""/edit#gid=156619080"",BC$3)"),"DC→DC")</f>
        <v>DC→DC</v>
      </c>
    </row>
    <row r="262" ht="51.0" customHeight="1">
      <c r="A262" s="7" t="str">
        <f t="shared" si="5"/>
        <v>1BbIkV3NiDFAmJwdMycYpcJxDNLKOWmUatDoKZSqsg1s</v>
      </c>
      <c r="B262" s="1" t="s">
        <v>289</v>
      </c>
      <c r="C262" s="2">
        <f>IFERROR(__xludf.DUMMYFUNCTION("IMPORTRANGE(""https://docs.google.com/spreadsheets/d/""&amp;$A262&amp;""/edit#gid=156619080"",C$3)"),131.0)</f>
        <v>131</v>
      </c>
      <c r="D262" s="2">
        <f>IFERROR(__xludf.DUMMYFUNCTION("IMPORTRANGE(""https://docs.google.com/spreadsheets/d/""&amp;$A262&amp;""/edit#gid=156619080"",D$3)"),4344.0)</f>
        <v>4344</v>
      </c>
      <c r="E262" s="15">
        <f>IFERROR(__xludf.DUMMYFUNCTION("IMPORTRANGE(""https://docs.google.com/spreadsheets/d/""&amp;$A262&amp;""/edit#gid=156619080"",E$3)"),43882.0)</f>
        <v>43882</v>
      </c>
      <c r="F262" s="2">
        <f>IFERROR(__xludf.DUMMYFUNCTION("IMPORTRANGE(""https://docs.google.com/spreadsheets/d/""&amp;$A262&amp;""/edit#gid=156619080"",F$3)"),-1.0)</f>
        <v>-1</v>
      </c>
      <c r="G262" s="16">
        <f>IFERROR(__xludf.DUMMYFUNCTION("IMPORTRANGE(""https://docs.google.com/spreadsheets/d/""&amp;$A262&amp;""/edit#gid=156619080"",G$3)"),-0.25)</f>
        <v>-0.25</v>
      </c>
      <c r="H262" s="16">
        <f>IFERROR(__xludf.DUMMYFUNCTION("IMPORTRANGE(""https://docs.google.com/spreadsheets/d/""&amp;$A262&amp;""/edit#gid=156619080"",H$3)"),400.0)</f>
        <v>400</v>
      </c>
      <c r="I262" s="16">
        <f>IFERROR(__xludf.DUMMYFUNCTION("IMPORTRANGE(""https://docs.google.com/spreadsheets/d/""&amp;$A262&amp;""/edit#gid=156619080"",I$3)"),2.0)</f>
        <v>2</v>
      </c>
      <c r="J262" s="16">
        <f>IFERROR(__xludf.DUMMYFUNCTION("IMPORTRANGE(""https://docs.google.com/spreadsheets/d/""&amp;$A262&amp;""/edit#gid=156619080"",J$3)"),408.0)</f>
        <v>408</v>
      </c>
      <c r="K262" s="16">
        <f>IFERROR(__xludf.DUMMYFUNCTION("IMPORTRANGE(""https://docs.google.com/spreadsheets/d/""&amp;$A262&amp;""/edit#gid=156619080"",K$3)"),0.5722222222222222)</f>
        <v>0.5722222222</v>
      </c>
      <c r="L262" s="16">
        <f>IFERROR(__xludf.DUMMYFUNCTION("IMPORTRANGE(""https://docs.google.com/spreadsheets/d/""&amp;$A262&amp;""/edit#gid=156619080"",L$3)"),398.0)</f>
        <v>398</v>
      </c>
      <c r="M262" s="16">
        <f>IFERROR(__xludf.DUMMYFUNCTION("IMPORTRANGE(""https://docs.google.com/spreadsheets/d/""&amp;$A262&amp;""/edit#gid=156619080"",M$3)"),0.41944444444444445)</f>
        <v>0.4194444444</v>
      </c>
      <c r="N262" s="16">
        <f>IFERROR(__xludf.DUMMYFUNCTION("IMPORTRANGE(""https://docs.google.com/spreadsheets/d/""&amp;$A262&amp;""/edit#gid=156619080"",N$3)"),401.0)</f>
        <v>401</v>
      </c>
      <c r="O262" s="16" t="str">
        <f>IFERROR(__xludf.DUMMYFUNCTION("IMPORTRANGE(""https://docs.google.com/spreadsheets/d/""&amp;$A262&amp;""/edit#gid=156619080"",O$3)"),"1880800株")</f>
        <v>1880800株</v>
      </c>
      <c r="P262" s="16" t="str">
        <f>IFERROR(__xludf.DUMMYFUNCTION("IMPORTRANGE(""https://docs.google.com/spreadsheets/d/""&amp;$A262&amp;""/edit#gid=156619080"",P$3)"),"755百万円")</f>
        <v>755百万円</v>
      </c>
      <c r="Q262" s="16" t="str">
        <f>IFERROR(__xludf.DUMMYFUNCTION("IMPORTRANGE(""https://docs.google.com/spreadsheets/d/""&amp;$A262&amp;""/edit#gid=156619080"",Q$3)"),"1097回")</f>
        <v>1097回</v>
      </c>
      <c r="R262" s="16" t="str">
        <f>IFERROR(__xludf.DUMMYFUNCTION("IMPORTRANGE(""https://docs.google.com/spreadsheets/d/""&amp;$A262&amp;""/edit#gid=156619080"",R$3)"),"546億円")</f>
        <v>546億円</v>
      </c>
      <c r="S262" s="16" t="str">
        <f>IFERROR(__xludf.DUMMYFUNCTION("IMPORTRANGE(""https://docs.google.com/spreadsheets/d/""&amp;$A262&amp;""/edit#gid=156619080"",S$3)"),"陽線")</f>
        <v>陽線</v>
      </c>
      <c r="T262" s="16" t="str">
        <f>IFERROR(__xludf.DUMMYFUNCTION("IMPORTRANGE(""https://docs.google.com/spreadsheets/d/""&amp;$A262&amp;""/edit#gid=156619080"",T$3)"),"")</f>
        <v/>
      </c>
      <c r="U262" s="16">
        <f>IFERROR(__xludf.DUMMYFUNCTION("IMPORTRANGE(""https://docs.google.com/spreadsheets/d/""&amp;$A262&amp;""/edit#gid=156619080"",U$3)"),398.2)</f>
        <v>398.2</v>
      </c>
      <c r="V262" s="16">
        <f>IFERROR(__xludf.DUMMYFUNCTION("IMPORTRANGE(""https://docs.google.com/spreadsheets/d/""&amp;$A262&amp;""/edit#gid=156619080"",V$3)"),454.8)</f>
        <v>454.8</v>
      </c>
      <c r="W262" s="16">
        <f>IFERROR(__xludf.DUMMYFUNCTION("IMPORTRANGE(""https://docs.google.com/spreadsheets/d/""&amp;$A262&amp;""/edit#gid=156619080"",W$3)"),478.3)</f>
        <v>478.3</v>
      </c>
      <c r="X262" s="2">
        <f>IFERROR(__xludf.DUMMYFUNCTION("IMPORTRANGE(""https://docs.google.com/spreadsheets/d/""&amp;$A262&amp;""/edit#gid=156619080"",X$3)"),484.9)</f>
        <v>484.9</v>
      </c>
      <c r="Y262" s="17">
        <f>IFERROR(__xludf.DUMMYFUNCTION("IMPORTRANGE(""https://docs.google.com/spreadsheets/d/""&amp;$A262&amp;""/edit#gid=156619080"",Y$3)"),0.0070316423907584415)</f>
        <v>0.007031642391</v>
      </c>
      <c r="Z262" s="2">
        <f>IFERROR(__xludf.DUMMYFUNCTION("IMPORTRANGE(""https://docs.google.com/spreadsheets/d/""&amp;$A262&amp;""/edit#gid=156619080"",Z$3)"),580.36)</f>
        <v>580.36</v>
      </c>
      <c r="AA262" s="2">
        <f>IFERROR(__xludf.DUMMYFUNCTION("IMPORTRANGE(""https://docs.google.com/spreadsheets/d/""&amp;$A262&amp;""/edit#gid=156619080"",AA$3)"),567.6)</f>
        <v>567.6</v>
      </c>
      <c r="AB262" s="2">
        <f>IFERROR(__xludf.DUMMYFUNCTION("IMPORTRANGE(""https://docs.google.com/spreadsheets/d/""&amp;$A262&amp;""/edit#gid=156619080"",AB$3)"),554.84)</f>
        <v>554.84</v>
      </c>
      <c r="AC262" s="18">
        <f>IFERROR(__xludf.DUMMYFUNCTION("IMPORTRANGE(""https://docs.google.com/spreadsheets/d/""&amp;$A262&amp;""/edit#gid=156619080"",AC$3)"),542.08)</f>
        <v>542.08</v>
      </c>
      <c r="AD262" s="18">
        <f>IFERROR(__xludf.DUMMYFUNCTION("IMPORTRANGE(""https://docs.google.com/spreadsheets/d/""&amp;$A262&amp;""/edit#gid=156619080"",AD$3)"),529.33)</f>
        <v>529.33</v>
      </c>
      <c r="AE262" s="18">
        <f>IFERROR(__xludf.DUMMYFUNCTION("IMPORTRANGE(""https://docs.google.com/spreadsheets/d/""&amp;$A262&amp;""/edit#gid=156619080"",AE$3)"),478.3)</f>
        <v>478.3</v>
      </c>
      <c r="AF262" s="2">
        <f>IFERROR(__xludf.DUMMYFUNCTION("IMPORTRANGE(""https://docs.google.com/spreadsheets/d/""&amp;$A262&amp;""/edit#gid=156619080"",AF$3)"),427.27)</f>
        <v>427.27</v>
      </c>
      <c r="AG262" s="2">
        <f>IFERROR(__xludf.DUMMYFUNCTION("IMPORTRANGE(""https://docs.google.com/spreadsheets/d/""&amp;$A262&amp;""/edit#gid=156619080"",AG$3)"),414.52)</f>
        <v>414.52</v>
      </c>
      <c r="AH262" s="2">
        <f>IFERROR(__xludf.DUMMYFUNCTION("IMPORTRANGE(""https://docs.google.com/spreadsheets/d/""&amp;$A262&amp;""/edit#gid=156619080"",AH$3)"),401.76)</f>
        <v>401.76</v>
      </c>
      <c r="AI262" s="2">
        <f>IFERROR(__xludf.DUMMYFUNCTION("IMPORTRANGE(""https://docs.google.com/spreadsheets/d/""&amp;$A262&amp;""/edit#gid=156619080"",AI$3)"),389.0)</f>
        <v>389</v>
      </c>
      <c r="AJ262" s="2">
        <f>IFERROR(__xludf.DUMMYFUNCTION("IMPORTRANGE(""https://docs.google.com/spreadsheets/d/""&amp;$A262&amp;""/edit#gid=156619080"",AJ$3)"),376.24)</f>
        <v>376.24</v>
      </c>
      <c r="AK262" s="2" t="str">
        <f>IFERROR(__xludf.DUMMYFUNCTION("IMPORTRANGE(""https://docs.google.com/spreadsheets/d/""&amp;$A262&amp;""/edit#gid=156619080"",AK$3)"),"-1.5σ〜-1.75σ")</f>
        <v>-1.5σ〜-1.75σ</v>
      </c>
      <c r="AL262" s="2">
        <f>IFERROR(__xludf.DUMMYFUNCTION("IMPORTRANGE(""https://docs.google.com/spreadsheets/d/""&amp;$A262&amp;""/edit#gid=156619080"",AL$3)"),-1.0)</f>
        <v>-1</v>
      </c>
      <c r="AM262" s="2" t="str">
        <f>IFERROR(__xludf.DUMMYFUNCTION("IMPORTRANGE(""https://docs.google.com/spreadsheets/d/""&amp;$A262&amp;""/edit#gid=156619080"",AM$3)"),"")</f>
        <v/>
      </c>
      <c r="AN262" s="2">
        <f>IFERROR(__xludf.DUMMYFUNCTION("IMPORTRANGE(""https://docs.google.com/spreadsheets/d/""&amp;$A262&amp;""/edit#gid=156619080"",AN$3)"),-1.0)</f>
        <v>-1</v>
      </c>
      <c r="AO262" s="2" t="str">
        <f>IFERROR(__xludf.DUMMYFUNCTION("IMPORTRANGE(""https://docs.google.com/spreadsheets/d/""&amp;$A262&amp;""/edit#gid=156619080"",AO$3)"),"")</f>
        <v/>
      </c>
      <c r="AP262" s="2">
        <f>IFERROR(__xludf.DUMMYFUNCTION("IMPORTRANGE(""https://docs.google.com/spreadsheets/d/""&amp;$A262&amp;""/edit#gid=156619080"",AP$3)"),-1.0)</f>
        <v>-1</v>
      </c>
      <c r="AQ262" s="2" t="str">
        <f>IFERROR(__xludf.DUMMYFUNCTION("IMPORTRANGE(""https://docs.google.com/spreadsheets/d/""&amp;$A262&amp;""/edit#gid=156619080"",AQ$3)"),"")</f>
        <v/>
      </c>
      <c r="AR262" s="18">
        <f>IFERROR(__xludf.DUMMYFUNCTION("IMPORTRANGE(""https://docs.google.com/spreadsheets/d/""&amp;$A262&amp;""/edit#gid=156619080"",AR$3)"),50.0)</f>
        <v>50</v>
      </c>
      <c r="AS262" s="19" t="str">
        <f>IFERROR(__xludf.DUMMYFUNCTION("IMPORTRANGE(""https://docs.google.com/spreadsheets/d/""&amp;$A262&amp;""/edit#gid=156619080"",AS$3)"),"-60
-90
-70
-20
")</f>
        <v>-60
-90
-70
-20
</v>
      </c>
      <c r="AT262" s="18">
        <f>IFERROR(__xludf.DUMMYFUNCTION("IMPORTRANGE(""https://docs.google.com/spreadsheets/d/""&amp;$A262&amp;""/edit#gid=156619080"",AT$3)"),-71.97802197802199)</f>
        <v>-71.97802198</v>
      </c>
      <c r="AU262" s="3" t="str">
        <f>IFERROR(__xludf.DUMMYFUNCTION("IMPORTRANGE(""https://docs.google.com/spreadsheets/d/""&amp;$A262&amp;""/edit#gid=156619080"",AU$3)"),"-23.63
-29.12
-51.1
-60.44
")</f>
        <v>-23.63
-29.12
-51.1
-60.44
</v>
      </c>
      <c r="AV262" s="18">
        <f>IFERROR(__xludf.DUMMYFUNCTION("IMPORTRANGE(""https://docs.google.com/spreadsheets/d/""&amp;$A262&amp;""/edit#gid=156619080"",AV$3)"),-80.0)</f>
        <v>-80</v>
      </c>
      <c r="AW262" s="19" t="str">
        <f>IFERROR(__xludf.DUMMYFUNCTION("IMPORTRANGE(""https://docs.google.com/spreadsheets/d/""&amp;$A262&amp;""/edit#gid=156619080"",AW$3)"),"-81.43
-81.56
-81.17
-80.52
")</f>
        <v>-81.43
-81.56
-81.17
-80.52
</v>
      </c>
      <c r="AX262" s="2">
        <f>IFERROR(__xludf.DUMMYFUNCTION("IMPORTRANGE(""https://docs.google.com/spreadsheets/d/""&amp;$A262&amp;""/edit#gid=156619080"",AX$3)"),32.08)</f>
        <v>32.08</v>
      </c>
      <c r="AY262" s="2">
        <f>IFERROR(__xludf.DUMMYFUNCTION("IMPORTRANGE(""https://docs.google.com/spreadsheets/d/""&amp;$A262&amp;""/edit#gid=156619080"",AY$3)"),24.63)</f>
        <v>24.63</v>
      </c>
      <c r="AZ262" s="2">
        <f>IFERROR(__xludf.DUMMYFUNCTION("IMPORTRANGE(""https://docs.google.com/spreadsheets/d/""&amp;$A262&amp;""/edit#gid=156619080"",AZ$3)"),410.09)</f>
        <v>410.09</v>
      </c>
      <c r="BA262" s="2">
        <f>IFERROR(__xludf.DUMMYFUNCTION("IMPORTRANGE(""https://docs.google.com/spreadsheets/d/""&amp;$A262&amp;""/edit#gid=156619080"",BA$3)"),-52.76000000000005)</f>
        <v>-52.76</v>
      </c>
      <c r="BB262" s="2">
        <f>IFERROR(__xludf.DUMMYFUNCTION("IMPORTRANGE(""https://docs.google.com/spreadsheets/d/""&amp;$A262&amp;""/edit#gid=156619080"",BB$3)"),-32.03)</f>
        <v>-32.03</v>
      </c>
      <c r="BC262" s="2" t="str">
        <f>IFERROR(__xludf.DUMMYFUNCTION("IMPORTRANGE(""https://docs.google.com/spreadsheets/d/""&amp;$A262&amp;""/edit#gid=156619080"",BC$3)"),"DC→DC")</f>
        <v>DC→DC</v>
      </c>
    </row>
    <row r="263" ht="51.0" customHeight="1">
      <c r="A263" s="7" t="str">
        <f t="shared" si="5"/>
        <v>1kH_S1pKYzNgI4m3ZEqVcm124LbV7p2j8ierChdvpBps</v>
      </c>
      <c r="B263" s="1" t="s">
        <v>290</v>
      </c>
      <c r="C263" s="2">
        <f>IFERROR(__xludf.DUMMYFUNCTION("IMPORTRANGE(""https://docs.google.com/spreadsheets/d/""&amp;$A263&amp;""/edit#gid=156619080"",C$3)"),131.0)</f>
        <v>131</v>
      </c>
      <c r="D263" s="2">
        <f>IFERROR(__xludf.DUMMYFUNCTION("IMPORTRANGE(""https://docs.google.com/spreadsheets/d/""&amp;$A263&amp;""/edit#gid=156619080"",D$3)"),7748.0)</f>
        <v>7748</v>
      </c>
      <c r="E263" s="15">
        <f>IFERROR(__xludf.DUMMYFUNCTION("IMPORTRANGE(""https://docs.google.com/spreadsheets/d/""&amp;$A263&amp;""/edit#gid=156619080"",E$3)"),43882.0)</f>
        <v>43882</v>
      </c>
      <c r="F263" s="2">
        <f>IFERROR(__xludf.DUMMYFUNCTION("IMPORTRANGE(""https://docs.google.com/spreadsheets/d/""&amp;$A263&amp;""/edit#gid=156619080"",F$3)"),-70.0)</f>
        <v>-70</v>
      </c>
      <c r="G263" s="16">
        <f>IFERROR(__xludf.DUMMYFUNCTION("IMPORTRANGE(""https://docs.google.com/spreadsheets/d/""&amp;$A263&amp;""/edit#gid=156619080"",G$3)"),-1.15)</f>
        <v>-1.15</v>
      </c>
      <c r="H263" s="16">
        <f>IFERROR(__xludf.DUMMYFUNCTION("IMPORTRANGE(""https://docs.google.com/spreadsheets/d/""&amp;$A263&amp;""/edit#gid=156619080"",H$3)"),6120.0)</f>
        <v>6120</v>
      </c>
      <c r="I263" s="16">
        <f>IFERROR(__xludf.DUMMYFUNCTION("IMPORTRANGE(""https://docs.google.com/spreadsheets/d/""&amp;$A263&amp;""/edit#gid=156619080"",I$3)"),-10.0)</f>
        <v>-10</v>
      </c>
      <c r="J263" s="16">
        <f>IFERROR(__xludf.DUMMYFUNCTION("IMPORTRANGE(""https://docs.google.com/spreadsheets/d/""&amp;$A263&amp;""/edit#gid=156619080"",J$3)"),6460.0)</f>
        <v>6460</v>
      </c>
      <c r="K263" s="16">
        <f>IFERROR(__xludf.DUMMYFUNCTION("IMPORTRANGE(""https://docs.google.com/spreadsheets/d/""&amp;$A263&amp;""/edit#gid=156619080"",K$3)"),0.4027777777777778)</f>
        <v>0.4027777778</v>
      </c>
      <c r="L263" s="16">
        <f>IFERROR(__xludf.DUMMYFUNCTION("IMPORTRANGE(""https://docs.google.com/spreadsheets/d/""&amp;$A263&amp;""/edit#gid=156619080"",L$3)"),5980.0)</f>
        <v>5980</v>
      </c>
      <c r="M263" s="16">
        <f>IFERROR(__xludf.DUMMYFUNCTION("IMPORTRANGE(""https://docs.google.com/spreadsheets/d/""&amp;$A263&amp;""/edit#gid=156619080"",M$3)"),0.6180555555555556)</f>
        <v>0.6180555556</v>
      </c>
      <c r="N263" s="16">
        <f>IFERROR(__xludf.DUMMYFUNCTION("IMPORTRANGE(""https://docs.google.com/spreadsheets/d/""&amp;$A263&amp;""/edit#gid=156619080"",N$3)"),6040.0)</f>
        <v>6040</v>
      </c>
      <c r="O263" s="16" t="str">
        <f>IFERROR(__xludf.DUMMYFUNCTION("IMPORTRANGE(""https://docs.google.com/spreadsheets/d/""&amp;$A263&amp;""/edit#gid=156619080"",O$3)"),"210400株")</f>
        <v>210400株</v>
      </c>
      <c r="P263" s="16" t="str">
        <f>IFERROR(__xludf.DUMMYFUNCTION("IMPORTRANGE(""https://docs.google.com/spreadsheets/d/""&amp;$A263&amp;""/edit#gid=156619080"",P$3)"),"1303百万円")</f>
        <v>1303百万円</v>
      </c>
      <c r="Q263" s="16" t="str">
        <f>IFERROR(__xludf.DUMMYFUNCTION("IMPORTRANGE(""https://docs.google.com/spreadsheets/d/""&amp;$A263&amp;""/edit#gid=156619080"",Q$3)"),"1163回")</f>
        <v>1163回</v>
      </c>
      <c r="R263" s="16" t="str">
        <f>IFERROR(__xludf.DUMMYFUNCTION("IMPORTRANGE(""https://docs.google.com/spreadsheets/d/""&amp;$A263&amp;""/edit#gid=156619080"",R$3)"),"202億円")</f>
        <v>202億円</v>
      </c>
      <c r="S263" s="16" t="str">
        <f>IFERROR(__xludf.DUMMYFUNCTION("IMPORTRANGE(""https://docs.google.com/spreadsheets/d/""&amp;$A263&amp;""/edit#gid=156619080"",S$3)"),"陰線")</f>
        <v>陰線</v>
      </c>
      <c r="T263" s="16" t="str">
        <f>IFERROR(__xludf.DUMMYFUNCTION("IMPORTRANGE(""https://docs.google.com/spreadsheets/d/""&amp;$A263&amp;""/edit#gid=156619080"",T$3)"),"")</f>
        <v/>
      </c>
      <c r="U263" s="16">
        <f>IFERROR(__xludf.DUMMYFUNCTION("IMPORTRANGE(""https://docs.google.com/spreadsheets/d/""&amp;$A263&amp;""/edit#gid=156619080"",U$3)"),5974.0)</f>
        <v>5974</v>
      </c>
      <c r="V263" s="16">
        <f>IFERROR(__xludf.DUMMYFUNCTION("IMPORTRANGE(""https://docs.google.com/spreadsheets/d/""&amp;$A263&amp;""/edit#gid=156619080"",V$3)"),5736.2)</f>
        <v>5736.2</v>
      </c>
      <c r="W263" s="16">
        <f>IFERROR(__xludf.DUMMYFUNCTION("IMPORTRANGE(""https://docs.google.com/spreadsheets/d/""&amp;$A263&amp;""/edit#gid=156619080"",W$3)"),5514.0)</f>
        <v>5514</v>
      </c>
      <c r="X263" s="2">
        <f>IFERROR(__xludf.DUMMYFUNCTION("IMPORTRANGE(""https://docs.google.com/spreadsheets/d/""&amp;$A263&amp;""/edit#gid=156619080"",X$3)"),4527.1)</f>
        <v>4527.1</v>
      </c>
      <c r="Y263" s="17">
        <f>IFERROR(__xludf.DUMMYFUNCTION("IMPORTRANGE(""https://docs.google.com/spreadsheets/d/""&amp;$A263&amp;""/edit#gid=156619080"",Y$3)"),0.011047874121191832)</f>
        <v>0.01104787412</v>
      </c>
      <c r="Z263" s="2">
        <f>IFERROR(__xludf.DUMMYFUNCTION("IMPORTRANGE(""https://docs.google.com/spreadsheets/d/""&amp;$A263&amp;""/edit#gid=156619080"",Z$3)"),6601.97)</f>
        <v>6601.97</v>
      </c>
      <c r="AA263" s="2">
        <f>IFERROR(__xludf.DUMMYFUNCTION("IMPORTRANGE(""https://docs.google.com/spreadsheets/d/""&amp;$A263&amp;""/edit#gid=156619080"",AA$3)"),6465.98)</f>
        <v>6465.98</v>
      </c>
      <c r="AB263" s="2">
        <f>IFERROR(__xludf.DUMMYFUNCTION("IMPORTRANGE(""https://docs.google.com/spreadsheets/d/""&amp;$A263&amp;""/edit#gid=156619080"",AB$3)"),6329.98)</f>
        <v>6329.98</v>
      </c>
      <c r="AC263" s="18">
        <f>IFERROR(__xludf.DUMMYFUNCTION("IMPORTRANGE(""https://docs.google.com/spreadsheets/d/""&amp;$A263&amp;""/edit#gid=156619080"",AC$3)"),6193.98)</f>
        <v>6193.98</v>
      </c>
      <c r="AD263" s="18">
        <f>IFERROR(__xludf.DUMMYFUNCTION("IMPORTRANGE(""https://docs.google.com/spreadsheets/d/""&amp;$A263&amp;""/edit#gid=156619080"",AD$3)"),6057.99)</f>
        <v>6057.99</v>
      </c>
      <c r="AE263" s="18">
        <f>IFERROR(__xludf.DUMMYFUNCTION("IMPORTRANGE(""https://docs.google.com/spreadsheets/d/""&amp;$A263&amp;""/edit#gid=156619080"",AE$3)"),5514.0)</f>
        <v>5514</v>
      </c>
      <c r="AF263" s="2">
        <f>IFERROR(__xludf.DUMMYFUNCTION("IMPORTRANGE(""https://docs.google.com/spreadsheets/d/""&amp;$A263&amp;""/edit#gid=156619080"",AF$3)"),4970.01)</f>
        <v>4970.01</v>
      </c>
      <c r="AG263" s="2">
        <f>IFERROR(__xludf.DUMMYFUNCTION("IMPORTRANGE(""https://docs.google.com/spreadsheets/d/""&amp;$A263&amp;""/edit#gid=156619080"",AG$3)"),4834.02)</f>
        <v>4834.02</v>
      </c>
      <c r="AH263" s="2">
        <f>IFERROR(__xludf.DUMMYFUNCTION("IMPORTRANGE(""https://docs.google.com/spreadsheets/d/""&amp;$A263&amp;""/edit#gid=156619080"",AH$3)"),4698.02)</f>
        <v>4698.02</v>
      </c>
      <c r="AI263" s="2">
        <f>IFERROR(__xludf.DUMMYFUNCTION("IMPORTRANGE(""https://docs.google.com/spreadsheets/d/""&amp;$A263&amp;""/edit#gid=156619080"",AI$3)"),4562.02)</f>
        <v>4562.02</v>
      </c>
      <c r="AJ263" s="2">
        <f>IFERROR(__xludf.DUMMYFUNCTION("IMPORTRANGE(""https://docs.google.com/spreadsheets/d/""&amp;$A263&amp;""/edit#gid=156619080"",AJ$3)"),4426.03)</f>
        <v>4426.03</v>
      </c>
      <c r="AK263" s="2" t="str">
        <f>IFERROR(__xludf.DUMMYFUNCTION("IMPORTRANGE(""https://docs.google.com/spreadsheets/d/""&amp;$A263&amp;""/edit#gid=156619080"",AK$3)"),"")</f>
        <v/>
      </c>
      <c r="AL263" s="2">
        <f>IFERROR(__xludf.DUMMYFUNCTION("IMPORTRANGE(""https://docs.google.com/spreadsheets/d/""&amp;$A263&amp;""/edit#gid=156619080"",AL$3)"),1.0)</f>
        <v>1</v>
      </c>
      <c r="AM263" s="2" t="str">
        <f>IFERROR(__xludf.DUMMYFUNCTION("IMPORTRANGE(""https://docs.google.com/spreadsheets/d/""&amp;$A263&amp;""/edit#gid=156619080"",AM$3)"),"")</f>
        <v/>
      </c>
      <c r="AN263" s="2">
        <f>IFERROR(__xludf.DUMMYFUNCTION("IMPORTRANGE(""https://docs.google.com/spreadsheets/d/""&amp;$A263&amp;""/edit#gid=156619080"",AN$3)"),1.0)</f>
        <v>1</v>
      </c>
      <c r="AO263" s="2" t="str">
        <f>IFERROR(__xludf.DUMMYFUNCTION("IMPORTRANGE(""https://docs.google.com/spreadsheets/d/""&amp;$A263&amp;""/edit#gid=156619080"",AO$3)"),"")</f>
        <v/>
      </c>
      <c r="AP263" s="2">
        <f>IFERROR(__xludf.DUMMYFUNCTION("IMPORTRANGE(""https://docs.google.com/spreadsheets/d/""&amp;$A263&amp;""/edit#gid=156619080"",AP$3)"),1.0)</f>
        <v>1</v>
      </c>
      <c r="AQ263" s="2" t="str">
        <f>IFERROR(__xludf.DUMMYFUNCTION("IMPORTRANGE(""https://docs.google.com/spreadsheets/d/""&amp;$A263&amp;""/edit#gid=156619080"",AQ$3)"),"")</f>
        <v/>
      </c>
      <c r="AR263" s="18">
        <f>IFERROR(__xludf.DUMMYFUNCTION("IMPORTRANGE(""https://docs.google.com/spreadsheets/d/""&amp;$A263&amp;""/edit#gid=156619080"",AR$3)"),50.0)</f>
        <v>50</v>
      </c>
      <c r="AS263" s="19" t="str">
        <f>IFERROR(__xludf.DUMMYFUNCTION("IMPORTRANGE(""https://docs.google.com/spreadsheets/d/""&amp;$A263&amp;""/edit#gid=156619080"",AS$3)"),"10
-90
0
50
")</f>
        <v>10
-90
0
50
</v>
      </c>
      <c r="AT263" s="18">
        <f>IFERROR(__xludf.DUMMYFUNCTION("IMPORTRANGE(""https://docs.google.com/spreadsheets/d/""&amp;$A263&amp;""/edit#gid=156619080"",AT$3)"),65.38461538461539)</f>
        <v>65.38461538</v>
      </c>
      <c r="AU263" s="3" t="str">
        <f>IFERROR(__xludf.DUMMYFUNCTION("IMPORTRANGE(""https://docs.google.com/spreadsheets/d/""&amp;$A263&amp;""/edit#gid=156619080"",AU$3)"),"79.12
79.12
81.87
76.92
")</f>
        <v>79.12
79.12
81.87
76.92
</v>
      </c>
      <c r="AV263" s="18">
        <f>IFERROR(__xludf.DUMMYFUNCTION("IMPORTRANGE(""https://docs.google.com/spreadsheets/d/""&amp;$A263&amp;""/edit#gid=156619080"",AV$3)"),65.09740259740259)</f>
        <v>65.0974026</v>
      </c>
      <c r="AW263" s="19" t="str">
        <f>IFERROR(__xludf.DUMMYFUNCTION("IMPORTRANGE(""https://docs.google.com/spreadsheets/d/""&amp;$A263&amp;""/edit#gid=156619080"",AW$3)"),"36.01
41.85
50.03
57.18
")</f>
        <v>36.01
41.85
50.03
57.18
</v>
      </c>
      <c r="AX263" s="2">
        <f>IFERROR(__xludf.DUMMYFUNCTION("IMPORTRANGE(""https://docs.google.com/spreadsheets/d/""&amp;$A263&amp;""/edit#gid=156619080"",AX$3)"),49.480000000000004)</f>
        <v>49.48</v>
      </c>
      <c r="AY263" s="2">
        <f>IFERROR(__xludf.DUMMYFUNCTION("IMPORTRANGE(""https://docs.google.com/spreadsheets/d/""&amp;$A263&amp;""/edit#gid=156619080"",AY$3)"),55.300000000000004)</f>
        <v>55.3</v>
      </c>
      <c r="AZ263" s="2">
        <f>IFERROR(__xludf.DUMMYFUNCTION("IMPORTRANGE(""https://docs.google.com/spreadsheets/d/""&amp;$A263&amp;""/edit#gid=156619080"",AZ$3)"),6030.23)</f>
        <v>6030.23</v>
      </c>
      <c r="BA263" s="2">
        <f>IFERROR(__xludf.DUMMYFUNCTION("IMPORTRANGE(""https://docs.google.com/spreadsheets/d/""&amp;$A263&amp;""/edit#gid=156619080"",BA$3)"),332.6799999999994)</f>
        <v>332.68</v>
      </c>
      <c r="BB263" s="2">
        <f>IFERROR(__xludf.DUMMYFUNCTION("IMPORTRANGE(""https://docs.google.com/spreadsheets/d/""&amp;$A263&amp;""/edit#gid=156619080"",BB$3)"),200.59)</f>
        <v>200.59</v>
      </c>
      <c r="BC263" s="2" t="str">
        <f>IFERROR(__xludf.DUMMYFUNCTION("IMPORTRANGE(""https://docs.google.com/spreadsheets/d/""&amp;$A263&amp;""/edit#gid=156619080"",BC$3)"),"GC→GC")</f>
        <v>GC→GC</v>
      </c>
    </row>
    <row r="264" ht="51.0" customHeight="1">
      <c r="A264" s="7" t="str">
        <f t="shared" si="5"/>
        <v>1K6WdpDeIGJNcDyYYdbe4Azp_jJ60MwZELw8-3nFhSXA</v>
      </c>
      <c r="B264" s="1" t="s">
        <v>291</v>
      </c>
      <c r="C264" s="2">
        <f>IFERROR(__xludf.DUMMYFUNCTION("IMPORTRANGE(""https://docs.google.com/spreadsheets/d/""&amp;$A264&amp;""/edit#gid=156619080"",C$3)"),131.0)</f>
        <v>131</v>
      </c>
      <c r="D264" s="2">
        <f>IFERROR(__xludf.DUMMYFUNCTION("IMPORTRANGE(""https://docs.google.com/spreadsheets/d/""&amp;$A264&amp;""/edit#gid=156619080"",D$3)"),3906.0)</f>
        <v>3906</v>
      </c>
      <c r="E264" s="15">
        <f>IFERROR(__xludf.DUMMYFUNCTION("IMPORTRANGE(""https://docs.google.com/spreadsheets/d/""&amp;$A264&amp;""/edit#gid=156619080"",E$3)"),43882.0)</f>
        <v>43882</v>
      </c>
      <c r="F264" s="2">
        <f>IFERROR(__xludf.DUMMYFUNCTION("IMPORTRANGE(""https://docs.google.com/spreadsheets/d/""&amp;$A264&amp;""/edit#gid=156619080"",F$3)"),60.0)</f>
        <v>60</v>
      </c>
      <c r="G264" s="16">
        <f>IFERROR(__xludf.DUMMYFUNCTION("IMPORTRANGE(""https://docs.google.com/spreadsheets/d/""&amp;$A264&amp;""/edit#gid=156619080"",G$3)"),0.85)</f>
        <v>0.85</v>
      </c>
      <c r="H264" s="16">
        <f>IFERROR(__xludf.DUMMYFUNCTION("IMPORTRANGE(""https://docs.google.com/spreadsheets/d/""&amp;$A264&amp;""/edit#gid=156619080"",H$3)"),6980.0)</f>
        <v>6980</v>
      </c>
      <c r="I264" s="16">
        <f>IFERROR(__xludf.DUMMYFUNCTION("IMPORTRANGE(""https://docs.google.com/spreadsheets/d/""&amp;$A264&amp;""/edit#gid=156619080"",I$3)"),80.0)</f>
        <v>80</v>
      </c>
      <c r="J264" s="16">
        <f>IFERROR(__xludf.DUMMYFUNCTION("IMPORTRANGE(""https://docs.google.com/spreadsheets/d/""&amp;$A264&amp;""/edit#gid=156619080"",J$3)"),7220.0)</f>
        <v>7220</v>
      </c>
      <c r="K264" s="16">
        <f>IFERROR(__xludf.DUMMYFUNCTION("IMPORTRANGE(""https://docs.google.com/spreadsheets/d/""&amp;$A264&amp;""/edit#gid=156619080"",K$3)"),0.5326388888888889)</f>
        <v>0.5326388889</v>
      </c>
      <c r="L264" s="16">
        <f>IFERROR(__xludf.DUMMYFUNCTION("IMPORTRANGE(""https://docs.google.com/spreadsheets/d/""&amp;$A264&amp;""/edit#gid=156619080"",L$3)"),6980.0)</f>
        <v>6980</v>
      </c>
      <c r="M264" s="16">
        <f>IFERROR(__xludf.DUMMYFUNCTION("IMPORTRANGE(""https://docs.google.com/spreadsheets/d/""&amp;$A264&amp;""/edit#gid=156619080"",M$3)"),0.375)</f>
        <v>0.375</v>
      </c>
      <c r="N264" s="16">
        <f>IFERROR(__xludf.DUMMYFUNCTION("IMPORTRANGE(""https://docs.google.com/spreadsheets/d/""&amp;$A264&amp;""/edit#gid=156619080"",N$3)"),7120.0)</f>
        <v>7120</v>
      </c>
      <c r="O264" s="16" t="str">
        <f>IFERROR(__xludf.DUMMYFUNCTION("IMPORTRANGE(""https://docs.google.com/spreadsheets/d/""&amp;$A264&amp;""/edit#gid=156619080"",O$3)"),"26900株")</f>
        <v>26900株</v>
      </c>
      <c r="P264" s="16" t="str">
        <f>IFERROR(__xludf.DUMMYFUNCTION("IMPORTRANGE(""https://docs.google.com/spreadsheets/d/""&amp;$A264&amp;""/edit#gid=156619080"",P$3)"),"192百万円")</f>
        <v>192百万円</v>
      </c>
      <c r="Q264" s="16" t="str">
        <f>IFERROR(__xludf.DUMMYFUNCTION("IMPORTRANGE(""https://docs.google.com/spreadsheets/d/""&amp;$A264&amp;""/edit#gid=156619080"",Q$3)"),"176回")</f>
        <v>176回</v>
      </c>
      <c r="R264" s="16" t="str">
        <f>IFERROR(__xludf.DUMMYFUNCTION("IMPORTRANGE(""https://docs.google.com/spreadsheets/d/""&amp;$A264&amp;""/edit#gid=156619080"",R$3)"),"317億円")</f>
        <v>317億円</v>
      </c>
      <c r="S264" s="16" t="str">
        <f>IFERROR(__xludf.DUMMYFUNCTION("IMPORTRANGE(""https://docs.google.com/spreadsheets/d/""&amp;$A264&amp;""/edit#gid=156619080"",S$3)"),"陽線")</f>
        <v>陽線</v>
      </c>
      <c r="T264" s="16" t="str">
        <f>IFERROR(__xludf.DUMMYFUNCTION("IMPORTRANGE(""https://docs.google.com/spreadsheets/d/""&amp;$A264&amp;""/edit#gid=156619080"",T$3)"),"")</f>
        <v/>
      </c>
      <c r="U264" s="16">
        <f>IFERROR(__xludf.DUMMYFUNCTION("IMPORTRANGE(""https://docs.google.com/spreadsheets/d/""&amp;$A264&amp;""/edit#gid=156619080"",U$3)"),7140.0)</f>
        <v>7140</v>
      </c>
      <c r="V264" s="16">
        <f>IFERROR(__xludf.DUMMYFUNCTION("IMPORTRANGE(""https://docs.google.com/spreadsheets/d/""&amp;$A264&amp;""/edit#gid=156619080"",V$3)"),7868.5)</f>
        <v>7868.5</v>
      </c>
      <c r="W264" s="16">
        <f>IFERROR(__xludf.DUMMYFUNCTION("IMPORTRANGE(""https://docs.google.com/spreadsheets/d/""&amp;$A264&amp;""/edit#gid=156619080"",W$3)"),8174.3)</f>
        <v>8174.3</v>
      </c>
      <c r="X264" s="2">
        <f>IFERROR(__xludf.DUMMYFUNCTION("IMPORTRANGE(""https://docs.google.com/spreadsheets/d/""&amp;$A264&amp;""/edit#gid=156619080"",X$3)"),8585.3)</f>
        <v>8585.3</v>
      </c>
      <c r="Y264" s="17">
        <f>IFERROR(__xludf.DUMMYFUNCTION("IMPORTRANGE(""https://docs.google.com/spreadsheets/d/""&amp;$A264&amp;""/edit#gid=156619080"",Y$3)"),-0.0028011204481792717)</f>
        <v>-0.002801120448</v>
      </c>
      <c r="Z264" s="2">
        <f>IFERROR(__xludf.DUMMYFUNCTION("IMPORTRANGE(""https://docs.google.com/spreadsheets/d/""&amp;$A264&amp;""/edit#gid=156619080"",Z$3)"),9467.57)</f>
        <v>9467.57</v>
      </c>
      <c r="AA264" s="2">
        <f>IFERROR(__xludf.DUMMYFUNCTION("IMPORTRANGE(""https://docs.google.com/spreadsheets/d/""&amp;$A264&amp;""/edit#gid=156619080"",AA$3)"),9305.91)</f>
        <v>9305.91</v>
      </c>
      <c r="AB264" s="2">
        <f>IFERROR(__xludf.DUMMYFUNCTION("IMPORTRANGE(""https://docs.google.com/spreadsheets/d/""&amp;$A264&amp;""/edit#gid=156619080"",AB$3)"),9144.25)</f>
        <v>9144.25</v>
      </c>
      <c r="AC264" s="18">
        <f>IFERROR(__xludf.DUMMYFUNCTION("IMPORTRANGE(""https://docs.google.com/spreadsheets/d/""&amp;$A264&amp;""/edit#gid=156619080"",AC$3)"),8982.6)</f>
        <v>8982.6</v>
      </c>
      <c r="AD264" s="18">
        <f>IFERROR(__xludf.DUMMYFUNCTION("IMPORTRANGE(""https://docs.google.com/spreadsheets/d/""&amp;$A264&amp;""/edit#gid=156619080"",AD$3)"),8820.94)</f>
        <v>8820.94</v>
      </c>
      <c r="AE264" s="18">
        <f>IFERROR(__xludf.DUMMYFUNCTION("IMPORTRANGE(""https://docs.google.com/spreadsheets/d/""&amp;$A264&amp;""/edit#gid=156619080"",AE$3)"),8174.3)</f>
        <v>8174.3</v>
      </c>
      <c r="AF264" s="2">
        <f>IFERROR(__xludf.DUMMYFUNCTION("IMPORTRANGE(""https://docs.google.com/spreadsheets/d/""&amp;$A264&amp;""/edit#gid=156619080"",AF$3)"),7527.66)</f>
        <v>7527.66</v>
      </c>
      <c r="AG264" s="2">
        <f>IFERROR(__xludf.DUMMYFUNCTION("IMPORTRANGE(""https://docs.google.com/spreadsheets/d/""&amp;$A264&amp;""/edit#gid=156619080"",AG$3)"),7366.0)</f>
        <v>7366</v>
      </c>
      <c r="AH264" s="2">
        <f>IFERROR(__xludf.DUMMYFUNCTION("IMPORTRANGE(""https://docs.google.com/spreadsheets/d/""&amp;$A264&amp;""/edit#gid=156619080"",AH$3)"),7204.35)</f>
        <v>7204.35</v>
      </c>
      <c r="AI264" s="2">
        <f>IFERROR(__xludf.DUMMYFUNCTION("IMPORTRANGE(""https://docs.google.com/spreadsheets/d/""&amp;$A264&amp;""/edit#gid=156619080"",AI$3)"),7042.69)</f>
        <v>7042.69</v>
      </c>
      <c r="AJ264" s="2">
        <f>IFERROR(__xludf.DUMMYFUNCTION("IMPORTRANGE(""https://docs.google.com/spreadsheets/d/""&amp;$A264&amp;""/edit#gid=156619080"",AJ$3)"),6881.03)</f>
        <v>6881.03</v>
      </c>
      <c r="AK264" s="2" t="str">
        <f>IFERROR(__xludf.DUMMYFUNCTION("IMPORTRANGE(""https://docs.google.com/spreadsheets/d/""&amp;$A264&amp;""/edit#gid=156619080"",AK$3)"),"-1.5σ〜-1.75σ")</f>
        <v>-1.5σ〜-1.75σ</v>
      </c>
      <c r="AL264" s="2">
        <f>IFERROR(__xludf.DUMMYFUNCTION("IMPORTRANGE(""https://docs.google.com/spreadsheets/d/""&amp;$A264&amp;""/edit#gid=156619080"",AL$3)"),-1.0)</f>
        <v>-1</v>
      </c>
      <c r="AM264" s="2" t="str">
        <f>IFERROR(__xludf.DUMMYFUNCTION("IMPORTRANGE(""https://docs.google.com/spreadsheets/d/""&amp;$A264&amp;""/edit#gid=156619080"",AM$3)"),"")</f>
        <v/>
      </c>
      <c r="AN264" s="2">
        <f>IFERROR(__xludf.DUMMYFUNCTION("IMPORTRANGE(""https://docs.google.com/spreadsheets/d/""&amp;$A264&amp;""/edit#gid=156619080"",AN$3)"),-1.0)</f>
        <v>-1</v>
      </c>
      <c r="AO264" s="2" t="str">
        <f>IFERROR(__xludf.DUMMYFUNCTION("IMPORTRANGE(""https://docs.google.com/spreadsheets/d/""&amp;$A264&amp;""/edit#gid=156619080"",AO$3)"),"")</f>
        <v/>
      </c>
      <c r="AP264" s="2">
        <f>IFERROR(__xludf.DUMMYFUNCTION("IMPORTRANGE(""https://docs.google.com/spreadsheets/d/""&amp;$A264&amp;""/edit#gid=156619080"",AP$3)"),-1.0)</f>
        <v>-1</v>
      </c>
      <c r="AQ264" s="2" t="str">
        <f>IFERROR(__xludf.DUMMYFUNCTION("IMPORTRANGE(""https://docs.google.com/spreadsheets/d/""&amp;$A264&amp;""/edit#gid=156619080"",AQ$3)"),"")</f>
        <v/>
      </c>
      <c r="AR264" s="18">
        <f>IFERROR(__xludf.DUMMYFUNCTION("IMPORTRANGE(""https://docs.google.com/spreadsheets/d/""&amp;$A264&amp;""/edit#gid=156619080"",AR$3)"),-10.000000000000009)</f>
        <v>-10</v>
      </c>
      <c r="AS264" s="19" t="str">
        <f>IFERROR(__xludf.DUMMYFUNCTION("IMPORTRANGE(""https://docs.google.com/spreadsheets/d/""&amp;$A264&amp;""/edit#gid=156619080"",AS$3)"),"0
-60
-80
-70
")</f>
        <v>0
-60
-80
-70
</v>
      </c>
      <c r="AT264" s="18">
        <f>IFERROR(__xludf.DUMMYFUNCTION("IMPORTRANGE(""https://docs.google.com/spreadsheets/d/""&amp;$A264&amp;""/edit#gid=156619080"",AT$3)"),-58.653846153846146)</f>
        <v>-58.65384615</v>
      </c>
      <c r="AU264" s="3" t="str">
        <f>IFERROR(__xludf.DUMMYFUNCTION("IMPORTRANGE(""https://docs.google.com/spreadsheets/d/""&amp;$A264&amp;""/edit#gid=156619080"",AU$3)"),"-14.01
-14.01
-25.14
-44.92
")</f>
        <v>-14.01
-14.01
-25.14
-44.92
</v>
      </c>
      <c r="AV264" s="18">
        <f>IFERROR(__xludf.DUMMYFUNCTION("IMPORTRANGE(""https://docs.google.com/spreadsheets/d/""&amp;$A264&amp;""/edit#gid=156619080"",AV$3)"),-78.37662337662337)</f>
        <v>-78.37662338</v>
      </c>
      <c r="AW264" s="19" t="str">
        <f>IFERROR(__xludf.DUMMYFUNCTION("IMPORTRANGE(""https://docs.google.com/spreadsheets/d/""&amp;$A264&amp;""/edit#gid=156619080"",AW$3)"),"-71.49
-76.17
-77.86
-78.9
")</f>
        <v>-71.49
-76.17
-77.86
-78.9
</v>
      </c>
      <c r="AX264" s="2">
        <f>IFERROR(__xludf.DUMMYFUNCTION("IMPORTRANGE(""https://docs.google.com/spreadsheets/d/""&amp;$A264&amp;""/edit#gid=156619080"",AX$3)"),7.02)</f>
        <v>7.02</v>
      </c>
      <c r="AY264" s="2">
        <f>IFERROR(__xludf.DUMMYFUNCTION("IMPORTRANGE(""https://docs.google.com/spreadsheets/d/""&amp;$A264&amp;""/edit#gid=156619080"",AY$3)"),24.51)</f>
        <v>24.51</v>
      </c>
      <c r="AZ264" s="2">
        <f>IFERROR(__xludf.DUMMYFUNCTION("IMPORTRANGE(""https://docs.google.com/spreadsheets/d/""&amp;$A264&amp;""/edit#gid=156619080"",AZ$3)"),7281.91)</f>
        <v>7281.91</v>
      </c>
      <c r="BA264" s="2">
        <f>IFERROR(__xludf.DUMMYFUNCTION("IMPORTRANGE(""https://docs.google.com/spreadsheets/d/""&amp;$A264&amp;""/edit#gid=156619080"",BA$3)"),-676.54)</f>
        <v>-676.54</v>
      </c>
      <c r="BB264" s="2">
        <f>IFERROR(__xludf.DUMMYFUNCTION("IMPORTRANGE(""https://docs.google.com/spreadsheets/d/""&amp;$A264&amp;""/edit#gid=156619080"",BB$3)"),-356.39)</f>
        <v>-356.39</v>
      </c>
      <c r="BC264" s="2" t="str">
        <f>IFERROR(__xludf.DUMMYFUNCTION("IMPORTRANGE(""https://docs.google.com/spreadsheets/d/""&amp;$A264&amp;""/edit#gid=156619080"",BC$3)"),"DC→DC")</f>
        <v>DC→DC</v>
      </c>
    </row>
    <row r="265" ht="51.0" customHeight="1">
      <c r="A265" s="7" t="str">
        <f t="shared" si="5"/>
        <v>1O0XXyZjP3gqUSjQkrGEnV7ucg4H5kU32ApI7AZ0beRc</v>
      </c>
      <c r="B265" s="1" t="s">
        <v>292</v>
      </c>
      <c r="C265" s="2">
        <f>IFERROR(__xludf.DUMMYFUNCTION("IMPORTRANGE(""https://docs.google.com/spreadsheets/d/""&amp;$A265&amp;""/edit#gid=156619080"",C$3)"),131.0)</f>
        <v>131</v>
      </c>
      <c r="D265" s="2">
        <f>IFERROR(__xludf.DUMMYFUNCTION("IMPORTRANGE(""https://docs.google.com/spreadsheets/d/""&amp;$A265&amp;""/edit#gid=156619080"",D$3)"),3356.0)</f>
        <v>3356</v>
      </c>
      <c r="E265" s="15">
        <f>IFERROR(__xludf.DUMMYFUNCTION("IMPORTRANGE(""https://docs.google.com/spreadsheets/d/""&amp;$A265&amp;""/edit#gid=156619080"",E$3)"),43882.0)</f>
        <v>43882</v>
      </c>
      <c r="F265" s="2">
        <f>IFERROR(__xludf.DUMMYFUNCTION("IMPORTRANGE(""https://docs.google.com/spreadsheets/d/""&amp;$A265&amp;""/edit#gid=156619080"",F$3)"),-7.0)</f>
        <v>-7</v>
      </c>
      <c r="G265" s="16">
        <f>IFERROR(__xludf.DUMMYFUNCTION("IMPORTRANGE(""https://docs.google.com/spreadsheets/d/""&amp;$A265&amp;""/edit#gid=156619080"",G$3)"),-0.68)</f>
        <v>-0.68</v>
      </c>
      <c r="H265" s="16">
        <f>IFERROR(__xludf.DUMMYFUNCTION("IMPORTRANGE(""https://docs.google.com/spreadsheets/d/""&amp;$A265&amp;""/edit#gid=156619080"",H$3)"),1034.0)</f>
        <v>1034</v>
      </c>
      <c r="I265" s="16">
        <f>IFERROR(__xludf.DUMMYFUNCTION("IMPORTRANGE(""https://docs.google.com/spreadsheets/d/""&amp;$A265&amp;""/edit#gid=156619080"",I$3)"),-7.0)</f>
        <v>-7</v>
      </c>
      <c r="J265" s="16">
        <f>IFERROR(__xludf.DUMMYFUNCTION("IMPORTRANGE(""https://docs.google.com/spreadsheets/d/""&amp;$A265&amp;""/edit#gid=156619080"",J$3)"),1055.0)</f>
        <v>1055</v>
      </c>
      <c r="K265" s="16">
        <f>IFERROR(__xludf.DUMMYFUNCTION("IMPORTRANGE(""https://docs.google.com/spreadsheets/d/""&amp;$A265&amp;""/edit#gid=156619080"",K$3)"),0.3854166666666667)</f>
        <v>0.3854166667</v>
      </c>
      <c r="L265" s="16">
        <f>IFERROR(__xludf.DUMMYFUNCTION("IMPORTRANGE(""https://docs.google.com/spreadsheets/d/""&amp;$A265&amp;""/edit#gid=156619080"",L$3)"),1020.0)</f>
        <v>1020</v>
      </c>
      <c r="M265" s="16">
        <f>IFERROR(__xludf.DUMMYFUNCTION("IMPORTRANGE(""https://docs.google.com/spreadsheets/d/""&amp;$A265&amp;""/edit#gid=156619080"",M$3)"),0.6243055555555556)</f>
        <v>0.6243055556</v>
      </c>
      <c r="N265" s="16">
        <f>IFERROR(__xludf.DUMMYFUNCTION("IMPORTRANGE(""https://docs.google.com/spreadsheets/d/""&amp;$A265&amp;""/edit#gid=156619080"",N$3)"),1020.0)</f>
        <v>1020</v>
      </c>
      <c r="O265" s="16" t="str">
        <f>IFERROR(__xludf.DUMMYFUNCTION("IMPORTRANGE(""https://docs.google.com/spreadsheets/d/""&amp;$A265&amp;""/edit#gid=156619080"",O$3)"),"331900株")</f>
        <v>331900株</v>
      </c>
      <c r="P265" s="16" t="str">
        <f>IFERROR(__xludf.DUMMYFUNCTION("IMPORTRANGE(""https://docs.google.com/spreadsheets/d/""&amp;$A265&amp;""/edit#gid=156619080"",P$3)"),"344百万円")</f>
        <v>344百万円</v>
      </c>
      <c r="Q265" s="16" t="str">
        <f>IFERROR(__xludf.DUMMYFUNCTION("IMPORTRANGE(""https://docs.google.com/spreadsheets/d/""&amp;$A265&amp;""/edit#gid=156619080"",Q$3)"),"787回")</f>
        <v>787回</v>
      </c>
      <c r="R265" s="16" t="str">
        <f>IFERROR(__xludf.DUMMYFUNCTION("IMPORTRANGE(""https://docs.google.com/spreadsheets/d/""&amp;$A265&amp;""/edit#gid=156619080"",R$3)"),"169億円")</f>
        <v>169億円</v>
      </c>
      <c r="S265" s="16" t="str">
        <f>IFERROR(__xludf.DUMMYFUNCTION("IMPORTRANGE(""https://docs.google.com/spreadsheets/d/""&amp;$A265&amp;""/edit#gid=156619080"",S$3)"),"陰線")</f>
        <v>陰線</v>
      </c>
      <c r="T265" s="16" t="str">
        <f>IFERROR(__xludf.DUMMYFUNCTION("IMPORTRANGE(""https://docs.google.com/spreadsheets/d/""&amp;$A265&amp;""/edit#gid=156619080"",T$3)"),"")</f>
        <v/>
      </c>
      <c r="U265" s="16">
        <f>IFERROR(__xludf.DUMMYFUNCTION("IMPORTRANGE(""https://docs.google.com/spreadsheets/d/""&amp;$A265&amp;""/edit#gid=156619080"",U$3)"),1001.0)</f>
        <v>1001</v>
      </c>
      <c r="V265" s="16">
        <f>IFERROR(__xludf.DUMMYFUNCTION("IMPORTRANGE(""https://docs.google.com/spreadsheets/d/""&amp;$A265&amp;""/edit#gid=156619080"",V$3)"),936.2)</f>
        <v>936.2</v>
      </c>
      <c r="W265" s="16">
        <f>IFERROR(__xludf.DUMMYFUNCTION("IMPORTRANGE(""https://docs.google.com/spreadsheets/d/""&amp;$A265&amp;""/edit#gid=156619080"",W$3)"),889.4)</f>
        <v>889.4</v>
      </c>
      <c r="X265" s="2">
        <f>IFERROR(__xludf.DUMMYFUNCTION("IMPORTRANGE(""https://docs.google.com/spreadsheets/d/""&amp;$A265&amp;""/edit#gid=156619080"",X$3)"),796.9)</f>
        <v>796.9</v>
      </c>
      <c r="Y265" s="17">
        <f>IFERROR(__xludf.DUMMYFUNCTION("IMPORTRANGE(""https://docs.google.com/spreadsheets/d/""&amp;$A265&amp;""/edit#gid=156619080"",Y$3)"),0.01898101898101898)</f>
        <v>0.01898101898</v>
      </c>
      <c r="Z265" s="2">
        <f>IFERROR(__xludf.DUMMYFUNCTION("IMPORTRANGE(""https://docs.google.com/spreadsheets/d/""&amp;$A265&amp;""/edit#gid=156619080"",Z$3)"),1041.51)</f>
        <v>1041.51</v>
      </c>
      <c r="AA265" s="2">
        <f>IFERROR(__xludf.DUMMYFUNCTION("IMPORTRANGE(""https://docs.google.com/spreadsheets/d/""&amp;$A265&amp;""/edit#gid=156619080"",AA$3)"),1022.5)</f>
        <v>1022.5</v>
      </c>
      <c r="AB265" s="2">
        <f>IFERROR(__xludf.DUMMYFUNCTION("IMPORTRANGE(""https://docs.google.com/spreadsheets/d/""&amp;$A265&amp;""/edit#gid=156619080"",AB$3)"),1003.49)</f>
        <v>1003.49</v>
      </c>
      <c r="AC265" s="18">
        <f>IFERROR(__xludf.DUMMYFUNCTION("IMPORTRANGE(""https://docs.google.com/spreadsheets/d/""&amp;$A265&amp;""/edit#gid=156619080"",AC$3)"),984.47)</f>
        <v>984.47</v>
      </c>
      <c r="AD265" s="18">
        <f>IFERROR(__xludf.DUMMYFUNCTION("IMPORTRANGE(""https://docs.google.com/spreadsheets/d/""&amp;$A265&amp;""/edit#gid=156619080"",AD$3)"),965.46)</f>
        <v>965.46</v>
      </c>
      <c r="AE265" s="18">
        <f>IFERROR(__xludf.DUMMYFUNCTION("IMPORTRANGE(""https://docs.google.com/spreadsheets/d/""&amp;$A265&amp;""/edit#gid=156619080"",AE$3)"),889.4)</f>
        <v>889.4</v>
      </c>
      <c r="AF265" s="2">
        <f>IFERROR(__xludf.DUMMYFUNCTION("IMPORTRANGE(""https://docs.google.com/spreadsheets/d/""&amp;$A265&amp;""/edit#gid=156619080"",AF$3)"),813.34)</f>
        <v>813.34</v>
      </c>
      <c r="AG265" s="2">
        <f>IFERROR(__xludf.DUMMYFUNCTION("IMPORTRANGE(""https://docs.google.com/spreadsheets/d/""&amp;$A265&amp;""/edit#gid=156619080"",AG$3)"),794.33)</f>
        <v>794.33</v>
      </c>
      <c r="AH265" s="2">
        <f>IFERROR(__xludf.DUMMYFUNCTION("IMPORTRANGE(""https://docs.google.com/spreadsheets/d/""&amp;$A265&amp;""/edit#gid=156619080"",AH$3)"),775.31)</f>
        <v>775.31</v>
      </c>
      <c r="AI265" s="2">
        <f>IFERROR(__xludf.DUMMYFUNCTION("IMPORTRANGE(""https://docs.google.com/spreadsheets/d/""&amp;$A265&amp;""/edit#gid=156619080"",AI$3)"),756.3)</f>
        <v>756.3</v>
      </c>
      <c r="AJ265" s="2">
        <f>IFERROR(__xludf.DUMMYFUNCTION("IMPORTRANGE(""https://docs.google.com/spreadsheets/d/""&amp;$A265&amp;""/edit#gid=156619080"",AJ$3)"),737.29)</f>
        <v>737.29</v>
      </c>
      <c r="AK265" s="2" t="str">
        <f>IFERROR(__xludf.DUMMYFUNCTION("IMPORTRANGE(""https://docs.google.com/spreadsheets/d/""&amp;$A265&amp;""/edit#gid=156619080"",AK$3)"),"1.5σ〜1.75σ")</f>
        <v>1.5σ〜1.75σ</v>
      </c>
      <c r="AL265" s="2">
        <f>IFERROR(__xludf.DUMMYFUNCTION("IMPORTRANGE(""https://docs.google.com/spreadsheets/d/""&amp;$A265&amp;""/edit#gid=156619080"",AL$3)"),1.0)</f>
        <v>1</v>
      </c>
      <c r="AM265" s="2" t="str">
        <f>IFERROR(__xludf.DUMMYFUNCTION("IMPORTRANGE(""https://docs.google.com/spreadsheets/d/""&amp;$A265&amp;""/edit#gid=156619080"",AM$3)"),"")</f>
        <v/>
      </c>
      <c r="AN265" s="2">
        <f>IFERROR(__xludf.DUMMYFUNCTION("IMPORTRANGE(""https://docs.google.com/spreadsheets/d/""&amp;$A265&amp;""/edit#gid=156619080"",AN$3)"),1.0)</f>
        <v>1</v>
      </c>
      <c r="AO265" s="2" t="str">
        <f>IFERROR(__xludf.DUMMYFUNCTION("IMPORTRANGE(""https://docs.google.com/spreadsheets/d/""&amp;$A265&amp;""/edit#gid=156619080"",AO$3)"),"")</f>
        <v/>
      </c>
      <c r="AP265" s="2">
        <f>IFERROR(__xludf.DUMMYFUNCTION("IMPORTRANGE(""https://docs.google.com/spreadsheets/d/""&amp;$A265&amp;""/edit#gid=156619080"",AP$3)"),1.0)</f>
        <v>1</v>
      </c>
      <c r="AQ265" s="2" t="str">
        <f>IFERROR(__xludf.DUMMYFUNCTION("IMPORTRANGE(""https://docs.google.com/spreadsheets/d/""&amp;$A265&amp;""/edit#gid=156619080"",AQ$3)"),"")</f>
        <v/>
      </c>
      <c r="AR265" s="18">
        <f>IFERROR(__xludf.DUMMYFUNCTION("IMPORTRANGE(""https://docs.google.com/spreadsheets/d/""&amp;$A265&amp;""/edit#gid=156619080"",AR$3)"),60.0)</f>
        <v>60</v>
      </c>
      <c r="AS265" s="19" t="str">
        <f>IFERROR(__xludf.DUMMYFUNCTION("IMPORTRANGE(""https://docs.google.com/spreadsheets/d/""&amp;$A265&amp;""/edit#gid=156619080"",AS$3)"),"40
70
90
90
")</f>
        <v>40
70
90
90
</v>
      </c>
      <c r="AT265" s="18">
        <f>IFERROR(__xludf.DUMMYFUNCTION("IMPORTRANGE(""https://docs.google.com/spreadsheets/d/""&amp;$A265&amp;""/edit#gid=156619080"",AT$3)"),93.95604395604396)</f>
        <v>93.95604396</v>
      </c>
      <c r="AU265" s="3" t="str">
        <f>IFERROR(__xludf.DUMMYFUNCTION("IMPORTRANGE(""https://docs.google.com/spreadsheets/d/""&amp;$A265&amp;""/edit#gid=156619080"",AU$3)"),"95.6
96.15
96.15
95.6
")</f>
        <v>95.6
96.15
96.15
95.6
</v>
      </c>
      <c r="AV265" s="18">
        <f>IFERROR(__xludf.DUMMYFUNCTION("IMPORTRANGE(""https://docs.google.com/spreadsheets/d/""&amp;$A265&amp;""/edit#gid=156619080"",AV$3)"),95.58441558441558)</f>
        <v>95.58441558</v>
      </c>
      <c r="AW265" s="19" t="str">
        <f>IFERROR(__xludf.DUMMYFUNCTION("IMPORTRANGE(""https://docs.google.com/spreadsheets/d/""&amp;$A265&amp;""/edit#gid=156619080"",AW$3)"),"79.22
83.25
86.62
92.34
")</f>
        <v>79.22
83.25
86.62
92.34
</v>
      </c>
      <c r="AX265" s="2">
        <f>IFERROR(__xludf.DUMMYFUNCTION("IMPORTRANGE(""https://docs.google.com/spreadsheets/d/""&amp;$A265&amp;""/edit#gid=156619080"",AX$3)"),93.23)</f>
        <v>93.23</v>
      </c>
      <c r="AY265" s="2">
        <f>IFERROR(__xludf.DUMMYFUNCTION("IMPORTRANGE(""https://docs.google.com/spreadsheets/d/""&amp;$A265&amp;""/edit#gid=156619080"",AY$3)"),71.0)</f>
        <v>71</v>
      </c>
      <c r="AZ265" s="2">
        <f>IFERROR(__xludf.DUMMYFUNCTION("IMPORTRANGE(""https://docs.google.com/spreadsheets/d/""&amp;$A265&amp;""/edit#gid=156619080"",AZ$3)"),999.5)</f>
        <v>999.5</v>
      </c>
      <c r="BA265" s="2">
        <f>IFERROR(__xludf.DUMMYFUNCTION("IMPORTRANGE(""https://docs.google.com/spreadsheets/d/""&amp;$A265&amp;""/edit#gid=156619080"",BA$3)"),80.13999999999999)</f>
        <v>80.14</v>
      </c>
      <c r="BB265" s="2">
        <f>IFERROR(__xludf.DUMMYFUNCTION("IMPORTRANGE(""https://docs.google.com/spreadsheets/d/""&amp;$A265&amp;""/edit#gid=156619080"",BB$3)"),45.84)</f>
        <v>45.84</v>
      </c>
      <c r="BC265" s="2" t="str">
        <f>IFERROR(__xludf.DUMMYFUNCTION("IMPORTRANGE(""https://docs.google.com/spreadsheets/d/""&amp;$A265&amp;""/edit#gid=156619080"",BC$3)"),"GC→GC")</f>
        <v>GC→GC</v>
      </c>
    </row>
    <row r="266" ht="51.0" customHeight="1">
      <c r="A266" s="7" t="str">
        <f t="shared" si="5"/>
        <v>19ApfKu83ll3jR759sZjDk2g4vFT9p5OB1GcmGqVF8e8</v>
      </c>
      <c r="B266" s="1" t="s">
        <v>293</v>
      </c>
      <c r="C266" s="2">
        <f>IFERROR(__xludf.DUMMYFUNCTION("IMPORTRANGE(""https://docs.google.com/spreadsheets/d/""&amp;$A266&amp;""/edit#gid=156619080"",C$3)"),131.0)</f>
        <v>131</v>
      </c>
      <c r="D266" s="2">
        <f>IFERROR(__xludf.DUMMYFUNCTION("IMPORTRANGE(""https://docs.google.com/spreadsheets/d/""&amp;$A266&amp;""/edit#gid=156619080"",D$3)"),9434.0)</f>
        <v>9434</v>
      </c>
      <c r="E266" s="15">
        <f>IFERROR(__xludf.DUMMYFUNCTION("IMPORTRANGE(""https://docs.google.com/spreadsheets/d/""&amp;$A266&amp;""/edit#gid=156619080"",E$3)"),43882.0)</f>
        <v>43882</v>
      </c>
      <c r="F266" s="2">
        <f>IFERROR(__xludf.DUMMYFUNCTION("IMPORTRANGE(""https://docs.google.com/spreadsheets/d/""&amp;$A266&amp;""/edit#gid=156619080"",F$3)"),18.0)</f>
        <v>18</v>
      </c>
      <c r="G266" s="16">
        <f>IFERROR(__xludf.DUMMYFUNCTION("IMPORTRANGE(""https://docs.google.com/spreadsheets/d/""&amp;$A266&amp;""/edit#gid=156619080"",G$3)"),1.21)</f>
        <v>1.21</v>
      </c>
      <c r="H266" s="16">
        <f>IFERROR(__xludf.DUMMYFUNCTION("IMPORTRANGE(""https://docs.google.com/spreadsheets/d/""&amp;$A266&amp;""/edit#gid=156619080"",H$3)"),1490.0)</f>
        <v>1490</v>
      </c>
      <c r="I266" s="16">
        <f>IFERROR(__xludf.DUMMYFUNCTION("IMPORTRANGE(""https://docs.google.com/spreadsheets/d/""&amp;$A266&amp;""/edit#gid=156619080"",I$3)"),-5.5)</f>
        <v>-5.5</v>
      </c>
      <c r="J266" s="16">
        <f>IFERROR(__xludf.DUMMYFUNCTION("IMPORTRANGE(""https://docs.google.com/spreadsheets/d/""&amp;$A266&amp;""/edit#gid=156619080"",J$3)"),1502.5)</f>
        <v>1502.5</v>
      </c>
      <c r="K266" s="16">
        <f>IFERROR(__xludf.DUMMYFUNCTION("IMPORTRANGE(""https://docs.google.com/spreadsheets/d/""&amp;$A266&amp;""/edit#gid=156619080"",K$3)"),0.6243055555555556)</f>
        <v>0.6243055556</v>
      </c>
      <c r="L266" s="16">
        <f>IFERROR(__xludf.DUMMYFUNCTION("IMPORTRANGE(""https://docs.google.com/spreadsheets/d/""&amp;$A266&amp;""/edit#gid=156619080"",L$3)"),1487.0)</f>
        <v>1487</v>
      </c>
      <c r="M266" s="16">
        <f>IFERROR(__xludf.DUMMYFUNCTION("IMPORTRANGE(""https://docs.google.com/spreadsheets/d/""&amp;$A266&amp;""/edit#gid=156619080"",M$3)"),0.3840277777777778)</f>
        <v>0.3840277778</v>
      </c>
      <c r="N266" s="16">
        <f>IFERROR(__xludf.DUMMYFUNCTION("IMPORTRANGE(""https://docs.google.com/spreadsheets/d/""&amp;$A266&amp;""/edit#gid=156619080"",N$3)"),1502.5)</f>
        <v>1502.5</v>
      </c>
      <c r="O266" s="16" t="str">
        <f>IFERROR(__xludf.DUMMYFUNCTION("IMPORTRANGE(""https://docs.google.com/spreadsheets/d/""&amp;$A266&amp;""/edit#gid=156619080"",O$3)"),"10374100株")</f>
        <v>10374100株</v>
      </c>
      <c r="P266" s="16" t="str">
        <f>IFERROR(__xludf.DUMMYFUNCTION("IMPORTRANGE(""https://docs.google.com/spreadsheets/d/""&amp;$A266&amp;""/edit#gid=156619080"",P$3)"),"15533百万円")</f>
        <v>15533百万円</v>
      </c>
      <c r="Q266" s="16" t="str">
        <f>IFERROR(__xludf.DUMMYFUNCTION("IMPORTRANGE(""https://docs.google.com/spreadsheets/d/""&amp;$A266&amp;""/edit#gid=156619080"",Q$3)"),"5612回")</f>
        <v>5612回</v>
      </c>
      <c r="R266" s="16" t="str">
        <f>IFERROR(__xludf.DUMMYFUNCTION("IMPORTRANGE(""https://docs.google.com/spreadsheets/d/""&amp;$A266&amp;""/edit#gid=156619080"",R$3)"),"71927億円")</f>
        <v>71927億円</v>
      </c>
      <c r="S266" s="16" t="str">
        <f>IFERROR(__xludf.DUMMYFUNCTION("IMPORTRANGE(""https://docs.google.com/spreadsheets/d/""&amp;$A266&amp;""/edit#gid=156619080"",S$3)"),"陽線")</f>
        <v>陽線</v>
      </c>
      <c r="T266" s="16" t="str">
        <f>IFERROR(__xludf.DUMMYFUNCTION("IMPORTRANGE(""https://docs.google.com/spreadsheets/d/""&amp;$A266&amp;""/edit#gid=156619080"",T$3)"),"")</f>
        <v/>
      </c>
      <c r="U266" s="16">
        <f>IFERROR(__xludf.DUMMYFUNCTION("IMPORTRANGE(""https://docs.google.com/spreadsheets/d/""&amp;$A266&amp;""/edit#gid=156619080"",U$3)"),1496.3)</f>
        <v>1496.3</v>
      </c>
      <c r="V266" s="16">
        <f>IFERROR(__xludf.DUMMYFUNCTION("IMPORTRANGE(""https://docs.google.com/spreadsheets/d/""&amp;$A266&amp;""/edit#gid=156619080"",V$3)"),1500.8)</f>
        <v>1500.8</v>
      </c>
      <c r="W266" s="16">
        <f>IFERROR(__xludf.DUMMYFUNCTION("IMPORTRANGE(""https://docs.google.com/spreadsheets/d/""&amp;$A266&amp;""/edit#gid=156619080"",W$3)"),1495.0)</f>
        <v>1495</v>
      </c>
      <c r="X266" s="2">
        <f>IFERROR(__xludf.DUMMYFUNCTION("IMPORTRANGE(""https://docs.google.com/spreadsheets/d/""&amp;$A266&amp;""/edit#gid=156619080"",X$3)"),1471.9)</f>
        <v>1471.9</v>
      </c>
      <c r="Y266" s="17">
        <f>IFERROR(__xludf.DUMMYFUNCTION("IMPORTRANGE(""https://docs.google.com/spreadsheets/d/""&amp;$A266&amp;""/edit#gid=156619080"",Y$3)"),0.004143554100113644)</f>
        <v>0.0041435541</v>
      </c>
      <c r="Z266" s="2">
        <f>IFERROR(__xludf.DUMMYFUNCTION("IMPORTRANGE(""https://docs.google.com/spreadsheets/d/""&amp;$A266&amp;""/edit#gid=156619080"",Z$3)"),1518.04)</f>
        <v>1518.04</v>
      </c>
      <c r="AA266" s="2">
        <f>IFERROR(__xludf.DUMMYFUNCTION("IMPORTRANGE(""https://docs.google.com/spreadsheets/d/""&amp;$A266&amp;""/edit#gid=156619080"",AA$3)"),1515.16)</f>
        <v>1515.16</v>
      </c>
      <c r="AB266" s="2">
        <f>IFERROR(__xludf.DUMMYFUNCTION("IMPORTRANGE(""https://docs.google.com/spreadsheets/d/""&amp;$A266&amp;""/edit#gid=156619080"",AB$3)"),1512.28)</f>
        <v>1512.28</v>
      </c>
      <c r="AC266" s="18">
        <f>IFERROR(__xludf.DUMMYFUNCTION("IMPORTRANGE(""https://docs.google.com/spreadsheets/d/""&amp;$A266&amp;""/edit#gid=156619080"",AC$3)"),1509.4)</f>
        <v>1509.4</v>
      </c>
      <c r="AD266" s="18">
        <f>IFERROR(__xludf.DUMMYFUNCTION("IMPORTRANGE(""https://docs.google.com/spreadsheets/d/""&amp;$A266&amp;""/edit#gid=156619080"",AD$3)"),1506.52)</f>
        <v>1506.52</v>
      </c>
      <c r="AE266" s="18">
        <f>IFERROR(__xludf.DUMMYFUNCTION("IMPORTRANGE(""https://docs.google.com/spreadsheets/d/""&amp;$A266&amp;""/edit#gid=156619080"",AE$3)"),1495.0)</f>
        <v>1495</v>
      </c>
      <c r="AF266" s="2">
        <f>IFERROR(__xludf.DUMMYFUNCTION("IMPORTRANGE(""https://docs.google.com/spreadsheets/d/""&amp;$A266&amp;""/edit#gid=156619080"",AF$3)"),1483.48)</f>
        <v>1483.48</v>
      </c>
      <c r="AG266" s="2">
        <f>IFERROR(__xludf.DUMMYFUNCTION("IMPORTRANGE(""https://docs.google.com/spreadsheets/d/""&amp;$A266&amp;""/edit#gid=156619080"",AG$3)"),1480.6)</f>
        <v>1480.6</v>
      </c>
      <c r="AH266" s="2">
        <f>IFERROR(__xludf.DUMMYFUNCTION("IMPORTRANGE(""https://docs.google.com/spreadsheets/d/""&amp;$A266&amp;""/edit#gid=156619080"",AH$3)"),1477.72)</f>
        <v>1477.72</v>
      </c>
      <c r="AI266" s="2">
        <f>IFERROR(__xludf.DUMMYFUNCTION("IMPORTRANGE(""https://docs.google.com/spreadsheets/d/""&amp;$A266&amp;""/edit#gid=156619080"",AI$3)"),1474.84)</f>
        <v>1474.84</v>
      </c>
      <c r="AJ266" s="2">
        <f>IFERROR(__xludf.DUMMYFUNCTION("IMPORTRANGE(""https://docs.google.com/spreadsheets/d/""&amp;$A266&amp;""/edit#gid=156619080"",AJ$3)"),1471.96)</f>
        <v>1471.96</v>
      </c>
      <c r="AK266" s="2" t="str">
        <f>IFERROR(__xludf.DUMMYFUNCTION("IMPORTRANGE(""https://docs.google.com/spreadsheets/d/""&amp;$A266&amp;""/edit#gid=156619080"",AK$3)"),"")</f>
        <v/>
      </c>
      <c r="AL266" s="2">
        <f>IFERROR(__xludf.DUMMYFUNCTION("IMPORTRANGE(""https://docs.google.com/spreadsheets/d/""&amp;$A266&amp;""/edit#gid=156619080"",AL$3)"),-1.0)</f>
        <v>-1</v>
      </c>
      <c r="AM266" s="2" t="str">
        <f>IFERROR(__xludf.DUMMYFUNCTION("IMPORTRANGE(""https://docs.google.com/spreadsheets/d/""&amp;$A266&amp;""/edit#gid=156619080"",AM$3)"),"")</f>
        <v/>
      </c>
      <c r="AN266" s="2">
        <f>IFERROR(__xludf.DUMMYFUNCTION("IMPORTRANGE(""https://docs.google.com/spreadsheets/d/""&amp;$A266&amp;""/edit#gid=156619080"",AN$3)"),1.0)</f>
        <v>1</v>
      </c>
      <c r="AO266" s="2" t="str">
        <f>IFERROR(__xludf.DUMMYFUNCTION("IMPORTRANGE(""https://docs.google.com/spreadsheets/d/""&amp;$A266&amp;""/edit#gid=156619080"",AO$3)"),"")</f>
        <v/>
      </c>
      <c r="AP266" s="2">
        <f>IFERROR(__xludf.DUMMYFUNCTION("IMPORTRANGE(""https://docs.google.com/spreadsheets/d/""&amp;$A266&amp;""/edit#gid=156619080"",AP$3)"),1.0)</f>
        <v>1</v>
      </c>
      <c r="AQ266" s="2" t="str">
        <f>IFERROR(__xludf.DUMMYFUNCTION("IMPORTRANGE(""https://docs.google.com/spreadsheets/d/""&amp;$A266&amp;""/edit#gid=156619080"",AQ$3)"),"")</f>
        <v/>
      </c>
      <c r="AR266" s="18">
        <f>IFERROR(__xludf.DUMMYFUNCTION("IMPORTRANGE(""https://docs.google.com/spreadsheets/d/""&amp;$A266&amp;""/edit#gid=156619080"",AR$3)"),-17.500000000000004)</f>
        <v>-17.5</v>
      </c>
      <c r="AS266" s="19" t="str">
        <f>IFERROR(__xludf.DUMMYFUNCTION("IMPORTRANGE(""https://docs.google.com/spreadsheets/d/""&amp;$A266&amp;""/edit#gid=156619080"",AS$3)"),"40
-60
-90
-100
")</f>
        <v>40
-60
-90
-100
</v>
      </c>
      <c r="AT266" s="18">
        <f>IFERROR(__xludf.DUMMYFUNCTION("IMPORTRANGE(""https://docs.google.com/spreadsheets/d/""&amp;$A266&amp;""/edit#gid=156619080"",AT$3)"),-21.29120879120878)</f>
        <v>-21.29120879</v>
      </c>
      <c r="AU266" s="3" t="str">
        <f>IFERROR(__xludf.DUMMYFUNCTION("IMPORTRANGE(""https://docs.google.com/spreadsheets/d/""&amp;$A266&amp;""/edit#gid=156619080"",AU$3)"),"68.27
45.74
10.03
-22.53
")</f>
        <v>68.27
45.74
10.03
-22.53
</v>
      </c>
      <c r="AV266" s="18">
        <f>IFERROR(__xludf.DUMMYFUNCTION("IMPORTRANGE(""https://docs.google.com/spreadsheets/d/""&amp;$A266&amp;""/edit#gid=156619080"",AV$3)"),56.688311688311686)</f>
        <v>56.68831169</v>
      </c>
      <c r="AW266" s="19" t="str">
        <f>IFERROR(__xludf.DUMMYFUNCTION("IMPORTRANGE(""https://docs.google.com/spreadsheets/d/""&amp;$A266&amp;""/edit#gid=156619080"",AW$3)"),"90.65
85.71
76.49
60.91
")</f>
        <v>90.65
85.71
76.49
60.91
</v>
      </c>
      <c r="AX266" s="2">
        <f>IFERROR(__xludf.DUMMYFUNCTION("IMPORTRANGE(""https://docs.google.com/spreadsheets/d/""&amp;$A266&amp;""/edit#gid=156619080"",AX$3)"),39.56)</f>
        <v>39.56</v>
      </c>
      <c r="AY266" s="2">
        <f>IFERROR(__xludf.DUMMYFUNCTION("IMPORTRANGE(""https://docs.google.com/spreadsheets/d/""&amp;$A266&amp;""/edit#gid=156619080"",AY$3)"),57.099999999999994)</f>
        <v>57.1</v>
      </c>
      <c r="AZ266" s="2">
        <f>IFERROR(__xludf.DUMMYFUNCTION("IMPORTRANGE(""https://docs.google.com/spreadsheets/d/""&amp;$A266&amp;""/edit#gid=156619080"",AZ$3)"),1497.35)</f>
        <v>1497.35</v>
      </c>
      <c r="BA266" s="2">
        <f>IFERROR(__xludf.DUMMYFUNCTION("IMPORTRANGE(""https://docs.google.com/spreadsheets/d/""&amp;$A266&amp;""/edit#gid=156619080"",BA$3)"),4.019999999999982)</f>
        <v>4.02</v>
      </c>
      <c r="BB266" s="2">
        <f>IFERROR(__xludf.DUMMYFUNCTION("IMPORTRANGE(""https://docs.google.com/spreadsheets/d/""&amp;$A266&amp;""/edit#gid=156619080"",BB$3)"),9.23)</f>
        <v>9.23</v>
      </c>
      <c r="BC266" s="2" t="str">
        <f>IFERROR(__xludf.DUMMYFUNCTION("IMPORTRANGE(""https://docs.google.com/spreadsheets/d/""&amp;$A266&amp;""/edit#gid=156619080"",BC$3)"),"DC→DC")</f>
        <v>DC→DC</v>
      </c>
    </row>
    <row r="267" ht="51.0" customHeight="1">
      <c r="A267" s="7" t="str">
        <f t="shared" si="5"/>
        <v>1y5cvLCL7aS6kqnDYallGObyPLxbObavoXTNuevjoJg0</v>
      </c>
      <c r="B267" s="1" t="s">
        <v>294</v>
      </c>
      <c r="C267" s="2" t="str">
        <f>IFERROR(__xludf.DUMMYFUNCTION("IMPORTRANGE(""https://docs.google.com/spreadsheets/d/""&amp;$A267&amp;""/edit#gid=156619080"",C$3)"),"#REF!")</f>
        <v>#REF!</v>
      </c>
      <c r="D267" s="2" t="str">
        <f>IFERROR(__xludf.DUMMYFUNCTION("IMPORTRANGE(""https://docs.google.com/spreadsheets/d/""&amp;$A267&amp;""/edit#gid=156619080"",D$3)"),"#REF!")</f>
        <v>#REF!</v>
      </c>
      <c r="E267" s="2" t="str">
        <f>IFERROR(__xludf.DUMMYFUNCTION("IMPORTRANGE(""https://docs.google.com/spreadsheets/d/""&amp;$A267&amp;""/edit#gid=156619080"",E$3)"),"#REF!")</f>
        <v>#REF!</v>
      </c>
      <c r="F267" s="2" t="str">
        <f>IFERROR(__xludf.DUMMYFUNCTION("IMPORTRANGE(""https://docs.google.com/spreadsheets/d/""&amp;$A267&amp;""/edit#gid=156619080"",F$3)"),"#REF!")</f>
        <v>#REF!</v>
      </c>
      <c r="G267" s="2" t="str">
        <f>IFERROR(__xludf.DUMMYFUNCTION("IMPORTRANGE(""https://docs.google.com/spreadsheets/d/""&amp;$A267&amp;""/edit#gid=156619080"",G$3)"),"#REF!")</f>
        <v>#REF!</v>
      </c>
      <c r="H267" s="2" t="str">
        <f>IFERROR(__xludf.DUMMYFUNCTION("IMPORTRANGE(""https://docs.google.com/spreadsheets/d/""&amp;$A267&amp;""/edit#gid=156619080"",H$3)"),"#REF!")</f>
        <v>#REF!</v>
      </c>
      <c r="I267" s="2" t="str">
        <f>IFERROR(__xludf.DUMMYFUNCTION("IMPORTRANGE(""https://docs.google.com/spreadsheets/d/""&amp;$A267&amp;""/edit#gid=156619080"",I$3)"),"#REF!")</f>
        <v>#REF!</v>
      </c>
      <c r="J267" s="2" t="str">
        <f>IFERROR(__xludf.DUMMYFUNCTION("IMPORTRANGE(""https://docs.google.com/spreadsheets/d/""&amp;$A267&amp;""/edit#gid=156619080"",J$3)"),"#REF!")</f>
        <v>#REF!</v>
      </c>
      <c r="K267" s="2" t="str">
        <f>IFERROR(__xludf.DUMMYFUNCTION("IMPORTRANGE(""https://docs.google.com/spreadsheets/d/""&amp;$A267&amp;""/edit#gid=156619080"",K$3)"),"#REF!")</f>
        <v>#REF!</v>
      </c>
      <c r="L267" s="2" t="str">
        <f>IFERROR(__xludf.DUMMYFUNCTION("IMPORTRANGE(""https://docs.google.com/spreadsheets/d/""&amp;$A267&amp;""/edit#gid=156619080"",L$3)"),"#REF!")</f>
        <v>#REF!</v>
      </c>
      <c r="M267" s="2" t="str">
        <f>IFERROR(__xludf.DUMMYFUNCTION("IMPORTRANGE(""https://docs.google.com/spreadsheets/d/""&amp;$A267&amp;""/edit#gid=156619080"",M$3)"),"#REF!")</f>
        <v>#REF!</v>
      </c>
      <c r="N267" s="2" t="str">
        <f>IFERROR(__xludf.DUMMYFUNCTION("IMPORTRANGE(""https://docs.google.com/spreadsheets/d/""&amp;$A267&amp;""/edit#gid=156619080"",N$3)"),"#REF!")</f>
        <v>#REF!</v>
      </c>
      <c r="O267" s="2" t="str">
        <f>IFERROR(__xludf.DUMMYFUNCTION("IMPORTRANGE(""https://docs.google.com/spreadsheets/d/""&amp;$A267&amp;""/edit#gid=156619080"",O$3)"),"#REF!")</f>
        <v>#REF!</v>
      </c>
      <c r="P267" s="2" t="str">
        <f>IFERROR(__xludf.DUMMYFUNCTION("IMPORTRANGE(""https://docs.google.com/spreadsheets/d/""&amp;$A267&amp;""/edit#gid=156619080"",P$3)"),"#REF!")</f>
        <v>#REF!</v>
      </c>
      <c r="Q267" s="2" t="str">
        <f>IFERROR(__xludf.DUMMYFUNCTION("IMPORTRANGE(""https://docs.google.com/spreadsheets/d/""&amp;$A267&amp;""/edit#gid=156619080"",Q$3)"),"#REF!")</f>
        <v>#REF!</v>
      </c>
      <c r="R267" s="2" t="str">
        <f>IFERROR(__xludf.DUMMYFUNCTION("IMPORTRANGE(""https://docs.google.com/spreadsheets/d/""&amp;$A267&amp;""/edit#gid=156619080"",R$3)"),"#REF!")</f>
        <v>#REF!</v>
      </c>
      <c r="S267" s="2" t="str">
        <f>IFERROR(__xludf.DUMMYFUNCTION("IMPORTRANGE(""https://docs.google.com/spreadsheets/d/""&amp;$A267&amp;""/edit#gid=156619080"",S$3)"),"#REF!")</f>
        <v>#REF!</v>
      </c>
      <c r="T267" s="2" t="str">
        <f>IFERROR(__xludf.DUMMYFUNCTION("IMPORTRANGE(""https://docs.google.com/spreadsheets/d/""&amp;$A267&amp;""/edit#gid=156619080"",T$3)"),"#REF!")</f>
        <v>#REF!</v>
      </c>
      <c r="U267" s="2" t="str">
        <f>IFERROR(__xludf.DUMMYFUNCTION("IMPORTRANGE(""https://docs.google.com/spreadsheets/d/""&amp;$A267&amp;""/edit#gid=156619080"",U$3)"),"#REF!")</f>
        <v>#REF!</v>
      </c>
      <c r="V267" s="2" t="str">
        <f>IFERROR(__xludf.DUMMYFUNCTION("IMPORTRANGE(""https://docs.google.com/spreadsheets/d/""&amp;$A267&amp;""/edit#gid=156619080"",V$3)"),"#REF!")</f>
        <v>#REF!</v>
      </c>
      <c r="W267" s="2" t="str">
        <f>IFERROR(__xludf.DUMMYFUNCTION("IMPORTRANGE(""https://docs.google.com/spreadsheets/d/""&amp;$A267&amp;""/edit#gid=156619080"",W$3)"),"#REF!")</f>
        <v>#REF!</v>
      </c>
      <c r="X267" s="2" t="str">
        <f>IFERROR(__xludf.DUMMYFUNCTION("IMPORTRANGE(""https://docs.google.com/spreadsheets/d/""&amp;$A267&amp;""/edit#gid=156619080"",X$3)"),"#REF!")</f>
        <v>#REF!</v>
      </c>
      <c r="Y267" s="2" t="str">
        <f>IFERROR(__xludf.DUMMYFUNCTION("IMPORTRANGE(""https://docs.google.com/spreadsheets/d/""&amp;$A267&amp;""/edit#gid=156619080"",Y$3)"),"#REF!")</f>
        <v>#REF!</v>
      </c>
      <c r="Z267" s="2" t="str">
        <f>IFERROR(__xludf.DUMMYFUNCTION("IMPORTRANGE(""https://docs.google.com/spreadsheets/d/""&amp;$A267&amp;""/edit#gid=156619080"",Z$3)"),"#REF!")</f>
        <v>#REF!</v>
      </c>
      <c r="AA267" s="2" t="str">
        <f>IFERROR(__xludf.DUMMYFUNCTION("IMPORTRANGE(""https://docs.google.com/spreadsheets/d/""&amp;$A267&amp;""/edit#gid=156619080"",AA$3)"),"#REF!")</f>
        <v>#REF!</v>
      </c>
      <c r="AB267" s="2" t="str">
        <f>IFERROR(__xludf.DUMMYFUNCTION("IMPORTRANGE(""https://docs.google.com/spreadsheets/d/""&amp;$A267&amp;""/edit#gid=156619080"",AB$3)"),"#REF!")</f>
        <v>#REF!</v>
      </c>
      <c r="AC267" s="2" t="str">
        <f>IFERROR(__xludf.DUMMYFUNCTION("IMPORTRANGE(""https://docs.google.com/spreadsheets/d/""&amp;$A267&amp;""/edit#gid=156619080"",AC$3)"),"#REF!")</f>
        <v>#REF!</v>
      </c>
      <c r="AD267" s="2" t="str">
        <f>IFERROR(__xludf.DUMMYFUNCTION("IMPORTRANGE(""https://docs.google.com/spreadsheets/d/""&amp;$A267&amp;""/edit#gid=156619080"",AD$3)"),"#REF!")</f>
        <v>#REF!</v>
      </c>
      <c r="AE267" s="2" t="str">
        <f>IFERROR(__xludf.DUMMYFUNCTION("IMPORTRANGE(""https://docs.google.com/spreadsheets/d/""&amp;$A267&amp;""/edit#gid=156619080"",AE$3)"),"#REF!")</f>
        <v>#REF!</v>
      </c>
      <c r="AF267" s="2" t="str">
        <f>IFERROR(__xludf.DUMMYFUNCTION("IMPORTRANGE(""https://docs.google.com/spreadsheets/d/""&amp;$A267&amp;""/edit#gid=156619080"",AF$3)"),"#REF!")</f>
        <v>#REF!</v>
      </c>
      <c r="AG267" s="2" t="str">
        <f>IFERROR(__xludf.DUMMYFUNCTION("IMPORTRANGE(""https://docs.google.com/spreadsheets/d/""&amp;$A267&amp;""/edit#gid=156619080"",AG$3)"),"#REF!")</f>
        <v>#REF!</v>
      </c>
      <c r="AH267" s="2" t="str">
        <f>IFERROR(__xludf.DUMMYFUNCTION("IMPORTRANGE(""https://docs.google.com/spreadsheets/d/""&amp;$A267&amp;""/edit#gid=156619080"",AH$3)"),"#REF!")</f>
        <v>#REF!</v>
      </c>
      <c r="AI267" s="2" t="str">
        <f>IFERROR(__xludf.DUMMYFUNCTION("IMPORTRANGE(""https://docs.google.com/spreadsheets/d/""&amp;$A267&amp;""/edit#gid=156619080"",AI$3)"),"#REF!")</f>
        <v>#REF!</v>
      </c>
      <c r="AJ267" s="2" t="str">
        <f>IFERROR(__xludf.DUMMYFUNCTION("IMPORTRANGE(""https://docs.google.com/spreadsheets/d/""&amp;$A267&amp;""/edit#gid=156619080"",AJ$3)"),"#REF!")</f>
        <v>#REF!</v>
      </c>
      <c r="AK267" s="2" t="str">
        <f>IFERROR(__xludf.DUMMYFUNCTION("IMPORTRANGE(""https://docs.google.com/spreadsheets/d/""&amp;$A267&amp;""/edit#gid=156619080"",AK$3)"),"#REF!")</f>
        <v>#REF!</v>
      </c>
      <c r="AL267" s="2" t="str">
        <f>IFERROR(__xludf.DUMMYFUNCTION("IMPORTRANGE(""https://docs.google.com/spreadsheets/d/""&amp;$A267&amp;""/edit#gid=156619080"",AL$3)"),"#REF!")</f>
        <v>#REF!</v>
      </c>
      <c r="AM267" s="2" t="str">
        <f>IFERROR(__xludf.DUMMYFUNCTION("IMPORTRANGE(""https://docs.google.com/spreadsheets/d/""&amp;$A267&amp;""/edit#gid=156619080"",AM$3)"),"#REF!")</f>
        <v>#REF!</v>
      </c>
      <c r="AN267" s="2" t="str">
        <f>IFERROR(__xludf.DUMMYFUNCTION("IMPORTRANGE(""https://docs.google.com/spreadsheets/d/""&amp;$A267&amp;""/edit#gid=156619080"",AN$3)"),"#REF!")</f>
        <v>#REF!</v>
      </c>
      <c r="AO267" s="2" t="str">
        <f>IFERROR(__xludf.DUMMYFUNCTION("IMPORTRANGE(""https://docs.google.com/spreadsheets/d/""&amp;$A267&amp;""/edit#gid=156619080"",AO$3)"),"#REF!")</f>
        <v>#REF!</v>
      </c>
      <c r="AP267" s="2" t="str">
        <f>IFERROR(__xludf.DUMMYFUNCTION("IMPORTRANGE(""https://docs.google.com/spreadsheets/d/""&amp;$A267&amp;""/edit#gid=156619080"",AP$3)"),"#REF!")</f>
        <v>#REF!</v>
      </c>
      <c r="AQ267" s="2" t="str">
        <f>IFERROR(__xludf.DUMMYFUNCTION("IMPORTRANGE(""https://docs.google.com/spreadsheets/d/""&amp;$A267&amp;""/edit#gid=156619080"",AQ$3)"),"#REF!")</f>
        <v>#REF!</v>
      </c>
      <c r="AR267" s="2" t="str">
        <f>IFERROR(__xludf.DUMMYFUNCTION("IMPORTRANGE(""https://docs.google.com/spreadsheets/d/""&amp;$A267&amp;""/edit#gid=156619080"",AR$3)"),"#REF!")</f>
        <v>#REF!</v>
      </c>
      <c r="AS267" s="19" t="str">
        <f>IFERROR(__xludf.DUMMYFUNCTION("IMPORTRANGE(""https://docs.google.com/spreadsheets/d/""&amp;$A267&amp;""/edit#gid=156619080"",AS$3)"),"#REF!")</f>
        <v>#REF!</v>
      </c>
      <c r="AT267" s="2" t="str">
        <f>IFERROR(__xludf.DUMMYFUNCTION("IMPORTRANGE(""https://docs.google.com/spreadsheets/d/""&amp;$A267&amp;""/edit#gid=156619080"",AT$3)"),"#REF!")</f>
        <v>#REF!</v>
      </c>
      <c r="AU267" s="3" t="str">
        <f>IFERROR(__xludf.DUMMYFUNCTION("IMPORTRANGE(""https://docs.google.com/spreadsheets/d/""&amp;$A267&amp;""/edit#gid=156619080"",AU$3)"),"#REF!")</f>
        <v>#REF!</v>
      </c>
      <c r="AV267" s="2" t="str">
        <f>IFERROR(__xludf.DUMMYFUNCTION("IMPORTRANGE(""https://docs.google.com/spreadsheets/d/""&amp;$A267&amp;""/edit#gid=156619080"",AV$3)"),"#REF!")</f>
        <v>#REF!</v>
      </c>
      <c r="AW267" s="19" t="str">
        <f>IFERROR(__xludf.DUMMYFUNCTION("IMPORTRANGE(""https://docs.google.com/spreadsheets/d/""&amp;$A267&amp;""/edit#gid=156619080"",AW$3)"),"#REF!")</f>
        <v>#REF!</v>
      </c>
      <c r="AX267" s="2" t="str">
        <f>IFERROR(__xludf.DUMMYFUNCTION("IMPORTRANGE(""https://docs.google.com/spreadsheets/d/""&amp;$A267&amp;""/edit#gid=156619080"",AX$3)"),"#REF!")</f>
        <v>#REF!</v>
      </c>
      <c r="AY267" s="2" t="str">
        <f>IFERROR(__xludf.DUMMYFUNCTION("IMPORTRANGE(""https://docs.google.com/spreadsheets/d/""&amp;$A267&amp;""/edit#gid=156619080"",AY$3)"),"#REF!")</f>
        <v>#REF!</v>
      </c>
      <c r="AZ267" s="2" t="str">
        <f>IFERROR(__xludf.DUMMYFUNCTION("IMPORTRANGE(""https://docs.google.com/spreadsheets/d/""&amp;$A267&amp;""/edit#gid=156619080"",AZ$3)"),"#REF!")</f>
        <v>#REF!</v>
      </c>
      <c r="BA267" s="2" t="str">
        <f>IFERROR(__xludf.DUMMYFUNCTION("IMPORTRANGE(""https://docs.google.com/spreadsheets/d/""&amp;$A267&amp;""/edit#gid=156619080"",BA$3)"),"#REF!")</f>
        <v>#REF!</v>
      </c>
      <c r="BB267" s="2" t="str">
        <f>IFERROR(__xludf.DUMMYFUNCTION("IMPORTRANGE(""https://docs.google.com/spreadsheets/d/""&amp;$A267&amp;""/edit#gid=156619080"",BB$3)"),"#REF!")</f>
        <v>#REF!</v>
      </c>
      <c r="BC267" s="2" t="str">
        <f>IFERROR(__xludf.DUMMYFUNCTION("IMPORTRANGE(""https://docs.google.com/spreadsheets/d/""&amp;$A267&amp;""/edit#gid=156619080"",BC$3)"),"#REF!")</f>
        <v>#REF!</v>
      </c>
    </row>
    <row r="268" ht="51.0" customHeight="1">
      <c r="A268" s="7" t="str">
        <f t="shared" si="5"/>
        <v>1aV0210llRrR9rDHqB-dIJ5MirgsdFhP_FCWh7Le3e5Y</v>
      </c>
      <c r="B268" s="1" t="s">
        <v>295</v>
      </c>
      <c r="C268" s="2" t="str">
        <f>IFERROR(__xludf.DUMMYFUNCTION("IMPORTRANGE(""https://docs.google.com/spreadsheets/d/""&amp;$A268&amp;""/edit#gid=156619080"",C$3)"),"#REF!")</f>
        <v>#REF!</v>
      </c>
      <c r="D268" s="2" t="str">
        <f>IFERROR(__xludf.DUMMYFUNCTION("IMPORTRANGE(""https://docs.google.com/spreadsheets/d/""&amp;$A268&amp;""/edit#gid=156619080"",D$3)"),"#REF!")</f>
        <v>#REF!</v>
      </c>
      <c r="E268" s="2" t="str">
        <f>IFERROR(__xludf.DUMMYFUNCTION("IMPORTRANGE(""https://docs.google.com/spreadsheets/d/""&amp;$A268&amp;""/edit#gid=156619080"",E$3)"),"#REF!")</f>
        <v>#REF!</v>
      </c>
      <c r="F268" s="2" t="str">
        <f>IFERROR(__xludf.DUMMYFUNCTION("IMPORTRANGE(""https://docs.google.com/spreadsheets/d/""&amp;$A268&amp;""/edit#gid=156619080"",F$3)"),"#REF!")</f>
        <v>#REF!</v>
      </c>
      <c r="G268" s="2" t="str">
        <f>IFERROR(__xludf.DUMMYFUNCTION("IMPORTRANGE(""https://docs.google.com/spreadsheets/d/""&amp;$A268&amp;""/edit#gid=156619080"",G$3)"),"#REF!")</f>
        <v>#REF!</v>
      </c>
      <c r="H268" s="2" t="str">
        <f>IFERROR(__xludf.DUMMYFUNCTION("IMPORTRANGE(""https://docs.google.com/spreadsheets/d/""&amp;$A268&amp;""/edit#gid=156619080"",H$3)"),"#REF!")</f>
        <v>#REF!</v>
      </c>
      <c r="I268" s="2" t="str">
        <f>IFERROR(__xludf.DUMMYFUNCTION("IMPORTRANGE(""https://docs.google.com/spreadsheets/d/""&amp;$A268&amp;""/edit#gid=156619080"",I$3)"),"#REF!")</f>
        <v>#REF!</v>
      </c>
      <c r="J268" s="2" t="str">
        <f>IFERROR(__xludf.DUMMYFUNCTION("IMPORTRANGE(""https://docs.google.com/spreadsheets/d/""&amp;$A268&amp;""/edit#gid=156619080"",J$3)"),"#REF!")</f>
        <v>#REF!</v>
      </c>
      <c r="K268" s="2" t="str">
        <f>IFERROR(__xludf.DUMMYFUNCTION("IMPORTRANGE(""https://docs.google.com/spreadsheets/d/""&amp;$A268&amp;""/edit#gid=156619080"",K$3)"),"#REF!")</f>
        <v>#REF!</v>
      </c>
      <c r="L268" s="2" t="str">
        <f>IFERROR(__xludf.DUMMYFUNCTION("IMPORTRANGE(""https://docs.google.com/spreadsheets/d/""&amp;$A268&amp;""/edit#gid=156619080"",L$3)"),"#REF!")</f>
        <v>#REF!</v>
      </c>
      <c r="M268" s="2" t="str">
        <f>IFERROR(__xludf.DUMMYFUNCTION("IMPORTRANGE(""https://docs.google.com/spreadsheets/d/""&amp;$A268&amp;""/edit#gid=156619080"",M$3)"),"#REF!")</f>
        <v>#REF!</v>
      </c>
      <c r="N268" s="2" t="str">
        <f>IFERROR(__xludf.DUMMYFUNCTION("IMPORTRANGE(""https://docs.google.com/spreadsheets/d/""&amp;$A268&amp;""/edit#gid=156619080"",N$3)"),"#REF!")</f>
        <v>#REF!</v>
      </c>
      <c r="O268" s="2" t="str">
        <f>IFERROR(__xludf.DUMMYFUNCTION("IMPORTRANGE(""https://docs.google.com/spreadsheets/d/""&amp;$A268&amp;""/edit#gid=156619080"",O$3)"),"#REF!")</f>
        <v>#REF!</v>
      </c>
      <c r="P268" s="2" t="str">
        <f>IFERROR(__xludf.DUMMYFUNCTION("IMPORTRANGE(""https://docs.google.com/spreadsheets/d/""&amp;$A268&amp;""/edit#gid=156619080"",P$3)"),"#REF!")</f>
        <v>#REF!</v>
      </c>
      <c r="Q268" s="2" t="str">
        <f>IFERROR(__xludf.DUMMYFUNCTION("IMPORTRANGE(""https://docs.google.com/spreadsheets/d/""&amp;$A268&amp;""/edit#gid=156619080"",Q$3)"),"#REF!")</f>
        <v>#REF!</v>
      </c>
      <c r="R268" s="2" t="str">
        <f>IFERROR(__xludf.DUMMYFUNCTION("IMPORTRANGE(""https://docs.google.com/spreadsheets/d/""&amp;$A268&amp;""/edit#gid=156619080"",R$3)"),"#REF!")</f>
        <v>#REF!</v>
      </c>
      <c r="S268" s="2" t="str">
        <f>IFERROR(__xludf.DUMMYFUNCTION("IMPORTRANGE(""https://docs.google.com/spreadsheets/d/""&amp;$A268&amp;""/edit#gid=156619080"",S$3)"),"#REF!")</f>
        <v>#REF!</v>
      </c>
      <c r="T268" s="2" t="str">
        <f>IFERROR(__xludf.DUMMYFUNCTION("IMPORTRANGE(""https://docs.google.com/spreadsheets/d/""&amp;$A268&amp;""/edit#gid=156619080"",T$3)"),"#REF!")</f>
        <v>#REF!</v>
      </c>
      <c r="U268" s="2" t="str">
        <f>IFERROR(__xludf.DUMMYFUNCTION("IMPORTRANGE(""https://docs.google.com/spreadsheets/d/""&amp;$A268&amp;""/edit#gid=156619080"",U$3)"),"#REF!")</f>
        <v>#REF!</v>
      </c>
      <c r="V268" s="2" t="str">
        <f>IFERROR(__xludf.DUMMYFUNCTION("IMPORTRANGE(""https://docs.google.com/spreadsheets/d/""&amp;$A268&amp;""/edit#gid=156619080"",V$3)"),"#REF!")</f>
        <v>#REF!</v>
      </c>
      <c r="W268" s="2" t="str">
        <f>IFERROR(__xludf.DUMMYFUNCTION("IMPORTRANGE(""https://docs.google.com/spreadsheets/d/""&amp;$A268&amp;""/edit#gid=156619080"",W$3)"),"#REF!")</f>
        <v>#REF!</v>
      </c>
      <c r="X268" s="2" t="str">
        <f>IFERROR(__xludf.DUMMYFUNCTION("IMPORTRANGE(""https://docs.google.com/spreadsheets/d/""&amp;$A268&amp;""/edit#gid=156619080"",X$3)"),"#REF!")</f>
        <v>#REF!</v>
      </c>
      <c r="Y268" s="2" t="str">
        <f>IFERROR(__xludf.DUMMYFUNCTION("IMPORTRANGE(""https://docs.google.com/spreadsheets/d/""&amp;$A268&amp;""/edit#gid=156619080"",Y$3)"),"#REF!")</f>
        <v>#REF!</v>
      </c>
      <c r="Z268" s="2" t="str">
        <f>IFERROR(__xludf.DUMMYFUNCTION("IMPORTRANGE(""https://docs.google.com/spreadsheets/d/""&amp;$A268&amp;""/edit#gid=156619080"",Z$3)"),"#REF!")</f>
        <v>#REF!</v>
      </c>
      <c r="AA268" s="2" t="str">
        <f>IFERROR(__xludf.DUMMYFUNCTION("IMPORTRANGE(""https://docs.google.com/spreadsheets/d/""&amp;$A268&amp;""/edit#gid=156619080"",AA$3)"),"#REF!")</f>
        <v>#REF!</v>
      </c>
      <c r="AB268" s="2" t="str">
        <f>IFERROR(__xludf.DUMMYFUNCTION("IMPORTRANGE(""https://docs.google.com/spreadsheets/d/""&amp;$A268&amp;""/edit#gid=156619080"",AB$3)"),"#REF!")</f>
        <v>#REF!</v>
      </c>
      <c r="AC268" s="2" t="str">
        <f>IFERROR(__xludf.DUMMYFUNCTION("IMPORTRANGE(""https://docs.google.com/spreadsheets/d/""&amp;$A268&amp;""/edit#gid=156619080"",AC$3)"),"#REF!")</f>
        <v>#REF!</v>
      </c>
      <c r="AD268" s="2" t="str">
        <f>IFERROR(__xludf.DUMMYFUNCTION("IMPORTRANGE(""https://docs.google.com/spreadsheets/d/""&amp;$A268&amp;""/edit#gid=156619080"",AD$3)"),"#REF!")</f>
        <v>#REF!</v>
      </c>
      <c r="AE268" s="2" t="str">
        <f>IFERROR(__xludf.DUMMYFUNCTION("IMPORTRANGE(""https://docs.google.com/spreadsheets/d/""&amp;$A268&amp;""/edit#gid=156619080"",AE$3)"),"#REF!")</f>
        <v>#REF!</v>
      </c>
      <c r="AF268" s="2" t="str">
        <f>IFERROR(__xludf.DUMMYFUNCTION("IMPORTRANGE(""https://docs.google.com/spreadsheets/d/""&amp;$A268&amp;""/edit#gid=156619080"",AF$3)"),"#REF!")</f>
        <v>#REF!</v>
      </c>
      <c r="AG268" s="2" t="str">
        <f>IFERROR(__xludf.DUMMYFUNCTION("IMPORTRANGE(""https://docs.google.com/spreadsheets/d/""&amp;$A268&amp;""/edit#gid=156619080"",AG$3)"),"#REF!")</f>
        <v>#REF!</v>
      </c>
      <c r="AH268" s="2" t="str">
        <f>IFERROR(__xludf.DUMMYFUNCTION("IMPORTRANGE(""https://docs.google.com/spreadsheets/d/""&amp;$A268&amp;""/edit#gid=156619080"",AH$3)"),"#REF!")</f>
        <v>#REF!</v>
      </c>
      <c r="AI268" s="2" t="str">
        <f>IFERROR(__xludf.DUMMYFUNCTION("IMPORTRANGE(""https://docs.google.com/spreadsheets/d/""&amp;$A268&amp;""/edit#gid=156619080"",AI$3)"),"#REF!")</f>
        <v>#REF!</v>
      </c>
      <c r="AJ268" s="2" t="str">
        <f>IFERROR(__xludf.DUMMYFUNCTION("IMPORTRANGE(""https://docs.google.com/spreadsheets/d/""&amp;$A268&amp;""/edit#gid=156619080"",AJ$3)"),"#REF!")</f>
        <v>#REF!</v>
      </c>
      <c r="AK268" s="2" t="str">
        <f>IFERROR(__xludf.DUMMYFUNCTION("IMPORTRANGE(""https://docs.google.com/spreadsheets/d/""&amp;$A268&amp;""/edit#gid=156619080"",AK$3)"),"#REF!")</f>
        <v>#REF!</v>
      </c>
      <c r="AL268" s="2" t="str">
        <f>IFERROR(__xludf.DUMMYFUNCTION("IMPORTRANGE(""https://docs.google.com/spreadsheets/d/""&amp;$A268&amp;""/edit#gid=156619080"",AL$3)"),"#REF!")</f>
        <v>#REF!</v>
      </c>
      <c r="AM268" s="2" t="str">
        <f>IFERROR(__xludf.DUMMYFUNCTION("IMPORTRANGE(""https://docs.google.com/spreadsheets/d/""&amp;$A268&amp;""/edit#gid=156619080"",AM$3)"),"#REF!")</f>
        <v>#REF!</v>
      </c>
      <c r="AN268" s="2" t="str">
        <f>IFERROR(__xludf.DUMMYFUNCTION("IMPORTRANGE(""https://docs.google.com/spreadsheets/d/""&amp;$A268&amp;""/edit#gid=156619080"",AN$3)"),"#REF!")</f>
        <v>#REF!</v>
      </c>
      <c r="AO268" s="2" t="str">
        <f>IFERROR(__xludf.DUMMYFUNCTION("IMPORTRANGE(""https://docs.google.com/spreadsheets/d/""&amp;$A268&amp;""/edit#gid=156619080"",AO$3)"),"#REF!")</f>
        <v>#REF!</v>
      </c>
      <c r="AP268" s="2" t="str">
        <f>IFERROR(__xludf.DUMMYFUNCTION("IMPORTRANGE(""https://docs.google.com/spreadsheets/d/""&amp;$A268&amp;""/edit#gid=156619080"",AP$3)"),"#REF!")</f>
        <v>#REF!</v>
      </c>
      <c r="AQ268" s="2" t="str">
        <f>IFERROR(__xludf.DUMMYFUNCTION("IMPORTRANGE(""https://docs.google.com/spreadsheets/d/""&amp;$A268&amp;""/edit#gid=156619080"",AQ$3)"),"#REF!")</f>
        <v>#REF!</v>
      </c>
      <c r="AR268" s="2" t="str">
        <f>IFERROR(__xludf.DUMMYFUNCTION("IMPORTRANGE(""https://docs.google.com/spreadsheets/d/""&amp;$A268&amp;""/edit#gid=156619080"",AR$3)"),"#REF!")</f>
        <v>#REF!</v>
      </c>
      <c r="AS268" s="19" t="str">
        <f>IFERROR(__xludf.DUMMYFUNCTION("IMPORTRANGE(""https://docs.google.com/spreadsheets/d/""&amp;$A268&amp;""/edit#gid=156619080"",AS$3)"),"#REF!")</f>
        <v>#REF!</v>
      </c>
      <c r="AT268" s="2" t="str">
        <f>IFERROR(__xludf.DUMMYFUNCTION("IMPORTRANGE(""https://docs.google.com/spreadsheets/d/""&amp;$A268&amp;""/edit#gid=156619080"",AT$3)"),"#REF!")</f>
        <v>#REF!</v>
      </c>
      <c r="AU268" s="3" t="str">
        <f>IFERROR(__xludf.DUMMYFUNCTION("IMPORTRANGE(""https://docs.google.com/spreadsheets/d/""&amp;$A268&amp;""/edit#gid=156619080"",AU$3)"),"#REF!")</f>
        <v>#REF!</v>
      </c>
      <c r="AV268" s="2" t="str">
        <f>IFERROR(__xludf.DUMMYFUNCTION("IMPORTRANGE(""https://docs.google.com/spreadsheets/d/""&amp;$A268&amp;""/edit#gid=156619080"",AV$3)"),"#REF!")</f>
        <v>#REF!</v>
      </c>
      <c r="AW268" s="19" t="str">
        <f>IFERROR(__xludf.DUMMYFUNCTION("IMPORTRANGE(""https://docs.google.com/spreadsheets/d/""&amp;$A268&amp;""/edit#gid=156619080"",AW$3)"),"#REF!")</f>
        <v>#REF!</v>
      </c>
      <c r="AX268" s="2" t="str">
        <f>IFERROR(__xludf.DUMMYFUNCTION("IMPORTRANGE(""https://docs.google.com/spreadsheets/d/""&amp;$A268&amp;""/edit#gid=156619080"",AX$3)"),"#REF!")</f>
        <v>#REF!</v>
      </c>
      <c r="AY268" s="2" t="str">
        <f>IFERROR(__xludf.DUMMYFUNCTION("IMPORTRANGE(""https://docs.google.com/spreadsheets/d/""&amp;$A268&amp;""/edit#gid=156619080"",AY$3)"),"#REF!")</f>
        <v>#REF!</v>
      </c>
      <c r="AZ268" s="2" t="str">
        <f>IFERROR(__xludf.DUMMYFUNCTION("IMPORTRANGE(""https://docs.google.com/spreadsheets/d/""&amp;$A268&amp;""/edit#gid=156619080"",AZ$3)"),"#REF!")</f>
        <v>#REF!</v>
      </c>
      <c r="BA268" s="2" t="str">
        <f>IFERROR(__xludf.DUMMYFUNCTION("IMPORTRANGE(""https://docs.google.com/spreadsheets/d/""&amp;$A268&amp;""/edit#gid=156619080"",BA$3)"),"#REF!")</f>
        <v>#REF!</v>
      </c>
      <c r="BB268" s="2" t="str">
        <f>IFERROR(__xludf.DUMMYFUNCTION("IMPORTRANGE(""https://docs.google.com/spreadsheets/d/""&amp;$A268&amp;""/edit#gid=156619080"",BB$3)"),"#REF!")</f>
        <v>#REF!</v>
      </c>
      <c r="BC268" s="2" t="str">
        <f>IFERROR(__xludf.DUMMYFUNCTION("IMPORTRANGE(""https://docs.google.com/spreadsheets/d/""&amp;$A268&amp;""/edit#gid=156619080"",BC$3)"),"#REF!")</f>
        <v>#REF!</v>
      </c>
    </row>
    <row r="269" ht="51.0" customHeight="1">
      <c r="A269" s="7" t="str">
        <f t="shared" si="5"/>
        <v>1wVT_0hDbjvpgaJjDk1WIdzFK-_B2fm2zdSzqQA9w0co</v>
      </c>
      <c r="B269" s="1" t="s">
        <v>296</v>
      </c>
      <c r="C269" s="2" t="str">
        <f>IFERROR(__xludf.DUMMYFUNCTION("IMPORTRANGE(""https://docs.google.com/spreadsheets/d/""&amp;$A269&amp;""/edit#gid=156619080"",C$3)"),"#REF!")</f>
        <v>#REF!</v>
      </c>
      <c r="D269" s="2" t="str">
        <f>IFERROR(__xludf.DUMMYFUNCTION("IMPORTRANGE(""https://docs.google.com/spreadsheets/d/""&amp;$A269&amp;""/edit#gid=156619080"",D$3)"),"#REF!")</f>
        <v>#REF!</v>
      </c>
      <c r="E269" s="2" t="str">
        <f>IFERROR(__xludf.DUMMYFUNCTION("IMPORTRANGE(""https://docs.google.com/spreadsheets/d/""&amp;$A269&amp;""/edit#gid=156619080"",E$3)"),"#REF!")</f>
        <v>#REF!</v>
      </c>
      <c r="F269" s="2" t="str">
        <f>IFERROR(__xludf.DUMMYFUNCTION("IMPORTRANGE(""https://docs.google.com/spreadsheets/d/""&amp;$A269&amp;""/edit#gid=156619080"",F$3)"),"#REF!")</f>
        <v>#REF!</v>
      </c>
      <c r="G269" s="2" t="str">
        <f>IFERROR(__xludf.DUMMYFUNCTION("IMPORTRANGE(""https://docs.google.com/spreadsheets/d/""&amp;$A269&amp;""/edit#gid=156619080"",G$3)"),"#REF!")</f>
        <v>#REF!</v>
      </c>
      <c r="H269" s="2" t="str">
        <f>IFERROR(__xludf.DUMMYFUNCTION("IMPORTRANGE(""https://docs.google.com/spreadsheets/d/""&amp;$A269&amp;""/edit#gid=156619080"",H$3)"),"#REF!")</f>
        <v>#REF!</v>
      </c>
      <c r="I269" s="2" t="str">
        <f>IFERROR(__xludf.DUMMYFUNCTION("IMPORTRANGE(""https://docs.google.com/spreadsheets/d/""&amp;$A269&amp;""/edit#gid=156619080"",I$3)"),"#REF!")</f>
        <v>#REF!</v>
      </c>
      <c r="J269" s="2" t="str">
        <f>IFERROR(__xludf.DUMMYFUNCTION("IMPORTRANGE(""https://docs.google.com/spreadsheets/d/""&amp;$A269&amp;""/edit#gid=156619080"",J$3)"),"#REF!")</f>
        <v>#REF!</v>
      </c>
      <c r="K269" s="2" t="str">
        <f>IFERROR(__xludf.DUMMYFUNCTION("IMPORTRANGE(""https://docs.google.com/spreadsheets/d/""&amp;$A269&amp;""/edit#gid=156619080"",K$3)"),"#REF!")</f>
        <v>#REF!</v>
      </c>
      <c r="L269" s="2" t="str">
        <f>IFERROR(__xludf.DUMMYFUNCTION("IMPORTRANGE(""https://docs.google.com/spreadsheets/d/""&amp;$A269&amp;""/edit#gid=156619080"",L$3)"),"#REF!")</f>
        <v>#REF!</v>
      </c>
      <c r="M269" s="2" t="str">
        <f>IFERROR(__xludf.DUMMYFUNCTION("IMPORTRANGE(""https://docs.google.com/spreadsheets/d/""&amp;$A269&amp;""/edit#gid=156619080"",M$3)"),"#REF!")</f>
        <v>#REF!</v>
      </c>
      <c r="N269" s="2" t="str">
        <f>IFERROR(__xludf.DUMMYFUNCTION("IMPORTRANGE(""https://docs.google.com/spreadsheets/d/""&amp;$A269&amp;""/edit#gid=156619080"",N$3)"),"#REF!")</f>
        <v>#REF!</v>
      </c>
      <c r="O269" s="2" t="str">
        <f>IFERROR(__xludf.DUMMYFUNCTION("IMPORTRANGE(""https://docs.google.com/spreadsheets/d/""&amp;$A269&amp;""/edit#gid=156619080"",O$3)"),"#REF!")</f>
        <v>#REF!</v>
      </c>
      <c r="P269" s="2" t="str">
        <f>IFERROR(__xludf.DUMMYFUNCTION("IMPORTRANGE(""https://docs.google.com/spreadsheets/d/""&amp;$A269&amp;""/edit#gid=156619080"",P$3)"),"#REF!")</f>
        <v>#REF!</v>
      </c>
      <c r="Q269" s="2" t="str">
        <f>IFERROR(__xludf.DUMMYFUNCTION("IMPORTRANGE(""https://docs.google.com/spreadsheets/d/""&amp;$A269&amp;""/edit#gid=156619080"",Q$3)"),"#REF!")</f>
        <v>#REF!</v>
      </c>
      <c r="R269" s="2" t="str">
        <f>IFERROR(__xludf.DUMMYFUNCTION("IMPORTRANGE(""https://docs.google.com/spreadsheets/d/""&amp;$A269&amp;""/edit#gid=156619080"",R$3)"),"#REF!")</f>
        <v>#REF!</v>
      </c>
      <c r="S269" s="2" t="str">
        <f>IFERROR(__xludf.DUMMYFUNCTION("IMPORTRANGE(""https://docs.google.com/spreadsheets/d/""&amp;$A269&amp;""/edit#gid=156619080"",S$3)"),"#REF!")</f>
        <v>#REF!</v>
      </c>
      <c r="T269" s="2" t="str">
        <f>IFERROR(__xludf.DUMMYFUNCTION("IMPORTRANGE(""https://docs.google.com/spreadsheets/d/""&amp;$A269&amp;""/edit#gid=156619080"",T$3)"),"#REF!")</f>
        <v>#REF!</v>
      </c>
      <c r="U269" s="2" t="str">
        <f>IFERROR(__xludf.DUMMYFUNCTION("IMPORTRANGE(""https://docs.google.com/spreadsheets/d/""&amp;$A269&amp;""/edit#gid=156619080"",U$3)"),"#REF!")</f>
        <v>#REF!</v>
      </c>
      <c r="V269" s="2" t="str">
        <f>IFERROR(__xludf.DUMMYFUNCTION("IMPORTRANGE(""https://docs.google.com/spreadsheets/d/""&amp;$A269&amp;""/edit#gid=156619080"",V$3)"),"#REF!")</f>
        <v>#REF!</v>
      </c>
      <c r="W269" s="2" t="str">
        <f>IFERROR(__xludf.DUMMYFUNCTION("IMPORTRANGE(""https://docs.google.com/spreadsheets/d/""&amp;$A269&amp;""/edit#gid=156619080"",W$3)"),"#REF!")</f>
        <v>#REF!</v>
      </c>
      <c r="X269" s="2" t="str">
        <f>IFERROR(__xludf.DUMMYFUNCTION("IMPORTRANGE(""https://docs.google.com/spreadsheets/d/""&amp;$A269&amp;""/edit#gid=156619080"",X$3)"),"#REF!")</f>
        <v>#REF!</v>
      </c>
      <c r="Y269" s="2" t="str">
        <f>IFERROR(__xludf.DUMMYFUNCTION("IMPORTRANGE(""https://docs.google.com/spreadsheets/d/""&amp;$A269&amp;""/edit#gid=156619080"",Y$3)"),"#REF!")</f>
        <v>#REF!</v>
      </c>
      <c r="Z269" s="2" t="str">
        <f>IFERROR(__xludf.DUMMYFUNCTION("IMPORTRANGE(""https://docs.google.com/spreadsheets/d/""&amp;$A269&amp;""/edit#gid=156619080"",Z$3)"),"#REF!")</f>
        <v>#REF!</v>
      </c>
      <c r="AA269" s="2" t="str">
        <f>IFERROR(__xludf.DUMMYFUNCTION("IMPORTRANGE(""https://docs.google.com/spreadsheets/d/""&amp;$A269&amp;""/edit#gid=156619080"",AA$3)"),"#REF!")</f>
        <v>#REF!</v>
      </c>
      <c r="AB269" s="2" t="str">
        <f>IFERROR(__xludf.DUMMYFUNCTION("IMPORTRANGE(""https://docs.google.com/spreadsheets/d/""&amp;$A269&amp;""/edit#gid=156619080"",AB$3)"),"#REF!")</f>
        <v>#REF!</v>
      </c>
      <c r="AC269" s="2" t="str">
        <f>IFERROR(__xludf.DUMMYFUNCTION("IMPORTRANGE(""https://docs.google.com/spreadsheets/d/""&amp;$A269&amp;""/edit#gid=156619080"",AC$3)"),"#REF!")</f>
        <v>#REF!</v>
      </c>
      <c r="AD269" s="2" t="str">
        <f>IFERROR(__xludf.DUMMYFUNCTION("IMPORTRANGE(""https://docs.google.com/spreadsheets/d/""&amp;$A269&amp;""/edit#gid=156619080"",AD$3)"),"#REF!")</f>
        <v>#REF!</v>
      </c>
      <c r="AE269" s="2" t="str">
        <f>IFERROR(__xludf.DUMMYFUNCTION("IMPORTRANGE(""https://docs.google.com/spreadsheets/d/""&amp;$A269&amp;""/edit#gid=156619080"",AE$3)"),"#REF!")</f>
        <v>#REF!</v>
      </c>
      <c r="AF269" s="2" t="str">
        <f>IFERROR(__xludf.DUMMYFUNCTION("IMPORTRANGE(""https://docs.google.com/spreadsheets/d/""&amp;$A269&amp;""/edit#gid=156619080"",AF$3)"),"#REF!")</f>
        <v>#REF!</v>
      </c>
      <c r="AG269" s="2" t="str">
        <f>IFERROR(__xludf.DUMMYFUNCTION("IMPORTRANGE(""https://docs.google.com/spreadsheets/d/""&amp;$A269&amp;""/edit#gid=156619080"",AG$3)"),"#REF!")</f>
        <v>#REF!</v>
      </c>
      <c r="AH269" s="2" t="str">
        <f>IFERROR(__xludf.DUMMYFUNCTION("IMPORTRANGE(""https://docs.google.com/spreadsheets/d/""&amp;$A269&amp;""/edit#gid=156619080"",AH$3)"),"#REF!")</f>
        <v>#REF!</v>
      </c>
      <c r="AI269" s="2" t="str">
        <f>IFERROR(__xludf.DUMMYFUNCTION("IMPORTRANGE(""https://docs.google.com/spreadsheets/d/""&amp;$A269&amp;""/edit#gid=156619080"",AI$3)"),"#REF!")</f>
        <v>#REF!</v>
      </c>
      <c r="AJ269" s="2" t="str">
        <f>IFERROR(__xludf.DUMMYFUNCTION("IMPORTRANGE(""https://docs.google.com/spreadsheets/d/""&amp;$A269&amp;""/edit#gid=156619080"",AJ$3)"),"#REF!")</f>
        <v>#REF!</v>
      </c>
      <c r="AK269" s="2" t="str">
        <f>IFERROR(__xludf.DUMMYFUNCTION("IMPORTRANGE(""https://docs.google.com/spreadsheets/d/""&amp;$A269&amp;""/edit#gid=156619080"",AK$3)"),"#REF!")</f>
        <v>#REF!</v>
      </c>
      <c r="AL269" s="2" t="str">
        <f>IFERROR(__xludf.DUMMYFUNCTION("IMPORTRANGE(""https://docs.google.com/spreadsheets/d/""&amp;$A269&amp;""/edit#gid=156619080"",AL$3)"),"#REF!")</f>
        <v>#REF!</v>
      </c>
      <c r="AM269" s="2" t="str">
        <f>IFERROR(__xludf.DUMMYFUNCTION("IMPORTRANGE(""https://docs.google.com/spreadsheets/d/""&amp;$A269&amp;""/edit#gid=156619080"",AM$3)"),"#REF!")</f>
        <v>#REF!</v>
      </c>
      <c r="AN269" s="2" t="str">
        <f>IFERROR(__xludf.DUMMYFUNCTION("IMPORTRANGE(""https://docs.google.com/spreadsheets/d/""&amp;$A269&amp;""/edit#gid=156619080"",AN$3)"),"#REF!")</f>
        <v>#REF!</v>
      </c>
      <c r="AO269" s="2" t="str">
        <f>IFERROR(__xludf.DUMMYFUNCTION("IMPORTRANGE(""https://docs.google.com/spreadsheets/d/""&amp;$A269&amp;""/edit#gid=156619080"",AO$3)"),"#REF!")</f>
        <v>#REF!</v>
      </c>
      <c r="AP269" s="2" t="str">
        <f>IFERROR(__xludf.DUMMYFUNCTION("IMPORTRANGE(""https://docs.google.com/spreadsheets/d/""&amp;$A269&amp;""/edit#gid=156619080"",AP$3)"),"#REF!")</f>
        <v>#REF!</v>
      </c>
      <c r="AQ269" s="2" t="str">
        <f>IFERROR(__xludf.DUMMYFUNCTION("IMPORTRANGE(""https://docs.google.com/spreadsheets/d/""&amp;$A269&amp;""/edit#gid=156619080"",AQ$3)"),"#REF!")</f>
        <v>#REF!</v>
      </c>
      <c r="AR269" s="2" t="str">
        <f>IFERROR(__xludf.DUMMYFUNCTION("IMPORTRANGE(""https://docs.google.com/spreadsheets/d/""&amp;$A269&amp;""/edit#gid=156619080"",AR$3)"),"#REF!")</f>
        <v>#REF!</v>
      </c>
      <c r="AS269" s="19" t="str">
        <f>IFERROR(__xludf.DUMMYFUNCTION("IMPORTRANGE(""https://docs.google.com/spreadsheets/d/""&amp;$A269&amp;""/edit#gid=156619080"",AS$3)"),"#REF!")</f>
        <v>#REF!</v>
      </c>
      <c r="AT269" s="2" t="str">
        <f>IFERROR(__xludf.DUMMYFUNCTION("IMPORTRANGE(""https://docs.google.com/spreadsheets/d/""&amp;$A269&amp;""/edit#gid=156619080"",AT$3)"),"#REF!")</f>
        <v>#REF!</v>
      </c>
      <c r="AU269" s="3" t="str">
        <f>IFERROR(__xludf.DUMMYFUNCTION("IMPORTRANGE(""https://docs.google.com/spreadsheets/d/""&amp;$A269&amp;""/edit#gid=156619080"",AU$3)"),"#REF!")</f>
        <v>#REF!</v>
      </c>
      <c r="AV269" s="2" t="str">
        <f>IFERROR(__xludf.DUMMYFUNCTION("IMPORTRANGE(""https://docs.google.com/spreadsheets/d/""&amp;$A269&amp;""/edit#gid=156619080"",AV$3)"),"#REF!")</f>
        <v>#REF!</v>
      </c>
      <c r="AW269" s="19" t="str">
        <f>IFERROR(__xludf.DUMMYFUNCTION("IMPORTRANGE(""https://docs.google.com/spreadsheets/d/""&amp;$A269&amp;""/edit#gid=156619080"",AW$3)"),"#REF!")</f>
        <v>#REF!</v>
      </c>
      <c r="AX269" s="2" t="str">
        <f>IFERROR(__xludf.DUMMYFUNCTION("IMPORTRANGE(""https://docs.google.com/spreadsheets/d/""&amp;$A269&amp;""/edit#gid=156619080"",AX$3)"),"#REF!")</f>
        <v>#REF!</v>
      </c>
      <c r="AY269" s="2" t="str">
        <f>IFERROR(__xludf.DUMMYFUNCTION("IMPORTRANGE(""https://docs.google.com/spreadsheets/d/""&amp;$A269&amp;""/edit#gid=156619080"",AY$3)"),"#REF!")</f>
        <v>#REF!</v>
      </c>
      <c r="AZ269" s="2" t="str">
        <f>IFERROR(__xludf.DUMMYFUNCTION("IMPORTRANGE(""https://docs.google.com/spreadsheets/d/""&amp;$A269&amp;""/edit#gid=156619080"",AZ$3)"),"#REF!")</f>
        <v>#REF!</v>
      </c>
      <c r="BA269" s="2" t="str">
        <f>IFERROR(__xludf.DUMMYFUNCTION("IMPORTRANGE(""https://docs.google.com/spreadsheets/d/""&amp;$A269&amp;""/edit#gid=156619080"",BA$3)"),"#REF!")</f>
        <v>#REF!</v>
      </c>
      <c r="BB269" s="2" t="str">
        <f>IFERROR(__xludf.DUMMYFUNCTION("IMPORTRANGE(""https://docs.google.com/spreadsheets/d/""&amp;$A269&amp;""/edit#gid=156619080"",BB$3)"),"#REF!")</f>
        <v>#REF!</v>
      </c>
      <c r="BC269" s="2" t="str">
        <f>IFERROR(__xludf.DUMMYFUNCTION("IMPORTRANGE(""https://docs.google.com/spreadsheets/d/""&amp;$A269&amp;""/edit#gid=156619080"",BC$3)"),"#REF!")</f>
        <v>#REF!</v>
      </c>
    </row>
    <row r="270" ht="51.0" customHeight="1">
      <c r="A270" s="7" t="str">
        <f t="shared" si="5"/>
        <v>1JBH9ED562VL9Ww1tZC9RqhD33dOXbEjaMT6D7dcZG7I</v>
      </c>
      <c r="B270" s="1" t="s">
        <v>297</v>
      </c>
      <c r="C270" s="2" t="str">
        <f>IFERROR(__xludf.DUMMYFUNCTION("IMPORTRANGE(""https://docs.google.com/spreadsheets/d/""&amp;$A270&amp;""/edit#gid=156619080"",C$3)"),"#REF!")</f>
        <v>#REF!</v>
      </c>
      <c r="D270" s="2" t="str">
        <f>IFERROR(__xludf.DUMMYFUNCTION("IMPORTRANGE(""https://docs.google.com/spreadsheets/d/""&amp;$A270&amp;""/edit#gid=156619080"",D$3)"),"#REF!")</f>
        <v>#REF!</v>
      </c>
      <c r="E270" s="2" t="str">
        <f>IFERROR(__xludf.DUMMYFUNCTION("IMPORTRANGE(""https://docs.google.com/spreadsheets/d/""&amp;$A270&amp;""/edit#gid=156619080"",E$3)"),"#REF!")</f>
        <v>#REF!</v>
      </c>
      <c r="F270" s="2" t="str">
        <f>IFERROR(__xludf.DUMMYFUNCTION("IMPORTRANGE(""https://docs.google.com/spreadsheets/d/""&amp;$A270&amp;""/edit#gid=156619080"",F$3)"),"#REF!")</f>
        <v>#REF!</v>
      </c>
      <c r="G270" s="2" t="str">
        <f>IFERROR(__xludf.DUMMYFUNCTION("IMPORTRANGE(""https://docs.google.com/spreadsheets/d/""&amp;$A270&amp;""/edit#gid=156619080"",G$3)"),"#REF!")</f>
        <v>#REF!</v>
      </c>
      <c r="H270" s="2" t="str">
        <f>IFERROR(__xludf.DUMMYFUNCTION("IMPORTRANGE(""https://docs.google.com/spreadsheets/d/""&amp;$A270&amp;""/edit#gid=156619080"",H$3)"),"#REF!")</f>
        <v>#REF!</v>
      </c>
      <c r="I270" s="2" t="str">
        <f>IFERROR(__xludf.DUMMYFUNCTION("IMPORTRANGE(""https://docs.google.com/spreadsheets/d/""&amp;$A270&amp;""/edit#gid=156619080"",I$3)"),"#REF!")</f>
        <v>#REF!</v>
      </c>
      <c r="J270" s="2" t="str">
        <f>IFERROR(__xludf.DUMMYFUNCTION("IMPORTRANGE(""https://docs.google.com/spreadsheets/d/""&amp;$A270&amp;""/edit#gid=156619080"",J$3)"),"#REF!")</f>
        <v>#REF!</v>
      </c>
      <c r="K270" s="2" t="str">
        <f>IFERROR(__xludf.DUMMYFUNCTION("IMPORTRANGE(""https://docs.google.com/spreadsheets/d/""&amp;$A270&amp;""/edit#gid=156619080"",K$3)"),"#REF!")</f>
        <v>#REF!</v>
      </c>
      <c r="L270" s="2" t="str">
        <f>IFERROR(__xludf.DUMMYFUNCTION("IMPORTRANGE(""https://docs.google.com/spreadsheets/d/""&amp;$A270&amp;""/edit#gid=156619080"",L$3)"),"#REF!")</f>
        <v>#REF!</v>
      </c>
      <c r="M270" s="2" t="str">
        <f>IFERROR(__xludf.DUMMYFUNCTION("IMPORTRANGE(""https://docs.google.com/spreadsheets/d/""&amp;$A270&amp;""/edit#gid=156619080"",M$3)"),"#REF!")</f>
        <v>#REF!</v>
      </c>
      <c r="N270" s="2" t="str">
        <f>IFERROR(__xludf.DUMMYFUNCTION("IMPORTRANGE(""https://docs.google.com/spreadsheets/d/""&amp;$A270&amp;""/edit#gid=156619080"",N$3)"),"#REF!")</f>
        <v>#REF!</v>
      </c>
      <c r="O270" s="2" t="str">
        <f>IFERROR(__xludf.DUMMYFUNCTION("IMPORTRANGE(""https://docs.google.com/spreadsheets/d/""&amp;$A270&amp;""/edit#gid=156619080"",O$3)"),"#REF!")</f>
        <v>#REF!</v>
      </c>
      <c r="P270" s="2" t="str">
        <f>IFERROR(__xludf.DUMMYFUNCTION("IMPORTRANGE(""https://docs.google.com/spreadsheets/d/""&amp;$A270&amp;""/edit#gid=156619080"",P$3)"),"#REF!")</f>
        <v>#REF!</v>
      </c>
      <c r="Q270" s="2" t="str">
        <f>IFERROR(__xludf.DUMMYFUNCTION("IMPORTRANGE(""https://docs.google.com/spreadsheets/d/""&amp;$A270&amp;""/edit#gid=156619080"",Q$3)"),"#REF!")</f>
        <v>#REF!</v>
      </c>
      <c r="R270" s="2" t="str">
        <f>IFERROR(__xludf.DUMMYFUNCTION("IMPORTRANGE(""https://docs.google.com/spreadsheets/d/""&amp;$A270&amp;""/edit#gid=156619080"",R$3)"),"#REF!")</f>
        <v>#REF!</v>
      </c>
      <c r="S270" s="2" t="str">
        <f>IFERROR(__xludf.DUMMYFUNCTION("IMPORTRANGE(""https://docs.google.com/spreadsheets/d/""&amp;$A270&amp;""/edit#gid=156619080"",S$3)"),"#REF!")</f>
        <v>#REF!</v>
      </c>
      <c r="T270" s="2" t="str">
        <f>IFERROR(__xludf.DUMMYFUNCTION("IMPORTRANGE(""https://docs.google.com/spreadsheets/d/""&amp;$A270&amp;""/edit#gid=156619080"",T$3)"),"#REF!")</f>
        <v>#REF!</v>
      </c>
      <c r="U270" s="2" t="str">
        <f>IFERROR(__xludf.DUMMYFUNCTION("IMPORTRANGE(""https://docs.google.com/spreadsheets/d/""&amp;$A270&amp;""/edit#gid=156619080"",U$3)"),"#REF!")</f>
        <v>#REF!</v>
      </c>
      <c r="V270" s="2" t="str">
        <f>IFERROR(__xludf.DUMMYFUNCTION("IMPORTRANGE(""https://docs.google.com/spreadsheets/d/""&amp;$A270&amp;""/edit#gid=156619080"",V$3)"),"#REF!")</f>
        <v>#REF!</v>
      </c>
      <c r="W270" s="2" t="str">
        <f>IFERROR(__xludf.DUMMYFUNCTION("IMPORTRANGE(""https://docs.google.com/spreadsheets/d/""&amp;$A270&amp;""/edit#gid=156619080"",W$3)"),"#REF!")</f>
        <v>#REF!</v>
      </c>
      <c r="X270" s="2" t="str">
        <f>IFERROR(__xludf.DUMMYFUNCTION("IMPORTRANGE(""https://docs.google.com/spreadsheets/d/""&amp;$A270&amp;""/edit#gid=156619080"",X$3)"),"#REF!")</f>
        <v>#REF!</v>
      </c>
      <c r="Y270" s="2" t="str">
        <f>IFERROR(__xludf.DUMMYFUNCTION("IMPORTRANGE(""https://docs.google.com/spreadsheets/d/""&amp;$A270&amp;""/edit#gid=156619080"",Y$3)"),"#REF!")</f>
        <v>#REF!</v>
      </c>
      <c r="Z270" s="2" t="str">
        <f>IFERROR(__xludf.DUMMYFUNCTION("IMPORTRANGE(""https://docs.google.com/spreadsheets/d/""&amp;$A270&amp;""/edit#gid=156619080"",Z$3)"),"#REF!")</f>
        <v>#REF!</v>
      </c>
      <c r="AA270" s="2" t="str">
        <f>IFERROR(__xludf.DUMMYFUNCTION("IMPORTRANGE(""https://docs.google.com/spreadsheets/d/""&amp;$A270&amp;""/edit#gid=156619080"",AA$3)"),"#REF!")</f>
        <v>#REF!</v>
      </c>
      <c r="AB270" s="2" t="str">
        <f>IFERROR(__xludf.DUMMYFUNCTION("IMPORTRANGE(""https://docs.google.com/spreadsheets/d/""&amp;$A270&amp;""/edit#gid=156619080"",AB$3)"),"#REF!")</f>
        <v>#REF!</v>
      </c>
      <c r="AC270" s="2" t="str">
        <f>IFERROR(__xludf.DUMMYFUNCTION("IMPORTRANGE(""https://docs.google.com/spreadsheets/d/""&amp;$A270&amp;""/edit#gid=156619080"",AC$3)"),"#REF!")</f>
        <v>#REF!</v>
      </c>
      <c r="AD270" s="2" t="str">
        <f>IFERROR(__xludf.DUMMYFUNCTION("IMPORTRANGE(""https://docs.google.com/spreadsheets/d/""&amp;$A270&amp;""/edit#gid=156619080"",AD$3)"),"#REF!")</f>
        <v>#REF!</v>
      </c>
      <c r="AE270" s="2" t="str">
        <f>IFERROR(__xludf.DUMMYFUNCTION("IMPORTRANGE(""https://docs.google.com/spreadsheets/d/""&amp;$A270&amp;""/edit#gid=156619080"",AE$3)"),"#REF!")</f>
        <v>#REF!</v>
      </c>
      <c r="AF270" s="2" t="str">
        <f>IFERROR(__xludf.DUMMYFUNCTION("IMPORTRANGE(""https://docs.google.com/spreadsheets/d/""&amp;$A270&amp;""/edit#gid=156619080"",AF$3)"),"#REF!")</f>
        <v>#REF!</v>
      </c>
      <c r="AG270" s="2" t="str">
        <f>IFERROR(__xludf.DUMMYFUNCTION("IMPORTRANGE(""https://docs.google.com/spreadsheets/d/""&amp;$A270&amp;""/edit#gid=156619080"",AG$3)"),"#REF!")</f>
        <v>#REF!</v>
      </c>
      <c r="AH270" s="2" t="str">
        <f>IFERROR(__xludf.DUMMYFUNCTION("IMPORTRANGE(""https://docs.google.com/spreadsheets/d/""&amp;$A270&amp;""/edit#gid=156619080"",AH$3)"),"#REF!")</f>
        <v>#REF!</v>
      </c>
      <c r="AI270" s="2" t="str">
        <f>IFERROR(__xludf.DUMMYFUNCTION("IMPORTRANGE(""https://docs.google.com/spreadsheets/d/""&amp;$A270&amp;""/edit#gid=156619080"",AI$3)"),"#REF!")</f>
        <v>#REF!</v>
      </c>
      <c r="AJ270" s="2" t="str">
        <f>IFERROR(__xludf.DUMMYFUNCTION("IMPORTRANGE(""https://docs.google.com/spreadsheets/d/""&amp;$A270&amp;""/edit#gid=156619080"",AJ$3)"),"#REF!")</f>
        <v>#REF!</v>
      </c>
      <c r="AK270" s="2" t="str">
        <f>IFERROR(__xludf.DUMMYFUNCTION("IMPORTRANGE(""https://docs.google.com/spreadsheets/d/""&amp;$A270&amp;""/edit#gid=156619080"",AK$3)"),"#REF!")</f>
        <v>#REF!</v>
      </c>
      <c r="AL270" s="2" t="str">
        <f>IFERROR(__xludf.DUMMYFUNCTION("IMPORTRANGE(""https://docs.google.com/spreadsheets/d/""&amp;$A270&amp;""/edit#gid=156619080"",AL$3)"),"#REF!")</f>
        <v>#REF!</v>
      </c>
      <c r="AM270" s="2" t="str">
        <f>IFERROR(__xludf.DUMMYFUNCTION("IMPORTRANGE(""https://docs.google.com/spreadsheets/d/""&amp;$A270&amp;""/edit#gid=156619080"",AM$3)"),"#REF!")</f>
        <v>#REF!</v>
      </c>
      <c r="AN270" s="2" t="str">
        <f>IFERROR(__xludf.DUMMYFUNCTION("IMPORTRANGE(""https://docs.google.com/spreadsheets/d/""&amp;$A270&amp;""/edit#gid=156619080"",AN$3)"),"#REF!")</f>
        <v>#REF!</v>
      </c>
      <c r="AO270" s="2" t="str">
        <f>IFERROR(__xludf.DUMMYFUNCTION("IMPORTRANGE(""https://docs.google.com/spreadsheets/d/""&amp;$A270&amp;""/edit#gid=156619080"",AO$3)"),"#REF!")</f>
        <v>#REF!</v>
      </c>
      <c r="AP270" s="2" t="str">
        <f>IFERROR(__xludf.DUMMYFUNCTION("IMPORTRANGE(""https://docs.google.com/spreadsheets/d/""&amp;$A270&amp;""/edit#gid=156619080"",AP$3)"),"#REF!")</f>
        <v>#REF!</v>
      </c>
      <c r="AQ270" s="2" t="str">
        <f>IFERROR(__xludf.DUMMYFUNCTION("IMPORTRANGE(""https://docs.google.com/spreadsheets/d/""&amp;$A270&amp;""/edit#gid=156619080"",AQ$3)"),"#REF!")</f>
        <v>#REF!</v>
      </c>
      <c r="AR270" s="2" t="str">
        <f>IFERROR(__xludf.DUMMYFUNCTION("IMPORTRANGE(""https://docs.google.com/spreadsheets/d/""&amp;$A270&amp;""/edit#gid=156619080"",AR$3)"),"#REF!")</f>
        <v>#REF!</v>
      </c>
      <c r="AS270" s="19" t="str">
        <f>IFERROR(__xludf.DUMMYFUNCTION("IMPORTRANGE(""https://docs.google.com/spreadsheets/d/""&amp;$A270&amp;""/edit#gid=156619080"",AS$3)"),"#REF!")</f>
        <v>#REF!</v>
      </c>
      <c r="AT270" s="2" t="str">
        <f>IFERROR(__xludf.DUMMYFUNCTION("IMPORTRANGE(""https://docs.google.com/spreadsheets/d/""&amp;$A270&amp;""/edit#gid=156619080"",AT$3)"),"#REF!")</f>
        <v>#REF!</v>
      </c>
      <c r="AU270" s="3" t="str">
        <f>IFERROR(__xludf.DUMMYFUNCTION("IMPORTRANGE(""https://docs.google.com/spreadsheets/d/""&amp;$A270&amp;""/edit#gid=156619080"",AU$3)"),"#REF!")</f>
        <v>#REF!</v>
      </c>
      <c r="AV270" s="2" t="str">
        <f>IFERROR(__xludf.DUMMYFUNCTION("IMPORTRANGE(""https://docs.google.com/spreadsheets/d/""&amp;$A270&amp;""/edit#gid=156619080"",AV$3)"),"#REF!")</f>
        <v>#REF!</v>
      </c>
      <c r="AW270" s="19" t="str">
        <f>IFERROR(__xludf.DUMMYFUNCTION("IMPORTRANGE(""https://docs.google.com/spreadsheets/d/""&amp;$A270&amp;""/edit#gid=156619080"",AW$3)"),"#REF!")</f>
        <v>#REF!</v>
      </c>
      <c r="AX270" s="2" t="str">
        <f>IFERROR(__xludf.DUMMYFUNCTION("IMPORTRANGE(""https://docs.google.com/spreadsheets/d/""&amp;$A270&amp;""/edit#gid=156619080"",AX$3)"),"#REF!")</f>
        <v>#REF!</v>
      </c>
      <c r="AY270" s="2" t="str">
        <f>IFERROR(__xludf.DUMMYFUNCTION("IMPORTRANGE(""https://docs.google.com/spreadsheets/d/""&amp;$A270&amp;""/edit#gid=156619080"",AY$3)"),"#REF!")</f>
        <v>#REF!</v>
      </c>
      <c r="AZ270" s="2" t="str">
        <f>IFERROR(__xludf.DUMMYFUNCTION("IMPORTRANGE(""https://docs.google.com/spreadsheets/d/""&amp;$A270&amp;""/edit#gid=156619080"",AZ$3)"),"#REF!")</f>
        <v>#REF!</v>
      </c>
      <c r="BA270" s="2" t="str">
        <f>IFERROR(__xludf.DUMMYFUNCTION("IMPORTRANGE(""https://docs.google.com/spreadsheets/d/""&amp;$A270&amp;""/edit#gid=156619080"",BA$3)"),"#REF!")</f>
        <v>#REF!</v>
      </c>
      <c r="BB270" s="2" t="str">
        <f>IFERROR(__xludf.DUMMYFUNCTION("IMPORTRANGE(""https://docs.google.com/spreadsheets/d/""&amp;$A270&amp;""/edit#gid=156619080"",BB$3)"),"#REF!")</f>
        <v>#REF!</v>
      </c>
      <c r="BC270" s="2" t="str">
        <f>IFERROR(__xludf.DUMMYFUNCTION("IMPORTRANGE(""https://docs.google.com/spreadsheets/d/""&amp;$A270&amp;""/edit#gid=156619080"",BC$3)"),"#REF!")</f>
        <v>#REF!</v>
      </c>
    </row>
    <row r="271" ht="51.0" customHeight="1">
      <c r="A271" s="7" t="str">
        <f t="shared" si="5"/>
        <v>1yTFM9iw5-ihOP-VAhxbUnhX3nQC8wgVGfKCCrz1MEf0</v>
      </c>
      <c r="B271" s="1" t="s">
        <v>298</v>
      </c>
      <c r="C271" s="2" t="str">
        <f>IFERROR(__xludf.DUMMYFUNCTION("IMPORTRANGE(""https://docs.google.com/spreadsheets/d/""&amp;$A271&amp;""/edit#gid=156619080"",C$3)"),"#REF!")</f>
        <v>#REF!</v>
      </c>
      <c r="D271" s="2" t="str">
        <f>IFERROR(__xludf.DUMMYFUNCTION("IMPORTRANGE(""https://docs.google.com/spreadsheets/d/""&amp;$A271&amp;""/edit#gid=156619080"",D$3)"),"#REF!")</f>
        <v>#REF!</v>
      </c>
      <c r="E271" s="2" t="str">
        <f>IFERROR(__xludf.DUMMYFUNCTION("IMPORTRANGE(""https://docs.google.com/spreadsheets/d/""&amp;$A271&amp;""/edit#gid=156619080"",E$3)"),"#REF!")</f>
        <v>#REF!</v>
      </c>
      <c r="F271" s="2" t="str">
        <f>IFERROR(__xludf.DUMMYFUNCTION("IMPORTRANGE(""https://docs.google.com/spreadsheets/d/""&amp;$A271&amp;""/edit#gid=156619080"",F$3)"),"#REF!")</f>
        <v>#REF!</v>
      </c>
      <c r="G271" s="2" t="str">
        <f>IFERROR(__xludf.DUMMYFUNCTION("IMPORTRANGE(""https://docs.google.com/spreadsheets/d/""&amp;$A271&amp;""/edit#gid=156619080"",G$3)"),"#REF!")</f>
        <v>#REF!</v>
      </c>
      <c r="H271" s="2" t="str">
        <f>IFERROR(__xludf.DUMMYFUNCTION("IMPORTRANGE(""https://docs.google.com/spreadsheets/d/""&amp;$A271&amp;""/edit#gid=156619080"",H$3)"),"#REF!")</f>
        <v>#REF!</v>
      </c>
      <c r="I271" s="2" t="str">
        <f>IFERROR(__xludf.DUMMYFUNCTION("IMPORTRANGE(""https://docs.google.com/spreadsheets/d/""&amp;$A271&amp;""/edit#gid=156619080"",I$3)"),"#REF!")</f>
        <v>#REF!</v>
      </c>
      <c r="J271" s="2" t="str">
        <f>IFERROR(__xludf.DUMMYFUNCTION("IMPORTRANGE(""https://docs.google.com/spreadsheets/d/""&amp;$A271&amp;""/edit#gid=156619080"",J$3)"),"#REF!")</f>
        <v>#REF!</v>
      </c>
      <c r="K271" s="2" t="str">
        <f>IFERROR(__xludf.DUMMYFUNCTION("IMPORTRANGE(""https://docs.google.com/spreadsheets/d/""&amp;$A271&amp;""/edit#gid=156619080"",K$3)"),"#REF!")</f>
        <v>#REF!</v>
      </c>
      <c r="L271" s="2" t="str">
        <f>IFERROR(__xludf.DUMMYFUNCTION("IMPORTRANGE(""https://docs.google.com/spreadsheets/d/""&amp;$A271&amp;""/edit#gid=156619080"",L$3)"),"#REF!")</f>
        <v>#REF!</v>
      </c>
      <c r="M271" s="2" t="str">
        <f>IFERROR(__xludf.DUMMYFUNCTION("IMPORTRANGE(""https://docs.google.com/spreadsheets/d/""&amp;$A271&amp;""/edit#gid=156619080"",M$3)"),"#REF!")</f>
        <v>#REF!</v>
      </c>
      <c r="N271" s="2" t="str">
        <f>IFERROR(__xludf.DUMMYFUNCTION("IMPORTRANGE(""https://docs.google.com/spreadsheets/d/""&amp;$A271&amp;""/edit#gid=156619080"",N$3)"),"#REF!")</f>
        <v>#REF!</v>
      </c>
      <c r="O271" s="2" t="str">
        <f>IFERROR(__xludf.DUMMYFUNCTION("IMPORTRANGE(""https://docs.google.com/spreadsheets/d/""&amp;$A271&amp;""/edit#gid=156619080"",O$3)"),"#REF!")</f>
        <v>#REF!</v>
      </c>
      <c r="P271" s="2" t="str">
        <f>IFERROR(__xludf.DUMMYFUNCTION("IMPORTRANGE(""https://docs.google.com/spreadsheets/d/""&amp;$A271&amp;""/edit#gid=156619080"",P$3)"),"#REF!")</f>
        <v>#REF!</v>
      </c>
      <c r="Q271" s="2" t="str">
        <f>IFERROR(__xludf.DUMMYFUNCTION("IMPORTRANGE(""https://docs.google.com/spreadsheets/d/""&amp;$A271&amp;""/edit#gid=156619080"",Q$3)"),"#REF!")</f>
        <v>#REF!</v>
      </c>
      <c r="R271" s="2" t="str">
        <f>IFERROR(__xludf.DUMMYFUNCTION("IMPORTRANGE(""https://docs.google.com/spreadsheets/d/""&amp;$A271&amp;""/edit#gid=156619080"",R$3)"),"#REF!")</f>
        <v>#REF!</v>
      </c>
      <c r="S271" s="2" t="str">
        <f>IFERROR(__xludf.DUMMYFUNCTION("IMPORTRANGE(""https://docs.google.com/spreadsheets/d/""&amp;$A271&amp;""/edit#gid=156619080"",S$3)"),"#REF!")</f>
        <v>#REF!</v>
      </c>
      <c r="T271" s="2" t="str">
        <f>IFERROR(__xludf.DUMMYFUNCTION("IMPORTRANGE(""https://docs.google.com/spreadsheets/d/""&amp;$A271&amp;""/edit#gid=156619080"",T$3)"),"#REF!")</f>
        <v>#REF!</v>
      </c>
      <c r="U271" s="2" t="str">
        <f>IFERROR(__xludf.DUMMYFUNCTION("IMPORTRANGE(""https://docs.google.com/spreadsheets/d/""&amp;$A271&amp;""/edit#gid=156619080"",U$3)"),"#REF!")</f>
        <v>#REF!</v>
      </c>
      <c r="V271" s="2" t="str">
        <f>IFERROR(__xludf.DUMMYFUNCTION("IMPORTRANGE(""https://docs.google.com/spreadsheets/d/""&amp;$A271&amp;""/edit#gid=156619080"",V$3)"),"#REF!")</f>
        <v>#REF!</v>
      </c>
      <c r="W271" s="2" t="str">
        <f>IFERROR(__xludf.DUMMYFUNCTION("IMPORTRANGE(""https://docs.google.com/spreadsheets/d/""&amp;$A271&amp;""/edit#gid=156619080"",W$3)"),"#REF!")</f>
        <v>#REF!</v>
      </c>
      <c r="X271" s="2" t="str">
        <f>IFERROR(__xludf.DUMMYFUNCTION("IMPORTRANGE(""https://docs.google.com/spreadsheets/d/""&amp;$A271&amp;""/edit#gid=156619080"",X$3)"),"#REF!")</f>
        <v>#REF!</v>
      </c>
      <c r="Y271" s="2" t="str">
        <f>IFERROR(__xludf.DUMMYFUNCTION("IMPORTRANGE(""https://docs.google.com/spreadsheets/d/""&amp;$A271&amp;""/edit#gid=156619080"",Y$3)"),"#REF!")</f>
        <v>#REF!</v>
      </c>
      <c r="Z271" s="2" t="str">
        <f>IFERROR(__xludf.DUMMYFUNCTION("IMPORTRANGE(""https://docs.google.com/spreadsheets/d/""&amp;$A271&amp;""/edit#gid=156619080"",Z$3)"),"#REF!")</f>
        <v>#REF!</v>
      </c>
      <c r="AA271" s="2" t="str">
        <f>IFERROR(__xludf.DUMMYFUNCTION("IMPORTRANGE(""https://docs.google.com/spreadsheets/d/""&amp;$A271&amp;""/edit#gid=156619080"",AA$3)"),"#REF!")</f>
        <v>#REF!</v>
      </c>
      <c r="AB271" s="2" t="str">
        <f>IFERROR(__xludf.DUMMYFUNCTION("IMPORTRANGE(""https://docs.google.com/spreadsheets/d/""&amp;$A271&amp;""/edit#gid=156619080"",AB$3)"),"#REF!")</f>
        <v>#REF!</v>
      </c>
      <c r="AC271" s="2" t="str">
        <f>IFERROR(__xludf.DUMMYFUNCTION("IMPORTRANGE(""https://docs.google.com/spreadsheets/d/""&amp;$A271&amp;""/edit#gid=156619080"",AC$3)"),"#REF!")</f>
        <v>#REF!</v>
      </c>
      <c r="AD271" s="2" t="str">
        <f>IFERROR(__xludf.DUMMYFUNCTION("IMPORTRANGE(""https://docs.google.com/spreadsheets/d/""&amp;$A271&amp;""/edit#gid=156619080"",AD$3)"),"#REF!")</f>
        <v>#REF!</v>
      </c>
      <c r="AE271" s="2" t="str">
        <f>IFERROR(__xludf.DUMMYFUNCTION("IMPORTRANGE(""https://docs.google.com/spreadsheets/d/""&amp;$A271&amp;""/edit#gid=156619080"",AE$3)"),"#REF!")</f>
        <v>#REF!</v>
      </c>
      <c r="AF271" s="2" t="str">
        <f>IFERROR(__xludf.DUMMYFUNCTION("IMPORTRANGE(""https://docs.google.com/spreadsheets/d/""&amp;$A271&amp;""/edit#gid=156619080"",AF$3)"),"#REF!")</f>
        <v>#REF!</v>
      </c>
      <c r="AG271" s="2" t="str">
        <f>IFERROR(__xludf.DUMMYFUNCTION("IMPORTRANGE(""https://docs.google.com/spreadsheets/d/""&amp;$A271&amp;""/edit#gid=156619080"",AG$3)"),"#REF!")</f>
        <v>#REF!</v>
      </c>
      <c r="AH271" s="2" t="str">
        <f>IFERROR(__xludf.DUMMYFUNCTION("IMPORTRANGE(""https://docs.google.com/spreadsheets/d/""&amp;$A271&amp;""/edit#gid=156619080"",AH$3)"),"#REF!")</f>
        <v>#REF!</v>
      </c>
      <c r="AI271" s="2" t="str">
        <f>IFERROR(__xludf.DUMMYFUNCTION("IMPORTRANGE(""https://docs.google.com/spreadsheets/d/""&amp;$A271&amp;""/edit#gid=156619080"",AI$3)"),"#REF!")</f>
        <v>#REF!</v>
      </c>
      <c r="AJ271" s="2" t="str">
        <f>IFERROR(__xludf.DUMMYFUNCTION("IMPORTRANGE(""https://docs.google.com/spreadsheets/d/""&amp;$A271&amp;""/edit#gid=156619080"",AJ$3)"),"#REF!")</f>
        <v>#REF!</v>
      </c>
      <c r="AK271" s="2" t="str">
        <f>IFERROR(__xludf.DUMMYFUNCTION("IMPORTRANGE(""https://docs.google.com/spreadsheets/d/""&amp;$A271&amp;""/edit#gid=156619080"",AK$3)"),"#REF!")</f>
        <v>#REF!</v>
      </c>
      <c r="AL271" s="2" t="str">
        <f>IFERROR(__xludf.DUMMYFUNCTION("IMPORTRANGE(""https://docs.google.com/spreadsheets/d/""&amp;$A271&amp;""/edit#gid=156619080"",AL$3)"),"#REF!")</f>
        <v>#REF!</v>
      </c>
      <c r="AM271" s="2" t="str">
        <f>IFERROR(__xludf.DUMMYFUNCTION("IMPORTRANGE(""https://docs.google.com/spreadsheets/d/""&amp;$A271&amp;""/edit#gid=156619080"",AM$3)"),"#REF!")</f>
        <v>#REF!</v>
      </c>
      <c r="AN271" s="2" t="str">
        <f>IFERROR(__xludf.DUMMYFUNCTION("IMPORTRANGE(""https://docs.google.com/spreadsheets/d/""&amp;$A271&amp;""/edit#gid=156619080"",AN$3)"),"#REF!")</f>
        <v>#REF!</v>
      </c>
      <c r="AO271" s="2" t="str">
        <f>IFERROR(__xludf.DUMMYFUNCTION("IMPORTRANGE(""https://docs.google.com/spreadsheets/d/""&amp;$A271&amp;""/edit#gid=156619080"",AO$3)"),"#REF!")</f>
        <v>#REF!</v>
      </c>
      <c r="AP271" s="2" t="str">
        <f>IFERROR(__xludf.DUMMYFUNCTION("IMPORTRANGE(""https://docs.google.com/spreadsheets/d/""&amp;$A271&amp;""/edit#gid=156619080"",AP$3)"),"#REF!")</f>
        <v>#REF!</v>
      </c>
      <c r="AQ271" s="2" t="str">
        <f>IFERROR(__xludf.DUMMYFUNCTION("IMPORTRANGE(""https://docs.google.com/spreadsheets/d/""&amp;$A271&amp;""/edit#gid=156619080"",AQ$3)"),"#REF!")</f>
        <v>#REF!</v>
      </c>
      <c r="AR271" s="2" t="str">
        <f>IFERROR(__xludf.DUMMYFUNCTION("IMPORTRANGE(""https://docs.google.com/spreadsheets/d/""&amp;$A271&amp;""/edit#gid=156619080"",AR$3)"),"#REF!")</f>
        <v>#REF!</v>
      </c>
      <c r="AS271" s="19" t="str">
        <f>IFERROR(__xludf.DUMMYFUNCTION("IMPORTRANGE(""https://docs.google.com/spreadsheets/d/""&amp;$A271&amp;""/edit#gid=156619080"",AS$3)"),"#REF!")</f>
        <v>#REF!</v>
      </c>
      <c r="AT271" s="2" t="str">
        <f>IFERROR(__xludf.DUMMYFUNCTION("IMPORTRANGE(""https://docs.google.com/spreadsheets/d/""&amp;$A271&amp;""/edit#gid=156619080"",AT$3)"),"#REF!")</f>
        <v>#REF!</v>
      </c>
      <c r="AU271" s="3" t="str">
        <f>IFERROR(__xludf.DUMMYFUNCTION("IMPORTRANGE(""https://docs.google.com/spreadsheets/d/""&amp;$A271&amp;""/edit#gid=156619080"",AU$3)"),"#REF!")</f>
        <v>#REF!</v>
      </c>
      <c r="AV271" s="2" t="str">
        <f>IFERROR(__xludf.DUMMYFUNCTION("IMPORTRANGE(""https://docs.google.com/spreadsheets/d/""&amp;$A271&amp;""/edit#gid=156619080"",AV$3)"),"#REF!")</f>
        <v>#REF!</v>
      </c>
      <c r="AW271" s="19" t="str">
        <f>IFERROR(__xludf.DUMMYFUNCTION("IMPORTRANGE(""https://docs.google.com/spreadsheets/d/""&amp;$A271&amp;""/edit#gid=156619080"",AW$3)"),"#REF!")</f>
        <v>#REF!</v>
      </c>
      <c r="AX271" s="2" t="str">
        <f>IFERROR(__xludf.DUMMYFUNCTION("IMPORTRANGE(""https://docs.google.com/spreadsheets/d/""&amp;$A271&amp;""/edit#gid=156619080"",AX$3)"),"#REF!")</f>
        <v>#REF!</v>
      </c>
      <c r="AY271" s="2" t="str">
        <f>IFERROR(__xludf.DUMMYFUNCTION("IMPORTRANGE(""https://docs.google.com/spreadsheets/d/""&amp;$A271&amp;""/edit#gid=156619080"",AY$3)"),"#REF!")</f>
        <v>#REF!</v>
      </c>
      <c r="AZ271" s="2" t="str">
        <f>IFERROR(__xludf.DUMMYFUNCTION("IMPORTRANGE(""https://docs.google.com/spreadsheets/d/""&amp;$A271&amp;""/edit#gid=156619080"",AZ$3)"),"#REF!")</f>
        <v>#REF!</v>
      </c>
      <c r="BA271" s="2" t="str">
        <f>IFERROR(__xludf.DUMMYFUNCTION("IMPORTRANGE(""https://docs.google.com/spreadsheets/d/""&amp;$A271&amp;""/edit#gid=156619080"",BA$3)"),"#REF!")</f>
        <v>#REF!</v>
      </c>
      <c r="BB271" s="2" t="str">
        <f>IFERROR(__xludf.DUMMYFUNCTION("IMPORTRANGE(""https://docs.google.com/spreadsheets/d/""&amp;$A271&amp;""/edit#gid=156619080"",BB$3)"),"#REF!")</f>
        <v>#REF!</v>
      </c>
      <c r="BC271" s="2" t="str">
        <f>IFERROR(__xludf.DUMMYFUNCTION("IMPORTRANGE(""https://docs.google.com/spreadsheets/d/""&amp;$A271&amp;""/edit#gid=156619080"",BC$3)"),"#REF!")</f>
        <v>#REF!</v>
      </c>
    </row>
    <row r="272" ht="51.0" customHeight="1">
      <c r="A272" s="7" t="str">
        <f t="shared" si="5"/>
        <v>1KlLjKqIoN-Ctrh9SVGi0Oz-pteThbNOm9a2xh27nR-c</v>
      </c>
      <c r="B272" s="1" t="s">
        <v>299</v>
      </c>
      <c r="C272" s="2" t="str">
        <f>IFERROR(__xludf.DUMMYFUNCTION("IMPORTRANGE(""https://docs.google.com/spreadsheets/d/""&amp;$A272&amp;""/edit#gid=156619080"",C$3)"),"#REF!")</f>
        <v>#REF!</v>
      </c>
      <c r="D272" s="2" t="str">
        <f>IFERROR(__xludf.DUMMYFUNCTION("IMPORTRANGE(""https://docs.google.com/spreadsheets/d/""&amp;$A272&amp;""/edit#gid=156619080"",D$3)"),"#REF!")</f>
        <v>#REF!</v>
      </c>
      <c r="E272" s="2" t="str">
        <f>IFERROR(__xludf.DUMMYFUNCTION("IMPORTRANGE(""https://docs.google.com/spreadsheets/d/""&amp;$A272&amp;""/edit#gid=156619080"",E$3)"),"#REF!")</f>
        <v>#REF!</v>
      </c>
      <c r="F272" s="2" t="str">
        <f>IFERROR(__xludf.DUMMYFUNCTION("IMPORTRANGE(""https://docs.google.com/spreadsheets/d/""&amp;$A272&amp;""/edit#gid=156619080"",F$3)"),"#REF!")</f>
        <v>#REF!</v>
      </c>
      <c r="G272" s="2" t="str">
        <f>IFERROR(__xludf.DUMMYFUNCTION("IMPORTRANGE(""https://docs.google.com/spreadsheets/d/""&amp;$A272&amp;""/edit#gid=156619080"",G$3)"),"#REF!")</f>
        <v>#REF!</v>
      </c>
      <c r="H272" s="2" t="str">
        <f>IFERROR(__xludf.DUMMYFUNCTION("IMPORTRANGE(""https://docs.google.com/spreadsheets/d/""&amp;$A272&amp;""/edit#gid=156619080"",H$3)"),"#REF!")</f>
        <v>#REF!</v>
      </c>
      <c r="I272" s="2" t="str">
        <f>IFERROR(__xludf.DUMMYFUNCTION("IMPORTRANGE(""https://docs.google.com/spreadsheets/d/""&amp;$A272&amp;""/edit#gid=156619080"",I$3)"),"#REF!")</f>
        <v>#REF!</v>
      </c>
      <c r="J272" s="2" t="str">
        <f>IFERROR(__xludf.DUMMYFUNCTION("IMPORTRANGE(""https://docs.google.com/spreadsheets/d/""&amp;$A272&amp;""/edit#gid=156619080"",J$3)"),"#REF!")</f>
        <v>#REF!</v>
      </c>
      <c r="K272" s="2" t="str">
        <f>IFERROR(__xludf.DUMMYFUNCTION("IMPORTRANGE(""https://docs.google.com/spreadsheets/d/""&amp;$A272&amp;""/edit#gid=156619080"",K$3)"),"#REF!")</f>
        <v>#REF!</v>
      </c>
      <c r="L272" s="2" t="str">
        <f>IFERROR(__xludf.DUMMYFUNCTION("IMPORTRANGE(""https://docs.google.com/spreadsheets/d/""&amp;$A272&amp;""/edit#gid=156619080"",L$3)"),"#REF!")</f>
        <v>#REF!</v>
      </c>
      <c r="M272" s="2" t="str">
        <f>IFERROR(__xludf.DUMMYFUNCTION("IMPORTRANGE(""https://docs.google.com/spreadsheets/d/""&amp;$A272&amp;""/edit#gid=156619080"",M$3)"),"#REF!")</f>
        <v>#REF!</v>
      </c>
      <c r="N272" s="2" t="str">
        <f>IFERROR(__xludf.DUMMYFUNCTION("IMPORTRANGE(""https://docs.google.com/spreadsheets/d/""&amp;$A272&amp;""/edit#gid=156619080"",N$3)"),"#REF!")</f>
        <v>#REF!</v>
      </c>
      <c r="O272" s="2" t="str">
        <f>IFERROR(__xludf.DUMMYFUNCTION("IMPORTRANGE(""https://docs.google.com/spreadsheets/d/""&amp;$A272&amp;""/edit#gid=156619080"",O$3)"),"#REF!")</f>
        <v>#REF!</v>
      </c>
      <c r="P272" s="2" t="str">
        <f>IFERROR(__xludf.DUMMYFUNCTION("IMPORTRANGE(""https://docs.google.com/spreadsheets/d/""&amp;$A272&amp;""/edit#gid=156619080"",P$3)"),"#REF!")</f>
        <v>#REF!</v>
      </c>
      <c r="Q272" s="2" t="str">
        <f>IFERROR(__xludf.DUMMYFUNCTION("IMPORTRANGE(""https://docs.google.com/spreadsheets/d/""&amp;$A272&amp;""/edit#gid=156619080"",Q$3)"),"#REF!")</f>
        <v>#REF!</v>
      </c>
      <c r="R272" s="2" t="str">
        <f>IFERROR(__xludf.DUMMYFUNCTION("IMPORTRANGE(""https://docs.google.com/spreadsheets/d/""&amp;$A272&amp;""/edit#gid=156619080"",R$3)"),"#REF!")</f>
        <v>#REF!</v>
      </c>
      <c r="S272" s="2" t="str">
        <f>IFERROR(__xludf.DUMMYFUNCTION("IMPORTRANGE(""https://docs.google.com/spreadsheets/d/""&amp;$A272&amp;""/edit#gid=156619080"",S$3)"),"#REF!")</f>
        <v>#REF!</v>
      </c>
      <c r="T272" s="2" t="str">
        <f>IFERROR(__xludf.DUMMYFUNCTION("IMPORTRANGE(""https://docs.google.com/spreadsheets/d/""&amp;$A272&amp;""/edit#gid=156619080"",T$3)"),"#REF!")</f>
        <v>#REF!</v>
      </c>
      <c r="U272" s="2" t="str">
        <f>IFERROR(__xludf.DUMMYFUNCTION("IMPORTRANGE(""https://docs.google.com/spreadsheets/d/""&amp;$A272&amp;""/edit#gid=156619080"",U$3)"),"#REF!")</f>
        <v>#REF!</v>
      </c>
      <c r="V272" s="2" t="str">
        <f>IFERROR(__xludf.DUMMYFUNCTION("IMPORTRANGE(""https://docs.google.com/spreadsheets/d/""&amp;$A272&amp;""/edit#gid=156619080"",V$3)"),"#REF!")</f>
        <v>#REF!</v>
      </c>
      <c r="W272" s="2" t="str">
        <f>IFERROR(__xludf.DUMMYFUNCTION("IMPORTRANGE(""https://docs.google.com/spreadsheets/d/""&amp;$A272&amp;""/edit#gid=156619080"",W$3)"),"#REF!")</f>
        <v>#REF!</v>
      </c>
      <c r="X272" s="2" t="str">
        <f>IFERROR(__xludf.DUMMYFUNCTION("IMPORTRANGE(""https://docs.google.com/spreadsheets/d/""&amp;$A272&amp;""/edit#gid=156619080"",X$3)"),"#REF!")</f>
        <v>#REF!</v>
      </c>
      <c r="Y272" s="2" t="str">
        <f>IFERROR(__xludf.DUMMYFUNCTION("IMPORTRANGE(""https://docs.google.com/spreadsheets/d/""&amp;$A272&amp;""/edit#gid=156619080"",Y$3)"),"#REF!")</f>
        <v>#REF!</v>
      </c>
      <c r="Z272" s="2" t="str">
        <f>IFERROR(__xludf.DUMMYFUNCTION("IMPORTRANGE(""https://docs.google.com/spreadsheets/d/""&amp;$A272&amp;""/edit#gid=156619080"",Z$3)"),"#REF!")</f>
        <v>#REF!</v>
      </c>
      <c r="AA272" s="2" t="str">
        <f>IFERROR(__xludf.DUMMYFUNCTION("IMPORTRANGE(""https://docs.google.com/spreadsheets/d/""&amp;$A272&amp;""/edit#gid=156619080"",AA$3)"),"#REF!")</f>
        <v>#REF!</v>
      </c>
      <c r="AB272" s="2" t="str">
        <f>IFERROR(__xludf.DUMMYFUNCTION("IMPORTRANGE(""https://docs.google.com/spreadsheets/d/""&amp;$A272&amp;""/edit#gid=156619080"",AB$3)"),"#REF!")</f>
        <v>#REF!</v>
      </c>
      <c r="AC272" s="2" t="str">
        <f>IFERROR(__xludf.DUMMYFUNCTION("IMPORTRANGE(""https://docs.google.com/spreadsheets/d/""&amp;$A272&amp;""/edit#gid=156619080"",AC$3)"),"#REF!")</f>
        <v>#REF!</v>
      </c>
      <c r="AD272" s="2" t="str">
        <f>IFERROR(__xludf.DUMMYFUNCTION("IMPORTRANGE(""https://docs.google.com/spreadsheets/d/""&amp;$A272&amp;""/edit#gid=156619080"",AD$3)"),"#REF!")</f>
        <v>#REF!</v>
      </c>
      <c r="AE272" s="2" t="str">
        <f>IFERROR(__xludf.DUMMYFUNCTION("IMPORTRANGE(""https://docs.google.com/spreadsheets/d/""&amp;$A272&amp;""/edit#gid=156619080"",AE$3)"),"#REF!")</f>
        <v>#REF!</v>
      </c>
      <c r="AF272" s="2" t="str">
        <f>IFERROR(__xludf.DUMMYFUNCTION("IMPORTRANGE(""https://docs.google.com/spreadsheets/d/""&amp;$A272&amp;""/edit#gid=156619080"",AF$3)"),"#REF!")</f>
        <v>#REF!</v>
      </c>
      <c r="AG272" s="2" t="str">
        <f>IFERROR(__xludf.DUMMYFUNCTION("IMPORTRANGE(""https://docs.google.com/spreadsheets/d/""&amp;$A272&amp;""/edit#gid=156619080"",AG$3)"),"#REF!")</f>
        <v>#REF!</v>
      </c>
      <c r="AH272" s="2" t="str">
        <f>IFERROR(__xludf.DUMMYFUNCTION("IMPORTRANGE(""https://docs.google.com/spreadsheets/d/""&amp;$A272&amp;""/edit#gid=156619080"",AH$3)"),"#REF!")</f>
        <v>#REF!</v>
      </c>
      <c r="AI272" s="2" t="str">
        <f>IFERROR(__xludf.DUMMYFUNCTION("IMPORTRANGE(""https://docs.google.com/spreadsheets/d/""&amp;$A272&amp;""/edit#gid=156619080"",AI$3)"),"#REF!")</f>
        <v>#REF!</v>
      </c>
      <c r="AJ272" s="2" t="str">
        <f>IFERROR(__xludf.DUMMYFUNCTION("IMPORTRANGE(""https://docs.google.com/spreadsheets/d/""&amp;$A272&amp;""/edit#gid=156619080"",AJ$3)"),"#REF!")</f>
        <v>#REF!</v>
      </c>
      <c r="AK272" s="2" t="str">
        <f>IFERROR(__xludf.DUMMYFUNCTION("IMPORTRANGE(""https://docs.google.com/spreadsheets/d/""&amp;$A272&amp;""/edit#gid=156619080"",AK$3)"),"#REF!")</f>
        <v>#REF!</v>
      </c>
      <c r="AL272" s="2" t="str">
        <f>IFERROR(__xludf.DUMMYFUNCTION("IMPORTRANGE(""https://docs.google.com/spreadsheets/d/""&amp;$A272&amp;""/edit#gid=156619080"",AL$3)"),"#REF!")</f>
        <v>#REF!</v>
      </c>
      <c r="AM272" s="2" t="str">
        <f>IFERROR(__xludf.DUMMYFUNCTION("IMPORTRANGE(""https://docs.google.com/spreadsheets/d/""&amp;$A272&amp;""/edit#gid=156619080"",AM$3)"),"#REF!")</f>
        <v>#REF!</v>
      </c>
      <c r="AN272" s="2" t="str">
        <f>IFERROR(__xludf.DUMMYFUNCTION("IMPORTRANGE(""https://docs.google.com/spreadsheets/d/""&amp;$A272&amp;""/edit#gid=156619080"",AN$3)"),"#REF!")</f>
        <v>#REF!</v>
      </c>
      <c r="AO272" s="2" t="str">
        <f>IFERROR(__xludf.DUMMYFUNCTION("IMPORTRANGE(""https://docs.google.com/spreadsheets/d/""&amp;$A272&amp;""/edit#gid=156619080"",AO$3)"),"#REF!")</f>
        <v>#REF!</v>
      </c>
      <c r="AP272" s="2" t="str">
        <f>IFERROR(__xludf.DUMMYFUNCTION("IMPORTRANGE(""https://docs.google.com/spreadsheets/d/""&amp;$A272&amp;""/edit#gid=156619080"",AP$3)"),"#REF!")</f>
        <v>#REF!</v>
      </c>
      <c r="AQ272" s="2" t="str">
        <f>IFERROR(__xludf.DUMMYFUNCTION("IMPORTRANGE(""https://docs.google.com/spreadsheets/d/""&amp;$A272&amp;""/edit#gid=156619080"",AQ$3)"),"#REF!")</f>
        <v>#REF!</v>
      </c>
      <c r="AR272" s="2" t="str">
        <f>IFERROR(__xludf.DUMMYFUNCTION("IMPORTRANGE(""https://docs.google.com/spreadsheets/d/""&amp;$A272&amp;""/edit#gid=156619080"",AR$3)"),"#REF!")</f>
        <v>#REF!</v>
      </c>
      <c r="AS272" s="19" t="str">
        <f>IFERROR(__xludf.DUMMYFUNCTION("IMPORTRANGE(""https://docs.google.com/spreadsheets/d/""&amp;$A272&amp;""/edit#gid=156619080"",AS$3)"),"#REF!")</f>
        <v>#REF!</v>
      </c>
      <c r="AT272" s="2" t="str">
        <f>IFERROR(__xludf.DUMMYFUNCTION("IMPORTRANGE(""https://docs.google.com/spreadsheets/d/""&amp;$A272&amp;""/edit#gid=156619080"",AT$3)"),"#REF!")</f>
        <v>#REF!</v>
      </c>
      <c r="AU272" s="3" t="str">
        <f>IFERROR(__xludf.DUMMYFUNCTION("IMPORTRANGE(""https://docs.google.com/spreadsheets/d/""&amp;$A272&amp;""/edit#gid=156619080"",AU$3)"),"#REF!")</f>
        <v>#REF!</v>
      </c>
      <c r="AV272" s="2" t="str">
        <f>IFERROR(__xludf.DUMMYFUNCTION("IMPORTRANGE(""https://docs.google.com/spreadsheets/d/""&amp;$A272&amp;""/edit#gid=156619080"",AV$3)"),"#REF!")</f>
        <v>#REF!</v>
      </c>
      <c r="AW272" s="19" t="str">
        <f>IFERROR(__xludf.DUMMYFUNCTION("IMPORTRANGE(""https://docs.google.com/spreadsheets/d/""&amp;$A272&amp;""/edit#gid=156619080"",AW$3)"),"#REF!")</f>
        <v>#REF!</v>
      </c>
      <c r="AX272" s="2" t="str">
        <f>IFERROR(__xludf.DUMMYFUNCTION("IMPORTRANGE(""https://docs.google.com/spreadsheets/d/""&amp;$A272&amp;""/edit#gid=156619080"",AX$3)"),"#REF!")</f>
        <v>#REF!</v>
      </c>
      <c r="AY272" s="2" t="str">
        <f>IFERROR(__xludf.DUMMYFUNCTION("IMPORTRANGE(""https://docs.google.com/spreadsheets/d/""&amp;$A272&amp;""/edit#gid=156619080"",AY$3)"),"#REF!")</f>
        <v>#REF!</v>
      </c>
      <c r="AZ272" s="2" t="str">
        <f>IFERROR(__xludf.DUMMYFUNCTION("IMPORTRANGE(""https://docs.google.com/spreadsheets/d/""&amp;$A272&amp;""/edit#gid=156619080"",AZ$3)"),"#REF!")</f>
        <v>#REF!</v>
      </c>
      <c r="BA272" s="2" t="str">
        <f>IFERROR(__xludf.DUMMYFUNCTION("IMPORTRANGE(""https://docs.google.com/spreadsheets/d/""&amp;$A272&amp;""/edit#gid=156619080"",BA$3)"),"#REF!")</f>
        <v>#REF!</v>
      </c>
      <c r="BB272" s="2" t="str">
        <f>IFERROR(__xludf.DUMMYFUNCTION("IMPORTRANGE(""https://docs.google.com/spreadsheets/d/""&amp;$A272&amp;""/edit#gid=156619080"",BB$3)"),"#REF!")</f>
        <v>#REF!</v>
      </c>
      <c r="BC272" s="2" t="str">
        <f>IFERROR(__xludf.DUMMYFUNCTION("IMPORTRANGE(""https://docs.google.com/spreadsheets/d/""&amp;$A272&amp;""/edit#gid=156619080"",BC$3)"),"#REF!")</f>
        <v>#REF!</v>
      </c>
    </row>
    <row r="273" ht="51.0" customHeight="1">
      <c r="A273" s="7" t="str">
        <f t="shared" si="5"/>
        <v>11UNX2Fq-C8trhPPjKaGJTWX-zQsYt0y3CHWq6eczXYI</v>
      </c>
      <c r="B273" s="1" t="s">
        <v>300</v>
      </c>
      <c r="C273" s="2" t="str">
        <f>IFERROR(__xludf.DUMMYFUNCTION("IMPORTRANGE(""https://docs.google.com/spreadsheets/d/""&amp;$A273&amp;""/edit#gid=156619080"",C$3)"),"#REF!")</f>
        <v>#REF!</v>
      </c>
      <c r="D273" s="2" t="str">
        <f>IFERROR(__xludf.DUMMYFUNCTION("IMPORTRANGE(""https://docs.google.com/spreadsheets/d/""&amp;$A273&amp;""/edit#gid=156619080"",D$3)"),"#REF!")</f>
        <v>#REF!</v>
      </c>
      <c r="E273" s="2" t="str">
        <f>IFERROR(__xludf.DUMMYFUNCTION("IMPORTRANGE(""https://docs.google.com/spreadsheets/d/""&amp;$A273&amp;""/edit#gid=156619080"",E$3)"),"#REF!")</f>
        <v>#REF!</v>
      </c>
      <c r="F273" s="2" t="str">
        <f>IFERROR(__xludf.DUMMYFUNCTION("IMPORTRANGE(""https://docs.google.com/spreadsheets/d/""&amp;$A273&amp;""/edit#gid=156619080"",F$3)"),"#REF!")</f>
        <v>#REF!</v>
      </c>
      <c r="G273" s="2" t="str">
        <f>IFERROR(__xludf.DUMMYFUNCTION("IMPORTRANGE(""https://docs.google.com/spreadsheets/d/""&amp;$A273&amp;""/edit#gid=156619080"",G$3)"),"#REF!")</f>
        <v>#REF!</v>
      </c>
      <c r="H273" s="2" t="str">
        <f>IFERROR(__xludf.DUMMYFUNCTION("IMPORTRANGE(""https://docs.google.com/spreadsheets/d/""&amp;$A273&amp;""/edit#gid=156619080"",H$3)"),"#REF!")</f>
        <v>#REF!</v>
      </c>
      <c r="I273" s="2" t="str">
        <f>IFERROR(__xludf.DUMMYFUNCTION("IMPORTRANGE(""https://docs.google.com/spreadsheets/d/""&amp;$A273&amp;""/edit#gid=156619080"",I$3)"),"#REF!")</f>
        <v>#REF!</v>
      </c>
      <c r="J273" s="2" t="str">
        <f>IFERROR(__xludf.DUMMYFUNCTION("IMPORTRANGE(""https://docs.google.com/spreadsheets/d/""&amp;$A273&amp;""/edit#gid=156619080"",J$3)"),"#REF!")</f>
        <v>#REF!</v>
      </c>
      <c r="K273" s="2" t="str">
        <f>IFERROR(__xludf.DUMMYFUNCTION("IMPORTRANGE(""https://docs.google.com/spreadsheets/d/""&amp;$A273&amp;""/edit#gid=156619080"",K$3)"),"#REF!")</f>
        <v>#REF!</v>
      </c>
      <c r="L273" s="2" t="str">
        <f>IFERROR(__xludf.DUMMYFUNCTION("IMPORTRANGE(""https://docs.google.com/spreadsheets/d/""&amp;$A273&amp;""/edit#gid=156619080"",L$3)"),"#REF!")</f>
        <v>#REF!</v>
      </c>
      <c r="M273" s="2" t="str">
        <f>IFERROR(__xludf.DUMMYFUNCTION("IMPORTRANGE(""https://docs.google.com/spreadsheets/d/""&amp;$A273&amp;""/edit#gid=156619080"",M$3)"),"#REF!")</f>
        <v>#REF!</v>
      </c>
      <c r="N273" s="2" t="str">
        <f>IFERROR(__xludf.DUMMYFUNCTION("IMPORTRANGE(""https://docs.google.com/spreadsheets/d/""&amp;$A273&amp;""/edit#gid=156619080"",N$3)"),"#REF!")</f>
        <v>#REF!</v>
      </c>
      <c r="O273" s="2" t="str">
        <f>IFERROR(__xludf.DUMMYFUNCTION("IMPORTRANGE(""https://docs.google.com/spreadsheets/d/""&amp;$A273&amp;""/edit#gid=156619080"",O$3)"),"#REF!")</f>
        <v>#REF!</v>
      </c>
      <c r="P273" s="2" t="str">
        <f>IFERROR(__xludf.DUMMYFUNCTION("IMPORTRANGE(""https://docs.google.com/spreadsheets/d/""&amp;$A273&amp;""/edit#gid=156619080"",P$3)"),"#REF!")</f>
        <v>#REF!</v>
      </c>
      <c r="Q273" s="2" t="str">
        <f>IFERROR(__xludf.DUMMYFUNCTION("IMPORTRANGE(""https://docs.google.com/spreadsheets/d/""&amp;$A273&amp;""/edit#gid=156619080"",Q$3)"),"#REF!")</f>
        <v>#REF!</v>
      </c>
      <c r="R273" s="2" t="str">
        <f>IFERROR(__xludf.DUMMYFUNCTION("IMPORTRANGE(""https://docs.google.com/spreadsheets/d/""&amp;$A273&amp;""/edit#gid=156619080"",R$3)"),"#REF!")</f>
        <v>#REF!</v>
      </c>
      <c r="S273" s="2" t="str">
        <f>IFERROR(__xludf.DUMMYFUNCTION("IMPORTRANGE(""https://docs.google.com/spreadsheets/d/""&amp;$A273&amp;""/edit#gid=156619080"",S$3)"),"#REF!")</f>
        <v>#REF!</v>
      </c>
      <c r="T273" s="2" t="str">
        <f>IFERROR(__xludf.DUMMYFUNCTION("IMPORTRANGE(""https://docs.google.com/spreadsheets/d/""&amp;$A273&amp;""/edit#gid=156619080"",T$3)"),"#REF!")</f>
        <v>#REF!</v>
      </c>
      <c r="U273" s="2" t="str">
        <f>IFERROR(__xludf.DUMMYFUNCTION("IMPORTRANGE(""https://docs.google.com/spreadsheets/d/""&amp;$A273&amp;""/edit#gid=156619080"",U$3)"),"#REF!")</f>
        <v>#REF!</v>
      </c>
      <c r="V273" s="2" t="str">
        <f>IFERROR(__xludf.DUMMYFUNCTION("IMPORTRANGE(""https://docs.google.com/spreadsheets/d/""&amp;$A273&amp;""/edit#gid=156619080"",V$3)"),"#REF!")</f>
        <v>#REF!</v>
      </c>
      <c r="W273" s="2" t="str">
        <f>IFERROR(__xludf.DUMMYFUNCTION("IMPORTRANGE(""https://docs.google.com/spreadsheets/d/""&amp;$A273&amp;""/edit#gid=156619080"",W$3)"),"#REF!")</f>
        <v>#REF!</v>
      </c>
      <c r="X273" s="2" t="str">
        <f>IFERROR(__xludf.DUMMYFUNCTION("IMPORTRANGE(""https://docs.google.com/spreadsheets/d/""&amp;$A273&amp;""/edit#gid=156619080"",X$3)"),"#REF!")</f>
        <v>#REF!</v>
      </c>
      <c r="Y273" s="2" t="str">
        <f>IFERROR(__xludf.DUMMYFUNCTION("IMPORTRANGE(""https://docs.google.com/spreadsheets/d/""&amp;$A273&amp;""/edit#gid=156619080"",Y$3)"),"#REF!")</f>
        <v>#REF!</v>
      </c>
      <c r="Z273" s="2" t="str">
        <f>IFERROR(__xludf.DUMMYFUNCTION("IMPORTRANGE(""https://docs.google.com/spreadsheets/d/""&amp;$A273&amp;""/edit#gid=156619080"",Z$3)"),"#REF!")</f>
        <v>#REF!</v>
      </c>
      <c r="AA273" s="2" t="str">
        <f>IFERROR(__xludf.DUMMYFUNCTION("IMPORTRANGE(""https://docs.google.com/spreadsheets/d/""&amp;$A273&amp;""/edit#gid=156619080"",AA$3)"),"#REF!")</f>
        <v>#REF!</v>
      </c>
      <c r="AB273" s="2" t="str">
        <f>IFERROR(__xludf.DUMMYFUNCTION("IMPORTRANGE(""https://docs.google.com/spreadsheets/d/""&amp;$A273&amp;""/edit#gid=156619080"",AB$3)"),"#REF!")</f>
        <v>#REF!</v>
      </c>
      <c r="AC273" s="2" t="str">
        <f>IFERROR(__xludf.DUMMYFUNCTION("IMPORTRANGE(""https://docs.google.com/spreadsheets/d/""&amp;$A273&amp;""/edit#gid=156619080"",AC$3)"),"#REF!")</f>
        <v>#REF!</v>
      </c>
      <c r="AD273" s="2" t="str">
        <f>IFERROR(__xludf.DUMMYFUNCTION("IMPORTRANGE(""https://docs.google.com/spreadsheets/d/""&amp;$A273&amp;""/edit#gid=156619080"",AD$3)"),"#REF!")</f>
        <v>#REF!</v>
      </c>
      <c r="AE273" s="2" t="str">
        <f>IFERROR(__xludf.DUMMYFUNCTION("IMPORTRANGE(""https://docs.google.com/spreadsheets/d/""&amp;$A273&amp;""/edit#gid=156619080"",AE$3)"),"#REF!")</f>
        <v>#REF!</v>
      </c>
      <c r="AF273" s="2" t="str">
        <f>IFERROR(__xludf.DUMMYFUNCTION("IMPORTRANGE(""https://docs.google.com/spreadsheets/d/""&amp;$A273&amp;""/edit#gid=156619080"",AF$3)"),"#REF!")</f>
        <v>#REF!</v>
      </c>
      <c r="AG273" s="2" t="str">
        <f>IFERROR(__xludf.DUMMYFUNCTION("IMPORTRANGE(""https://docs.google.com/spreadsheets/d/""&amp;$A273&amp;""/edit#gid=156619080"",AG$3)"),"#REF!")</f>
        <v>#REF!</v>
      </c>
      <c r="AH273" s="2" t="str">
        <f>IFERROR(__xludf.DUMMYFUNCTION("IMPORTRANGE(""https://docs.google.com/spreadsheets/d/""&amp;$A273&amp;""/edit#gid=156619080"",AH$3)"),"#REF!")</f>
        <v>#REF!</v>
      </c>
      <c r="AI273" s="2" t="str">
        <f>IFERROR(__xludf.DUMMYFUNCTION("IMPORTRANGE(""https://docs.google.com/spreadsheets/d/""&amp;$A273&amp;""/edit#gid=156619080"",AI$3)"),"#REF!")</f>
        <v>#REF!</v>
      </c>
      <c r="AJ273" s="2" t="str">
        <f>IFERROR(__xludf.DUMMYFUNCTION("IMPORTRANGE(""https://docs.google.com/spreadsheets/d/""&amp;$A273&amp;""/edit#gid=156619080"",AJ$3)"),"#REF!")</f>
        <v>#REF!</v>
      </c>
      <c r="AK273" s="2" t="str">
        <f>IFERROR(__xludf.DUMMYFUNCTION("IMPORTRANGE(""https://docs.google.com/spreadsheets/d/""&amp;$A273&amp;""/edit#gid=156619080"",AK$3)"),"#REF!")</f>
        <v>#REF!</v>
      </c>
      <c r="AL273" s="2" t="str">
        <f>IFERROR(__xludf.DUMMYFUNCTION("IMPORTRANGE(""https://docs.google.com/spreadsheets/d/""&amp;$A273&amp;""/edit#gid=156619080"",AL$3)"),"#REF!")</f>
        <v>#REF!</v>
      </c>
      <c r="AM273" s="2" t="str">
        <f>IFERROR(__xludf.DUMMYFUNCTION("IMPORTRANGE(""https://docs.google.com/spreadsheets/d/""&amp;$A273&amp;""/edit#gid=156619080"",AM$3)"),"#REF!")</f>
        <v>#REF!</v>
      </c>
      <c r="AN273" s="2" t="str">
        <f>IFERROR(__xludf.DUMMYFUNCTION("IMPORTRANGE(""https://docs.google.com/spreadsheets/d/""&amp;$A273&amp;""/edit#gid=156619080"",AN$3)"),"#REF!")</f>
        <v>#REF!</v>
      </c>
      <c r="AO273" s="2" t="str">
        <f>IFERROR(__xludf.DUMMYFUNCTION("IMPORTRANGE(""https://docs.google.com/spreadsheets/d/""&amp;$A273&amp;""/edit#gid=156619080"",AO$3)"),"#REF!")</f>
        <v>#REF!</v>
      </c>
      <c r="AP273" s="2" t="str">
        <f>IFERROR(__xludf.DUMMYFUNCTION("IMPORTRANGE(""https://docs.google.com/spreadsheets/d/""&amp;$A273&amp;""/edit#gid=156619080"",AP$3)"),"#REF!")</f>
        <v>#REF!</v>
      </c>
      <c r="AQ273" s="2" t="str">
        <f>IFERROR(__xludf.DUMMYFUNCTION("IMPORTRANGE(""https://docs.google.com/spreadsheets/d/""&amp;$A273&amp;""/edit#gid=156619080"",AQ$3)"),"#REF!")</f>
        <v>#REF!</v>
      </c>
      <c r="AR273" s="2" t="str">
        <f>IFERROR(__xludf.DUMMYFUNCTION("IMPORTRANGE(""https://docs.google.com/spreadsheets/d/""&amp;$A273&amp;""/edit#gid=156619080"",AR$3)"),"#REF!")</f>
        <v>#REF!</v>
      </c>
      <c r="AS273" s="19" t="str">
        <f>IFERROR(__xludf.DUMMYFUNCTION("IMPORTRANGE(""https://docs.google.com/spreadsheets/d/""&amp;$A273&amp;""/edit#gid=156619080"",AS$3)"),"#REF!")</f>
        <v>#REF!</v>
      </c>
      <c r="AT273" s="2" t="str">
        <f>IFERROR(__xludf.DUMMYFUNCTION("IMPORTRANGE(""https://docs.google.com/spreadsheets/d/""&amp;$A273&amp;""/edit#gid=156619080"",AT$3)"),"#REF!")</f>
        <v>#REF!</v>
      </c>
      <c r="AU273" s="3" t="str">
        <f>IFERROR(__xludf.DUMMYFUNCTION("IMPORTRANGE(""https://docs.google.com/spreadsheets/d/""&amp;$A273&amp;""/edit#gid=156619080"",AU$3)"),"#REF!")</f>
        <v>#REF!</v>
      </c>
      <c r="AV273" s="2" t="str">
        <f>IFERROR(__xludf.DUMMYFUNCTION("IMPORTRANGE(""https://docs.google.com/spreadsheets/d/""&amp;$A273&amp;""/edit#gid=156619080"",AV$3)"),"#REF!")</f>
        <v>#REF!</v>
      </c>
      <c r="AW273" s="19" t="str">
        <f>IFERROR(__xludf.DUMMYFUNCTION("IMPORTRANGE(""https://docs.google.com/spreadsheets/d/""&amp;$A273&amp;""/edit#gid=156619080"",AW$3)"),"#REF!")</f>
        <v>#REF!</v>
      </c>
      <c r="AX273" s="2" t="str">
        <f>IFERROR(__xludf.DUMMYFUNCTION("IMPORTRANGE(""https://docs.google.com/spreadsheets/d/""&amp;$A273&amp;""/edit#gid=156619080"",AX$3)"),"#REF!")</f>
        <v>#REF!</v>
      </c>
      <c r="AY273" s="2" t="str">
        <f>IFERROR(__xludf.DUMMYFUNCTION("IMPORTRANGE(""https://docs.google.com/spreadsheets/d/""&amp;$A273&amp;""/edit#gid=156619080"",AY$3)"),"#REF!")</f>
        <v>#REF!</v>
      </c>
      <c r="AZ273" s="2" t="str">
        <f>IFERROR(__xludf.DUMMYFUNCTION("IMPORTRANGE(""https://docs.google.com/spreadsheets/d/""&amp;$A273&amp;""/edit#gid=156619080"",AZ$3)"),"#REF!")</f>
        <v>#REF!</v>
      </c>
      <c r="BA273" s="2" t="str">
        <f>IFERROR(__xludf.DUMMYFUNCTION("IMPORTRANGE(""https://docs.google.com/spreadsheets/d/""&amp;$A273&amp;""/edit#gid=156619080"",BA$3)"),"#REF!")</f>
        <v>#REF!</v>
      </c>
      <c r="BB273" s="2" t="str">
        <f>IFERROR(__xludf.DUMMYFUNCTION("IMPORTRANGE(""https://docs.google.com/spreadsheets/d/""&amp;$A273&amp;""/edit#gid=156619080"",BB$3)"),"#REF!")</f>
        <v>#REF!</v>
      </c>
      <c r="BC273" s="2" t="str">
        <f>IFERROR(__xludf.DUMMYFUNCTION("IMPORTRANGE(""https://docs.google.com/spreadsheets/d/""&amp;$A273&amp;""/edit#gid=156619080"",BC$3)"),"#REF!")</f>
        <v>#REF!</v>
      </c>
    </row>
    <row r="274" ht="51.0" customHeight="1">
      <c r="A274" s="7" t="str">
        <f t="shared" si="5"/>
        <v>1MgdwP5lgFfSlHgwSAbW24nxFosmsuNNMRKZHPzrNlfI</v>
      </c>
      <c r="B274" s="1" t="s">
        <v>301</v>
      </c>
      <c r="C274" s="2" t="str">
        <f>IFERROR(__xludf.DUMMYFUNCTION("IMPORTRANGE(""https://docs.google.com/spreadsheets/d/""&amp;$A274&amp;""/edit#gid=156619080"",C$3)"),"#REF!")</f>
        <v>#REF!</v>
      </c>
      <c r="D274" s="2" t="str">
        <f>IFERROR(__xludf.DUMMYFUNCTION("IMPORTRANGE(""https://docs.google.com/spreadsheets/d/""&amp;$A274&amp;""/edit#gid=156619080"",D$3)"),"#REF!")</f>
        <v>#REF!</v>
      </c>
      <c r="E274" s="2" t="str">
        <f>IFERROR(__xludf.DUMMYFUNCTION("IMPORTRANGE(""https://docs.google.com/spreadsheets/d/""&amp;$A274&amp;""/edit#gid=156619080"",E$3)"),"#REF!")</f>
        <v>#REF!</v>
      </c>
      <c r="F274" s="2" t="str">
        <f>IFERROR(__xludf.DUMMYFUNCTION("IMPORTRANGE(""https://docs.google.com/spreadsheets/d/""&amp;$A274&amp;""/edit#gid=156619080"",F$3)"),"#REF!")</f>
        <v>#REF!</v>
      </c>
      <c r="G274" s="2" t="str">
        <f>IFERROR(__xludf.DUMMYFUNCTION("IMPORTRANGE(""https://docs.google.com/spreadsheets/d/""&amp;$A274&amp;""/edit#gid=156619080"",G$3)"),"#REF!")</f>
        <v>#REF!</v>
      </c>
      <c r="H274" s="2" t="str">
        <f>IFERROR(__xludf.DUMMYFUNCTION("IMPORTRANGE(""https://docs.google.com/spreadsheets/d/""&amp;$A274&amp;""/edit#gid=156619080"",H$3)"),"#REF!")</f>
        <v>#REF!</v>
      </c>
      <c r="I274" s="2" t="str">
        <f>IFERROR(__xludf.DUMMYFUNCTION("IMPORTRANGE(""https://docs.google.com/spreadsheets/d/""&amp;$A274&amp;""/edit#gid=156619080"",I$3)"),"#REF!")</f>
        <v>#REF!</v>
      </c>
      <c r="J274" s="2" t="str">
        <f>IFERROR(__xludf.DUMMYFUNCTION("IMPORTRANGE(""https://docs.google.com/spreadsheets/d/""&amp;$A274&amp;""/edit#gid=156619080"",J$3)"),"#REF!")</f>
        <v>#REF!</v>
      </c>
      <c r="K274" s="2" t="str">
        <f>IFERROR(__xludf.DUMMYFUNCTION("IMPORTRANGE(""https://docs.google.com/spreadsheets/d/""&amp;$A274&amp;""/edit#gid=156619080"",K$3)"),"#REF!")</f>
        <v>#REF!</v>
      </c>
      <c r="L274" s="2" t="str">
        <f>IFERROR(__xludf.DUMMYFUNCTION("IMPORTRANGE(""https://docs.google.com/spreadsheets/d/""&amp;$A274&amp;""/edit#gid=156619080"",L$3)"),"#REF!")</f>
        <v>#REF!</v>
      </c>
      <c r="M274" s="2" t="str">
        <f>IFERROR(__xludf.DUMMYFUNCTION("IMPORTRANGE(""https://docs.google.com/spreadsheets/d/""&amp;$A274&amp;""/edit#gid=156619080"",M$3)"),"#REF!")</f>
        <v>#REF!</v>
      </c>
      <c r="N274" s="2" t="str">
        <f>IFERROR(__xludf.DUMMYFUNCTION("IMPORTRANGE(""https://docs.google.com/spreadsheets/d/""&amp;$A274&amp;""/edit#gid=156619080"",N$3)"),"#REF!")</f>
        <v>#REF!</v>
      </c>
      <c r="O274" s="2" t="str">
        <f>IFERROR(__xludf.DUMMYFUNCTION("IMPORTRANGE(""https://docs.google.com/spreadsheets/d/""&amp;$A274&amp;""/edit#gid=156619080"",O$3)"),"#REF!")</f>
        <v>#REF!</v>
      </c>
      <c r="P274" s="2" t="str">
        <f>IFERROR(__xludf.DUMMYFUNCTION("IMPORTRANGE(""https://docs.google.com/spreadsheets/d/""&amp;$A274&amp;""/edit#gid=156619080"",P$3)"),"#REF!")</f>
        <v>#REF!</v>
      </c>
      <c r="Q274" s="2" t="str">
        <f>IFERROR(__xludf.DUMMYFUNCTION("IMPORTRANGE(""https://docs.google.com/spreadsheets/d/""&amp;$A274&amp;""/edit#gid=156619080"",Q$3)"),"#REF!")</f>
        <v>#REF!</v>
      </c>
      <c r="R274" s="2" t="str">
        <f>IFERROR(__xludf.DUMMYFUNCTION("IMPORTRANGE(""https://docs.google.com/spreadsheets/d/""&amp;$A274&amp;""/edit#gid=156619080"",R$3)"),"#REF!")</f>
        <v>#REF!</v>
      </c>
      <c r="S274" s="2" t="str">
        <f>IFERROR(__xludf.DUMMYFUNCTION("IMPORTRANGE(""https://docs.google.com/spreadsheets/d/""&amp;$A274&amp;""/edit#gid=156619080"",S$3)"),"#REF!")</f>
        <v>#REF!</v>
      </c>
      <c r="T274" s="2" t="str">
        <f>IFERROR(__xludf.DUMMYFUNCTION("IMPORTRANGE(""https://docs.google.com/spreadsheets/d/""&amp;$A274&amp;""/edit#gid=156619080"",T$3)"),"#REF!")</f>
        <v>#REF!</v>
      </c>
      <c r="U274" s="2" t="str">
        <f>IFERROR(__xludf.DUMMYFUNCTION("IMPORTRANGE(""https://docs.google.com/spreadsheets/d/""&amp;$A274&amp;""/edit#gid=156619080"",U$3)"),"#REF!")</f>
        <v>#REF!</v>
      </c>
      <c r="V274" s="2" t="str">
        <f>IFERROR(__xludf.DUMMYFUNCTION("IMPORTRANGE(""https://docs.google.com/spreadsheets/d/""&amp;$A274&amp;""/edit#gid=156619080"",V$3)"),"#REF!")</f>
        <v>#REF!</v>
      </c>
      <c r="W274" s="2" t="str">
        <f>IFERROR(__xludf.DUMMYFUNCTION("IMPORTRANGE(""https://docs.google.com/spreadsheets/d/""&amp;$A274&amp;""/edit#gid=156619080"",W$3)"),"#REF!")</f>
        <v>#REF!</v>
      </c>
      <c r="X274" s="2" t="str">
        <f>IFERROR(__xludf.DUMMYFUNCTION("IMPORTRANGE(""https://docs.google.com/spreadsheets/d/""&amp;$A274&amp;""/edit#gid=156619080"",X$3)"),"#REF!")</f>
        <v>#REF!</v>
      </c>
      <c r="Y274" s="2" t="str">
        <f>IFERROR(__xludf.DUMMYFUNCTION("IMPORTRANGE(""https://docs.google.com/spreadsheets/d/""&amp;$A274&amp;""/edit#gid=156619080"",Y$3)"),"#REF!")</f>
        <v>#REF!</v>
      </c>
      <c r="Z274" s="2" t="str">
        <f>IFERROR(__xludf.DUMMYFUNCTION("IMPORTRANGE(""https://docs.google.com/spreadsheets/d/""&amp;$A274&amp;""/edit#gid=156619080"",Z$3)"),"#REF!")</f>
        <v>#REF!</v>
      </c>
      <c r="AA274" s="2" t="str">
        <f>IFERROR(__xludf.DUMMYFUNCTION("IMPORTRANGE(""https://docs.google.com/spreadsheets/d/""&amp;$A274&amp;""/edit#gid=156619080"",AA$3)"),"#REF!")</f>
        <v>#REF!</v>
      </c>
      <c r="AB274" s="2" t="str">
        <f>IFERROR(__xludf.DUMMYFUNCTION("IMPORTRANGE(""https://docs.google.com/spreadsheets/d/""&amp;$A274&amp;""/edit#gid=156619080"",AB$3)"),"#REF!")</f>
        <v>#REF!</v>
      </c>
      <c r="AC274" s="2" t="str">
        <f>IFERROR(__xludf.DUMMYFUNCTION("IMPORTRANGE(""https://docs.google.com/spreadsheets/d/""&amp;$A274&amp;""/edit#gid=156619080"",AC$3)"),"#REF!")</f>
        <v>#REF!</v>
      </c>
      <c r="AD274" s="2" t="str">
        <f>IFERROR(__xludf.DUMMYFUNCTION("IMPORTRANGE(""https://docs.google.com/spreadsheets/d/""&amp;$A274&amp;""/edit#gid=156619080"",AD$3)"),"#REF!")</f>
        <v>#REF!</v>
      </c>
      <c r="AE274" s="2" t="str">
        <f>IFERROR(__xludf.DUMMYFUNCTION("IMPORTRANGE(""https://docs.google.com/spreadsheets/d/""&amp;$A274&amp;""/edit#gid=156619080"",AE$3)"),"#REF!")</f>
        <v>#REF!</v>
      </c>
      <c r="AF274" s="2" t="str">
        <f>IFERROR(__xludf.DUMMYFUNCTION("IMPORTRANGE(""https://docs.google.com/spreadsheets/d/""&amp;$A274&amp;""/edit#gid=156619080"",AF$3)"),"#REF!")</f>
        <v>#REF!</v>
      </c>
      <c r="AG274" s="2" t="str">
        <f>IFERROR(__xludf.DUMMYFUNCTION("IMPORTRANGE(""https://docs.google.com/spreadsheets/d/""&amp;$A274&amp;""/edit#gid=156619080"",AG$3)"),"#REF!")</f>
        <v>#REF!</v>
      </c>
      <c r="AH274" s="2" t="str">
        <f>IFERROR(__xludf.DUMMYFUNCTION("IMPORTRANGE(""https://docs.google.com/spreadsheets/d/""&amp;$A274&amp;""/edit#gid=156619080"",AH$3)"),"#REF!")</f>
        <v>#REF!</v>
      </c>
      <c r="AI274" s="2" t="str">
        <f>IFERROR(__xludf.DUMMYFUNCTION("IMPORTRANGE(""https://docs.google.com/spreadsheets/d/""&amp;$A274&amp;""/edit#gid=156619080"",AI$3)"),"#REF!")</f>
        <v>#REF!</v>
      </c>
      <c r="AJ274" s="2" t="str">
        <f>IFERROR(__xludf.DUMMYFUNCTION("IMPORTRANGE(""https://docs.google.com/spreadsheets/d/""&amp;$A274&amp;""/edit#gid=156619080"",AJ$3)"),"#REF!")</f>
        <v>#REF!</v>
      </c>
      <c r="AK274" s="2" t="str">
        <f>IFERROR(__xludf.DUMMYFUNCTION("IMPORTRANGE(""https://docs.google.com/spreadsheets/d/""&amp;$A274&amp;""/edit#gid=156619080"",AK$3)"),"#REF!")</f>
        <v>#REF!</v>
      </c>
      <c r="AL274" s="2" t="str">
        <f>IFERROR(__xludf.DUMMYFUNCTION("IMPORTRANGE(""https://docs.google.com/spreadsheets/d/""&amp;$A274&amp;""/edit#gid=156619080"",AL$3)"),"#REF!")</f>
        <v>#REF!</v>
      </c>
      <c r="AM274" s="2" t="str">
        <f>IFERROR(__xludf.DUMMYFUNCTION("IMPORTRANGE(""https://docs.google.com/spreadsheets/d/""&amp;$A274&amp;""/edit#gid=156619080"",AM$3)"),"#REF!")</f>
        <v>#REF!</v>
      </c>
      <c r="AN274" s="2" t="str">
        <f>IFERROR(__xludf.DUMMYFUNCTION("IMPORTRANGE(""https://docs.google.com/spreadsheets/d/""&amp;$A274&amp;""/edit#gid=156619080"",AN$3)"),"#REF!")</f>
        <v>#REF!</v>
      </c>
      <c r="AO274" s="2" t="str">
        <f>IFERROR(__xludf.DUMMYFUNCTION("IMPORTRANGE(""https://docs.google.com/spreadsheets/d/""&amp;$A274&amp;""/edit#gid=156619080"",AO$3)"),"#REF!")</f>
        <v>#REF!</v>
      </c>
      <c r="AP274" s="2" t="str">
        <f>IFERROR(__xludf.DUMMYFUNCTION("IMPORTRANGE(""https://docs.google.com/spreadsheets/d/""&amp;$A274&amp;""/edit#gid=156619080"",AP$3)"),"#REF!")</f>
        <v>#REF!</v>
      </c>
      <c r="AQ274" s="2" t="str">
        <f>IFERROR(__xludf.DUMMYFUNCTION("IMPORTRANGE(""https://docs.google.com/spreadsheets/d/""&amp;$A274&amp;""/edit#gid=156619080"",AQ$3)"),"#REF!")</f>
        <v>#REF!</v>
      </c>
      <c r="AR274" s="2" t="str">
        <f>IFERROR(__xludf.DUMMYFUNCTION("IMPORTRANGE(""https://docs.google.com/spreadsheets/d/""&amp;$A274&amp;""/edit#gid=156619080"",AR$3)"),"#REF!")</f>
        <v>#REF!</v>
      </c>
      <c r="AS274" s="19" t="str">
        <f>IFERROR(__xludf.DUMMYFUNCTION("IMPORTRANGE(""https://docs.google.com/spreadsheets/d/""&amp;$A274&amp;""/edit#gid=156619080"",AS$3)"),"#REF!")</f>
        <v>#REF!</v>
      </c>
      <c r="AT274" s="2" t="str">
        <f>IFERROR(__xludf.DUMMYFUNCTION("IMPORTRANGE(""https://docs.google.com/spreadsheets/d/""&amp;$A274&amp;""/edit#gid=156619080"",AT$3)"),"#REF!")</f>
        <v>#REF!</v>
      </c>
      <c r="AU274" s="3" t="str">
        <f>IFERROR(__xludf.DUMMYFUNCTION("IMPORTRANGE(""https://docs.google.com/spreadsheets/d/""&amp;$A274&amp;""/edit#gid=156619080"",AU$3)"),"#REF!")</f>
        <v>#REF!</v>
      </c>
      <c r="AV274" s="2" t="str">
        <f>IFERROR(__xludf.DUMMYFUNCTION("IMPORTRANGE(""https://docs.google.com/spreadsheets/d/""&amp;$A274&amp;""/edit#gid=156619080"",AV$3)"),"#REF!")</f>
        <v>#REF!</v>
      </c>
      <c r="AW274" s="19" t="str">
        <f>IFERROR(__xludf.DUMMYFUNCTION("IMPORTRANGE(""https://docs.google.com/spreadsheets/d/""&amp;$A274&amp;""/edit#gid=156619080"",AW$3)"),"#REF!")</f>
        <v>#REF!</v>
      </c>
      <c r="AX274" s="2" t="str">
        <f>IFERROR(__xludf.DUMMYFUNCTION("IMPORTRANGE(""https://docs.google.com/spreadsheets/d/""&amp;$A274&amp;""/edit#gid=156619080"",AX$3)"),"#REF!")</f>
        <v>#REF!</v>
      </c>
      <c r="AY274" s="2" t="str">
        <f>IFERROR(__xludf.DUMMYFUNCTION("IMPORTRANGE(""https://docs.google.com/spreadsheets/d/""&amp;$A274&amp;""/edit#gid=156619080"",AY$3)"),"#REF!")</f>
        <v>#REF!</v>
      </c>
      <c r="AZ274" s="2" t="str">
        <f>IFERROR(__xludf.DUMMYFUNCTION("IMPORTRANGE(""https://docs.google.com/spreadsheets/d/""&amp;$A274&amp;""/edit#gid=156619080"",AZ$3)"),"#REF!")</f>
        <v>#REF!</v>
      </c>
      <c r="BA274" s="2" t="str">
        <f>IFERROR(__xludf.DUMMYFUNCTION("IMPORTRANGE(""https://docs.google.com/spreadsheets/d/""&amp;$A274&amp;""/edit#gid=156619080"",BA$3)"),"#REF!")</f>
        <v>#REF!</v>
      </c>
      <c r="BB274" s="2" t="str">
        <f>IFERROR(__xludf.DUMMYFUNCTION("IMPORTRANGE(""https://docs.google.com/spreadsheets/d/""&amp;$A274&amp;""/edit#gid=156619080"",BB$3)"),"#REF!")</f>
        <v>#REF!</v>
      </c>
      <c r="BC274" s="2" t="str">
        <f>IFERROR(__xludf.DUMMYFUNCTION("IMPORTRANGE(""https://docs.google.com/spreadsheets/d/""&amp;$A274&amp;""/edit#gid=156619080"",BC$3)"),"#REF!")</f>
        <v>#REF!</v>
      </c>
    </row>
    <row r="275" ht="51.0" customHeight="1">
      <c r="A275" s="7" t="str">
        <f t="shared" si="5"/>
        <v>1I1pbUXkzyo1v4T4HQztC_L-1VWw75IzYGlNLQDplAGc</v>
      </c>
      <c r="B275" s="1" t="s">
        <v>302</v>
      </c>
      <c r="C275" s="2" t="str">
        <f>IFERROR(__xludf.DUMMYFUNCTION("IMPORTRANGE(""https://docs.google.com/spreadsheets/d/""&amp;$A275&amp;""/edit#gid=156619080"",C$3)"),"#REF!")</f>
        <v>#REF!</v>
      </c>
      <c r="D275" s="2" t="str">
        <f>IFERROR(__xludf.DUMMYFUNCTION("IMPORTRANGE(""https://docs.google.com/spreadsheets/d/""&amp;$A275&amp;""/edit#gid=156619080"",D$3)"),"#REF!")</f>
        <v>#REF!</v>
      </c>
      <c r="E275" s="2" t="str">
        <f>IFERROR(__xludf.DUMMYFUNCTION("IMPORTRANGE(""https://docs.google.com/spreadsheets/d/""&amp;$A275&amp;""/edit#gid=156619080"",E$3)"),"#REF!")</f>
        <v>#REF!</v>
      </c>
      <c r="F275" s="2" t="str">
        <f>IFERROR(__xludf.DUMMYFUNCTION("IMPORTRANGE(""https://docs.google.com/spreadsheets/d/""&amp;$A275&amp;""/edit#gid=156619080"",F$3)"),"#REF!")</f>
        <v>#REF!</v>
      </c>
      <c r="G275" s="2" t="str">
        <f>IFERROR(__xludf.DUMMYFUNCTION("IMPORTRANGE(""https://docs.google.com/spreadsheets/d/""&amp;$A275&amp;""/edit#gid=156619080"",G$3)"),"#REF!")</f>
        <v>#REF!</v>
      </c>
      <c r="H275" s="2" t="str">
        <f>IFERROR(__xludf.DUMMYFUNCTION("IMPORTRANGE(""https://docs.google.com/spreadsheets/d/""&amp;$A275&amp;""/edit#gid=156619080"",H$3)"),"#REF!")</f>
        <v>#REF!</v>
      </c>
      <c r="I275" s="2" t="str">
        <f>IFERROR(__xludf.DUMMYFUNCTION("IMPORTRANGE(""https://docs.google.com/spreadsheets/d/""&amp;$A275&amp;""/edit#gid=156619080"",I$3)"),"#REF!")</f>
        <v>#REF!</v>
      </c>
      <c r="J275" s="2" t="str">
        <f>IFERROR(__xludf.DUMMYFUNCTION("IMPORTRANGE(""https://docs.google.com/spreadsheets/d/""&amp;$A275&amp;""/edit#gid=156619080"",J$3)"),"#REF!")</f>
        <v>#REF!</v>
      </c>
      <c r="K275" s="2" t="str">
        <f>IFERROR(__xludf.DUMMYFUNCTION("IMPORTRANGE(""https://docs.google.com/spreadsheets/d/""&amp;$A275&amp;""/edit#gid=156619080"",K$3)"),"#REF!")</f>
        <v>#REF!</v>
      </c>
      <c r="L275" s="2" t="str">
        <f>IFERROR(__xludf.DUMMYFUNCTION("IMPORTRANGE(""https://docs.google.com/spreadsheets/d/""&amp;$A275&amp;""/edit#gid=156619080"",L$3)"),"#REF!")</f>
        <v>#REF!</v>
      </c>
      <c r="M275" s="2" t="str">
        <f>IFERROR(__xludf.DUMMYFUNCTION("IMPORTRANGE(""https://docs.google.com/spreadsheets/d/""&amp;$A275&amp;""/edit#gid=156619080"",M$3)"),"#REF!")</f>
        <v>#REF!</v>
      </c>
      <c r="N275" s="2" t="str">
        <f>IFERROR(__xludf.DUMMYFUNCTION("IMPORTRANGE(""https://docs.google.com/spreadsheets/d/""&amp;$A275&amp;""/edit#gid=156619080"",N$3)"),"#REF!")</f>
        <v>#REF!</v>
      </c>
      <c r="O275" s="2" t="str">
        <f>IFERROR(__xludf.DUMMYFUNCTION("IMPORTRANGE(""https://docs.google.com/spreadsheets/d/""&amp;$A275&amp;""/edit#gid=156619080"",O$3)"),"#REF!")</f>
        <v>#REF!</v>
      </c>
      <c r="P275" s="2" t="str">
        <f>IFERROR(__xludf.DUMMYFUNCTION("IMPORTRANGE(""https://docs.google.com/spreadsheets/d/""&amp;$A275&amp;""/edit#gid=156619080"",P$3)"),"#REF!")</f>
        <v>#REF!</v>
      </c>
      <c r="Q275" s="2" t="str">
        <f>IFERROR(__xludf.DUMMYFUNCTION("IMPORTRANGE(""https://docs.google.com/spreadsheets/d/""&amp;$A275&amp;""/edit#gid=156619080"",Q$3)"),"#REF!")</f>
        <v>#REF!</v>
      </c>
      <c r="R275" s="2" t="str">
        <f>IFERROR(__xludf.DUMMYFUNCTION("IMPORTRANGE(""https://docs.google.com/spreadsheets/d/""&amp;$A275&amp;""/edit#gid=156619080"",R$3)"),"#REF!")</f>
        <v>#REF!</v>
      </c>
      <c r="S275" s="2" t="str">
        <f>IFERROR(__xludf.DUMMYFUNCTION("IMPORTRANGE(""https://docs.google.com/spreadsheets/d/""&amp;$A275&amp;""/edit#gid=156619080"",S$3)"),"#REF!")</f>
        <v>#REF!</v>
      </c>
      <c r="T275" s="2" t="str">
        <f>IFERROR(__xludf.DUMMYFUNCTION("IMPORTRANGE(""https://docs.google.com/spreadsheets/d/""&amp;$A275&amp;""/edit#gid=156619080"",T$3)"),"#REF!")</f>
        <v>#REF!</v>
      </c>
      <c r="U275" s="2" t="str">
        <f>IFERROR(__xludf.DUMMYFUNCTION("IMPORTRANGE(""https://docs.google.com/spreadsheets/d/""&amp;$A275&amp;""/edit#gid=156619080"",U$3)"),"#REF!")</f>
        <v>#REF!</v>
      </c>
      <c r="V275" s="2" t="str">
        <f>IFERROR(__xludf.DUMMYFUNCTION("IMPORTRANGE(""https://docs.google.com/spreadsheets/d/""&amp;$A275&amp;""/edit#gid=156619080"",V$3)"),"#REF!")</f>
        <v>#REF!</v>
      </c>
      <c r="W275" s="2" t="str">
        <f>IFERROR(__xludf.DUMMYFUNCTION("IMPORTRANGE(""https://docs.google.com/spreadsheets/d/""&amp;$A275&amp;""/edit#gid=156619080"",W$3)"),"#REF!")</f>
        <v>#REF!</v>
      </c>
      <c r="X275" s="2" t="str">
        <f>IFERROR(__xludf.DUMMYFUNCTION("IMPORTRANGE(""https://docs.google.com/spreadsheets/d/""&amp;$A275&amp;""/edit#gid=156619080"",X$3)"),"#REF!")</f>
        <v>#REF!</v>
      </c>
      <c r="Y275" s="2" t="str">
        <f>IFERROR(__xludf.DUMMYFUNCTION("IMPORTRANGE(""https://docs.google.com/spreadsheets/d/""&amp;$A275&amp;""/edit#gid=156619080"",Y$3)"),"#REF!")</f>
        <v>#REF!</v>
      </c>
      <c r="Z275" s="2" t="str">
        <f>IFERROR(__xludf.DUMMYFUNCTION("IMPORTRANGE(""https://docs.google.com/spreadsheets/d/""&amp;$A275&amp;""/edit#gid=156619080"",Z$3)"),"#REF!")</f>
        <v>#REF!</v>
      </c>
      <c r="AA275" s="2" t="str">
        <f>IFERROR(__xludf.DUMMYFUNCTION("IMPORTRANGE(""https://docs.google.com/spreadsheets/d/""&amp;$A275&amp;""/edit#gid=156619080"",AA$3)"),"#REF!")</f>
        <v>#REF!</v>
      </c>
      <c r="AB275" s="2" t="str">
        <f>IFERROR(__xludf.DUMMYFUNCTION("IMPORTRANGE(""https://docs.google.com/spreadsheets/d/""&amp;$A275&amp;""/edit#gid=156619080"",AB$3)"),"#REF!")</f>
        <v>#REF!</v>
      </c>
      <c r="AC275" s="2" t="str">
        <f>IFERROR(__xludf.DUMMYFUNCTION("IMPORTRANGE(""https://docs.google.com/spreadsheets/d/""&amp;$A275&amp;""/edit#gid=156619080"",AC$3)"),"#REF!")</f>
        <v>#REF!</v>
      </c>
      <c r="AD275" s="2" t="str">
        <f>IFERROR(__xludf.DUMMYFUNCTION("IMPORTRANGE(""https://docs.google.com/spreadsheets/d/""&amp;$A275&amp;""/edit#gid=156619080"",AD$3)"),"#REF!")</f>
        <v>#REF!</v>
      </c>
      <c r="AE275" s="2" t="str">
        <f>IFERROR(__xludf.DUMMYFUNCTION("IMPORTRANGE(""https://docs.google.com/spreadsheets/d/""&amp;$A275&amp;""/edit#gid=156619080"",AE$3)"),"#REF!")</f>
        <v>#REF!</v>
      </c>
      <c r="AF275" s="2" t="str">
        <f>IFERROR(__xludf.DUMMYFUNCTION("IMPORTRANGE(""https://docs.google.com/spreadsheets/d/""&amp;$A275&amp;""/edit#gid=156619080"",AF$3)"),"#REF!")</f>
        <v>#REF!</v>
      </c>
      <c r="AG275" s="2" t="str">
        <f>IFERROR(__xludf.DUMMYFUNCTION("IMPORTRANGE(""https://docs.google.com/spreadsheets/d/""&amp;$A275&amp;""/edit#gid=156619080"",AG$3)"),"#REF!")</f>
        <v>#REF!</v>
      </c>
      <c r="AH275" s="2" t="str">
        <f>IFERROR(__xludf.DUMMYFUNCTION("IMPORTRANGE(""https://docs.google.com/spreadsheets/d/""&amp;$A275&amp;""/edit#gid=156619080"",AH$3)"),"#REF!")</f>
        <v>#REF!</v>
      </c>
      <c r="AI275" s="2" t="str">
        <f>IFERROR(__xludf.DUMMYFUNCTION("IMPORTRANGE(""https://docs.google.com/spreadsheets/d/""&amp;$A275&amp;""/edit#gid=156619080"",AI$3)"),"#REF!")</f>
        <v>#REF!</v>
      </c>
      <c r="AJ275" s="2" t="str">
        <f>IFERROR(__xludf.DUMMYFUNCTION("IMPORTRANGE(""https://docs.google.com/spreadsheets/d/""&amp;$A275&amp;""/edit#gid=156619080"",AJ$3)"),"#REF!")</f>
        <v>#REF!</v>
      </c>
      <c r="AK275" s="2" t="str">
        <f>IFERROR(__xludf.DUMMYFUNCTION("IMPORTRANGE(""https://docs.google.com/spreadsheets/d/""&amp;$A275&amp;""/edit#gid=156619080"",AK$3)"),"#REF!")</f>
        <v>#REF!</v>
      </c>
      <c r="AL275" s="2" t="str">
        <f>IFERROR(__xludf.DUMMYFUNCTION("IMPORTRANGE(""https://docs.google.com/spreadsheets/d/""&amp;$A275&amp;""/edit#gid=156619080"",AL$3)"),"#REF!")</f>
        <v>#REF!</v>
      </c>
      <c r="AM275" s="2" t="str">
        <f>IFERROR(__xludf.DUMMYFUNCTION("IMPORTRANGE(""https://docs.google.com/spreadsheets/d/""&amp;$A275&amp;""/edit#gid=156619080"",AM$3)"),"#REF!")</f>
        <v>#REF!</v>
      </c>
      <c r="AN275" s="2" t="str">
        <f>IFERROR(__xludf.DUMMYFUNCTION("IMPORTRANGE(""https://docs.google.com/spreadsheets/d/""&amp;$A275&amp;""/edit#gid=156619080"",AN$3)"),"#REF!")</f>
        <v>#REF!</v>
      </c>
      <c r="AO275" s="2" t="str">
        <f>IFERROR(__xludf.DUMMYFUNCTION("IMPORTRANGE(""https://docs.google.com/spreadsheets/d/""&amp;$A275&amp;""/edit#gid=156619080"",AO$3)"),"#REF!")</f>
        <v>#REF!</v>
      </c>
      <c r="AP275" s="2" t="str">
        <f>IFERROR(__xludf.DUMMYFUNCTION("IMPORTRANGE(""https://docs.google.com/spreadsheets/d/""&amp;$A275&amp;""/edit#gid=156619080"",AP$3)"),"#REF!")</f>
        <v>#REF!</v>
      </c>
      <c r="AQ275" s="2" t="str">
        <f>IFERROR(__xludf.DUMMYFUNCTION("IMPORTRANGE(""https://docs.google.com/spreadsheets/d/""&amp;$A275&amp;""/edit#gid=156619080"",AQ$3)"),"#REF!")</f>
        <v>#REF!</v>
      </c>
      <c r="AR275" s="2" t="str">
        <f>IFERROR(__xludf.DUMMYFUNCTION("IMPORTRANGE(""https://docs.google.com/spreadsheets/d/""&amp;$A275&amp;""/edit#gid=156619080"",AR$3)"),"#REF!")</f>
        <v>#REF!</v>
      </c>
      <c r="AS275" s="19" t="str">
        <f>IFERROR(__xludf.DUMMYFUNCTION("IMPORTRANGE(""https://docs.google.com/spreadsheets/d/""&amp;$A275&amp;""/edit#gid=156619080"",AS$3)"),"#REF!")</f>
        <v>#REF!</v>
      </c>
      <c r="AT275" s="2" t="str">
        <f>IFERROR(__xludf.DUMMYFUNCTION("IMPORTRANGE(""https://docs.google.com/spreadsheets/d/""&amp;$A275&amp;""/edit#gid=156619080"",AT$3)"),"#REF!")</f>
        <v>#REF!</v>
      </c>
      <c r="AU275" s="3" t="str">
        <f>IFERROR(__xludf.DUMMYFUNCTION("IMPORTRANGE(""https://docs.google.com/spreadsheets/d/""&amp;$A275&amp;""/edit#gid=156619080"",AU$3)"),"#REF!")</f>
        <v>#REF!</v>
      </c>
      <c r="AV275" s="2" t="str">
        <f>IFERROR(__xludf.DUMMYFUNCTION("IMPORTRANGE(""https://docs.google.com/spreadsheets/d/""&amp;$A275&amp;""/edit#gid=156619080"",AV$3)"),"#REF!")</f>
        <v>#REF!</v>
      </c>
      <c r="AW275" s="19" t="str">
        <f>IFERROR(__xludf.DUMMYFUNCTION("IMPORTRANGE(""https://docs.google.com/spreadsheets/d/""&amp;$A275&amp;""/edit#gid=156619080"",AW$3)"),"#REF!")</f>
        <v>#REF!</v>
      </c>
      <c r="AX275" s="2" t="str">
        <f>IFERROR(__xludf.DUMMYFUNCTION("IMPORTRANGE(""https://docs.google.com/spreadsheets/d/""&amp;$A275&amp;""/edit#gid=156619080"",AX$3)"),"#REF!")</f>
        <v>#REF!</v>
      </c>
      <c r="AY275" s="2" t="str">
        <f>IFERROR(__xludf.DUMMYFUNCTION("IMPORTRANGE(""https://docs.google.com/spreadsheets/d/""&amp;$A275&amp;""/edit#gid=156619080"",AY$3)"),"#REF!")</f>
        <v>#REF!</v>
      </c>
      <c r="AZ275" s="2" t="str">
        <f>IFERROR(__xludf.DUMMYFUNCTION("IMPORTRANGE(""https://docs.google.com/spreadsheets/d/""&amp;$A275&amp;""/edit#gid=156619080"",AZ$3)"),"#REF!")</f>
        <v>#REF!</v>
      </c>
      <c r="BA275" s="2" t="str">
        <f>IFERROR(__xludf.DUMMYFUNCTION("IMPORTRANGE(""https://docs.google.com/spreadsheets/d/""&amp;$A275&amp;""/edit#gid=156619080"",BA$3)"),"#REF!")</f>
        <v>#REF!</v>
      </c>
      <c r="BB275" s="2" t="str">
        <f>IFERROR(__xludf.DUMMYFUNCTION("IMPORTRANGE(""https://docs.google.com/spreadsheets/d/""&amp;$A275&amp;""/edit#gid=156619080"",BB$3)"),"#REF!")</f>
        <v>#REF!</v>
      </c>
      <c r="BC275" s="2" t="str">
        <f>IFERROR(__xludf.DUMMYFUNCTION("IMPORTRANGE(""https://docs.google.com/spreadsheets/d/""&amp;$A275&amp;""/edit#gid=156619080"",BC$3)"),"#REF!")</f>
        <v>#REF!</v>
      </c>
    </row>
    <row r="276" ht="51.0" customHeight="1">
      <c r="A276" s="7" t="str">
        <f t="shared" si="5"/>
        <v>1dCsQKnfSiI31gA670PK9jixfWPm1KZBaBbRq0YxavEc</v>
      </c>
      <c r="B276" s="1" t="s">
        <v>303</v>
      </c>
      <c r="C276" s="2" t="str">
        <f>IFERROR(__xludf.DUMMYFUNCTION("IMPORTRANGE(""https://docs.google.com/spreadsheets/d/""&amp;$A276&amp;""/edit#gid=156619080"",C$3)"),"#REF!")</f>
        <v>#REF!</v>
      </c>
      <c r="D276" s="2" t="str">
        <f>IFERROR(__xludf.DUMMYFUNCTION("IMPORTRANGE(""https://docs.google.com/spreadsheets/d/""&amp;$A276&amp;""/edit#gid=156619080"",D$3)"),"#REF!")</f>
        <v>#REF!</v>
      </c>
      <c r="E276" s="2" t="str">
        <f>IFERROR(__xludf.DUMMYFUNCTION("IMPORTRANGE(""https://docs.google.com/spreadsheets/d/""&amp;$A276&amp;""/edit#gid=156619080"",E$3)"),"#REF!")</f>
        <v>#REF!</v>
      </c>
      <c r="F276" s="2" t="str">
        <f>IFERROR(__xludf.DUMMYFUNCTION("IMPORTRANGE(""https://docs.google.com/spreadsheets/d/""&amp;$A276&amp;""/edit#gid=156619080"",F$3)"),"#REF!")</f>
        <v>#REF!</v>
      </c>
      <c r="G276" s="2" t="str">
        <f>IFERROR(__xludf.DUMMYFUNCTION("IMPORTRANGE(""https://docs.google.com/spreadsheets/d/""&amp;$A276&amp;""/edit#gid=156619080"",G$3)"),"#REF!")</f>
        <v>#REF!</v>
      </c>
      <c r="H276" s="2" t="str">
        <f>IFERROR(__xludf.DUMMYFUNCTION("IMPORTRANGE(""https://docs.google.com/spreadsheets/d/""&amp;$A276&amp;""/edit#gid=156619080"",H$3)"),"#REF!")</f>
        <v>#REF!</v>
      </c>
      <c r="I276" s="2" t="str">
        <f>IFERROR(__xludf.DUMMYFUNCTION("IMPORTRANGE(""https://docs.google.com/spreadsheets/d/""&amp;$A276&amp;""/edit#gid=156619080"",I$3)"),"#REF!")</f>
        <v>#REF!</v>
      </c>
      <c r="J276" s="2" t="str">
        <f>IFERROR(__xludf.DUMMYFUNCTION("IMPORTRANGE(""https://docs.google.com/spreadsheets/d/""&amp;$A276&amp;""/edit#gid=156619080"",J$3)"),"#REF!")</f>
        <v>#REF!</v>
      </c>
      <c r="K276" s="2" t="str">
        <f>IFERROR(__xludf.DUMMYFUNCTION("IMPORTRANGE(""https://docs.google.com/spreadsheets/d/""&amp;$A276&amp;""/edit#gid=156619080"",K$3)"),"#REF!")</f>
        <v>#REF!</v>
      </c>
      <c r="L276" s="2" t="str">
        <f>IFERROR(__xludf.DUMMYFUNCTION("IMPORTRANGE(""https://docs.google.com/spreadsheets/d/""&amp;$A276&amp;""/edit#gid=156619080"",L$3)"),"#REF!")</f>
        <v>#REF!</v>
      </c>
      <c r="M276" s="2" t="str">
        <f>IFERROR(__xludf.DUMMYFUNCTION("IMPORTRANGE(""https://docs.google.com/spreadsheets/d/""&amp;$A276&amp;""/edit#gid=156619080"",M$3)"),"#REF!")</f>
        <v>#REF!</v>
      </c>
      <c r="N276" s="2" t="str">
        <f>IFERROR(__xludf.DUMMYFUNCTION("IMPORTRANGE(""https://docs.google.com/spreadsheets/d/""&amp;$A276&amp;""/edit#gid=156619080"",N$3)"),"#REF!")</f>
        <v>#REF!</v>
      </c>
      <c r="O276" s="2" t="str">
        <f>IFERROR(__xludf.DUMMYFUNCTION("IMPORTRANGE(""https://docs.google.com/spreadsheets/d/""&amp;$A276&amp;""/edit#gid=156619080"",O$3)"),"#REF!")</f>
        <v>#REF!</v>
      </c>
      <c r="P276" s="2" t="str">
        <f>IFERROR(__xludf.DUMMYFUNCTION("IMPORTRANGE(""https://docs.google.com/spreadsheets/d/""&amp;$A276&amp;""/edit#gid=156619080"",P$3)"),"#REF!")</f>
        <v>#REF!</v>
      </c>
      <c r="Q276" s="2" t="str">
        <f>IFERROR(__xludf.DUMMYFUNCTION("IMPORTRANGE(""https://docs.google.com/spreadsheets/d/""&amp;$A276&amp;""/edit#gid=156619080"",Q$3)"),"#REF!")</f>
        <v>#REF!</v>
      </c>
      <c r="R276" s="2" t="str">
        <f>IFERROR(__xludf.DUMMYFUNCTION("IMPORTRANGE(""https://docs.google.com/spreadsheets/d/""&amp;$A276&amp;""/edit#gid=156619080"",R$3)"),"#REF!")</f>
        <v>#REF!</v>
      </c>
      <c r="S276" s="2" t="str">
        <f>IFERROR(__xludf.DUMMYFUNCTION("IMPORTRANGE(""https://docs.google.com/spreadsheets/d/""&amp;$A276&amp;""/edit#gid=156619080"",S$3)"),"#REF!")</f>
        <v>#REF!</v>
      </c>
      <c r="T276" s="2" t="str">
        <f>IFERROR(__xludf.DUMMYFUNCTION("IMPORTRANGE(""https://docs.google.com/spreadsheets/d/""&amp;$A276&amp;""/edit#gid=156619080"",T$3)"),"#REF!")</f>
        <v>#REF!</v>
      </c>
      <c r="U276" s="2" t="str">
        <f>IFERROR(__xludf.DUMMYFUNCTION("IMPORTRANGE(""https://docs.google.com/spreadsheets/d/""&amp;$A276&amp;""/edit#gid=156619080"",U$3)"),"#REF!")</f>
        <v>#REF!</v>
      </c>
      <c r="V276" s="2" t="str">
        <f>IFERROR(__xludf.DUMMYFUNCTION("IMPORTRANGE(""https://docs.google.com/spreadsheets/d/""&amp;$A276&amp;""/edit#gid=156619080"",V$3)"),"#REF!")</f>
        <v>#REF!</v>
      </c>
      <c r="W276" s="2" t="str">
        <f>IFERROR(__xludf.DUMMYFUNCTION("IMPORTRANGE(""https://docs.google.com/spreadsheets/d/""&amp;$A276&amp;""/edit#gid=156619080"",W$3)"),"#REF!")</f>
        <v>#REF!</v>
      </c>
      <c r="X276" s="2" t="str">
        <f>IFERROR(__xludf.DUMMYFUNCTION("IMPORTRANGE(""https://docs.google.com/spreadsheets/d/""&amp;$A276&amp;""/edit#gid=156619080"",X$3)"),"#REF!")</f>
        <v>#REF!</v>
      </c>
      <c r="Y276" s="2" t="str">
        <f>IFERROR(__xludf.DUMMYFUNCTION("IMPORTRANGE(""https://docs.google.com/spreadsheets/d/""&amp;$A276&amp;""/edit#gid=156619080"",Y$3)"),"#REF!")</f>
        <v>#REF!</v>
      </c>
      <c r="Z276" s="2" t="str">
        <f>IFERROR(__xludf.DUMMYFUNCTION("IMPORTRANGE(""https://docs.google.com/spreadsheets/d/""&amp;$A276&amp;""/edit#gid=156619080"",Z$3)"),"#REF!")</f>
        <v>#REF!</v>
      </c>
      <c r="AA276" s="2" t="str">
        <f>IFERROR(__xludf.DUMMYFUNCTION("IMPORTRANGE(""https://docs.google.com/spreadsheets/d/""&amp;$A276&amp;""/edit#gid=156619080"",AA$3)"),"#REF!")</f>
        <v>#REF!</v>
      </c>
      <c r="AB276" s="2" t="str">
        <f>IFERROR(__xludf.DUMMYFUNCTION("IMPORTRANGE(""https://docs.google.com/spreadsheets/d/""&amp;$A276&amp;""/edit#gid=156619080"",AB$3)"),"#REF!")</f>
        <v>#REF!</v>
      </c>
      <c r="AC276" s="2" t="str">
        <f>IFERROR(__xludf.DUMMYFUNCTION("IMPORTRANGE(""https://docs.google.com/spreadsheets/d/""&amp;$A276&amp;""/edit#gid=156619080"",AC$3)"),"#REF!")</f>
        <v>#REF!</v>
      </c>
      <c r="AD276" s="2" t="str">
        <f>IFERROR(__xludf.DUMMYFUNCTION("IMPORTRANGE(""https://docs.google.com/spreadsheets/d/""&amp;$A276&amp;""/edit#gid=156619080"",AD$3)"),"#REF!")</f>
        <v>#REF!</v>
      </c>
      <c r="AE276" s="2" t="str">
        <f>IFERROR(__xludf.DUMMYFUNCTION("IMPORTRANGE(""https://docs.google.com/spreadsheets/d/""&amp;$A276&amp;""/edit#gid=156619080"",AE$3)"),"#REF!")</f>
        <v>#REF!</v>
      </c>
      <c r="AF276" s="2" t="str">
        <f>IFERROR(__xludf.DUMMYFUNCTION("IMPORTRANGE(""https://docs.google.com/spreadsheets/d/""&amp;$A276&amp;""/edit#gid=156619080"",AF$3)"),"#REF!")</f>
        <v>#REF!</v>
      </c>
      <c r="AG276" s="2" t="str">
        <f>IFERROR(__xludf.DUMMYFUNCTION("IMPORTRANGE(""https://docs.google.com/spreadsheets/d/""&amp;$A276&amp;""/edit#gid=156619080"",AG$3)"),"#REF!")</f>
        <v>#REF!</v>
      </c>
      <c r="AH276" s="2" t="str">
        <f>IFERROR(__xludf.DUMMYFUNCTION("IMPORTRANGE(""https://docs.google.com/spreadsheets/d/""&amp;$A276&amp;""/edit#gid=156619080"",AH$3)"),"#REF!")</f>
        <v>#REF!</v>
      </c>
      <c r="AI276" s="2" t="str">
        <f>IFERROR(__xludf.DUMMYFUNCTION("IMPORTRANGE(""https://docs.google.com/spreadsheets/d/""&amp;$A276&amp;""/edit#gid=156619080"",AI$3)"),"#REF!")</f>
        <v>#REF!</v>
      </c>
      <c r="AJ276" s="2" t="str">
        <f>IFERROR(__xludf.DUMMYFUNCTION("IMPORTRANGE(""https://docs.google.com/spreadsheets/d/""&amp;$A276&amp;""/edit#gid=156619080"",AJ$3)"),"#REF!")</f>
        <v>#REF!</v>
      </c>
      <c r="AK276" s="2" t="str">
        <f>IFERROR(__xludf.DUMMYFUNCTION("IMPORTRANGE(""https://docs.google.com/spreadsheets/d/""&amp;$A276&amp;""/edit#gid=156619080"",AK$3)"),"#REF!")</f>
        <v>#REF!</v>
      </c>
      <c r="AL276" s="2" t="str">
        <f>IFERROR(__xludf.DUMMYFUNCTION("IMPORTRANGE(""https://docs.google.com/spreadsheets/d/""&amp;$A276&amp;""/edit#gid=156619080"",AL$3)"),"#REF!")</f>
        <v>#REF!</v>
      </c>
      <c r="AM276" s="2" t="str">
        <f>IFERROR(__xludf.DUMMYFUNCTION("IMPORTRANGE(""https://docs.google.com/spreadsheets/d/""&amp;$A276&amp;""/edit#gid=156619080"",AM$3)"),"#REF!")</f>
        <v>#REF!</v>
      </c>
      <c r="AN276" s="2" t="str">
        <f>IFERROR(__xludf.DUMMYFUNCTION("IMPORTRANGE(""https://docs.google.com/spreadsheets/d/""&amp;$A276&amp;""/edit#gid=156619080"",AN$3)"),"#REF!")</f>
        <v>#REF!</v>
      </c>
      <c r="AO276" s="2" t="str">
        <f>IFERROR(__xludf.DUMMYFUNCTION("IMPORTRANGE(""https://docs.google.com/spreadsheets/d/""&amp;$A276&amp;""/edit#gid=156619080"",AO$3)"),"#REF!")</f>
        <v>#REF!</v>
      </c>
      <c r="AP276" s="2" t="str">
        <f>IFERROR(__xludf.DUMMYFUNCTION("IMPORTRANGE(""https://docs.google.com/spreadsheets/d/""&amp;$A276&amp;""/edit#gid=156619080"",AP$3)"),"#REF!")</f>
        <v>#REF!</v>
      </c>
      <c r="AQ276" s="2" t="str">
        <f>IFERROR(__xludf.DUMMYFUNCTION("IMPORTRANGE(""https://docs.google.com/spreadsheets/d/""&amp;$A276&amp;""/edit#gid=156619080"",AQ$3)"),"#REF!")</f>
        <v>#REF!</v>
      </c>
      <c r="AR276" s="2" t="str">
        <f>IFERROR(__xludf.DUMMYFUNCTION("IMPORTRANGE(""https://docs.google.com/spreadsheets/d/""&amp;$A276&amp;""/edit#gid=156619080"",AR$3)"),"#REF!")</f>
        <v>#REF!</v>
      </c>
      <c r="AS276" s="19" t="str">
        <f>IFERROR(__xludf.DUMMYFUNCTION("IMPORTRANGE(""https://docs.google.com/spreadsheets/d/""&amp;$A276&amp;""/edit#gid=156619080"",AS$3)"),"#REF!")</f>
        <v>#REF!</v>
      </c>
      <c r="AT276" s="2" t="str">
        <f>IFERROR(__xludf.DUMMYFUNCTION("IMPORTRANGE(""https://docs.google.com/spreadsheets/d/""&amp;$A276&amp;""/edit#gid=156619080"",AT$3)"),"#REF!")</f>
        <v>#REF!</v>
      </c>
      <c r="AU276" s="3" t="str">
        <f>IFERROR(__xludf.DUMMYFUNCTION("IMPORTRANGE(""https://docs.google.com/spreadsheets/d/""&amp;$A276&amp;""/edit#gid=156619080"",AU$3)"),"#REF!")</f>
        <v>#REF!</v>
      </c>
      <c r="AV276" s="2" t="str">
        <f>IFERROR(__xludf.DUMMYFUNCTION("IMPORTRANGE(""https://docs.google.com/spreadsheets/d/""&amp;$A276&amp;""/edit#gid=156619080"",AV$3)"),"#REF!")</f>
        <v>#REF!</v>
      </c>
      <c r="AW276" s="19" t="str">
        <f>IFERROR(__xludf.DUMMYFUNCTION("IMPORTRANGE(""https://docs.google.com/spreadsheets/d/""&amp;$A276&amp;""/edit#gid=156619080"",AW$3)"),"#REF!")</f>
        <v>#REF!</v>
      </c>
      <c r="AX276" s="2" t="str">
        <f>IFERROR(__xludf.DUMMYFUNCTION("IMPORTRANGE(""https://docs.google.com/spreadsheets/d/""&amp;$A276&amp;""/edit#gid=156619080"",AX$3)"),"#REF!")</f>
        <v>#REF!</v>
      </c>
      <c r="AY276" s="2" t="str">
        <f>IFERROR(__xludf.DUMMYFUNCTION("IMPORTRANGE(""https://docs.google.com/spreadsheets/d/""&amp;$A276&amp;""/edit#gid=156619080"",AY$3)"),"#REF!")</f>
        <v>#REF!</v>
      </c>
      <c r="AZ276" s="2" t="str">
        <f>IFERROR(__xludf.DUMMYFUNCTION("IMPORTRANGE(""https://docs.google.com/spreadsheets/d/""&amp;$A276&amp;""/edit#gid=156619080"",AZ$3)"),"#REF!")</f>
        <v>#REF!</v>
      </c>
      <c r="BA276" s="2" t="str">
        <f>IFERROR(__xludf.DUMMYFUNCTION("IMPORTRANGE(""https://docs.google.com/spreadsheets/d/""&amp;$A276&amp;""/edit#gid=156619080"",BA$3)"),"#REF!")</f>
        <v>#REF!</v>
      </c>
      <c r="BB276" s="2" t="str">
        <f>IFERROR(__xludf.DUMMYFUNCTION("IMPORTRANGE(""https://docs.google.com/spreadsheets/d/""&amp;$A276&amp;""/edit#gid=156619080"",BB$3)"),"#REF!")</f>
        <v>#REF!</v>
      </c>
      <c r="BC276" s="2" t="str">
        <f>IFERROR(__xludf.DUMMYFUNCTION("IMPORTRANGE(""https://docs.google.com/spreadsheets/d/""&amp;$A276&amp;""/edit#gid=156619080"",BC$3)"),"#REF!")</f>
        <v>#REF!</v>
      </c>
    </row>
    <row r="277" ht="51.0" customHeight="1">
      <c r="A277" s="7" t="str">
        <f t="shared" si="5"/>
        <v>1MCEU_qY8bxpXsbzk7IJwChaHo_UxyT1MLq_M1mJrdTE</v>
      </c>
      <c r="B277" s="1" t="s">
        <v>304</v>
      </c>
      <c r="C277" s="2" t="str">
        <f>IFERROR(__xludf.DUMMYFUNCTION("IMPORTRANGE(""https://docs.google.com/spreadsheets/d/""&amp;$A277&amp;""/edit#gid=156619080"",C$3)"),"#REF!")</f>
        <v>#REF!</v>
      </c>
      <c r="D277" s="2" t="str">
        <f>IFERROR(__xludf.DUMMYFUNCTION("IMPORTRANGE(""https://docs.google.com/spreadsheets/d/""&amp;$A277&amp;""/edit#gid=156619080"",D$3)"),"#REF!")</f>
        <v>#REF!</v>
      </c>
      <c r="E277" s="2" t="str">
        <f>IFERROR(__xludf.DUMMYFUNCTION("IMPORTRANGE(""https://docs.google.com/spreadsheets/d/""&amp;$A277&amp;""/edit#gid=156619080"",E$3)"),"#REF!")</f>
        <v>#REF!</v>
      </c>
      <c r="F277" s="2" t="str">
        <f>IFERROR(__xludf.DUMMYFUNCTION("IMPORTRANGE(""https://docs.google.com/spreadsheets/d/""&amp;$A277&amp;""/edit#gid=156619080"",F$3)"),"#REF!")</f>
        <v>#REF!</v>
      </c>
      <c r="G277" s="2" t="str">
        <f>IFERROR(__xludf.DUMMYFUNCTION("IMPORTRANGE(""https://docs.google.com/spreadsheets/d/""&amp;$A277&amp;""/edit#gid=156619080"",G$3)"),"#REF!")</f>
        <v>#REF!</v>
      </c>
      <c r="H277" s="2" t="str">
        <f>IFERROR(__xludf.DUMMYFUNCTION("IMPORTRANGE(""https://docs.google.com/spreadsheets/d/""&amp;$A277&amp;""/edit#gid=156619080"",H$3)"),"#REF!")</f>
        <v>#REF!</v>
      </c>
      <c r="I277" s="2" t="str">
        <f>IFERROR(__xludf.DUMMYFUNCTION("IMPORTRANGE(""https://docs.google.com/spreadsheets/d/""&amp;$A277&amp;""/edit#gid=156619080"",I$3)"),"#REF!")</f>
        <v>#REF!</v>
      </c>
      <c r="J277" s="2" t="str">
        <f>IFERROR(__xludf.DUMMYFUNCTION("IMPORTRANGE(""https://docs.google.com/spreadsheets/d/""&amp;$A277&amp;""/edit#gid=156619080"",J$3)"),"#REF!")</f>
        <v>#REF!</v>
      </c>
      <c r="K277" s="2" t="str">
        <f>IFERROR(__xludf.DUMMYFUNCTION("IMPORTRANGE(""https://docs.google.com/spreadsheets/d/""&amp;$A277&amp;""/edit#gid=156619080"",K$3)"),"#REF!")</f>
        <v>#REF!</v>
      </c>
      <c r="L277" s="2" t="str">
        <f>IFERROR(__xludf.DUMMYFUNCTION("IMPORTRANGE(""https://docs.google.com/spreadsheets/d/""&amp;$A277&amp;""/edit#gid=156619080"",L$3)"),"#REF!")</f>
        <v>#REF!</v>
      </c>
      <c r="M277" s="2" t="str">
        <f>IFERROR(__xludf.DUMMYFUNCTION("IMPORTRANGE(""https://docs.google.com/spreadsheets/d/""&amp;$A277&amp;""/edit#gid=156619080"",M$3)"),"#REF!")</f>
        <v>#REF!</v>
      </c>
      <c r="N277" s="2" t="str">
        <f>IFERROR(__xludf.DUMMYFUNCTION("IMPORTRANGE(""https://docs.google.com/spreadsheets/d/""&amp;$A277&amp;""/edit#gid=156619080"",N$3)"),"#REF!")</f>
        <v>#REF!</v>
      </c>
      <c r="O277" s="2" t="str">
        <f>IFERROR(__xludf.DUMMYFUNCTION("IMPORTRANGE(""https://docs.google.com/spreadsheets/d/""&amp;$A277&amp;""/edit#gid=156619080"",O$3)"),"#REF!")</f>
        <v>#REF!</v>
      </c>
      <c r="P277" s="2" t="str">
        <f>IFERROR(__xludf.DUMMYFUNCTION("IMPORTRANGE(""https://docs.google.com/spreadsheets/d/""&amp;$A277&amp;""/edit#gid=156619080"",P$3)"),"#REF!")</f>
        <v>#REF!</v>
      </c>
      <c r="Q277" s="2" t="str">
        <f>IFERROR(__xludf.DUMMYFUNCTION("IMPORTRANGE(""https://docs.google.com/spreadsheets/d/""&amp;$A277&amp;""/edit#gid=156619080"",Q$3)"),"#REF!")</f>
        <v>#REF!</v>
      </c>
      <c r="R277" s="2" t="str">
        <f>IFERROR(__xludf.DUMMYFUNCTION("IMPORTRANGE(""https://docs.google.com/spreadsheets/d/""&amp;$A277&amp;""/edit#gid=156619080"",R$3)"),"#REF!")</f>
        <v>#REF!</v>
      </c>
      <c r="S277" s="2" t="str">
        <f>IFERROR(__xludf.DUMMYFUNCTION("IMPORTRANGE(""https://docs.google.com/spreadsheets/d/""&amp;$A277&amp;""/edit#gid=156619080"",S$3)"),"#REF!")</f>
        <v>#REF!</v>
      </c>
      <c r="T277" s="2" t="str">
        <f>IFERROR(__xludf.DUMMYFUNCTION("IMPORTRANGE(""https://docs.google.com/spreadsheets/d/""&amp;$A277&amp;""/edit#gid=156619080"",T$3)"),"#REF!")</f>
        <v>#REF!</v>
      </c>
      <c r="U277" s="2" t="str">
        <f>IFERROR(__xludf.DUMMYFUNCTION("IMPORTRANGE(""https://docs.google.com/spreadsheets/d/""&amp;$A277&amp;""/edit#gid=156619080"",U$3)"),"#REF!")</f>
        <v>#REF!</v>
      </c>
      <c r="V277" s="2" t="str">
        <f>IFERROR(__xludf.DUMMYFUNCTION("IMPORTRANGE(""https://docs.google.com/spreadsheets/d/""&amp;$A277&amp;""/edit#gid=156619080"",V$3)"),"#REF!")</f>
        <v>#REF!</v>
      </c>
      <c r="W277" s="2" t="str">
        <f>IFERROR(__xludf.DUMMYFUNCTION("IMPORTRANGE(""https://docs.google.com/spreadsheets/d/""&amp;$A277&amp;""/edit#gid=156619080"",W$3)"),"#REF!")</f>
        <v>#REF!</v>
      </c>
      <c r="X277" s="2" t="str">
        <f>IFERROR(__xludf.DUMMYFUNCTION("IMPORTRANGE(""https://docs.google.com/spreadsheets/d/""&amp;$A277&amp;""/edit#gid=156619080"",X$3)"),"#REF!")</f>
        <v>#REF!</v>
      </c>
      <c r="Y277" s="2" t="str">
        <f>IFERROR(__xludf.DUMMYFUNCTION("IMPORTRANGE(""https://docs.google.com/spreadsheets/d/""&amp;$A277&amp;""/edit#gid=156619080"",Y$3)"),"#REF!")</f>
        <v>#REF!</v>
      </c>
      <c r="Z277" s="2" t="str">
        <f>IFERROR(__xludf.DUMMYFUNCTION("IMPORTRANGE(""https://docs.google.com/spreadsheets/d/""&amp;$A277&amp;""/edit#gid=156619080"",Z$3)"),"#REF!")</f>
        <v>#REF!</v>
      </c>
      <c r="AA277" s="2" t="str">
        <f>IFERROR(__xludf.DUMMYFUNCTION("IMPORTRANGE(""https://docs.google.com/spreadsheets/d/""&amp;$A277&amp;""/edit#gid=156619080"",AA$3)"),"#REF!")</f>
        <v>#REF!</v>
      </c>
      <c r="AB277" s="2" t="str">
        <f>IFERROR(__xludf.DUMMYFUNCTION("IMPORTRANGE(""https://docs.google.com/spreadsheets/d/""&amp;$A277&amp;""/edit#gid=156619080"",AB$3)"),"#REF!")</f>
        <v>#REF!</v>
      </c>
      <c r="AC277" s="2" t="str">
        <f>IFERROR(__xludf.DUMMYFUNCTION("IMPORTRANGE(""https://docs.google.com/spreadsheets/d/""&amp;$A277&amp;""/edit#gid=156619080"",AC$3)"),"#REF!")</f>
        <v>#REF!</v>
      </c>
      <c r="AD277" s="2" t="str">
        <f>IFERROR(__xludf.DUMMYFUNCTION("IMPORTRANGE(""https://docs.google.com/spreadsheets/d/""&amp;$A277&amp;""/edit#gid=156619080"",AD$3)"),"#REF!")</f>
        <v>#REF!</v>
      </c>
      <c r="AE277" s="2" t="str">
        <f>IFERROR(__xludf.DUMMYFUNCTION("IMPORTRANGE(""https://docs.google.com/spreadsheets/d/""&amp;$A277&amp;""/edit#gid=156619080"",AE$3)"),"#REF!")</f>
        <v>#REF!</v>
      </c>
      <c r="AF277" s="2" t="str">
        <f>IFERROR(__xludf.DUMMYFUNCTION("IMPORTRANGE(""https://docs.google.com/spreadsheets/d/""&amp;$A277&amp;""/edit#gid=156619080"",AF$3)"),"#REF!")</f>
        <v>#REF!</v>
      </c>
      <c r="AG277" s="2" t="str">
        <f>IFERROR(__xludf.DUMMYFUNCTION("IMPORTRANGE(""https://docs.google.com/spreadsheets/d/""&amp;$A277&amp;""/edit#gid=156619080"",AG$3)"),"#REF!")</f>
        <v>#REF!</v>
      </c>
      <c r="AH277" s="2" t="str">
        <f>IFERROR(__xludf.DUMMYFUNCTION("IMPORTRANGE(""https://docs.google.com/spreadsheets/d/""&amp;$A277&amp;""/edit#gid=156619080"",AH$3)"),"#REF!")</f>
        <v>#REF!</v>
      </c>
      <c r="AI277" s="2" t="str">
        <f>IFERROR(__xludf.DUMMYFUNCTION("IMPORTRANGE(""https://docs.google.com/spreadsheets/d/""&amp;$A277&amp;""/edit#gid=156619080"",AI$3)"),"#REF!")</f>
        <v>#REF!</v>
      </c>
      <c r="AJ277" s="2" t="str">
        <f>IFERROR(__xludf.DUMMYFUNCTION("IMPORTRANGE(""https://docs.google.com/spreadsheets/d/""&amp;$A277&amp;""/edit#gid=156619080"",AJ$3)"),"#REF!")</f>
        <v>#REF!</v>
      </c>
      <c r="AK277" s="2" t="str">
        <f>IFERROR(__xludf.DUMMYFUNCTION("IMPORTRANGE(""https://docs.google.com/spreadsheets/d/""&amp;$A277&amp;""/edit#gid=156619080"",AK$3)"),"#REF!")</f>
        <v>#REF!</v>
      </c>
      <c r="AL277" s="2" t="str">
        <f>IFERROR(__xludf.DUMMYFUNCTION("IMPORTRANGE(""https://docs.google.com/spreadsheets/d/""&amp;$A277&amp;""/edit#gid=156619080"",AL$3)"),"#REF!")</f>
        <v>#REF!</v>
      </c>
      <c r="AM277" s="2" t="str">
        <f>IFERROR(__xludf.DUMMYFUNCTION("IMPORTRANGE(""https://docs.google.com/spreadsheets/d/""&amp;$A277&amp;""/edit#gid=156619080"",AM$3)"),"#REF!")</f>
        <v>#REF!</v>
      </c>
      <c r="AN277" s="2" t="str">
        <f>IFERROR(__xludf.DUMMYFUNCTION("IMPORTRANGE(""https://docs.google.com/spreadsheets/d/""&amp;$A277&amp;""/edit#gid=156619080"",AN$3)"),"#REF!")</f>
        <v>#REF!</v>
      </c>
      <c r="AO277" s="2" t="str">
        <f>IFERROR(__xludf.DUMMYFUNCTION("IMPORTRANGE(""https://docs.google.com/spreadsheets/d/""&amp;$A277&amp;""/edit#gid=156619080"",AO$3)"),"#REF!")</f>
        <v>#REF!</v>
      </c>
      <c r="AP277" s="2" t="str">
        <f>IFERROR(__xludf.DUMMYFUNCTION("IMPORTRANGE(""https://docs.google.com/spreadsheets/d/""&amp;$A277&amp;""/edit#gid=156619080"",AP$3)"),"#REF!")</f>
        <v>#REF!</v>
      </c>
      <c r="AQ277" s="2" t="str">
        <f>IFERROR(__xludf.DUMMYFUNCTION("IMPORTRANGE(""https://docs.google.com/spreadsheets/d/""&amp;$A277&amp;""/edit#gid=156619080"",AQ$3)"),"#REF!")</f>
        <v>#REF!</v>
      </c>
      <c r="AR277" s="2" t="str">
        <f>IFERROR(__xludf.DUMMYFUNCTION("IMPORTRANGE(""https://docs.google.com/spreadsheets/d/""&amp;$A277&amp;""/edit#gid=156619080"",AR$3)"),"#REF!")</f>
        <v>#REF!</v>
      </c>
      <c r="AS277" s="19" t="str">
        <f>IFERROR(__xludf.DUMMYFUNCTION("IMPORTRANGE(""https://docs.google.com/spreadsheets/d/""&amp;$A277&amp;""/edit#gid=156619080"",AS$3)"),"#REF!")</f>
        <v>#REF!</v>
      </c>
      <c r="AT277" s="2" t="str">
        <f>IFERROR(__xludf.DUMMYFUNCTION("IMPORTRANGE(""https://docs.google.com/spreadsheets/d/""&amp;$A277&amp;""/edit#gid=156619080"",AT$3)"),"#REF!")</f>
        <v>#REF!</v>
      </c>
      <c r="AU277" s="3" t="str">
        <f>IFERROR(__xludf.DUMMYFUNCTION("IMPORTRANGE(""https://docs.google.com/spreadsheets/d/""&amp;$A277&amp;""/edit#gid=156619080"",AU$3)"),"#REF!")</f>
        <v>#REF!</v>
      </c>
      <c r="AV277" s="2" t="str">
        <f>IFERROR(__xludf.DUMMYFUNCTION("IMPORTRANGE(""https://docs.google.com/spreadsheets/d/""&amp;$A277&amp;""/edit#gid=156619080"",AV$3)"),"#REF!")</f>
        <v>#REF!</v>
      </c>
      <c r="AW277" s="19" t="str">
        <f>IFERROR(__xludf.DUMMYFUNCTION("IMPORTRANGE(""https://docs.google.com/spreadsheets/d/""&amp;$A277&amp;""/edit#gid=156619080"",AW$3)"),"#REF!")</f>
        <v>#REF!</v>
      </c>
      <c r="AX277" s="2" t="str">
        <f>IFERROR(__xludf.DUMMYFUNCTION("IMPORTRANGE(""https://docs.google.com/spreadsheets/d/""&amp;$A277&amp;""/edit#gid=156619080"",AX$3)"),"#REF!")</f>
        <v>#REF!</v>
      </c>
      <c r="AY277" s="2" t="str">
        <f>IFERROR(__xludf.DUMMYFUNCTION("IMPORTRANGE(""https://docs.google.com/spreadsheets/d/""&amp;$A277&amp;""/edit#gid=156619080"",AY$3)"),"#REF!")</f>
        <v>#REF!</v>
      </c>
      <c r="AZ277" s="2" t="str">
        <f>IFERROR(__xludf.DUMMYFUNCTION("IMPORTRANGE(""https://docs.google.com/spreadsheets/d/""&amp;$A277&amp;""/edit#gid=156619080"",AZ$3)"),"#REF!")</f>
        <v>#REF!</v>
      </c>
      <c r="BA277" s="2" t="str">
        <f>IFERROR(__xludf.DUMMYFUNCTION("IMPORTRANGE(""https://docs.google.com/spreadsheets/d/""&amp;$A277&amp;""/edit#gid=156619080"",BA$3)"),"#REF!")</f>
        <v>#REF!</v>
      </c>
      <c r="BB277" s="2" t="str">
        <f>IFERROR(__xludf.DUMMYFUNCTION("IMPORTRANGE(""https://docs.google.com/spreadsheets/d/""&amp;$A277&amp;""/edit#gid=156619080"",BB$3)"),"#REF!")</f>
        <v>#REF!</v>
      </c>
      <c r="BC277" s="2" t="str">
        <f>IFERROR(__xludf.DUMMYFUNCTION("IMPORTRANGE(""https://docs.google.com/spreadsheets/d/""&amp;$A277&amp;""/edit#gid=156619080"",BC$3)"),"#REF!")</f>
        <v>#REF!</v>
      </c>
    </row>
    <row r="278" ht="51.0" customHeight="1">
      <c r="A278" s="7" t="str">
        <f t="shared" si="5"/>
        <v>1dz_FZPeKAVDRUCwFmUBUiY1gJUs6M6aEcrv4cvjXf7I</v>
      </c>
      <c r="B278" s="1" t="s">
        <v>305</v>
      </c>
      <c r="C278" s="2" t="str">
        <f>IFERROR(__xludf.DUMMYFUNCTION("IMPORTRANGE(""https://docs.google.com/spreadsheets/d/""&amp;$A278&amp;""/edit#gid=156619080"",C$3)"),"#REF!")</f>
        <v>#REF!</v>
      </c>
      <c r="D278" s="2" t="str">
        <f>IFERROR(__xludf.DUMMYFUNCTION("IMPORTRANGE(""https://docs.google.com/spreadsheets/d/""&amp;$A278&amp;""/edit#gid=156619080"",D$3)"),"#REF!")</f>
        <v>#REF!</v>
      </c>
      <c r="E278" s="2" t="str">
        <f>IFERROR(__xludf.DUMMYFUNCTION("IMPORTRANGE(""https://docs.google.com/spreadsheets/d/""&amp;$A278&amp;""/edit#gid=156619080"",E$3)"),"#REF!")</f>
        <v>#REF!</v>
      </c>
      <c r="F278" s="2" t="str">
        <f>IFERROR(__xludf.DUMMYFUNCTION("IMPORTRANGE(""https://docs.google.com/spreadsheets/d/""&amp;$A278&amp;""/edit#gid=156619080"",F$3)"),"#REF!")</f>
        <v>#REF!</v>
      </c>
      <c r="G278" s="2" t="str">
        <f>IFERROR(__xludf.DUMMYFUNCTION("IMPORTRANGE(""https://docs.google.com/spreadsheets/d/""&amp;$A278&amp;""/edit#gid=156619080"",G$3)"),"#REF!")</f>
        <v>#REF!</v>
      </c>
      <c r="H278" s="2" t="str">
        <f>IFERROR(__xludf.DUMMYFUNCTION("IMPORTRANGE(""https://docs.google.com/spreadsheets/d/""&amp;$A278&amp;""/edit#gid=156619080"",H$3)"),"#REF!")</f>
        <v>#REF!</v>
      </c>
      <c r="I278" s="2" t="str">
        <f>IFERROR(__xludf.DUMMYFUNCTION("IMPORTRANGE(""https://docs.google.com/spreadsheets/d/""&amp;$A278&amp;""/edit#gid=156619080"",I$3)"),"#REF!")</f>
        <v>#REF!</v>
      </c>
      <c r="J278" s="2" t="str">
        <f>IFERROR(__xludf.DUMMYFUNCTION("IMPORTRANGE(""https://docs.google.com/spreadsheets/d/""&amp;$A278&amp;""/edit#gid=156619080"",J$3)"),"#REF!")</f>
        <v>#REF!</v>
      </c>
      <c r="K278" s="2" t="str">
        <f>IFERROR(__xludf.DUMMYFUNCTION("IMPORTRANGE(""https://docs.google.com/spreadsheets/d/""&amp;$A278&amp;""/edit#gid=156619080"",K$3)"),"#REF!")</f>
        <v>#REF!</v>
      </c>
      <c r="L278" s="2" t="str">
        <f>IFERROR(__xludf.DUMMYFUNCTION("IMPORTRANGE(""https://docs.google.com/spreadsheets/d/""&amp;$A278&amp;""/edit#gid=156619080"",L$3)"),"#REF!")</f>
        <v>#REF!</v>
      </c>
      <c r="M278" s="2" t="str">
        <f>IFERROR(__xludf.DUMMYFUNCTION("IMPORTRANGE(""https://docs.google.com/spreadsheets/d/""&amp;$A278&amp;""/edit#gid=156619080"",M$3)"),"#REF!")</f>
        <v>#REF!</v>
      </c>
      <c r="N278" s="2" t="str">
        <f>IFERROR(__xludf.DUMMYFUNCTION("IMPORTRANGE(""https://docs.google.com/spreadsheets/d/""&amp;$A278&amp;""/edit#gid=156619080"",N$3)"),"#REF!")</f>
        <v>#REF!</v>
      </c>
      <c r="O278" s="2" t="str">
        <f>IFERROR(__xludf.DUMMYFUNCTION("IMPORTRANGE(""https://docs.google.com/spreadsheets/d/""&amp;$A278&amp;""/edit#gid=156619080"",O$3)"),"#REF!")</f>
        <v>#REF!</v>
      </c>
      <c r="P278" s="2" t="str">
        <f>IFERROR(__xludf.DUMMYFUNCTION("IMPORTRANGE(""https://docs.google.com/spreadsheets/d/""&amp;$A278&amp;""/edit#gid=156619080"",P$3)"),"#REF!")</f>
        <v>#REF!</v>
      </c>
      <c r="Q278" s="2" t="str">
        <f>IFERROR(__xludf.DUMMYFUNCTION("IMPORTRANGE(""https://docs.google.com/spreadsheets/d/""&amp;$A278&amp;""/edit#gid=156619080"",Q$3)"),"#REF!")</f>
        <v>#REF!</v>
      </c>
      <c r="R278" s="2" t="str">
        <f>IFERROR(__xludf.DUMMYFUNCTION("IMPORTRANGE(""https://docs.google.com/spreadsheets/d/""&amp;$A278&amp;""/edit#gid=156619080"",R$3)"),"#REF!")</f>
        <v>#REF!</v>
      </c>
      <c r="S278" s="2" t="str">
        <f>IFERROR(__xludf.DUMMYFUNCTION("IMPORTRANGE(""https://docs.google.com/spreadsheets/d/""&amp;$A278&amp;""/edit#gid=156619080"",S$3)"),"#REF!")</f>
        <v>#REF!</v>
      </c>
      <c r="T278" s="2" t="str">
        <f>IFERROR(__xludf.DUMMYFUNCTION("IMPORTRANGE(""https://docs.google.com/spreadsheets/d/""&amp;$A278&amp;""/edit#gid=156619080"",T$3)"),"#REF!")</f>
        <v>#REF!</v>
      </c>
      <c r="U278" s="2" t="str">
        <f>IFERROR(__xludf.DUMMYFUNCTION("IMPORTRANGE(""https://docs.google.com/spreadsheets/d/""&amp;$A278&amp;""/edit#gid=156619080"",U$3)"),"#REF!")</f>
        <v>#REF!</v>
      </c>
      <c r="V278" s="2" t="str">
        <f>IFERROR(__xludf.DUMMYFUNCTION("IMPORTRANGE(""https://docs.google.com/spreadsheets/d/""&amp;$A278&amp;""/edit#gid=156619080"",V$3)"),"#REF!")</f>
        <v>#REF!</v>
      </c>
      <c r="W278" s="2" t="str">
        <f>IFERROR(__xludf.DUMMYFUNCTION("IMPORTRANGE(""https://docs.google.com/spreadsheets/d/""&amp;$A278&amp;""/edit#gid=156619080"",W$3)"),"#REF!")</f>
        <v>#REF!</v>
      </c>
      <c r="X278" s="2" t="str">
        <f>IFERROR(__xludf.DUMMYFUNCTION("IMPORTRANGE(""https://docs.google.com/spreadsheets/d/""&amp;$A278&amp;""/edit#gid=156619080"",X$3)"),"#REF!")</f>
        <v>#REF!</v>
      </c>
      <c r="Y278" s="2" t="str">
        <f>IFERROR(__xludf.DUMMYFUNCTION("IMPORTRANGE(""https://docs.google.com/spreadsheets/d/""&amp;$A278&amp;""/edit#gid=156619080"",Y$3)"),"#REF!")</f>
        <v>#REF!</v>
      </c>
      <c r="Z278" s="2" t="str">
        <f>IFERROR(__xludf.DUMMYFUNCTION("IMPORTRANGE(""https://docs.google.com/spreadsheets/d/""&amp;$A278&amp;""/edit#gid=156619080"",Z$3)"),"#REF!")</f>
        <v>#REF!</v>
      </c>
      <c r="AA278" s="2" t="str">
        <f>IFERROR(__xludf.DUMMYFUNCTION("IMPORTRANGE(""https://docs.google.com/spreadsheets/d/""&amp;$A278&amp;""/edit#gid=156619080"",AA$3)"),"#REF!")</f>
        <v>#REF!</v>
      </c>
      <c r="AB278" s="2" t="str">
        <f>IFERROR(__xludf.DUMMYFUNCTION("IMPORTRANGE(""https://docs.google.com/spreadsheets/d/""&amp;$A278&amp;""/edit#gid=156619080"",AB$3)"),"#REF!")</f>
        <v>#REF!</v>
      </c>
      <c r="AC278" s="2" t="str">
        <f>IFERROR(__xludf.DUMMYFUNCTION("IMPORTRANGE(""https://docs.google.com/spreadsheets/d/""&amp;$A278&amp;""/edit#gid=156619080"",AC$3)"),"#REF!")</f>
        <v>#REF!</v>
      </c>
      <c r="AD278" s="2" t="str">
        <f>IFERROR(__xludf.DUMMYFUNCTION("IMPORTRANGE(""https://docs.google.com/spreadsheets/d/""&amp;$A278&amp;""/edit#gid=156619080"",AD$3)"),"#REF!")</f>
        <v>#REF!</v>
      </c>
      <c r="AE278" s="2" t="str">
        <f>IFERROR(__xludf.DUMMYFUNCTION("IMPORTRANGE(""https://docs.google.com/spreadsheets/d/""&amp;$A278&amp;""/edit#gid=156619080"",AE$3)"),"#REF!")</f>
        <v>#REF!</v>
      </c>
      <c r="AF278" s="2" t="str">
        <f>IFERROR(__xludf.DUMMYFUNCTION("IMPORTRANGE(""https://docs.google.com/spreadsheets/d/""&amp;$A278&amp;""/edit#gid=156619080"",AF$3)"),"#REF!")</f>
        <v>#REF!</v>
      </c>
      <c r="AG278" s="2" t="str">
        <f>IFERROR(__xludf.DUMMYFUNCTION("IMPORTRANGE(""https://docs.google.com/spreadsheets/d/""&amp;$A278&amp;""/edit#gid=156619080"",AG$3)"),"#REF!")</f>
        <v>#REF!</v>
      </c>
      <c r="AH278" s="2" t="str">
        <f>IFERROR(__xludf.DUMMYFUNCTION("IMPORTRANGE(""https://docs.google.com/spreadsheets/d/""&amp;$A278&amp;""/edit#gid=156619080"",AH$3)"),"#REF!")</f>
        <v>#REF!</v>
      </c>
      <c r="AI278" s="2" t="str">
        <f>IFERROR(__xludf.DUMMYFUNCTION("IMPORTRANGE(""https://docs.google.com/spreadsheets/d/""&amp;$A278&amp;""/edit#gid=156619080"",AI$3)"),"#REF!")</f>
        <v>#REF!</v>
      </c>
      <c r="AJ278" s="2" t="str">
        <f>IFERROR(__xludf.DUMMYFUNCTION("IMPORTRANGE(""https://docs.google.com/spreadsheets/d/""&amp;$A278&amp;""/edit#gid=156619080"",AJ$3)"),"#REF!")</f>
        <v>#REF!</v>
      </c>
      <c r="AK278" s="2" t="str">
        <f>IFERROR(__xludf.DUMMYFUNCTION("IMPORTRANGE(""https://docs.google.com/spreadsheets/d/""&amp;$A278&amp;""/edit#gid=156619080"",AK$3)"),"#REF!")</f>
        <v>#REF!</v>
      </c>
      <c r="AL278" s="2" t="str">
        <f>IFERROR(__xludf.DUMMYFUNCTION("IMPORTRANGE(""https://docs.google.com/spreadsheets/d/""&amp;$A278&amp;""/edit#gid=156619080"",AL$3)"),"#REF!")</f>
        <v>#REF!</v>
      </c>
      <c r="AM278" s="2" t="str">
        <f>IFERROR(__xludf.DUMMYFUNCTION("IMPORTRANGE(""https://docs.google.com/spreadsheets/d/""&amp;$A278&amp;""/edit#gid=156619080"",AM$3)"),"#REF!")</f>
        <v>#REF!</v>
      </c>
      <c r="AN278" s="2" t="str">
        <f>IFERROR(__xludf.DUMMYFUNCTION("IMPORTRANGE(""https://docs.google.com/spreadsheets/d/""&amp;$A278&amp;""/edit#gid=156619080"",AN$3)"),"#REF!")</f>
        <v>#REF!</v>
      </c>
      <c r="AO278" s="2" t="str">
        <f>IFERROR(__xludf.DUMMYFUNCTION("IMPORTRANGE(""https://docs.google.com/spreadsheets/d/""&amp;$A278&amp;""/edit#gid=156619080"",AO$3)"),"#REF!")</f>
        <v>#REF!</v>
      </c>
      <c r="AP278" s="2" t="str">
        <f>IFERROR(__xludf.DUMMYFUNCTION("IMPORTRANGE(""https://docs.google.com/spreadsheets/d/""&amp;$A278&amp;""/edit#gid=156619080"",AP$3)"),"#REF!")</f>
        <v>#REF!</v>
      </c>
      <c r="AQ278" s="2" t="str">
        <f>IFERROR(__xludf.DUMMYFUNCTION("IMPORTRANGE(""https://docs.google.com/spreadsheets/d/""&amp;$A278&amp;""/edit#gid=156619080"",AQ$3)"),"#REF!")</f>
        <v>#REF!</v>
      </c>
      <c r="AR278" s="2" t="str">
        <f>IFERROR(__xludf.DUMMYFUNCTION("IMPORTRANGE(""https://docs.google.com/spreadsheets/d/""&amp;$A278&amp;""/edit#gid=156619080"",AR$3)"),"#REF!")</f>
        <v>#REF!</v>
      </c>
      <c r="AS278" s="19" t="str">
        <f>IFERROR(__xludf.DUMMYFUNCTION("IMPORTRANGE(""https://docs.google.com/spreadsheets/d/""&amp;$A278&amp;""/edit#gid=156619080"",AS$3)"),"#REF!")</f>
        <v>#REF!</v>
      </c>
      <c r="AT278" s="2" t="str">
        <f>IFERROR(__xludf.DUMMYFUNCTION("IMPORTRANGE(""https://docs.google.com/spreadsheets/d/""&amp;$A278&amp;""/edit#gid=156619080"",AT$3)"),"#REF!")</f>
        <v>#REF!</v>
      </c>
      <c r="AU278" s="3" t="str">
        <f>IFERROR(__xludf.DUMMYFUNCTION("IMPORTRANGE(""https://docs.google.com/spreadsheets/d/""&amp;$A278&amp;""/edit#gid=156619080"",AU$3)"),"#REF!")</f>
        <v>#REF!</v>
      </c>
      <c r="AV278" s="2" t="str">
        <f>IFERROR(__xludf.DUMMYFUNCTION("IMPORTRANGE(""https://docs.google.com/spreadsheets/d/""&amp;$A278&amp;""/edit#gid=156619080"",AV$3)"),"#REF!")</f>
        <v>#REF!</v>
      </c>
      <c r="AW278" s="19" t="str">
        <f>IFERROR(__xludf.DUMMYFUNCTION("IMPORTRANGE(""https://docs.google.com/spreadsheets/d/""&amp;$A278&amp;""/edit#gid=156619080"",AW$3)"),"#REF!")</f>
        <v>#REF!</v>
      </c>
      <c r="AX278" s="2" t="str">
        <f>IFERROR(__xludf.DUMMYFUNCTION("IMPORTRANGE(""https://docs.google.com/spreadsheets/d/""&amp;$A278&amp;""/edit#gid=156619080"",AX$3)"),"#REF!")</f>
        <v>#REF!</v>
      </c>
      <c r="AY278" s="2" t="str">
        <f>IFERROR(__xludf.DUMMYFUNCTION("IMPORTRANGE(""https://docs.google.com/spreadsheets/d/""&amp;$A278&amp;""/edit#gid=156619080"",AY$3)"),"#REF!")</f>
        <v>#REF!</v>
      </c>
      <c r="AZ278" s="2" t="str">
        <f>IFERROR(__xludf.DUMMYFUNCTION("IMPORTRANGE(""https://docs.google.com/spreadsheets/d/""&amp;$A278&amp;""/edit#gid=156619080"",AZ$3)"),"#REF!")</f>
        <v>#REF!</v>
      </c>
      <c r="BA278" s="2" t="str">
        <f>IFERROR(__xludf.DUMMYFUNCTION("IMPORTRANGE(""https://docs.google.com/spreadsheets/d/""&amp;$A278&amp;""/edit#gid=156619080"",BA$3)"),"#REF!")</f>
        <v>#REF!</v>
      </c>
      <c r="BB278" s="2" t="str">
        <f>IFERROR(__xludf.DUMMYFUNCTION("IMPORTRANGE(""https://docs.google.com/spreadsheets/d/""&amp;$A278&amp;""/edit#gid=156619080"",BB$3)"),"#REF!")</f>
        <v>#REF!</v>
      </c>
      <c r="BC278" s="2" t="str">
        <f>IFERROR(__xludf.DUMMYFUNCTION("IMPORTRANGE(""https://docs.google.com/spreadsheets/d/""&amp;$A278&amp;""/edit#gid=156619080"",BC$3)"),"#REF!")</f>
        <v>#REF!</v>
      </c>
    </row>
    <row r="279" ht="51.0" customHeight="1">
      <c r="A279" s="7" t="str">
        <f t="shared" si="5"/>
        <v>16dS-6MO4g1VPYZICAmxVleObP4fY9V5bQ-TvYbYJTQM</v>
      </c>
      <c r="B279" s="1" t="s">
        <v>306</v>
      </c>
      <c r="C279" s="2" t="str">
        <f>IFERROR(__xludf.DUMMYFUNCTION("IMPORTRANGE(""https://docs.google.com/spreadsheets/d/""&amp;$A279&amp;""/edit#gid=156619080"",C$3)"),"#REF!")</f>
        <v>#REF!</v>
      </c>
      <c r="D279" s="2" t="str">
        <f>IFERROR(__xludf.DUMMYFUNCTION("IMPORTRANGE(""https://docs.google.com/spreadsheets/d/""&amp;$A279&amp;""/edit#gid=156619080"",D$3)"),"#REF!")</f>
        <v>#REF!</v>
      </c>
      <c r="E279" s="2" t="str">
        <f>IFERROR(__xludf.DUMMYFUNCTION("IMPORTRANGE(""https://docs.google.com/spreadsheets/d/""&amp;$A279&amp;""/edit#gid=156619080"",E$3)"),"#REF!")</f>
        <v>#REF!</v>
      </c>
      <c r="F279" s="2" t="str">
        <f>IFERROR(__xludf.DUMMYFUNCTION("IMPORTRANGE(""https://docs.google.com/spreadsheets/d/""&amp;$A279&amp;""/edit#gid=156619080"",F$3)"),"#REF!")</f>
        <v>#REF!</v>
      </c>
      <c r="G279" s="2" t="str">
        <f>IFERROR(__xludf.DUMMYFUNCTION("IMPORTRANGE(""https://docs.google.com/spreadsheets/d/""&amp;$A279&amp;""/edit#gid=156619080"",G$3)"),"#REF!")</f>
        <v>#REF!</v>
      </c>
      <c r="H279" s="2" t="str">
        <f>IFERROR(__xludf.DUMMYFUNCTION("IMPORTRANGE(""https://docs.google.com/spreadsheets/d/""&amp;$A279&amp;""/edit#gid=156619080"",H$3)"),"#REF!")</f>
        <v>#REF!</v>
      </c>
      <c r="I279" s="2" t="str">
        <f>IFERROR(__xludf.DUMMYFUNCTION("IMPORTRANGE(""https://docs.google.com/spreadsheets/d/""&amp;$A279&amp;""/edit#gid=156619080"",I$3)"),"#REF!")</f>
        <v>#REF!</v>
      </c>
      <c r="J279" s="2" t="str">
        <f>IFERROR(__xludf.DUMMYFUNCTION("IMPORTRANGE(""https://docs.google.com/spreadsheets/d/""&amp;$A279&amp;""/edit#gid=156619080"",J$3)"),"#REF!")</f>
        <v>#REF!</v>
      </c>
      <c r="K279" s="2" t="str">
        <f>IFERROR(__xludf.DUMMYFUNCTION("IMPORTRANGE(""https://docs.google.com/spreadsheets/d/""&amp;$A279&amp;""/edit#gid=156619080"",K$3)"),"#REF!")</f>
        <v>#REF!</v>
      </c>
      <c r="L279" s="2" t="str">
        <f>IFERROR(__xludf.DUMMYFUNCTION("IMPORTRANGE(""https://docs.google.com/spreadsheets/d/""&amp;$A279&amp;""/edit#gid=156619080"",L$3)"),"#REF!")</f>
        <v>#REF!</v>
      </c>
      <c r="M279" s="2" t="str">
        <f>IFERROR(__xludf.DUMMYFUNCTION("IMPORTRANGE(""https://docs.google.com/spreadsheets/d/""&amp;$A279&amp;""/edit#gid=156619080"",M$3)"),"#REF!")</f>
        <v>#REF!</v>
      </c>
      <c r="N279" s="2" t="str">
        <f>IFERROR(__xludf.DUMMYFUNCTION("IMPORTRANGE(""https://docs.google.com/spreadsheets/d/""&amp;$A279&amp;""/edit#gid=156619080"",N$3)"),"#REF!")</f>
        <v>#REF!</v>
      </c>
      <c r="O279" s="2" t="str">
        <f>IFERROR(__xludf.DUMMYFUNCTION("IMPORTRANGE(""https://docs.google.com/spreadsheets/d/""&amp;$A279&amp;""/edit#gid=156619080"",O$3)"),"#REF!")</f>
        <v>#REF!</v>
      </c>
      <c r="P279" s="2" t="str">
        <f>IFERROR(__xludf.DUMMYFUNCTION("IMPORTRANGE(""https://docs.google.com/spreadsheets/d/""&amp;$A279&amp;""/edit#gid=156619080"",P$3)"),"#REF!")</f>
        <v>#REF!</v>
      </c>
      <c r="Q279" s="2" t="str">
        <f>IFERROR(__xludf.DUMMYFUNCTION("IMPORTRANGE(""https://docs.google.com/spreadsheets/d/""&amp;$A279&amp;""/edit#gid=156619080"",Q$3)"),"#REF!")</f>
        <v>#REF!</v>
      </c>
      <c r="R279" s="2" t="str">
        <f>IFERROR(__xludf.DUMMYFUNCTION("IMPORTRANGE(""https://docs.google.com/spreadsheets/d/""&amp;$A279&amp;""/edit#gid=156619080"",R$3)"),"#REF!")</f>
        <v>#REF!</v>
      </c>
      <c r="S279" s="2" t="str">
        <f>IFERROR(__xludf.DUMMYFUNCTION("IMPORTRANGE(""https://docs.google.com/spreadsheets/d/""&amp;$A279&amp;""/edit#gid=156619080"",S$3)"),"#REF!")</f>
        <v>#REF!</v>
      </c>
      <c r="T279" s="2" t="str">
        <f>IFERROR(__xludf.DUMMYFUNCTION("IMPORTRANGE(""https://docs.google.com/spreadsheets/d/""&amp;$A279&amp;""/edit#gid=156619080"",T$3)"),"#REF!")</f>
        <v>#REF!</v>
      </c>
      <c r="U279" s="2" t="str">
        <f>IFERROR(__xludf.DUMMYFUNCTION("IMPORTRANGE(""https://docs.google.com/spreadsheets/d/""&amp;$A279&amp;""/edit#gid=156619080"",U$3)"),"#REF!")</f>
        <v>#REF!</v>
      </c>
      <c r="V279" s="2" t="str">
        <f>IFERROR(__xludf.DUMMYFUNCTION("IMPORTRANGE(""https://docs.google.com/spreadsheets/d/""&amp;$A279&amp;""/edit#gid=156619080"",V$3)"),"#REF!")</f>
        <v>#REF!</v>
      </c>
      <c r="W279" s="2" t="str">
        <f>IFERROR(__xludf.DUMMYFUNCTION("IMPORTRANGE(""https://docs.google.com/spreadsheets/d/""&amp;$A279&amp;""/edit#gid=156619080"",W$3)"),"#REF!")</f>
        <v>#REF!</v>
      </c>
      <c r="X279" s="2" t="str">
        <f>IFERROR(__xludf.DUMMYFUNCTION("IMPORTRANGE(""https://docs.google.com/spreadsheets/d/""&amp;$A279&amp;""/edit#gid=156619080"",X$3)"),"#REF!")</f>
        <v>#REF!</v>
      </c>
      <c r="Y279" s="2" t="str">
        <f>IFERROR(__xludf.DUMMYFUNCTION("IMPORTRANGE(""https://docs.google.com/spreadsheets/d/""&amp;$A279&amp;""/edit#gid=156619080"",Y$3)"),"#REF!")</f>
        <v>#REF!</v>
      </c>
      <c r="Z279" s="2" t="str">
        <f>IFERROR(__xludf.DUMMYFUNCTION("IMPORTRANGE(""https://docs.google.com/spreadsheets/d/""&amp;$A279&amp;""/edit#gid=156619080"",Z$3)"),"#REF!")</f>
        <v>#REF!</v>
      </c>
      <c r="AA279" s="2" t="str">
        <f>IFERROR(__xludf.DUMMYFUNCTION("IMPORTRANGE(""https://docs.google.com/spreadsheets/d/""&amp;$A279&amp;""/edit#gid=156619080"",AA$3)"),"#REF!")</f>
        <v>#REF!</v>
      </c>
      <c r="AB279" s="2" t="str">
        <f>IFERROR(__xludf.DUMMYFUNCTION("IMPORTRANGE(""https://docs.google.com/spreadsheets/d/""&amp;$A279&amp;""/edit#gid=156619080"",AB$3)"),"#REF!")</f>
        <v>#REF!</v>
      </c>
      <c r="AC279" s="2" t="str">
        <f>IFERROR(__xludf.DUMMYFUNCTION("IMPORTRANGE(""https://docs.google.com/spreadsheets/d/""&amp;$A279&amp;""/edit#gid=156619080"",AC$3)"),"#REF!")</f>
        <v>#REF!</v>
      </c>
      <c r="AD279" s="2" t="str">
        <f>IFERROR(__xludf.DUMMYFUNCTION("IMPORTRANGE(""https://docs.google.com/spreadsheets/d/""&amp;$A279&amp;""/edit#gid=156619080"",AD$3)"),"#REF!")</f>
        <v>#REF!</v>
      </c>
      <c r="AE279" s="2" t="str">
        <f>IFERROR(__xludf.DUMMYFUNCTION("IMPORTRANGE(""https://docs.google.com/spreadsheets/d/""&amp;$A279&amp;""/edit#gid=156619080"",AE$3)"),"#REF!")</f>
        <v>#REF!</v>
      </c>
      <c r="AF279" s="2" t="str">
        <f>IFERROR(__xludf.DUMMYFUNCTION("IMPORTRANGE(""https://docs.google.com/spreadsheets/d/""&amp;$A279&amp;""/edit#gid=156619080"",AF$3)"),"#REF!")</f>
        <v>#REF!</v>
      </c>
      <c r="AG279" s="2" t="str">
        <f>IFERROR(__xludf.DUMMYFUNCTION("IMPORTRANGE(""https://docs.google.com/spreadsheets/d/""&amp;$A279&amp;""/edit#gid=156619080"",AG$3)"),"#REF!")</f>
        <v>#REF!</v>
      </c>
      <c r="AH279" s="2" t="str">
        <f>IFERROR(__xludf.DUMMYFUNCTION("IMPORTRANGE(""https://docs.google.com/spreadsheets/d/""&amp;$A279&amp;""/edit#gid=156619080"",AH$3)"),"#REF!")</f>
        <v>#REF!</v>
      </c>
      <c r="AI279" s="2" t="str">
        <f>IFERROR(__xludf.DUMMYFUNCTION("IMPORTRANGE(""https://docs.google.com/spreadsheets/d/""&amp;$A279&amp;""/edit#gid=156619080"",AI$3)"),"#REF!")</f>
        <v>#REF!</v>
      </c>
      <c r="AJ279" s="2" t="str">
        <f>IFERROR(__xludf.DUMMYFUNCTION("IMPORTRANGE(""https://docs.google.com/spreadsheets/d/""&amp;$A279&amp;""/edit#gid=156619080"",AJ$3)"),"#REF!")</f>
        <v>#REF!</v>
      </c>
      <c r="AK279" s="2" t="str">
        <f>IFERROR(__xludf.DUMMYFUNCTION("IMPORTRANGE(""https://docs.google.com/spreadsheets/d/""&amp;$A279&amp;""/edit#gid=156619080"",AK$3)"),"#REF!")</f>
        <v>#REF!</v>
      </c>
      <c r="AL279" s="2" t="str">
        <f>IFERROR(__xludf.DUMMYFUNCTION("IMPORTRANGE(""https://docs.google.com/spreadsheets/d/""&amp;$A279&amp;""/edit#gid=156619080"",AL$3)"),"#REF!")</f>
        <v>#REF!</v>
      </c>
      <c r="AM279" s="2" t="str">
        <f>IFERROR(__xludf.DUMMYFUNCTION("IMPORTRANGE(""https://docs.google.com/spreadsheets/d/""&amp;$A279&amp;""/edit#gid=156619080"",AM$3)"),"#REF!")</f>
        <v>#REF!</v>
      </c>
      <c r="AN279" s="2" t="str">
        <f>IFERROR(__xludf.DUMMYFUNCTION("IMPORTRANGE(""https://docs.google.com/spreadsheets/d/""&amp;$A279&amp;""/edit#gid=156619080"",AN$3)"),"#REF!")</f>
        <v>#REF!</v>
      </c>
      <c r="AO279" s="2" t="str">
        <f>IFERROR(__xludf.DUMMYFUNCTION("IMPORTRANGE(""https://docs.google.com/spreadsheets/d/""&amp;$A279&amp;""/edit#gid=156619080"",AO$3)"),"#REF!")</f>
        <v>#REF!</v>
      </c>
      <c r="AP279" s="2" t="str">
        <f>IFERROR(__xludf.DUMMYFUNCTION("IMPORTRANGE(""https://docs.google.com/spreadsheets/d/""&amp;$A279&amp;""/edit#gid=156619080"",AP$3)"),"#REF!")</f>
        <v>#REF!</v>
      </c>
      <c r="AQ279" s="2" t="str">
        <f>IFERROR(__xludf.DUMMYFUNCTION("IMPORTRANGE(""https://docs.google.com/spreadsheets/d/""&amp;$A279&amp;""/edit#gid=156619080"",AQ$3)"),"#REF!")</f>
        <v>#REF!</v>
      </c>
      <c r="AR279" s="2" t="str">
        <f>IFERROR(__xludf.DUMMYFUNCTION("IMPORTRANGE(""https://docs.google.com/spreadsheets/d/""&amp;$A279&amp;""/edit#gid=156619080"",AR$3)"),"#REF!")</f>
        <v>#REF!</v>
      </c>
      <c r="AS279" s="19" t="str">
        <f>IFERROR(__xludf.DUMMYFUNCTION("IMPORTRANGE(""https://docs.google.com/spreadsheets/d/""&amp;$A279&amp;""/edit#gid=156619080"",AS$3)"),"#REF!")</f>
        <v>#REF!</v>
      </c>
      <c r="AT279" s="2" t="str">
        <f>IFERROR(__xludf.DUMMYFUNCTION("IMPORTRANGE(""https://docs.google.com/spreadsheets/d/""&amp;$A279&amp;""/edit#gid=156619080"",AT$3)"),"#REF!")</f>
        <v>#REF!</v>
      </c>
      <c r="AU279" s="3" t="str">
        <f>IFERROR(__xludf.DUMMYFUNCTION("IMPORTRANGE(""https://docs.google.com/spreadsheets/d/""&amp;$A279&amp;""/edit#gid=156619080"",AU$3)"),"#REF!")</f>
        <v>#REF!</v>
      </c>
      <c r="AV279" s="2" t="str">
        <f>IFERROR(__xludf.DUMMYFUNCTION("IMPORTRANGE(""https://docs.google.com/spreadsheets/d/""&amp;$A279&amp;""/edit#gid=156619080"",AV$3)"),"#REF!")</f>
        <v>#REF!</v>
      </c>
      <c r="AW279" s="19" t="str">
        <f>IFERROR(__xludf.DUMMYFUNCTION("IMPORTRANGE(""https://docs.google.com/spreadsheets/d/""&amp;$A279&amp;""/edit#gid=156619080"",AW$3)"),"#REF!")</f>
        <v>#REF!</v>
      </c>
      <c r="AX279" s="2" t="str">
        <f>IFERROR(__xludf.DUMMYFUNCTION("IMPORTRANGE(""https://docs.google.com/spreadsheets/d/""&amp;$A279&amp;""/edit#gid=156619080"",AX$3)"),"#REF!")</f>
        <v>#REF!</v>
      </c>
      <c r="AY279" s="2" t="str">
        <f>IFERROR(__xludf.DUMMYFUNCTION("IMPORTRANGE(""https://docs.google.com/spreadsheets/d/""&amp;$A279&amp;""/edit#gid=156619080"",AY$3)"),"#REF!")</f>
        <v>#REF!</v>
      </c>
      <c r="AZ279" s="2" t="str">
        <f>IFERROR(__xludf.DUMMYFUNCTION("IMPORTRANGE(""https://docs.google.com/spreadsheets/d/""&amp;$A279&amp;""/edit#gid=156619080"",AZ$3)"),"#REF!")</f>
        <v>#REF!</v>
      </c>
      <c r="BA279" s="2" t="str">
        <f>IFERROR(__xludf.DUMMYFUNCTION("IMPORTRANGE(""https://docs.google.com/spreadsheets/d/""&amp;$A279&amp;""/edit#gid=156619080"",BA$3)"),"#REF!")</f>
        <v>#REF!</v>
      </c>
      <c r="BB279" s="2" t="str">
        <f>IFERROR(__xludf.DUMMYFUNCTION("IMPORTRANGE(""https://docs.google.com/spreadsheets/d/""&amp;$A279&amp;""/edit#gid=156619080"",BB$3)"),"#REF!")</f>
        <v>#REF!</v>
      </c>
      <c r="BC279" s="2" t="str">
        <f>IFERROR(__xludf.DUMMYFUNCTION("IMPORTRANGE(""https://docs.google.com/spreadsheets/d/""&amp;$A279&amp;""/edit#gid=156619080"",BC$3)"),"#REF!")</f>
        <v>#REF!</v>
      </c>
    </row>
    <row r="280" ht="51.0" customHeight="1">
      <c r="A280" s="7" t="str">
        <f t="shared" si="5"/>
        <v>1bJsHjPWZDJE2noCIDsgCFarlVS-l-uXbqpKezdDC6jE</v>
      </c>
      <c r="B280" s="1" t="s">
        <v>307</v>
      </c>
      <c r="C280" s="2" t="str">
        <f>IFERROR(__xludf.DUMMYFUNCTION("IMPORTRANGE(""https://docs.google.com/spreadsheets/d/""&amp;$A280&amp;""/edit#gid=156619080"",C$3)"),"#REF!")</f>
        <v>#REF!</v>
      </c>
      <c r="D280" s="2" t="str">
        <f>IFERROR(__xludf.DUMMYFUNCTION("IMPORTRANGE(""https://docs.google.com/spreadsheets/d/""&amp;$A280&amp;""/edit#gid=156619080"",D$3)"),"#REF!")</f>
        <v>#REF!</v>
      </c>
      <c r="E280" s="2" t="str">
        <f>IFERROR(__xludf.DUMMYFUNCTION("IMPORTRANGE(""https://docs.google.com/spreadsheets/d/""&amp;$A280&amp;""/edit#gid=156619080"",E$3)"),"#REF!")</f>
        <v>#REF!</v>
      </c>
      <c r="F280" s="2" t="str">
        <f>IFERROR(__xludf.DUMMYFUNCTION("IMPORTRANGE(""https://docs.google.com/spreadsheets/d/""&amp;$A280&amp;""/edit#gid=156619080"",F$3)"),"#REF!")</f>
        <v>#REF!</v>
      </c>
      <c r="G280" s="2" t="str">
        <f>IFERROR(__xludf.DUMMYFUNCTION("IMPORTRANGE(""https://docs.google.com/spreadsheets/d/""&amp;$A280&amp;""/edit#gid=156619080"",G$3)"),"#REF!")</f>
        <v>#REF!</v>
      </c>
      <c r="H280" s="2" t="str">
        <f>IFERROR(__xludf.DUMMYFUNCTION("IMPORTRANGE(""https://docs.google.com/spreadsheets/d/""&amp;$A280&amp;""/edit#gid=156619080"",H$3)"),"#REF!")</f>
        <v>#REF!</v>
      </c>
      <c r="I280" s="2" t="str">
        <f>IFERROR(__xludf.DUMMYFUNCTION("IMPORTRANGE(""https://docs.google.com/spreadsheets/d/""&amp;$A280&amp;""/edit#gid=156619080"",I$3)"),"#REF!")</f>
        <v>#REF!</v>
      </c>
      <c r="J280" s="2" t="str">
        <f>IFERROR(__xludf.DUMMYFUNCTION("IMPORTRANGE(""https://docs.google.com/spreadsheets/d/""&amp;$A280&amp;""/edit#gid=156619080"",J$3)"),"#REF!")</f>
        <v>#REF!</v>
      </c>
      <c r="K280" s="2" t="str">
        <f>IFERROR(__xludf.DUMMYFUNCTION("IMPORTRANGE(""https://docs.google.com/spreadsheets/d/""&amp;$A280&amp;""/edit#gid=156619080"",K$3)"),"#REF!")</f>
        <v>#REF!</v>
      </c>
      <c r="L280" s="2" t="str">
        <f>IFERROR(__xludf.DUMMYFUNCTION("IMPORTRANGE(""https://docs.google.com/spreadsheets/d/""&amp;$A280&amp;""/edit#gid=156619080"",L$3)"),"#REF!")</f>
        <v>#REF!</v>
      </c>
      <c r="M280" s="2" t="str">
        <f>IFERROR(__xludf.DUMMYFUNCTION("IMPORTRANGE(""https://docs.google.com/spreadsheets/d/""&amp;$A280&amp;""/edit#gid=156619080"",M$3)"),"#REF!")</f>
        <v>#REF!</v>
      </c>
      <c r="N280" s="2" t="str">
        <f>IFERROR(__xludf.DUMMYFUNCTION("IMPORTRANGE(""https://docs.google.com/spreadsheets/d/""&amp;$A280&amp;""/edit#gid=156619080"",N$3)"),"#REF!")</f>
        <v>#REF!</v>
      </c>
      <c r="O280" s="2" t="str">
        <f>IFERROR(__xludf.DUMMYFUNCTION("IMPORTRANGE(""https://docs.google.com/spreadsheets/d/""&amp;$A280&amp;""/edit#gid=156619080"",O$3)"),"#REF!")</f>
        <v>#REF!</v>
      </c>
      <c r="P280" s="2" t="str">
        <f>IFERROR(__xludf.DUMMYFUNCTION("IMPORTRANGE(""https://docs.google.com/spreadsheets/d/""&amp;$A280&amp;""/edit#gid=156619080"",P$3)"),"#REF!")</f>
        <v>#REF!</v>
      </c>
      <c r="Q280" s="2" t="str">
        <f>IFERROR(__xludf.DUMMYFUNCTION("IMPORTRANGE(""https://docs.google.com/spreadsheets/d/""&amp;$A280&amp;""/edit#gid=156619080"",Q$3)"),"#REF!")</f>
        <v>#REF!</v>
      </c>
      <c r="R280" s="2" t="str">
        <f>IFERROR(__xludf.DUMMYFUNCTION("IMPORTRANGE(""https://docs.google.com/spreadsheets/d/""&amp;$A280&amp;""/edit#gid=156619080"",R$3)"),"#REF!")</f>
        <v>#REF!</v>
      </c>
      <c r="S280" s="2" t="str">
        <f>IFERROR(__xludf.DUMMYFUNCTION("IMPORTRANGE(""https://docs.google.com/spreadsheets/d/""&amp;$A280&amp;""/edit#gid=156619080"",S$3)"),"#REF!")</f>
        <v>#REF!</v>
      </c>
      <c r="T280" s="2" t="str">
        <f>IFERROR(__xludf.DUMMYFUNCTION("IMPORTRANGE(""https://docs.google.com/spreadsheets/d/""&amp;$A280&amp;""/edit#gid=156619080"",T$3)"),"#REF!")</f>
        <v>#REF!</v>
      </c>
      <c r="U280" s="2" t="str">
        <f>IFERROR(__xludf.DUMMYFUNCTION("IMPORTRANGE(""https://docs.google.com/spreadsheets/d/""&amp;$A280&amp;""/edit#gid=156619080"",U$3)"),"#REF!")</f>
        <v>#REF!</v>
      </c>
      <c r="V280" s="2" t="str">
        <f>IFERROR(__xludf.DUMMYFUNCTION("IMPORTRANGE(""https://docs.google.com/spreadsheets/d/""&amp;$A280&amp;""/edit#gid=156619080"",V$3)"),"#REF!")</f>
        <v>#REF!</v>
      </c>
      <c r="W280" s="2" t="str">
        <f>IFERROR(__xludf.DUMMYFUNCTION("IMPORTRANGE(""https://docs.google.com/spreadsheets/d/""&amp;$A280&amp;""/edit#gid=156619080"",W$3)"),"#REF!")</f>
        <v>#REF!</v>
      </c>
      <c r="X280" s="2" t="str">
        <f>IFERROR(__xludf.DUMMYFUNCTION("IMPORTRANGE(""https://docs.google.com/spreadsheets/d/""&amp;$A280&amp;""/edit#gid=156619080"",X$3)"),"#REF!")</f>
        <v>#REF!</v>
      </c>
      <c r="Y280" s="2" t="str">
        <f>IFERROR(__xludf.DUMMYFUNCTION("IMPORTRANGE(""https://docs.google.com/spreadsheets/d/""&amp;$A280&amp;""/edit#gid=156619080"",Y$3)"),"#REF!")</f>
        <v>#REF!</v>
      </c>
      <c r="Z280" s="2" t="str">
        <f>IFERROR(__xludf.DUMMYFUNCTION("IMPORTRANGE(""https://docs.google.com/spreadsheets/d/""&amp;$A280&amp;""/edit#gid=156619080"",Z$3)"),"#REF!")</f>
        <v>#REF!</v>
      </c>
      <c r="AA280" s="2" t="str">
        <f>IFERROR(__xludf.DUMMYFUNCTION("IMPORTRANGE(""https://docs.google.com/spreadsheets/d/""&amp;$A280&amp;""/edit#gid=156619080"",AA$3)"),"#REF!")</f>
        <v>#REF!</v>
      </c>
      <c r="AB280" s="2" t="str">
        <f>IFERROR(__xludf.DUMMYFUNCTION("IMPORTRANGE(""https://docs.google.com/spreadsheets/d/""&amp;$A280&amp;""/edit#gid=156619080"",AB$3)"),"#REF!")</f>
        <v>#REF!</v>
      </c>
      <c r="AC280" s="2" t="str">
        <f>IFERROR(__xludf.DUMMYFUNCTION("IMPORTRANGE(""https://docs.google.com/spreadsheets/d/""&amp;$A280&amp;""/edit#gid=156619080"",AC$3)"),"#REF!")</f>
        <v>#REF!</v>
      </c>
      <c r="AD280" s="2" t="str">
        <f>IFERROR(__xludf.DUMMYFUNCTION("IMPORTRANGE(""https://docs.google.com/spreadsheets/d/""&amp;$A280&amp;""/edit#gid=156619080"",AD$3)"),"#REF!")</f>
        <v>#REF!</v>
      </c>
      <c r="AE280" s="2" t="str">
        <f>IFERROR(__xludf.DUMMYFUNCTION("IMPORTRANGE(""https://docs.google.com/spreadsheets/d/""&amp;$A280&amp;""/edit#gid=156619080"",AE$3)"),"#REF!")</f>
        <v>#REF!</v>
      </c>
      <c r="AF280" s="2" t="str">
        <f>IFERROR(__xludf.DUMMYFUNCTION("IMPORTRANGE(""https://docs.google.com/spreadsheets/d/""&amp;$A280&amp;""/edit#gid=156619080"",AF$3)"),"#REF!")</f>
        <v>#REF!</v>
      </c>
      <c r="AG280" s="2" t="str">
        <f>IFERROR(__xludf.DUMMYFUNCTION("IMPORTRANGE(""https://docs.google.com/spreadsheets/d/""&amp;$A280&amp;""/edit#gid=156619080"",AG$3)"),"#REF!")</f>
        <v>#REF!</v>
      </c>
      <c r="AH280" s="2" t="str">
        <f>IFERROR(__xludf.DUMMYFUNCTION("IMPORTRANGE(""https://docs.google.com/spreadsheets/d/""&amp;$A280&amp;""/edit#gid=156619080"",AH$3)"),"#REF!")</f>
        <v>#REF!</v>
      </c>
      <c r="AI280" s="2" t="str">
        <f>IFERROR(__xludf.DUMMYFUNCTION("IMPORTRANGE(""https://docs.google.com/spreadsheets/d/""&amp;$A280&amp;""/edit#gid=156619080"",AI$3)"),"#REF!")</f>
        <v>#REF!</v>
      </c>
      <c r="AJ280" s="2" t="str">
        <f>IFERROR(__xludf.DUMMYFUNCTION("IMPORTRANGE(""https://docs.google.com/spreadsheets/d/""&amp;$A280&amp;""/edit#gid=156619080"",AJ$3)"),"#REF!")</f>
        <v>#REF!</v>
      </c>
      <c r="AK280" s="2" t="str">
        <f>IFERROR(__xludf.DUMMYFUNCTION("IMPORTRANGE(""https://docs.google.com/spreadsheets/d/""&amp;$A280&amp;""/edit#gid=156619080"",AK$3)"),"#REF!")</f>
        <v>#REF!</v>
      </c>
      <c r="AL280" s="2" t="str">
        <f>IFERROR(__xludf.DUMMYFUNCTION("IMPORTRANGE(""https://docs.google.com/spreadsheets/d/""&amp;$A280&amp;""/edit#gid=156619080"",AL$3)"),"#REF!")</f>
        <v>#REF!</v>
      </c>
      <c r="AM280" s="2" t="str">
        <f>IFERROR(__xludf.DUMMYFUNCTION("IMPORTRANGE(""https://docs.google.com/spreadsheets/d/""&amp;$A280&amp;""/edit#gid=156619080"",AM$3)"),"#REF!")</f>
        <v>#REF!</v>
      </c>
      <c r="AN280" s="2" t="str">
        <f>IFERROR(__xludf.DUMMYFUNCTION("IMPORTRANGE(""https://docs.google.com/spreadsheets/d/""&amp;$A280&amp;""/edit#gid=156619080"",AN$3)"),"#REF!")</f>
        <v>#REF!</v>
      </c>
      <c r="AO280" s="2" t="str">
        <f>IFERROR(__xludf.DUMMYFUNCTION("IMPORTRANGE(""https://docs.google.com/spreadsheets/d/""&amp;$A280&amp;""/edit#gid=156619080"",AO$3)"),"#REF!")</f>
        <v>#REF!</v>
      </c>
      <c r="AP280" s="2" t="str">
        <f>IFERROR(__xludf.DUMMYFUNCTION("IMPORTRANGE(""https://docs.google.com/spreadsheets/d/""&amp;$A280&amp;""/edit#gid=156619080"",AP$3)"),"#REF!")</f>
        <v>#REF!</v>
      </c>
      <c r="AQ280" s="2" t="str">
        <f>IFERROR(__xludf.DUMMYFUNCTION("IMPORTRANGE(""https://docs.google.com/spreadsheets/d/""&amp;$A280&amp;""/edit#gid=156619080"",AQ$3)"),"#REF!")</f>
        <v>#REF!</v>
      </c>
      <c r="AR280" s="2" t="str">
        <f>IFERROR(__xludf.DUMMYFUNCTION("IMPORTRANGE(""https://docs.google.com/spreadsheets/d/""&amp;$A280&amp;""/edit#gid=156619080"",AR$3)"),"#REF!")</f>
        <v>#REF!</v>
      </c>
      <c r="AS280" s="19" t="str">
        <f>IFERROR(__xludf.DUMMYFUNCTION("IMPORTRANGE(""https://docs.google.com/spreadsheets/d/""&amp;$A280&amp;""/edit#gid=156619080"",AS$3)"),"#REF!")</f>
        <v>#REF!</v>
      </c>
      <c r="AT280" s="2" t="str">
        <f>IFERROR(__xludf.DUMMYFUNCTION("IMPORTRANGE(""https://docs.google.com/spreadsheets/d/""&amp;$A280&amp;""/edit#gid=156619080"",AT$3)"),"#REF!")</f>
        <v>#REF!</v>
      </c>
      <c r="AU280" s="3" t="str">
        <f>IFERROR(__xludf.DUMMYFUNCTION("IMPORTRANGE(""https://docs.google.com/spreadsheets/d/""&amp;$A280&amp;""/edit#gid=156619080"",AU$3)"),"#REF!")</f>
        <v>#REF!</v>
      </c>
      <c r="AV280" s="2" t="str">
        <f>IFERROR(__xludf.DUMMYFUNCTION("IMPORTRANGE(""https://docs.google.com/spreadsheets/d/""&amp;$A280&amp;""/edit#gid=156619080"",AV$3)"),"#REF!")</f>
        <v>#REF!</v>
      </c>
      <c r="AW280" s="19" t="str">
        <f>IFERROR(__xludf.DUMMYFUNCTION("IMPORTRANGE(""https://docs.google.com/spreadsheets/d/""&amp;$A280&amp;""/edit#gid=156619080"",AW$3)"),"#REF!")</f>
        <v>#REF!</v>
      </c>
      <c r="AX280" s="2" t="str">
        <f>IFERROR(__xludf.DUMMYFUNCTION("IMPORTRANGE(""https://docs.google.com/spreadsheets/d/""&amp;$A280&amp;""/edit#gid=156619080"",AX$3)"),"#REF!")</f>
        <v>#REF!</v>
      </c>
      <c r="AY280" s="2" t="str">
        <f>IFERROR(__xludf.DUMMYFUNCTION("IMPORTRANGE(""https://docs.google.com/spreadsheets/d/""&amp;$A280&amp;""/edit#gid=156619080"",AY$3)"),"#REF!")</f>
        <v>#REF!</v>
      </c>
      <c r="AZ280" s="2" t="str">
        <f>IFERROR(__xludf.DUMMYFUNCTION("IMPORTRANGE(""https://docs.google.com/spreadsheets/d/""&amp;$A280&amp;""/edit#gid=156619080"",AZ$3)"),"#REF!")</f>
        <v>#REF!</v>
      </c>
      <c r="BA280" s="2" t="str">
        <f>IFERROR(__xludf.DUMMYFUNCTION("IMPORTRANGE(""https://docs.google.com/spreadsheets/d/""&amp;$A280&amp;""/edit#gid=156619080"",BA$3)"),"#REF!")</f>
        <v>#REF!</v>
      </c>
      <c r="BB280" s="2" t="str">
        <f>IFERROR(__xludf.DUMMYFUNCTION("IMPORTRANGE(""https://docs.google.com/spreadsheets/d/""&amp;$A280&amp;""/edit#gid=156619080"",BB$3)"),"#REF!")</f>
        <v>#REF!</v>
      </c>
      <c r="BC280" s="2" t="str">
        <f>IFERROR(__xludf.DUMMYFUNCTION("IMPORTRANGE(""https://docs.google.com/spreadsheets/d/""&amp;$A280&amp;""/edit#gid=156619080"",BC$3)"),"#REF!")</f>
        <v>#REF!</v>
      </c>
    </row>
    <row r="281" ht="51.0" customHeight="1">
      <c r="A281" s="7" t="str">
        <f t="shared" si="5"/>
        <v>1oOPyI9_leJNWfL1iTEvcRH5Y0KmsIYIiRq2AOed_MzE</v>
      </c>
      <c r="B281" s="1" t="s">
        <v>308</v>
      </c>
      <c r="C281" s="2" t="str">
        <f>IFERROR(__xludf.DUMMYFUNCTION("IMPORTRANGE(""https://docs.google.com/spreadsheets/d/""&amp;$A281&amp;""/edit#gid=156619080"",C$3)"),"#REF!")</f>
        <v>#REF!</v>
      </c>
      <c r="D281" s="2" t="str">
        <f>IFERROR(__xludf.DUMMYFUNCTION("IMPORTRANGE(""https://docs.google.com/spreadsheets/d/""&amp;$A281&amp;""/edit#gid=156619080"",D$3)"),"#REF!")</f>
        <v>#REF!</v>
      </c>
      <c r="E281" s="2" t="str">
        <f>IFERROR(__xludf.DUMMYFUNCTION("IMPORTRANGE(""https://docs.google.com/spreadsheets/d/""&amp;$A281&amp;""/edit#gid=156619080"",E$3)"),"#REF!")</f>
        <v>#REF!</v>
      </c>
      <c r="F281" s="2" t="str">
        <f>IFERROR(__xludf.DUMMYFUNCTION("IMPORTRANGE(""https://docs.google.com/spreadsheets/d/""&amp;$A281&amp;""/edit#gid=156619080"",F$3)"),"#REF!")</f>
        <v>#REF!</v>
      </c>
      <c r="G281" s="2" t="str">
        <f>IFERROR(__xludf.DUMMYFUNCTION("IMPORTRANGE(""https://docs.google.com/spreadsheets/d/""&amp;$A281&amp;""/edit#gid=156619080"",G$3)"),"#REF!")</f>
        <v>#REF!</v>
      </c>
      <c r="H281" s="2" t="str">
        <f>IFERROR(__xludf.DUMMYFUNCTION("IMPORTRANGE(""https://docs.google.com/spreadsheets/d/""&amp;$A281&amp;""/edit#gid=156619080"",H$3)"),"#REF!")</f>
        <v>#REF!</v>
      </c>
      <c r="I281" s="2" t="str">
        <f>IFERROR(__xludf.DUMMYFUNCTION("IMPORTRANGE(""https://docs.google.com/spreadsheets/d/""&amp;$A281&amp;""/edit#gid=156619080"",I$3)"),"#REF!")</f>
        <v>#REF!</v>
      </c>
      <c r="J281" s="2" t="str">
        <f>IFERROR(__xludf.DUMMYFUNCTION("IMPORTRANGE(""https://docs.google.com/spreadsheets/d/""&amp;$A281&amp;""/edit#gid=156619080"",J$3)"),"#REF!")</f>
        <v>#REF!</v>
      </c>
      <c r="K281" s="2" t="str">
        <f>IFERROR(__xludf.DUMMYFUNCTION("IMPORTRANGE(""https://docs.google.com/spreadsheets/d/""&amp;$A281&amp;""/edit#gid=156619080"",K$3)"),"#REF!")</f>
        <v>#REF!</v>
      </c>
      <c r="L281" s="2" t="str">
        <f>IFERROR(__xludf.DUMMYFUNCTION("IMPORTRANGE(""https://docs.google.com/spreadsheets/d/""&amp;$A281&amp;""/edit#gid=156619080"",L$3)"),"#REF!")</f>
        <v>#REF!</v>
      </c>
      <c r="M281" s="2" t="str">
        <f>IFERROR(__xludf.DUMMYFUNCTION("IMPORTRANGE(""https://docs.google.com/spreadsheets/d/""&amp;$A281&amp;""/edit#gid=156619080"",M$3)"),"#REF!")</f>
        <v>#REF!</v>
      </c>
      <c r="N281" s="2" t="str">
        <f>IFERROR(__xludf.DUMMYFUNCTION("IMPORTRANGE(""https://docs.google.com/spreadsheets/d/""&amp;$A281&amp;""/edit#gid=156619080"",N$3)"),"#REF!")</f>
        <v>#REF!</v>
      </c>
      <c r="O281" s="2" t="str">
        <f>IFERROR(__xludf.DUMMYFUNCTION("IMPORTRANGE(""https://docs.google.com/spreadsheets/d/""&amp;$A281&amp;""/edit#gid=156619080"",O$3)"),"#REF!")</f>
        <v>#REF!</v>
      </c>
      <c r="P281" s="2" t="str">
        <f>IFERROR(__xludf.DUMMYFUNCTION("IMPORTRANGE(""https://docs.google.com/spreadsheets/d/""&amp;$A281&amp;""/edit#gid=156619080"",P$3)"),"#REF!")</f>
        <v>#REF!</v>
      </c>
      <c r="Q281" s="2" t="str">
        <f>IFERROR(__xludf.DUMMYFUNCTION("IMPORTRANGE(""https://docs.google.com/spreadsheets/d/""&amp;$A281&amp;""/edit#gid=156619080"",Q$3)"),"#REF!")</f>
        <v>#REF!</v>
      </c>
      <c r="R281" s="2" t="str">
        <f>IFERROR(__xludf.DUMMYFUNCTION("IMPORTRANGE(""https://docs.google.com/spreadsheets/d/""&amp;$A281&amp;""/edit#gid=156619080"",R$3)"),"#REF!")</f>
        <v>#REF!</v>
      </c>
      <c r="S281" s="2" t="str">
        <f>IFERROR(__xludf.DUMMYFUNCTION("IMPORTRANGE(""https://docs.google.com/spreadsheets/d/""&amp;$A281&amp;""/edit#gid=156619080"",S$3)"),"#REF!")</f>
        <v>#REF!</v>
      </c>
      <c r="T281" s="2" t="str">
        <f>IFERROR(__xludf.DUMMYFUNCTION("IMPORTRANGE(""https://docs.google.com/spreadsheets/d/""&amp;$A281&amp;""/edit#gid=156619080"",T$3)"),"#REF!")</f>
        <v>#REF!</v>
      </c>
      <c r="U281" s="2" t="str">
        <f>IFERROR(__xludf.DUMMYFUNCTION("IMPORTRANGE(""https://docs.google.com/spreadsheets/d/""&amp;$A281&amp;""/edit#gid=156619080"",U$3)"),"#REF!")</f>
        <v>#REF!</v>
      </c>
      <c r="V281" s="2" t="str">
        <f>IFERROR(__xludf.DUMMYFUNCTION("IMPORTRANGE(""https://docs.google.com/spreadsheets/d/""&amp;$A281&amp;""/edit#gid=156619080"",V$3)"),"#REF!")</f>
        <v>#REF!</v>
      </c>
      <c r="W281" s="2" t="str">
        <f>IFERROR(__xludf.DUMMYFUNCTION("IMPORTRANGE(""https://docs.google.com/spreadsheets/d/""&amp;$A281&amp;""/edit#gid=156619080"",W$3)"),"#REF!")</f>
        <v>#REF!</v>
      </c>
      <c r="X281" s="2" t="str">
        <f>IFERROR(__xludf.DUMMYFUNCTION("IMPORTRANGE(""https://docs.google.com/spreadsheets/d/""&amp;$A281&amp;""/edit#gid=156619080"",X$3)"),"#REF!")</f>
        <v>#REF!</v>
      </c>
      <c r="Y281" s="2" t="str">
        <f>IFERROR(__xludf.DUMMYFUNCTION("IMPORTRANGE(""https://docs.google.com/spreadsheets/d/""&amp;$A281&amp;""/edit#gid=156619080"",Y$3)"),"#REF!")</f>
        <v>#REF!</v>
      </c>
      <c r="Z281" s="2" t="str">
        <f>IFERROR(__xludf.DUMMYFUNCTION("IMPORTRANGE(""https://docs.google.com/spreadsheets/d/""&amp;$A281&amp;""/edit#gid=156619080"",Z$3)"),"#REF!")</f>
        <v>#REF!</v>
      </c>
      <c r="AA281" s="2" t="str">
        <f>IFERROR(__xludf.DUMMYFUNCTION("IMPORTRANGE(""https://docs.google.com/spreadsheets/d/""&amp;$A281&amp;""/edit#gid=156619080"",AA$3)"),"#REF!")</f>
        <v>#REF!</v>
      </c>
      <c r="AB281" s="2" t="str">
        <f>IFERROR(__xludf.DUMMYFUNCTION("IMPORTRANGE(""https://docs.google.com/spreadsheets/d/""&amp;$A281&amp;""/edit#gid=156619080"",AB$3)"),"#REF!")</f>
        <v>#REF!</v>
      </c>
      <c r="AC281" s="2" t="str">
        <f>IFERROR(__xludf.DUMMYFUNCTION("IMPORTRANGE(""https://docs.google.com/spreadsheets/d/""&amp;$A281&amp;""/edit#gid=156619080"",AC$3)"),"#REF!")</f>
        <v>#REF!</v>
      </c>
      <c r="AD281" s="2" t="str">
        <f>IFERROR(__xludf.DUMMYFUNCTION("IMPORTRANGE(""https://docs.google.com/spreadsheets/d/""&amp;$A281&amp;""/edit#gid=156619080"",AD$3)"),"#REF!")</f>
        <v>#REF!</v>
      </c>
      <c r="AE281" s="2" t="str">
        <f>IFERROR(__xludf.DUMMYFUNCTION("IMPORTRANGE(""https://docs.google.com/spreadsheets/d/""&amp;$A281&amp;""/edit#gid=156619080"",AE$3)"),"#REF!")</f>
        <v>#REF!</v>
      </c>
      <c r="AF281" s="2" t="str">
        <f>IFERROR(__xludf.DUMMYFUNCTION("IMPORTRANGE(""https://docs.google.com/spreadsheets/d/""&amp;$A281&amp;""/edit#gid=156619080"",AF$3)"),"#REF!")</f>
        <v>#REF!</v>
      </c>
      <c r="AG281" s="2" t="str">
        <f>IFERROR(__xludf.DUMMYFUNCTION("IMPORTRANGE(""https://docs.google.com/spreadsheets/d/""&amp;$A281&amp;""/edit#gid=156619080"",AG$3)"),"#REF!")</f>
        <v>#REF!</v>
      </c>
      <c r="AH281" s="2" t="str">
        <f>IFERROR(__xludf.DUMMYFUNCTION("IMPORTRANGE(""https://docs.google.com/spreadsheets/d/""&amp;$A281&amp;""/edit#gid=156619080"",AH$3)"),"#REF!")</f>
        <v>#REF!</v>
      </c>
      <c r="AI281" s="2" t="str">
        <f>IFERROR(__xludf.DUMMYFUNCTION("IMPORTRANGE(""https://docs.google.com/spreadsheets/d/""&amp;$A281&amp;""/edit#gid=156619080"",AI$3)"),"#REF!")</f>
        <v>#REF!</v>
      </c>
      <c r="AJ281" s="2" t="str">
        <f>IFERROR(__xludf.DUMMYFUNCTION("IMPORTRANGE(""https://docs.google.com/spreadsheets/d/""&amp;$A281&amp;""/edit#gid=156619080"",AJ$3)"),"#REF!")</f>
        <v>#REF!</v>
      </c>
      <c r="AK281" s="2" t="str">
        <f>IFERROR(__xludf.DUMMYFUNCTION("IMPORTRANGE(""https://docs.google.com/spreadsheets/d/""&amp;$A281&amp;""/edit#gid=156619080"",AK$3)"),"#REF!")</f>
        <v>#REF!</v>
      </c>
      <c r="AL281" s="2" t="str">
        <f>IFERROR(__xludf.DUMMYFUNCTION("IMPORTRANGE(""https://docs.google.com/spreadsheets/d/""&amp;$A281&amp;""/edit#gid=156619080"",AL$3)"),"#REF!")</f>
        <v>#REF!</v>
      </c>
      <c r="AM281" s="2" t="str">
        <f>IFERROR(__xludf.DUMMYFUNCTION("IMPORTRANGE(""https://docs.google.com/spreadsheets/d/""&amp;$A281&amp;""/edit#gid=156619080"",AM$3)"),"#REF!")</f>
        <v>#REF!</v>
      </c>
      <c r="AN281" s="2" t="str">
        <f>IFERROR(__xludf.DUMMYFUNCTION("IMPORTRANGE(""https://docs.google.com/spreadsheets/d/""&amp;$A281&amp;""/edit#gid=156619080"",AN$3)"),"#REF!")</f>
        <v>#REF!</v>
      </c>
      <c r="AO281" s="2" t="str">
        <f>IFERROR(__xludf.DUMMYFUNCTION("IMPORTRANGE(""https://docs.google.com/spreadsheets/d/""&amp;$A281&amp;""/edit#gid=156619080"",AO$3)"),"#REF!")</f>
        <v>#REF!</v>
      </c>
      <c r="AP281" s="2" t="str">
        <f>IFERROR(__xludf.DUMMYFUNCTION("IMPORTRANGE(""https://docs.google.com/spreadsheets/d/""&amp;$A281&amp;""/edit#gid=156619080"",AP$3)"),"#REF!")</f>
        <v>#REF!</v>
      </c>
      <c r="AQ281" s="2" t="str">
        <f>IFERROR(__xludf.DUMMYFUNCTION("IMPORTRANGE(""https://docs.google.com/spreadsheets/d/""&amp;$A281&amp;""/edit#gid=156619080"",AQ$3)"),"#REF!")</f>
        <v>#REF!</v>
      </c>
      <c r="AR281" s="2" t="str">
        <f>IFERROR(__xludf.DUMMYFUNCTION("IMPORTRANGE(""https://docs.google.com/spreadsheets/d/""&amp;$A281&amp;""/edit#gid=156619080"",AR$3)"),"#REF!")</f>
        <v>#REF!</v>
      </c>
      <c r="AS281" s="19" t="str">
        <f>IFERROR(__xludf.DUMMYFUNCTION("IMPORTRANGE(""https://docs.google.com/spreadsheets/d/""&amp;$A281&amp;""/edit#gid=156619080"",AS$3)"),"#REF!")</f>
        <v>#REF!</v>
      </c>
      <c r="AT281" s="2" t="str">
        <f>IFERROR(__xludf.DUMMYFUNCTION("IMPORTRANGE(""https://docs.google.com/spreadsheets/d/""&amp;$A281&amp;""/edit#gid=156619080"",AT$3)"),"#REF!")</f>
        <v>#REF!</v>
      </c>
      <c r="AU281" s="3" t="str">
        <f>IFERROR(__xludf.DUMMYFUNCTION("IMPORTRANGE(""https://docs.google.com/spreadsheets/d/""&amp;$A281&amp;""/edit#gid=156619080"",AU$3)"),"#REF!")</f>
        <v>#REF!</v>
      </c>
      <c r="AV281" s="2" t="str">
        <f>IFERROR(__xludf.DUMMYFUNCTION("IMPORTRANGE(""https://docs.google.com/spreadsheets/d/""&amp;$A281&amp;""/edit#gid=156619080"",AV$3)"),"#REF!")</f>
        <v>#REF!</v>
      </c>
      <c r="AW281" s="19" t="str">
        <f>IFERROR(__xludf.DUMMYFUNCTION("IMPORTRANGE(""https://docs.google.com/spreadsheets/d/""&amp;$A281&amp;""/edit#gid=156619080"",AW$3)"),"#REF!")</f>
        <v>#REF!</v>
      </c>
      <c r="AX281" s="2" t="str">
        <f>IFERROR(__xludf.DUMMYFUNCTION("IMPORTRANGE(""https://docs.google.com/spreadsheets/d/""&amp;$A281&amp;""/edit#gid=156619080"",AX$3)"),"#REF!")</f>
        <v>#REF!</v>
      </c>
      <c r="AY281" s="2" t="str">
        <f>IFERROR(__xludf.DUMMYFUNCTION("IMPORTRANGE(""https://docs.google.com/spreadsheets/d/""&amp;$A281&amp;""/edit#gid=156619080"",AY$3)"),"#REF!")</f>
        <v>#REF!</v>
      </c>
      <c r="AZ281" s="2" t="str">
        <f>IFERROR(__xludf.DUMMYFUNCTION("IMPORTRANGE(""https://docs.google.com/spreadsheets/d/""&amp;$A281&amp;""/edit#gid=156619080"",AZ$3)"),"#REF!")</f>
        <v>#REF!</v>
      </c>
      <c r="BA281" s="2" t="str">
        <f>IFERROR(__xludf.DUMMYFUNCTION("IMPORTRANGE(""https://docs.google.com/spreadsheets/d/""&amp;$A281&amp;""/edit#gid=156619080"",BA$3)"),"#REF!")</f>
        <v>#REF!</v>
      </c>
      <c r="BB281" s="2" t="str">
        <f>IFERROR(__xludf.DUMMYFUNCTION("IMPORTRANGE(""https://docs.google.com/spreadsheets/d/""&amp;$A281&amp;""/edit#gid=156619080"",BB$3)"),"#REF!")</f>
        <v>#REF!</v>
      </c>
      <c r="BC281" s="2" t="str">
        <f>IFERROR(__xludf.DUMMYFUNCTION("IMPORTRANGE(""https://docs.google.com/spreadsheets/d/""&amp;$A281&amp;""/edit#gid=156619080"",BC$3)"),"#REF!")</f>
        <v>#REF!</v>
      </c>
    </row>
    <row r="282" ht="51.0" customHeight="1">
      <c r="A282" s="7" t="str">
        <f t="shared" si="5"/>
        <v>1R8CtwxlFE2snHkIjX_ND-XPAh01kCKCDCnnCLb6J_iA</v>
      </c>
      <c r="B282" s="1" t="s">
        <v>309</v>
      </c>
      <c r="C282" s="2" t="str">
        <f>IFERROR(__xludf.DUMMYFUNCTION("IMPORTRANGE(""https://docs.google.com/spreadsheets/d/""&amp;$A282&amp;""/edit#gid=156619080"",C$3)"),"#REF!")</f>
        <v>#REF!</v>
      </c>
      <c r="D282" s="2" t="str">
        <f>IFERROR(__xludf.DUMMYFUNCTION("IMPORTRANGE(""https://docs.google.com/spreadsheets/d/""&amp;$A282&amp;""/edit#gid=156619080"",D$3)"),"#REF!")</f>
        <v>#REF!</v>
      </c>
      <c r="E282" s="2" t="str">
        <f>IFERROR(__xludf.DUMMYFUNCTION("IMPORTRANGE(""https://docs.google.com/spreadsheets/d/""&amp;$A282&amp;""/edit#gid=156619080"",E$3)"),"#REF!")</f>
        <v>#REF!</v>
      </c>
      <c r="F282" s="2" t="str">
        <f>IFERROR(__xludf.DUMMYFUNCTION("IMPORTRANGE(""https://docs.google.com/spreadsheets/d/""&amp;$A282&amp;""/edit#gid=156619080"",F$3)"),"#REF!")</f>
        <v>#REF!</v>
      </c>
      <c r="G282" s="2" t="str">
        <f>IFERROR(__xludf.DUMMYFUNCTION("IMPORTRANGE(""https://docs.google.com/spreadsheets/d/""&amp;$A282&amp;""/edit#gid=156619080"",G$3)"),"#REF!")</f>
        <v>#REF!</v>
      </c>
      <c r="H282" s="2" t="str">
        <f>IFERROR(__xludf.DUMMYFUNCTION("IMPORTRANGE(""https://docs.google.com/spreadsheets/d/""&amp;$A282&amp;""/edit#gid=156619080"",H$3)"),"#REF!")</f>
        <v>#REF!</v>
      </c>
      <c r="I282" s="2" t="str">
        <f>IFERROR(__xludf.DUMMYFUNCTION("IMPORTRANGE(""https://docs.google.com/spreadsheets/d/""&amp;$A282&amp;""/edit#gid=156619080"",I$3)"),"#REF!")</f>
        <v>#REF!</v>
      </c>
      <c r="J282" s="2" t="str">
        <f>IFERROR(__xludf.DUMMYFUNCTION("IMPORTRANGE(""https://docs.google.com/spreadsheets/d/""&amp;$A282&amp;""/edit#gid=156619080"",J$3)"),"#REF!")</f>
        <v>#REF!</v>
      </c>
      <c r="K282" s="2" t="str">
        <f>IFERROR(__xludf.DUMMYFUNCTION("IMPORTRANGE(""https://docs.google.com/spreadsheets/d/""&amp;$A282&amp;""/edit#gid=156619080"",K$3)"),"#REF!")</f>
        <v>#REF!</v>
      </c>
      <c r="L282" s="2" t="str">
        <f>IFERROR(__xludf.DUMMYFUNCTION("IMPORTRANGE(""https://docs.google.com/spreadsheets/d/""&amp;$A282&amp;""/edit#gid=156619080"",L$3)"),"#REF!")</f>
        <v>#REF!</v>
      </c>
      <c r="M282" s="2" t="str">
        <f>IFERROR(__xludf.DUMMYFUNCTION("IMPORTRANGE(""https://docs.google.com/spreadsheets/d/""&amp;$A282&amp;""/edit#gid=156619080"",M$3)"),"#REF!")</f>
        <v>#REF!</v>
      </c>
      <c r="N282" s="2" t="str">
        <f>IFERROR(__xludf.DUMMYFUNCTION("IMPORTRANGE(""https://docs.google.com/spreadsheets/d/""&amp;$A282&amp;""/edit#gid=156619080"",N$3)"),"#REF!")</f>
        <v>#REF!</v>
      </c>
      <c r="O282" s="2" t="str">
        <f>IFERROR(__xludf.DUMMYFUNCTION("IMPORTRANGE(""https://docs.google.com/spreadsheets/d/""&amp;$A282&amp;""/edit#gid=156619080"",O$3)"),"#REF!")</f>
        <v>#REF!</v>
      </c>
      <c r="P282" s="2" t="str">
        <f>IFERROR(__xludf.DUMMYFUNCTION("IMPORTRANGE(""https://docs.google.com/spreadsheets/d/""&amp;$A282&amp;""/edit#gid=156619080"",P$3)"),"#REF!")</f>
        <v>#REF!</v>
      </c>
      <c r="Q282" s="2" t="str">
        <f>IFERROR(__xludf.DUMMYFUNCTION("IMPORTRANGE(""https://docs.google.com/spreadsheets/d/""&amp;$A282&amp;""/edit#gid=156619080"",Q$3)"),"#REF!")</f>
        <v>#REF!</v>
      </c>
      <c r="R282" s="2" t="str">
        <f>IFERROR(__xludf.DUMMYFUNCTION("IMPORTRANGE(""https://docs.google.com/spreadsheets/d/""&amp;$A282&amp;""/edit#gid=156619080"",R$3)"),"#REF!")</f>
        <v>#REF!</v>
      </c>
      <c r="S282" s="2" t="str">
        <f>IFERROR(__xludf.DUMMYFUNCTION("IMPORTRANGE(""https://docs.google.com/spreadsheets/d/""&amp;$A282&amp;""/edit#gid=156619080"",S$3)"),"#REF!")</f>
        <v>#REF!</v>
      </c>
      <c r="T282" s="2" t="str">
        <f>IFERROR(__xludf.DUMMYFUNCTION("IMPORTRANGE(""https://docs.google.com/spreadsheets/d/""&amp;$A282&amp;""/edit#gid=156619080"",T$3)"),"#REF!")</f>
        <v>#REF!</v>
      </c>
      <c r="U282" s="2" t="str">
        <f>IFERROR(__xludf.DUMMYFUNCTION("IMPORTRANGE(""https://docs.google.com/spreadsheets/d/""&amp;$A282&amp;""/edit#gid=156619080"",U$3)"),"#REF!")</f>
        <v>#REF!</v>
      </c>
      <c r="V282" s="2" t="str">
        <f>IFERROR(__xludf.DUMMYFUNCTION("IMPORTRANGE(""https://docs.google.com/spreadsheets/d/""&amp;$A282&amp;""/edit#gid=156619080"",V$3)"),"#REF!")</f>
        <v>#REF!</v>
      </c>
      <c r="W282" s="2" t="str">
        <f>IFERROR(__xludf.DUMMYFUNCTION("IMPORTRANGE(""https://docs.google.com/spreadsheets/d/""&amp;$A282&amp;""/edit#gid=156619080"",W$3)"),"#REF!")</f>
        <v>#REF!</v>
      </c>
      <c r="X282" s="2" t="str">
        <f>IFERROR(__xludf.DUMMYFUNCTION("IMPORTRANGE(""https://docs.google.com/spreadsheets/d/""&amp;$A282&amp;""/edit#gid=156619080"",X$3)"),"#REF!")</f>
        <v>#REF!</v>
      </c>
      <c r="Y282" s="2" t="str">
        <f>IFERROR(__xludf.DUMMYFUNCTION("IMPORTRANGE(""https://docs.google.com/spreadsheets/d/""&amp;$A282&amp;""/edit#gid=156619080"",Y$3)"),"#REF!")</f>
        <v>#REF!</v>
      </c>
      <c r="Z282" s="2" t="str">
        <f>IFERROR(__xludf.DUMMYFUNCTION("IMPORTRANGE(""https://docs.google.com/spreadsheets/d/""&amp;$A282&amp;""/edit#gid=156619080"",Z$3)"),"#REF!")</f>
        <v>#REF!</v>
      </c>
      <c r="AA282" s="2" t="str">
        <f>IFERROR(__xludf.DUMMYFUNCTION("IMPORTRANGE(""https://docs.google.com/spreadsheets/d/""&amp;$A282&amp;""/edit#gid=156619080"",AA$3)"),"#REF!")</f>
        <v>#REF!</v>
      </c>
      <c r="AB282" s="2" t="str">
        <f>IFERROR(__xludf.DUMMYFUNCTION("IMPORTRANGE(""https://docs.google.com/spreadsheets/d/""&amp;$A282&amp;""/edit#gid=156619080"",AB$3)"),"#REF!")</f>
        <v>#REF!</v>
      </c>
      <c r="AC282" s="2" t="str">
        <f>IFERROR(__xludf.DUMMYFUNCTION("IMPORTRANGE(""https://docs.google.com/spreadsheets/d/""&amp;$A282&amp;""/edit#gid=156619080"",AC$3)"),"#REF!")</f>
        <v>#REF!</v>
      </c>
      <c r="AD282" s="2" t="str">
        <f>IFERROR(__xludf.DUMMYFUNCTION("IMPORTRANGE(""https://docs.google.com/spreadsheets/d/""&amp;$A282&amp;""/edit#gid=156619080"",AD$3)"),"#REF!")</f>
        <v>#REF!</v>
      </c>
      <c r="AE282" s="2" t="str">
        <f>IFERROR(__xludf.DUMMYFUNCTION("IMPORTRANGE(""https://docs.google.com/spreadsheets/d/""&amp;$A282&amp;""/edit#gid=156619080"",AE$3)"),"#REF!")</f>
        <v>#REF!</v>
      </c>
      <c r="AF282" s="2" t="str">
        <f>IFERROR(__xludf.DUMMYFUNCTION("IMPORTRANGE(""https://docs.google.com/spreadsheets/d/""&amp;$A282&amp;""/edit#gid=156619080"",AF$3)"),"#REF!")</f>
        <v>#REF!</v>
      </c>
      <c r="AG282" s="2" t="str">
        <f>IFERROR(__xludf.DUMMYFUNCTION("IMPORTRANGE(""https://docs.google.com/spreadsheets/d/""&amp;$A282&amp;""/edit#gid=156619080"",AG$3)"),"#REF!")</f>
        <v>#REF!</v>
      </c>
      <c r="AH282" s="2" t="str">
        <f>IFERROR(__xludf.DUMMYFUNCTION("IMPORTRANGE(""https://docs.google.com/spreadsheets/d/""&amp;$A282&amp;""/edit#gid=156619080"",AH$3)"),"#REF!")</f>
        <v>#REF!</v>
      </c>
      <c r="AI282" s="2" t="str">
        <f>IFERROR(__xludf.DUMMYFUNCTION("IMPORTRANGE(""https://docs.google.com/spreadsheets/d/""&amp;$A282&amp;""/edit#gid=156619080"",AI$3)"),"#REF!")</f>
        <v>#REF!</v>
      </c>
      <c r="AJ282" s="2" t="str">
        <f>IFERROR(__xludf.DUMMYFUNCTION("IMPORTRANGE(""https://docs.google.com/spreadsheets/d/""&amp;$A282&amp;""/edit#gid=156619080"",AJ$3)"),"#REF!")</f>
        <v>#REF!</v>
      </c>
      <c r="AK282" s="2" t="str">
        <f>IFERROR(__xludf.DUMMYFUNCTION("IMPORTRANGE(""https://docs.google.com/spreadsheets/d/""&amp;$A282&amp;""/edit#gid=156619080"",AK$3)"),"#REF!")</f>
        <v>#REF!</v>
      </c>
      <c r="AL282" s="2" t="str">
        <f>IFERROR(__xludf.DUMMYFUNCTION("IMPORTRANGE(""https://docs.google.com/spreadsheets/d/""&amp;$A282&amp;""/edit#gid=156619080"",AL$3)"),"#REF!")</f>
        <v>#REF!</v>
      </c>
      <c r="AM282" s="2" t="str">
        <f>IFERROR(__xludf.DUMMYFUNCTION("IMPORTRANGE(""https://docs.google.com/spreadsheets/d/""&amp;$A282&amp;""/edit#gid=156619080"",AM$3)"),"#REF!")</f>
        <v>#REF!</v>
      </c>
      <c r="AN282" s="2" t="str">
        <f>IFERROR(__xludf.DUMMYFUNCTION("IMPORTRANGE(""https://docs.google.com/spreadsheets/d/""&amp;$A282&amp;""/edit#gid=156619080"",AN$3)"),"#REF!")</f>
        <v>#REF!</v>
      </c>
      <c r="AO282" s="2" t="str">
        <f>IFERROR(__xludf.DUMMYFUNCTION("IMPORTRANGE(""https://docs.google.com/spreadsheets/d/""&amp;$A282&amp;""/edit#gid=156619080"",AO$3)"),"#REF!")</f>
        <v>#REF!</v>
      </c>
      <c r="AP282" s="2" t="str">
        <f>IFERROR(__xludf.DUMMYFUNCTION("IMPORTRANGE(""https://docs.google.com/spreadsheets/d/""&amp;$A282&amp;""/edit#gid=156619080"",AP$3)"),"#REF!")</f>
        <v>#REF!</v>
      </c>
      <c r="AQ282" s="2" t="str">
        <f>IFERROR(__xludf.DUMMYFUNCTION("IMPORTRANGE(""https://docs.google.com/spreadsheets/d/""&amp;$A282&amp;""/edit#gid=156619080"",AQ$3)"),"#REF!")</f>
        <v>#REF!</v>
      </c>
      <c r="AR282" s="2" t="str">
        <f>IFERROR(__xludf.DUMMYFUNCTION("IMPORTRANGE(""https://docs.google.com/spreadsheets/d/""&amp;$A282&amp;""/edit#gid=156619080"",AR$3)"),"#REF!")</f>
        <v>#REF!</v>
      </c>
      <c r="AS282" s="19" t="str">
        <f>IFERROR(__xludf.DUMMYFUNCTION("IMPORTRANGE(""https://docs.google.com/spreadsheets/d/""&amp;$A282&amp;""/edit#gid=156619080"",AS$3)"),"#REF!")</f>
        <v>#REF!</v>
      </c>
      <c r="AT282" s="2" t="str">
        <f>IFERROR(__xludf.DUMMYFUNCTION("IMPORTRANGE(""https://docs.google.com/spreadsheets/d/""&amp;$A282&amp;""/edit#gid=156619080"",AT$3)"),"#REF!")</f>
        <v>#REF!</v>
      </c>
      <c r="AU282" s="3" t="str">
        <f>IFERROR(__xludf.DUMMYFUNCTION("IMPORTRANGE(""https://docs.google.com/spreadsheets/d/""&amp;$A282&amp;""/edit#gid=156619080"",AU$3)"),"#REF!")</f>
        <v>#REF!</v>
      </c>
      <c r="AV282" s="2" t="str">
        <f>IFERROR(__xludf.DUMMYFUNCTION("IMPORTRANGE(""https://docs.google.com/spreadsheets/d/""&amp;$A282&amp;""/edit#gid=156619080"",AV$3)"),"#REF!")</f>
        <v>#REF!</v>
      </c>
      <c r="AW282" s="19" t="str">
        <f>IFERROR(__xludf.DUMMYFUNCTION("IMPORTRANGE(""https://docs.google.com/spreadsheets/d/""&amp;$A282&amp;""/edit#gid=156619080"",AW$3)"),"#REF!")</f>
        <v>#REF!</v>
      </c>
      <c r="AX282" s="2" t="str">
        <f>IFERROR(__xludf.DUMMYFUNCTION("IMPORTRANGE(""https://docs.google.com/spreadsheets/d/""&amp;$A282&amp;""/edit#gid=156619080"",AX$3)"),"#REF!")</f>
        <v>#REF!</v>
      </c>
      <c r="AY282" s="2" t="str">
        <f>IFERROR(__xludf.DUMMYFUNCTION("IMPORTRANGE(""https://docs.google.com/spreadsheets/d/""&amp;$A282&amp;""/edit#gid=156619080"",AY$3)"),"#REF!")</f>
        <v>#REF!</v>
      </c>
      <c r="AZ282" s="2" t="str">
        <f>IFERROR(__xludf.DUMMYFUNCTION("IMPORTRANGE(""https://docs.google.com/spreadsheets/d/""&amp;$A282&amp;""/edit#gid=156619080"",AZ$3)"),"#REF!")</f>
        <v>#REF!</v>
      </c>
      <c r="BA282" s="2" t="str">
        <f>IFERROR(__xludf.DUMMYFUNCTION("IMPORTRANGE(""https://docs.google.com/spreadsheets/d/""&amp;$A282&amp;""/edit#gid=156619080"",BA$3)"),"#REF!")</f>
        <v>#REF!</v>
      </c>
      <c r="BB282" s="2" t="str">
        <f>IFERROR(__xludf.DUMMYFUNCTION("IMPORTRANGE(""https://docs.google.com/spreadsheets/d/""&amp;$A282&amp;""/edit#gid=156619080"",BB$3)"),"#REF!")</f>
        <v>#REF!</v>
      </c>
      <c r="BC282" s="2" t="str">
        <f>IFERROR(__xludf.DUMMYFUNCTION("IMPORTRANGE(""https://docs.google.com/spreadsheets/d/""&amp;$A282&amp;""/edit#gid=156619080"",BC$3)"),"#REF!")</f>
        <v>#REF!</v>
      </c>
    </row>
    <row r="283" ht="51.0" customHeight="1">
      <c r="A283" s="7" t="str">
        <f t="shared" si="5"/>
        <v>1F-o8KXPllpXyzbthehD_KGI50V0V9VgbZJ0dwY7cRkE</v>
      </c>
      <c r="B283" s="1" t="s">
        <v>310</v>
      </c>
      <c r="C283" s="2" t="str">
        <f>IFERROR(__xludf.DUMMYFUNCTION("IMPORTRANGE(""https://docs.google.com/spreadsheets/d/""&amp;$A283&amp;""/edit#gid=156619080"",C$3)"),"#REF!")</f>
        <v>#REF!</v>
      </c>
      <c r="D283" s="2" t="str">
        <f>IFERROR(__xludf.DUMMYFUNCTION("IMPORTRANGE(""https://docs.google.com/spreadsheets/d/""&amp;$A283&amp;""/edit#gid=156619080"",D$3)"),"#REF!")</f>
        <v>#REF!</v>
      </c>
      <c r="E283" s="2" t="str">
        <f>IFERROR(__xludf.DUMMYFUNCTION("IMPORTRANGE(""https://docs.google.com/spreadsheets/d/""&amp;$A283&amp;""/edit#gid=156619080"",E$3)"),"#REF!")</f>
        <v>#REF!</v>
      </c>
      <c r="F283" s="2" t="str">
        <f>IFERROR(__xludf.DUMMYFUNCTION("IMPORTRANGE(""https://docs.google.com/spreadsheets/d/""&amp;$A283&amp;""/edit#gid=156619080"",F$3)"),"#REF!")</f>
        <v>#REF!</v>
      </c>
      <c r="G283" s="2" t="str">
        <f>IFERROR(__xludf.DUMMYFUNCTION("IMPORTRANGE(""https://docs.google.com/spreadsheets/d/""&amp;$A283&amp;""/edit#gid=156619080"",G$3)"),"#REF!")</f>
        <v>#REF!</v>
      </c>
      <c r="H283" s="2" t="str">
        <f>IFERROR(__xludf.DUMMYFUNCTION("IMPORTRANGE(""https://docs.google.com/spreadsheets/d/""&amp;$A283&amp;""/edit#gid=156619080"",H$3)"),"#REF!")</f>
        <v>#REF!</v>
      </c>
      <c r="I283" s="2" t="str">
        <f>IFERROR(__xludf.DUMMYFUNCTION("IMPORTRANGE(""https://docs.google.com/spreadsheets/d/""&amp;$A283&amp;""/edit#gid=156619080"",I$3)"),"#REF!")</f>
        <v>#REF!</v>
      </c>
      <c r="J283" s="2" t="str">
        <f>IFERROR(__xludf.DUMMYFUNCTION("IMPORTRANGE(""https://docs.google.com/spreadsheets/d/""&amp;$A283&amp;""/edit#gid=156619080"",J$3)"),"#REF!")</f>
        <v>#REF!</v>
      </c>
      <c r="K283" s="2" t="str">
        <f>IFERROR(__xludf.DUMMYFUNCTION("IMPORTRANGE(""https://docs.google.com/spreadsheets/d/""&amp;$A283&amp;""/edit#gid=156619080"",K$3)"),"#REF!")</f>
        <v>#REF!</v>
      </c>
      <c r="L283" s="2" t="str">
        <f>IFERROR(__xludf.DUMMYFUNCTION("IMPORTRANGE(""https://docs.google.com/spreadsheets/d/""&amp;$A283&amp;""/edit#gid=156619080"",L$3)"),"#REF!")</f>
        <v>#REF!</v>
      </c>
      <c r="M283" s="2" t="str">
        <f>IFERROR(__xludf.DUMMYFUNCTION("IMPORTRANGE(""https://docs.google.com/spreadsheets/d/""&amp;$A283&amp;""/edit#gid=156619080"",M$3)"),"#REF!")</f>
        <v>#REF!</v>
      </c>
      <c r="N283" s="2" t="str">
        <f>IFERROR(__xludf.DUMMYFUNCTION("IMPORTRANGE(""https://docs.google.com/spreadsheets/d/""&amp;$A283&amp;""/edit#gid=156619080"",N$3)"),"#REF!")</f>
        <v>#REF!</v>
      </c>
      <c r="O283" s="2" t="str">
        <f>IFERROR(__xludf.DUMMYFUNCTION("IMPORTRANGE(""https://docs.google.com/spreadsheets/d/""&amp;$A283&amp;""/edit#gid=156619080"",O$3)"),"#REF!")</f>
        <v>#REF!</v>
      </c>
      <c r="P283" s="2" t="str">
        <f>IFERROR(__xludf.DUMMYFUNCTION("IMPORTRANGE(""https://docs.google.com/spreadsheets/d/""&amp;$A283&amp;""/edit#gid=156619080"",P$3)"),"#REF!")</f>
        <v>#REF!</v>
      </c>
      <c r="Q283" s="2" t="str">
        <f>IFERROR(__xludf.DUMMYFUNCTION("IMPORTRANGE(""https://docs.google.com/spreadsheets/d/""&amp;$A283&amp;""/edit#gid=156619080"",Q$3)"),"#REF!")</f>
        <v>#REF!</v>
      </c>
      <c r="R283" s="2" t="str">
        <f>IFERROR(__xludf.DUMMYFUNCTION("IMPORTRANGE(""https://docs.google.com/spreadsheets/d/""&amp;$A283&amp;""/edit#gid=156619080"",R$3)"),"#REF!")</f>
        <v>#REF!</v>
      </c>
      <c r="S283" s="2" t="str">
        <f>IFERROR(__xludf.DUMMYFUNCTION("IMPORTRANGE(""https://docs.google.com/spreadsheets/d/""&amp;$A283&amp;""/edit#gid=156619080"",S$3)"),"#REF!")</f>
        <v>#REF!</v>
      </c>
      <c r="T283" s="2" t="str">
        <f>IFERROR(__xludf.DUMMYFUNCTION("IMPORTRANGE(""https://docs.google.com/spreadsheets/d/""&amp;$A283&amp;""/edit#gid=156619080"",T$3)"),"#REF!")</f>
        <v>#REF!</v>
      </c>
      <c r="U283" s="2" t="str">
        <f>IFERROR(__xludf.DUMMYFUNCTION("IMPORTRANGE(""https://docs.google.com/spreadsheets/d/""&amp;$A283&amp;""/edit#gid=156619080"",U$3)"),"#REF!")</f>
        <v>#REF!</v>
      </c>
      <c r="V283" s="2" t="str">
        <f>IFERROR(__xludf.DUMMYFUNCTION("IMPORTRANGE(""https://docs.google.com/spreadsheets/d/""&amp;$A283&amp;""/edit#gid=156619080"",V$3)"),"#REF!")</f>
        <v>#REF!</v>
      </c>
      <c r="W283" s="2" t="str">
        <f>IFERROR(__xludf.DUMMYFUNCTION("IMPORTRANGE(""https://docs.google.com/spreadsheets/d/""&amp;$A283&amp;""/edit#gid=156619080"",W$3)"),"#REF!")</f>
        <v>#REF!</v>
      </c>
      <c r="X283" s="2" t="str">
        <f>IFERROR(__xludf.DUMMYFUNCTION("IMPORTRANGE(""https://docs.google.com/spreadsheets/d/""&amp;$A283&amp;""/edit#gid=156619080"",X$3)"),"#REF!")</f>
        <v>#REF!</v>
      </c>
      <c r="Y283" s="2" t="str">
        <f>IFERROR(__xludf.DUMMYFUNCTION("IMPORTRANGE(""https://docs.google.com/spreadsheets/d/""&amp;$A283&amp;""/edit#gid=156619080"",Y$3)"),"#REF!")</f>
        <v>#REF!</v>
      </c>
      <c r="Z283" s="2" t="str">
        <f>IFERROR(__xludf.DUMMYFUNCTION("IMPORTRANGE(""https://docs.google.com/spreadsheets/d/""&amp;$A283&amp;""/edit#gid=156619080"",Z$3)"),"#REF!")</f>
        <v>#REF!</v>
      </c>
      <c r="AA283" s="2" t="str">
        <f>IFERROR(__xludf.DUMMYFUNCTION("IMPORTRANGE(""https://docs.google.com/spreadsheets/d/""&amp;$A283&amp;""/edit#gid=156619080"",AA$3)"),"#REF!")</f>
        <v>#REF!</v>
      </c>
      <c r="AB283" s="2" t="str">
        <f>IFERROR(__xludf.DUMMYFUNCTION("IMPORTRANGE(""https://docs.google.com/spreadsheets/d/""&amp;$A283&amp;""/edit#gid=156619080"",AB$3)"),"#REF!")</f>
        <v>#REF!</v>
      </c>
      <c r="AC283" s="2" t="str">
        <f>IFERROR(__xludf.DUMMYFUNCTION("IMPORTRANGE(""https://docs.google.com/spreadsheets/d/""&amp;$A283&amp;""/edit#gid=156619080"",AC$3)"),"#REF!")</f>
        <v>#REF!</v>
      </c>
      <c r="AD283" s="2" t="str">
        <f>IFERROR(__xludf.DUMMYFUNCTION("IMPORTRANGE(""https://docs.google.com/spreadsheets/d/""&amp;$A283&amp;""/edit#gid=156619080"",AD$3)"),"#REF!")</f>
        <v>#REF!</v>
      </c>
      <c r="AE283" s="2" t="str">
        <f>IFERROR(__xludf.DUMMYFUNCTION("IMPORTRANGE(""https://docs.google.com/spreadsheets/d/""&amp;$A283&amp;""/edit#gid=156619080"",AE$3)"),"#REF!")</f>
        <v>#REF!</v>
      </c>
      <c r="AF283" s="2" t="str">
        <f>IFERROR(__xludf.DUMMYFUNCTION("IMPORTRANGE(""https://docs.google.com/spreadsheets/d/""&amp;$A283&amp;""/edit#gid=156619080"",AF$3)"),"#REF!")</f>
        <v>#REF!</v>
      </c>
      <c r="AG283" s="2" t="str">
        <f>IFERROR(__xludf.DUMMYFUNCTION("IMPORTRANGE(""https://docs.google.com/spreadsheets/d/""&amp;$A283&amp;""/edit#gid=156619080"",AG$3)"),"#REF!")</f>
        <v>#REF!</v>
      </c>
      <c r="AH283" s="2" t="str">
        <f>IFERROR(__xludf.DUMMYFUNCTION("IMPORTRANGE(""https://docs.google.com/spreadsheets/d/""&amp;$A283&amp;""/edit#gid=156619080"",AH$3)"),"#REF!")</f>
        <v>#REF!</v>
      </c>
      <c r="AI283" s="2" t="str">
        <f>IFERROR(__xludf.DUMMYFUNCTION("IMPORTRANGE(""https://docs.google.com/spreadsheets/d/""&amp;$A283&amp;""/edit#gid=156619080"",AI$3)"),"#REF!")</f>
        <v>#REF!</v>
      </c>
      <c r="AJ283" s="2" t="str">
        <f>IFERROR(__xludf.DUMMYFUNCTION("IMPORTRANGE(""https://docs.google.com/spreadsheets/d/""&amp;$A283&amp;""/edit#gid=156619080"",AJ$3)"),"#REF!")</f>
        <v>#REF!</v>
      </c>
      <c r="AK283" s="2" t="str">
        <f>IFERROR(__xludf.DUMMYFUNCTION("IMPORTRANGE(""https://docs.google.com/spreadsheets/d/""&amp;$A283&amp;""/edit#gid=156619080"",AK$3)"),"#REF!")</f>
        <v>#REF!</v>
      </c>
      <c r="AL283" s="2" t="str">
        <f>IFERROR(__xludf.DUMMYFUNCTION("IMPORTRANGE(""https://docs.google.com/spreadsheets/d/""&amp;$A283&amp;""/edit#gid=156619080"",AL$3)"),"#REF!")</f>
        <v>#REF!</v>
      </c>
      <c r="AM283" s="2" t="str">
        <f>IFERROR(__xludf.DUMMYFUNCTION("IMPORTRANGE(""https://docs.google.com/spreadsheets/d/""&amp;$A283&amp;""/edit#gid=156619080"",AM$3)"),"#REF!")</f>
        <v>#REF!</v>
      </c>
      <c r="AN283" s="2" t="str">
        <f>IFERROR(__xludf.DUMMYFUNCTION("IMPORTRANGE(""https://docs.google.com/spreadsheets/d/""&amp;$A283&amp;""/edit#gid=156619080"",AN$3)"),"#REF!")</f>
        <v>#REF!</v>
      </c>
      <c r="AO283" s="2" t="str">
        <f>IFERROR(__xludf.DUMMYFUNCTION("IMPORTRANGE(""https://docs.google.com/spreadsheets/d/""&amp;$A283&amp;""/edit#gid=156619080"",AO$3)"),"#REF!")</f>
        <v>#REF!</v>
      </c>
      <c r="AP283" s="2" t="str">
        <f>IFERROR(__xludf.DUMMYFUNCTION("IMPORTRANGE(""https://docs.google.com/spreadsheets/d/""&amp;$A283&amp;""/edit#gid=156619080"",AP$3)"),"#REF!")</f>
        <v>#REF!</v>
      </c>
      <c r="AQ283" s="2" t="str">
        <f>IFERROR(__xludf.DUMMYFUNCTION("IMPORTRANGE(""https://docs.google.com/spreadsheets/d/""&amp;$A283&amp;""/edit#gid=156619080"",AQ$3)"),"#REF!")</f>
        <v>#REF!</v>
      </c>
      <c r="AR283" s="2" t="str">
        <f>IFERROR(__xludf.DUMMYFUNCTION("IMPORTRANGE(""https://docs.google.com/spreadsheets/d/""&amp;$A283&amp;""/edit#gid=156619080"",AR$3)"),"#REF!")</f>
        <v>#REF!</v>
      </c>
      <c r="AS283" s="19" t="str">
        <f>IFERROR(__xludf.DUMMYFUNCTION("IMPORTRANGE(""https://docs.google.com/spreadsheets/d/""&amp;$A283&amp;""/edit#gid=156619080"",AS$3)"),"#REF!")</f>
        <v>#REF!</v>
      </c>
      <c r="AT283" s="2" t="str">
        <f>IFERROR(__xludf.DUMMYFUNCTION("IMPORTRANGE(""https://docs.google.com/spreadsheets/d/""&amp;$A283&amp;""/edit#gid=156619080"",AT$3)"),"#REF!")</f>
        <v>#REF!</v>
      </c>
      <c r="AU283" s="3" t="str">
        <f>IFERROR(__xludf.DUMMYFUNCTION("IMPORTRANGE(""https://docs.google.com/spreadsheets/d/""&amp;$A283&amp;""/edit#gid=156619080"",AU$3)"),"#REF!")</f>
        <v>#REF!</v>
      </c>
      <c r="AV283" s="2" t="str">
        <f>IFERROR(__xludf.DUMMYFUNCTION("IMPORTRANGE(""https://docs.google.com/spreadsheets/d/""&amp;$A283&amp;""/edit#gid=156619080"",AV$3)"),"#REF!")</f>
        <v>#REF!</v>
      </c>
      <c r="AW283" s="19" t="str">
        <f>IFERROR(__xludf.DUMMYFUNCTION("IMPORTRANGE(""https://docs.google.com/spreadsheets/d/""&amp;$A283&amp;""/edit#gid=156619080"",AW$3)"),"#REF!")</f>
        <v>#REF!</v>
      </c>
      <c r="AX283" s="2" t="str">
        <f>IFERROR(__xludf.DUMMYFUNCTION("IMPORTRANGE(""https://docs.google.com/spreadsheets/d/""&amp;$A283&amp;""/edit#gid=156619080"",AX$3)"),"#REF!")</f>
        <v>#REF!</v>
      </c>
      <c r="AY283" s="2" t="str">
        <f>IFERROR(__xludf.DUMMYFUNCTION("IMPORTRANGE(""https://docs.google.com/spreadsheets/d/""&amp;$A283&amp;""/edit#gid=156619080"",AY$3)"),"#REF!")</f>
        <v>#REF!</v>
      </c>
      <c r="AZ283" s="2" t="str">
        <f>IFERROR(__xludf.DUMMYFUNCTION("IMPORTRANGE(""https://docs.google.com/spreadsheets/d/""&amp;$A283&amp;""/edit#gid=156619080"",AZ$3)"),"#REF!")</f>
        <v>#REF!</v>
      </c>
      <c r="BA283" s="2" t="str">
        <f>IFERROR(__xludf.DUMMYFUNCTION("IMPORTRANGE(""https://docs.google.com/spreadsheets/d/""&amp;$A283&amp;""/edit#gid=156619080"",BA$3)"),"#REF!")</f>
        <v>#REF!</v>
      </c>
      <c r="BB283" s="2" t="str">
        <f>IFERROR(__xludf.DUMMYFUNCTION("IMPORTRANGE(""https://docs.google.com/spreadsheets/d/""&amp;$A283&amp;""/edit#gid=156619080"",BB$3)"),"#REF!")</f>
        <v>#REF!</v>
      </c>
      <c r="BC283" s="2" t="str">
        <f>IFERROR(__xludf.DUMMYFUNCTION("IMPORTRANGE(""https://docs.google.com/spreadsheets/d/""&amp;$A283&amp;""/edit#gid=156619080"",BC$3)"),"#REF!")</f>
        <v>#REF!</v>
      </c>
    </row>
    <row r="284" ht="51.0" customHeight="1">
      <c r="A284" s="7" t="str">
        <f t="shared" si="5"/>
        <v>1V6Au8dvcZrTGhPAINSWHcovWNDpKBIlNlWaSYyusfsw</v>
      </c>
      <c r="B284" s="1" t="s">
        <v>311</v>
      </c>
      <c r="C284" s="2" t="str">
        <f>IFERROR(__xludf.DUMMYFUNCTION("IMPORTRANGE(""https://docs.google.com/spreadsheets/d/""&amp;$A284&amp;""/edit#gid=156619080"",C$3)"),"#REF!")</f>
        <v>#REF!</v>
      </c>
      <c r="D284" s="2" t="str">
        <f>IFERROR(__xludf.DUMMYFUNCTION("IMPORTRANGE(""https://docs.google.com/spreadsheets/d/""&amp;$A284&amp;""/edit#gid=156619080"",D$3)"),"#REF!")</f>
        <v>#REF!</v>
      </c>
      <c r="E284" s="2" t="str">
        <f>IFERROR(__xludf.DUMMYFUNCTION("IMPORTRANGE(""https://docs.google.com/spreadsheets/d/""&amp;$A284&amp;""/edit#gid=156619080"",E$3)"),"#REF!")</f>
        <v>#REF!</v>
      </c>
      <c r="F284" s="2" t="str">
        <f>IFERROR(__xludf.DUMMYFUNCTION("IMPORTRANGE(""https://docs.google.com/spreadsheets/d/""&amp;$A284&amp;""/edit#gid=156619080"",F$3)"),"#REF!")</f>
        <v>#REF!</v>
      </c>
      <c r="G284" s="2" t="str">
        <f>IFERROR(__xludf.DUMMYFUNCTION("IMPORTRANGE(""https://docs.google.com/spreadsheets/d/""&amp;$A284&amp;""/edit#gid=156619080"",G$3)"),"#REF!")</f>
        <v>#REF!</v>
      </c>
      <c r="H284" s="2" t="str">
        <f>IFERROR(__xludf.DUMMYFUNCTION("IMPORTRANGE(""https://docs.google.com/spreadsheets/d/""&amp;$A284&amp;""/edit#gid=156619080"",H$3)"),"#REF!")</f>
        <v>#REF!</v>
      </c>
      <c r="I284" s="2" t="str">
        <f>IFERROR(__xludf.DUMMYFUNCTION("IMPORTRANGE(""https://docs.google.com/spreadsheets/d/""&amp;$A284&amp;""/edit#gid=156619080"",I$3)"),"#REF!")</f>
        <v>#REF!</v>
      </c>
      <c r="J284" s="2" t="str">
        <f>IFERROR(__xludf.DUMMYFUNCTION("IMPORTRANGE(""https://docs.google.com/spreadsheets/d/""&amp;$A284&amp;""/edit#gid=156619080"",J$3)"),"#REF!")</f>
        <v>#REF!</v>
      </c>
      <c r="K284" s="2" t="str">
        <f>IFERROR(__xludf.DUMMYFUNCTION("IMPORTRANGE(""https://docs.google.com/spreadsheets/d/""&amp;$A284&amp;""/edit#gid=156619080"",K$3)"),"#REF!")</f>
        <v>#REF!</v>
      </c>
      <c r="L284" s="2" t="str">
        <f>IFERROR(__xludf.DUMMYFUNCTION("IMPORTRANGE(""https://docs.google.com/spreadsheets/d/""&amp;$A284&amp;""/edit#gid=156619080"",L$3)"),"#REF!")</f>
        <v>#REF!</v>
      </c>
      <c r="M284" s="2" t="str">
        <f>IFERROR(__xludf.DUMMYFUNCTION("IMPORTRANGE(""https://docs.google.com/spreadsheets/d/""&amp;$A284&amp;""/edit#gid=156619080"",M$3)"),"#REF!")</f>
        <v>#REF!</v>
      </c>
      <c r="N284" s="2" t="str">
        <f>IFERROR(__xludf.DUMMYFUNCTION("IMPORTRANGE(""https://docs.google.com/spreadsheets/d/""&amp;$A284&amp;""/edit#gid=156619080"",N$3)"),"#REF!")</f>
        <v>#REF!</v>
      </c>
      <c r="O284" s="2" t="str">
        <f>IFERROR(__xludf.DUMMYFUNCTION("IMPORTRANGE(""https://docs.google.com/spreadsheets/d/""&amp;$A284&amp;""/edit#gid=156619080"",O$3)"),"#REF!")</f>
        <v>#REF!</v>
      </c>
      <c r="P284" s="2" t="str">
        <f>IFERROR(__xludf.DUMMYFUNCTION("IMPORTRANGE(""https://docs.google.com/spreadsheets/d/""&amp;$A284&amp;""/edit#gid=156619080"",P$3)"),"#REF!")</f>
        <v>#REF!</v>
      </c>
      <c r="Q284" s="2" t="str">
        <f>IFERROR(__xludf.DUMMYFUNCTION("IMPORTRANGE(""https://docs.google.com/spreadsheets/d/""&amp;$A284&amp;""/edit#gid=156619080"",Q$3)"),"#REF!")</f>
        <v>#REF!</v>
      </c>
      <c r="R284" s="2" t="str">
        <f>IFERROR(__xludf.DUMMYFUNCTION("IMPORTRANGE(""https://docs.google.com/spreadsheets/d/""&amp;$A284&amp;""/edit#gid=156619080"",R$3)"),"#REF!")</f>
        <v>#REF!</v>
      </c>
      <c r="S284" s="2" t="str">
        <f>IFERROR(__xludf.DUMMYFUNCTION("IMPORTRANGE(""https://docs.google.com/spreadsheets/d/""&amp;$A284&amp;""/edit#gid=156619080"",S$3)"),"#REF!")</f>
        <v>#REF!</v>
      </c>
      <c r="T284" s="2" t="str">
        <f>IFERROR(__xludf.DUMMYFUNCTION("IMPORTRANGE(""https://docs.google.com/spreadsheets/d/""&amp;$A284&amp;""/edit#gid=156619080"",T$3)"),"#REF!")</f>
        <v>#REF!</v>
      </c>
      <c r="U284" s="2" t="str">
        <f>IFERROR(__xludf.DUMMYFUNCTION("IMPORTRANGE(""https://docs.google.com/spreadsheets/d/""&amp;$A284&amp;""/edit#gid=156619080"",U$3)"),"#REF!")</f>
        <v>#REF!</v>
      </c>
      <c r="V284" s="2" t="str">
        <f>IFERROR(__xludf.DUMMYFUNCTION("IMPORTRANGE(""https://docs.google.com/spreadsheets/d/""&amp;$A284&amp;""/edit#gid=156619080"",V$3)"),"#REF!")</f>
        <v>#REF!</v>
      </c>
      <c r="W284" s="2" t="str">
        <f>IFERROR(__xludf.DUMMYFUNCTION("IMPORTRANGE(""https://docs.google.com/spreadsheets/d/""&amp;$A284&amp;""/edit#gid=156619080"",W$3)"),"#REF!")</f>
        <v>#REF!</v>
      </c>
      <c r="X284" s="2" t="str">
        <f>IFERROR(__xludf.DUMMYFUNCTION("IMPORTRANGE(""https://docs.google.com/spreadsheets/d/""&amp;$A284&amp;""/edit#gid=156619080"",X$3)"),"#REF!")</f>
        <v>#REF!</v>
      </c>
      <c r="Y284" s="2" t="str">
        <f>IFERROR(__xludf.DUMMYFUNCTION("IMPORTRANGE(""https://docs.google.com/spreadsheets/d/""&amp;$A284&amp;""/edit#gid=156619080"",Y$3)"),"#REF!")</f>
        <v>#REF!</v>
      </c>
      <c r="Z284" s="2" t="str">
        <f>IFERROR(__xludf.DUMMYFUNCTION("IMPORTRANGE(""https://docs.google.com/spreadsheets/d/""&amp;$A284&amp;""/edit#gid=156619080"",Z$3)"),"#REF!")</f>
        <v>#REF!</v>
      </c>
      <c r="AA284" s="2" t="str">
        <f>IFERROR(__xludf.DUMMYFUNCTION("IMPORTRANGE(""https://docs.google.com/spreadsheets/d/""&amp;$A284&amp;""/edit#gid=156619080"",AA$3)"),"#REF!")</f>
        <v>#REF!</v>
      </c>
      <c r="AB284" s="2" t="str">
        <f>IFERROR(__xludf.DUMMYFUNCTION("IMPORTRANGE(""https://docs.google.com/spreadsheets/d/""&amp;$A284&amp;""/edit#gid=156619080"",AB$3)"),"#REF!")</f>
        <v>#REF!</v>
      </c>
      <c r="AC284" s="2" t="str">
        <f>IFERROR(__xludf.DUMMYFUNCTION("IMPORTRANGE(""https://docs.google.com/spreadsheets/d/""&amp;$A284&amp;""/edit#gid=156619080"",AC$3)"),"#REF!")</f>
        <v>#REF!</v>
      </c>
      <c r="AD284" s="2" t="str">
        <f>IFERROR(__xludf.DUMMYFUNCTION("IMPORTRANGE(""https://docs.google.com/spreadsheets/d/""&amp;$A284&amp;""/edit#gid=156619080"",AD$3)"),"#REF!")</f>
        <v>#REF!</v>
      </c>
      <c r="AE284" s="2" t="str">
        <f>IFERROR(__xludf.DUMMYFUNCTION("IMPORTRANGE(""https://docs.google.com/spreadsheets/d/""&amp;$A284&amp;""/edit#gid=156619080"",AE$3)"),"#REF!")</f>
        <v>#REF!</v>
      </c>
      <c r="AF284" s="2" t="str">
        <f>IFERROR(__xludf.DUMMYFUNCTION("IMPORTRANGE(""https://docs.google.com/spreadsheets/d/""&amp;$A284&amp;""/edit#gid=156619080"",AF$3)"),"#REF!")</f>
        <v>#REF!</v>
      </c>
      <c r="AG284" s="2" t="str">
        <f>IFERROR(__xludf.DUMMYFUNCTION("IMPORTRANGE(""https://docs.google.com/spreadsheets/d/""&amp;$A284&amp;""/edit#gid=156619080"",AG$3)"),"#REF!")</f>
        <v>#REF!</v>
      </c>
      <c r="AH284" s="2" t="str">
        <f>IFERROR(__xludf.DUMMYFUNCTION("IMPORTRANGE(""https://docs.google.com/spreadsheets/d/""&amp;$A284&amp;""/edit#gid=156619080"",AH$3)"),"#REF!")</f>
        <v>#REF!</v>
      </c>
      <c r="AI284" s="2" t="str">
        <f>IFERROR(__xludf.DUMMYFUNCTION("IMPORTRANGE(""https://docs.google.com/spreadsheets/d/""&amp;$A284&amp;""/edit#gid=156619080"",AI$3)"),"#REF!")</f>
        <v>#REF!</v>
      </c>
      <c r="AJ284" s="2" t="str">
        <f>IFERROR(__xludf.DUMMYFUNCTION("IMPORTRANGE(""https://docs.google.com/spreadsheets/d/""&amp;$A284&amp;""/edit#gid=156619080"",AJ$3)"),"#REF!")</f>
        <v>#REF!</v>
      </c>
      <c r="AK284" s="2" t="str">
        <f>IFERROR(__xludf.DUMMYFUNCTION("IMPORTRANGE(""https://docs.google.com/spreadsheets/d/""&amp;$A284&amp;""/edit#gid=156619080"",AK$3)"),"#REF!")</f>
        <v>#REF!</v>
      </c>
      <c r="AL284" s="2" t="str">
        <f>IFERROR(__xludf.DUMMYFUNCTION("IMPORTRANGE(""https://docs.google.com/spreadsheets/d/""&amp;$A284&amp;""/edit#gid=156619080"",AL$3)"),"#REF!")</f>
        <v>#REF!</v>
      </c>
      <c r="AM284" s="2" t="str">
        <f>IFERROR(__xludf.DUMMYFUNCTION("IMPORTRANGE(""https://docs.google.com/spreadsheets/d/""&amp;$A284&amp;""/edit#gid=156619080"",AM$3)"),"#REF!")</f>
        <v>#REF!</v>
      </c>
      <c r="AN284" s="2" t="str">
        <f>IFERROR(__xludf.DUMMYFUNCTION("IMPORTRANGE(""https://docs.google.com/spreadsheets/d/""&amp;$A284&amp;""/edit#gid=156619080"",AN$3)"),"#REF!")</f>
        <v>#REF!</v>
      </c>
      <c r="AO284" s="2" t="str">
        <f>IFERROR(__xludf.DUMMYFUNCTION("IMPORTRANGE(""https://docs.google.com/spreadsheets/d/""&amp;$A284&amp;""/edit#gid=156619080"",AO$3)"),"#REF!")</f>
        <v>#REF!</v>
      </c>
      <c r="AP284" s="2" t="str">
        <f>IFERROR(__xludf.DUMMYFUNCTION("IMPORTRANGE(""https://docs.google.com/spreadsheets/d/""&amp;$A284&amp;""/edit#gid=156619080"",AP$3)"),"#REF!")</f>
        <v>#REF!</v>
      </c>
      <c r="AQ284" s="2" t="str">
        <f>IFERROR(__xludf.DUMMYFUNCTION("IMPORTRANGE(""https://docs.google.com/spreadsheets/d/""&amp;$A284&amp;""/edit#gid=156619080"",AQ$3)"),"#REF!")</f>
        <v>#REF!</v>
      </c>
      <c r="AR284" s="2" t="str">
        <f>IFERROR(__xludf.DUMMYFUNCTION("IMPORTRANGE(""https://docs.google.com/spreadsheets/d/""&amp;$A284&amp;""/edit#gid=156619080"",AR$3)"),"#REF!")</f>
        <v>#REF!</v>
      </c>
      <c r="AS284" s="19" t="str">
        <f>IFERROR(__xludf.DUMMYFUNCTION("IMPORTRANGE(""https://docs.google.com/spreadsheets/d/""&amp;$A284&amp;""/edit#gid=156619080"",AS$3)"),"#REF!")</f>
        <v>#REF!</v>
      </c>
      <c r="AT284" s="2" t="str">
        <f>IFERROR(__xludf.DUMMYFUNCTION("IMPORTRANGE(""https://docs.google.com/spreadsheets/d/""&amp;$A284&amp;""/edit#gid=156619080"",AT$3)"),"#REF!")</f>
        <v>#REF!</v>
      </c>
      <c r="AU284" s="3" t="str">
        <f>IFERROR(__xludf.DUMMYFUNCTION("IMPORTRANGE(""https://docs.google.com/spreadsheets/d/""&amp;$A284&amp;""/edit#gid=156619080"",AU$3)"),"#REF!")</f>
        <v>#REF!</v>
      </c>
      <c r="AV284" s="2" t="str">
        <f>IFERROR(__xludf.DUMMYFUNCTION("IMPORTRANGE(""https://docs.google.com/spreadsheets/d/""&amp;$A284&amp;""/edit#gid=156619080"",AV$3)"),"#REF!")</f>
        <v>#REF!</v>
      </c>
      <c r="AW284" s="19" t="str">
        <f>IFERROR(__xludf.DUMMYFUNCTION("IMPORTRANGE(""https://docs.google.com/spreadsheets/d/""&amp;$A284&amp;""/edit#gid=156619080"",AW$3)"),"#REF!")</f>
        <v>#REF!</v>
      </c>
      <c r="AX284" s="2" t="str">
        <f>IFERROR(__xludf.DUMMYFUNCTION("IMPORTRANGE(""https://docs.google.com/spreadsheets/d/""&amp;$A284&amp;""/edit#gid=156619080"",AX$3)"),"#REF!")</f>
        <v>#REF!</v>
      </c>
      <c r="AY284" s="2" t="str">
        <f>IFERROR(__xludf.DUMMYFUNCTION("IMPORTRANGE(""https://docs.google.com/spreadsheets/d/""&amp;$A284&amp;""/edit#gid=156619080"",AY$3)"),"#REF!")</f>
        <v>#REF!</v>
      </c>
      <c r="AZ284" s="2" t="str">
        <f>IFERROR(__xludf.DUMMYFUNCTION("IMPORTRANGE(""https://docs.google.com/spreadsheets/d/""&amp;$A284&amp;""/edit#gid=156619080"",AZ$3)"),"#REF!")</f>
        <v>#REF!</v>
      </c>
      <c r="BA284" s="2" t="str">
        <f>IFERROR(__xludf.DUMMYFUNCTION("IMPORTRANGE(""https://docs.google.com/spreadsheets/d/""&amp;$A284&amp;""/edit#gid=156619080"",BA$3)"),"#REF!")</f>
        <v>#REF!</v>
      </c>
      <c r="BB284" s="2" t="str">
        <f>IFERROR(__xludf.DUMMYFUNCTION("IMPORTRANGE(""https://docs.google.com/spreadsheets/d/""&amp;$A284&amp;""/edit#gid=156619080"",BB$3)"),"#REF!")</f>
        <v>#REF!</v>
      </c>
      <c r="BC284" s="2" t="str">
        <f>IFERROR(__xludf.DUMMYFUNCTION("IMPORTRANGE(""https://docs.google.com/spreadsheets/d/""&amp;$A284&amp;""/edit#gid=156619080"",BC$3)"),"#REF!")</f>
        <v>#REF!</v>
      </c>
    </row>
    <row r="285" ht="51.0" customHeight="1">
      <c r="A285" s="7" t="str">
        <f t="shared" si="5"/>
        <v>1X5Ei7PPYZTFTatUTNdKallYUxjVK29hmVzBfS0PSLnU</v>
      </c>
      <c r="B285" s="1" t="s">
        <v>312</v>
      </c>
      <c r="C285" s="2" t="str">
        <f>IFERROR(__xludf.DUMMYFUNCTION("IMPORTRANGE(""https://docs.google.com/spreadsheets/d/""&amp;$A285&amp;""/edit#gid=156619080"",C$3)"),"#REF!")</f>
        <v>#REF!</v>
      </c>
      <c r="D285" s="2" t="str">
        <f>IFERROR(__xludf.DUMMYFUNCTION("IMPORTRANGE(""https://docs.google.com/spreadsheets/d/""&amp;$A285&amp;""/edit#gid=156619080"",D$3)"),"#REF!")</f>
        <v>#REF!</v>
      </c>
      <c r="E285" s="2" t="str">
        <f>IFERROR(__xludf.DUMMYFUNCTION("IMPORTRANGE(""https://docs.google.com/spreadsheets/d/""&amp;$A285&amp;""/edit#gid=156619080"",E$3)"),"#REF!")</f>
        <v>#REF!</v>
      </c>
      <c r="F285" s="2" t="str">
        <f>IFERROR(__xludf.DUMMYFUNCTION("IMPORTRANGE(""https://docs.google.com/spreadsheets/d/""&amp;$A285&amp;""/edit#gid=156619080"",F$3)"),"#REF!")</f>
        <v>#REF!</v>
      </c>
      <c r="G285" s="2" t="str">
        <f>IFERROR(__xludf.DUMMYFUNCTION("IMPORTRANGE(""https://docs.google.com/spreadsheets/d/""&amp;$A285&amp;""/edit#gid=156619080"",G$3)"),"#REF!")</f>
        <v>#REF!</v>
      </c>
      <c r="H285" s="2" t="str">
        <f>IFERROR(__xludf.DUMMYFUNCTION("IMPORTRANGE(""https://docs.google.com/spreadsheets/d/""&amp;$A285&amp;""/edit#gid=156619080"",H$3)"),"#REF!")</f>
        <v>#REF!</v>
      </c>
      <c r="I285" s="2" t="str">
        <f>IFERROR(__xludf.DUMMYFUNCTION("IMPORTRANGE(""https://docs.google.com/spreadsheets/d/""&amp;$A285&amp;""/edit#gid=156619080"",I$3)"),"#REF!")</f>
        <v>#REF!</v>
      </c>
      <c r="J285" s="2" t="str">
        <f>IFERROR(__xludf.DUMMYFUNCTION("IMPORTRANGE(""https://docs.google.com/spreadsheets/d/""&amp;$A285&amp;""/edit#gid=156619080"",J$3)"),"#REF!")</f>
        <v>#REF!</v>
      </c>
      <c r="K285" s="2" t="str">
        <f>IFERROR(__xludf.DUMMYFUNCTION("IMPORTRANGE(""https://docs.google.com/spreadsheets/d/""&amp;$A285&amp;""/edit#gid=156619080"",K$3)"),"#REF!")</f>
        <v>#REF!</v>
      </c>
      <c r="L285" s="2" t="str">
        <f>IFERROR(__xludf.DUMMYFUNCTION("IMPORTRANGE(""https://docs.google.com/spreadsheets/d/""&amp;$A285&amp;""/edit#gid=156619080"",L$3)"),"#REF!")</f>
        <v>#REF!</v>
      </c>
      <c r="M285" s="2" t="str">
        <f>IFERROR(__xludf.DUMMYFUNCTION("IMPORTRANGE(""https://docs.google.com/spreadsheets/d/""&amp;$A285&amp;""/edit#gid=156619080"",M$3)"),"#REF!")</f>
        <v>#REF!</v>
      </c>
      <c r="N285" s="2" t="str">
        <f>IFERROR(__xludf.DUMMYFUNCTION("IMPORTRANGE(""https://docs.google.com/spreadsheets/d/""&amp;$A285&amp;""/edit#gid=156619080"",N$3)"),"#REF!")</f>
        <v>#REF!</v>
      </c>
      <c r="O285" s="2" t="str">
        <f>IFERROR(__xludf.DUMMYFUNCTION("IMPORTRANGE(""https://docs.google.com/spreadsheets/d/""&amp;$A285&amp;""/edit#gid=156619080"",O$3)"),"#REF!")</f>
        <v>#REF!</v>
      </c>
      <c r="P285" s="2" t="str">
        <f>IFERROR(__xludf.DUMMYFUNCTION("IMPORTRANGE(""https://docs.google.com/spreadsheets/d/""&amp;$A285&amp;""/edit#gid=156619080"",P$3)"),"#REF!")</f>
        <v>#REF!</v>
      </c>
      <c r="Q285" s="2" t="str">
        <f>IFERROR(__xludf.DUMMYFUNCTION("IMPORTRANGE(""https://docs.google.com/spreadsheets/d/""&amp;$A285&amp;""/edit#gid=156619080"",Q$3)"),"#REF!")</f>
        <v>#REF!</v>
      </c>
      <c r="R285" s="2" t="str">
        <f>IFERROR(__xludf.DUMMYFUNCTION("IMPORTRANGE(""https://docs.google.com/spreadsheets/d/""&amp;$A285&amp;""/edit#gid=156619080"",R$3)"),"#REF!")</f>
        <v>#REF!</v>
      </c>
      <c r="S285" s="2" t="str">
        <f>IFERROR(__xludf.DUMMYFUNCTION("IMPORTRANGE(""https://docs.google.com/spreadsheets/d/""&amp;$A285&amp;""/edit#gid=156619080"",S$3)"),"#REF!")</f>
        <v>#REF!</v>
      </c>
      <c r="T285" s="2" t="str">
        <f>IFERROR(__xludf.DUMMYFUNCTION("IMPORTRANGE(""https://docs.google.com/spreadsheets/d/""&amp;$A285&amp;""/edit#gid=156619080"",T$3)"),"#REF!")</f>
        <v>#REF!</v>
      </c>
      <c r="U285" s="2" t="str">
        <f>IFERROR(__xludf.DUMMYFUNCTION("IMPORTRANGE(""https://docs.google.com/spreadsheets/d/""&amp;$A285&amp;""/edit#gid=156619080"",U$3)"),"#REF!")</f>
        <v>#REF!</v>
      </c>
      <c r="V285" s="2" t="str">
        <f>IFERROR(__xludf.DUMMYFUNCTION("IMPORTRANGE(""https://docs.google.com/spreadsheets/d/""&amp;$A285&amp;""/edit#gid=156619080"",V$3)"),"#REF!")</f>
        <v>#REF!</v>
      </c>
      <c r="W285" s="2" t="str">
        <f>IFERROR(__xludf.DUMMYFUNCTION("IMPORTRANGE(""https://docs.google.com/spreadsheets/d/""&amp;$A285&amp;""/edit#gid=156619080"",W$3)"),"#REF!")</f>
        <v>#REF!</v>
      </c>
      <c r="X285" s="2" t="str">
        <f>IFERROR(__xludf.DUMMYFUNCTION("IMPORTRANGE(""https://docs.google.com/spreadsheets/d/""&amp;$A285&amp;""/edit#gid=156619080"",X$3)"),"#REF!")</f>
        <v>#REF!</v>
      </c>
      <c r="Y285" s="2" t="str">
        <f>IFERROR(__xludf.DUMMYFUNCTION("IMPORTRANGE(""https://docs.google.com/spreadsheets/d/""&amp;$A285&amp;""/edit#gid=156619080"",Y$3)"),"#REF!")</f>
        <v>#REF!</v>
      </c>
      <c r="Z285" s="2" t="str">
        <f>IFERROR(__xludf.DUMMYFUNCTION("IMPORTRANGE(""https://docs.google.com/spreadsheets/d/""&amp;$A285&amp;""/edit#gid=156619080"",Z$3)"),"#REF!")</f>
        <v>#REF!</v>
      </c>
      <c r="AA285" s="2" t="str">
        <f>IFERROR(__xludf.DUMMYFUNCTION("IMPORTRANGE(""https://docs.google.com/spreadsheets/d/""&amp;$A285&amp;""/edit#gid=156619080"",AA$3)"),"#REF!")</f>
        <v>#REF!</v>
      </c>
      <c r="AB285" s="2" t="str">
        <f>IFERROR(__xludf.DUMMYFUNCTION("IMPORTRANGE(""https://docs.google.com/spreadsheets/d/""&amp;$A285&amp;""/edit#gid=156619080"",AB$3)"),"#REF!")</f>
        <v>#REF!</v>
      </c>
      <c r="AC285" s="2" t="str">
        <f>IFERROR(__xludf.DUMMYFUNCTION("IMPORTRANGE(""https://docs.google.com/spreadsheets/d/""&amp;$A285&amp;""/edit#gid=156619080"",AC$3)"),"#REF!")</f>
        <v>#REF!</v>
      </c>
      <c r="AD285" s="2" t="str">
        <f>IFERROR(__xludf.DUMMYFUNCTION("IMPORTRANGE(""https://docs.google.com/spreadsheets/d/""&amp;$A285&amp;""/edit#gid=156619080"",AD$3)"),"#REF!")</f>
        <v>#REF!</v>
      </c>
      <c r="AE285" s="2" t="str">
        <f>IFERROR(__xludf.DUMMYFUNCTION("IMPORTRANGE(""https://docs.google.com/spreadsheets/d/""&amp;$A285&amp;""/edit#gid=156619080"",AE$3)"),"#REF!")</f>
        <v>#REF!</v>
      </c>
      <c r="AF285" s="2" t="str">
        <f>IFERROR(__xludf.DUMMYFUNCTION("IMPORTRANGE(""https://docs.google.com/spreadsheets/d/""&amp;$A285&amp;""/edit#gid=156619080"",AF$3)"),"#REF!")</f>
        <v>#REF!</v>
      </c>
      <c r="AG285" s="2" t="str">
        <f>IFERROR(__xludf.DUMMYFUNCTION("IMPORTRANGE(""https://docs.google.com/spreadsheets/d/""&amp;$A285&amp;""/edit#gid=156619080"",AG$3)"),"#REF!")</f>
        <v>#REF!</v>
      </c>
      <c r="AH285" s="2" t="str">
        <f>IFERROR(__xludf.DUMMYFUNCTION("IMPORTRANGE(""https://docs.google.com/spreadsheets/d/""&amp;$A285&amp;""/edit#gid=156619080"",AH$3)"),"#REF!")</f>
        <v>#REF!</v>
      </c>
      <c r="AI285" s="2" t="str">
        <f>IFERROR(__xludf.DUMMYFUNCTION("IMPORTRANGE(""https://docs.google.com/spreadsheets/d/""&amp;$A285&amp;""/edit#gid=156619080"",AI$3)"),"#REF!")</f>
        <v>#REF!</v>
      </c>
      <c r="AJ285" s="2" t="str">
        <f>IFERROR(__xludf.DUMMYFUNCTION("IMPORTRANGE(""https://docs.google.com/spreadsheets/d/""&amp;$A285&amp;""/edit#gid=156619080"",AJ$3)"),"#REF!")</f>
        <v>#REF!</v>
      </c>
      <c r="AK285" s="2" t="str">
        <f>IFERROR(__xludf.DUMMYFUNCTION("IMPORTRANGE(""https://docs.google.com/spreadsheets/d/""&amp;$A285&amp;""/edit#gid=156619080"",AK$3)"),"#REF!")</f>
        <v>#REF!</v>
      </c>
      <c r="AL285" s="2" t="str">
        <f>IFERROR(__xludf.DUMMYFUNCTION("IMPORTRANGE(""https://docs.google.com/spreadsheets/d/""&amp;$A285&amp;""/edit#gid=156619080"",AL$3)"),"#REF!")</f>
        <v>#REF!</v>
      </c>
      <c r="AM285" s="2" t="str">
        <f>IFERROR(__xludf.DUMMYFUNCTION("IMPORTRANGE(""https://docs.google.com/spreadsheets/d/""&amp;$A285&amp;""/edit#gid=156619080"",AM$3)"),"#REF!")</f>
        <v>#REF!</v>
      </c>
      <c r="AN285" s="2" t="str">
        <f>IFERROR(__xludf.DUMMYFUNCTION("IMPORTRANGE(""https://docs.google.com/spreadsheets/d/""&amp;$A285&amp;""/edit#gid=156619080"",AN$3)"),"#REF!")</f>
        <v>#REF!</v>
      </c>
      <c r="AO285" s="2" t="str">
        <f>IFERROR(__xludf.DUMMYFUNCTION("IMPORTRANGE(""https://docs.google.com/spreadsheets/d/""&amp;$A285&amp;""/edit#gid=156619080"",AO$3)"),"#REF!")</f>
        <v>#REF!</v>
      </c>
      <c r="AP285" s="2" t="str">
        <f>IFERROR(__xludf.DUMMYFUNCTION("IMPORTRANGE(""https://docs.google.com/spreadsheets/d/""&amp;$A285&amp;""/edit#gid=156619080"",AP$3)"),"#REF!")</f>
        <v>#REF!</v>
      </c>
      <c r="AQ285" s="2" t="str">
        <f>IFERROR(__xludf.DUMMYFUNCTION("IMPORTRANGE(""https://docs.google.com/spreadsheets/d/""&amp;$A285&amp;""/edit#gid=156619080"",AQ$3)"),"#REF!")</f>
        <v>#REF!</v>
      </c>
      <c r="AR285" s="2" t="str">
        <f>IFERROR(__xludf.DUMMYFUNCTION("IMPORTRANGE(""https://docs.google.com/spreadsheets/d/""&amp;$A285&amp;""/edit#gid=156619080"",AR$3)"),"#REF!")</f>
        <v>#REF!</v>
      </c>
      <c r="AS285" s="19" t="str">
        <f>IFERROR(__xludf.DUMMYFUNCTION("IMPORTRANGE(""https://docs.google.com/spreadsheets/d/""&amp;$A285&amp;""/edit#gid=156619080"",AS$3)"),"#REF!")</f>
        <v>#REF!</v>
      </c>
      <c r="AT285" s="2" t="str">
        <f>IFERROR(__xludf.DUMMYFUNCTION("IMPORTRANGE(""https://docs.google.com/spreadsheets/d/""&amp;$A285&amp;""/edit#gid=156619080"",AT$3)"),"#REF!")</f>
        <v>#REF!</v>
      </c>
      <c r="AU285" s="3" t="str">
        <f>IFERROR(__xludf.DUMMYFUNCTION("IMPORTRANGE(""https://docs.google.com/spreadsheets/d/""&amp;$A285&amp;""/edit#gid=156619080"",AU$3)"),"#REF!")</f>
        <v>#REF!</v>
      </c>
      <c r="AV285" s="2" t="str">
        <f>IFERROR(__xludf.DUMMYFUNCTION("IMPORTRANGE(""https://docs.google.com/spreadsheets/d/""&amp;$A285&amp;""/edit#gid=156619080"",AV$3)"),"#REF!")</f>
        <v>#REF!</v>
      </c>
      <c r="AW285" s="19" t="str">
        <f>IFERROR(__xludf.DUMMYFUNCTION("IMPORTRANGE(""https://docs.google.com/spreadsheets/d/""&amp;$A285&amp;""/edit#gid=156619080"",AW$3)"),"#REF!")</f>
        <v>#REF!</v>
      </c>
      <c r="AX285" s="2" t="str">
        <f>IFERROR(__xludf.DUMMYFUNCTION("IMPORTRANGE(""https://docs.google.com/spreadsheets/d/""&amp;$A285&amp;""/edit#gid=156619080"",AX$3)"),"#REF!")</f>
        <v>#REF!</v>
      </c>
      <c r="AY285" s="2" t="str">
        <f>IFERROR(__xludf.DUMMYFUNCTION("IMPORTRANGE(""https://docs.google.com/spreadsheets/d/""&amp;$A285&amp;""/edit#gid=156619080"",AY$3)"),"#REF!")</f>
        <v>#REF!</v>
      </c>
      <c r="AZ285" s="2" t="str">
        <f>IFERROR(__xludf.DUMMYFUNCTION("IMPORTRANGE(""https://docs.google.com/spreadsheets/d/""&amp;$A285&amp;""/edit#gid=156619080"",AZ$3)"),"#REF!")</f>
        <v>#REF!</v>
      </c>
      <c r="BA285" s="2" t="str">
        <f>IFERROR(__xludf.DUMMYFUNCTION("IMPORTRANGE(""https://docs.google.com/spreadsheets/d/""&amp;$A285&amp;""/edit#gid=156619080"",BA$3)"),"#REF!")</f>
        <v>#REF!</v>
      </c>
      <c r="BB285" s="2" t="str">
        <f>IFERROR(__xludf.DUMMYFUNCTION("IMPORTRANGE(""https://docs.google.com/spreadsheets/d/""&amp;$A285&amp;""/edit#gid=156619080"",BB$3)"),"#REF!")</f>
        <v>#REF!</v>
      </c>
      <c r="BC285" s="2" t="str">
        <f>IFERROR(__xludf.DUMMYFUNCTION("IMPORTRANGE(""https://docs.google.com/spreadsheets/d/""&amp;$A285&amp;""/edit#gid=156619080"",BC$3)"),"#REF!")</f>
        <v>#REF!</v>
      </c>
    </row>
    <row r="286" ht="51.0" customHeight="1">
      <c r="A286" s="7" t="str">
        <f t="shared" si="5"/>
        <v>1AqUQGr1TkLY4hmbu9d_OlRzs8nbNmzhVyeHIus2j9jI</v>
      </c>
      <c r="B286" s="1" t="s">
        <v>313</v>
      </c>
      <c r="C286" s="2" t="str">
        <f>IFERROR(__xludf.DUMMYFUNCTION("IMPORTRANGE(""https://docs.google.com/spreadsheets/d/""&amp;$A286&amp;""/edit#gid=156619080"",C$3)"),"#REF!")</f>
        <v>#REF!</v>
      </c>
      <c r="D286" s="2" t="str">
        <f>IFERROR(__xludf.DUMMYFUNCTION("IMPORTRANGE(""https://docs.google.com/spreadsheets/d/""&amp;$A286&amp;""/edit#gid=156619080"",D$3)"),"#REF!")</f>
        <v>#REF!</v>
      </c>
      <c r="E286" s="2" t="str">
        <f>IFERROR(__xludf.DUMMYFUNCTION("IMPORTRANGE(""https://docs.google.com/spreadsheets/d/""&amp;$A286&amp;""/edit#gid=156619080"",E$3)"),"#REF!")</f>
        <v>#REF!</v>
      </c>
      <c r="F286" s="2" t="str">
        <f>IFERROR(__xludf.DUMMYFUNCTION("IMPORTRANGE(""https://docs.google.com/spreadsheets/d/""&amp;$A286&amp;""/edit#gid=156619080"",F$3)"),"#REF!")</f>
        <v>#REF!</v>
      </c>
      <c r="G286" s="2" t="str">
        <f>IFERROR(__xludf.DUMMYFUNCTION("IMPORTRANGE(""https://docs.google.com/spreadsheets/d/""&amp;$A286&amp;""/edit#gid=156619080"",G$3)"),"#REF!")</f>
        <v>#REF!</v>
      </c>
      <c r="H286" s="2" t="str">
        <f>IFERROR(__xludf.DUMMYFUNCTION("IMPORTRANGE(""https://docs.google.com/spreadsheets/d/""&amp;$A286&amp;""/edit#gid=156619080"",H$3)"),"#REF!")</f>
        <v>#REF!</v>
      </c>
      <c r="I286" s="2" t="str">
        <f>IFERROR(__xludf.DUMMYFUNCTION("IMPORTRANGE(""https://docs.google.com/spreadsheets/d/""&amp;$A286&amp;""/edit#gid=156619080"",I$3)"),"#REF!")</f>
        <v>#REF!</v>
      </c>
      <c r="J286" s="2" t="str">
        <f>IFERROR(__xludf.DUMMYFUNCTION("IMPORTRANGE(""https://docs.google.com/spreadsheets/d/""&amp;$A286&amp;""/edit#gid=156619080"",J$3)"),"#REF!")</f>
        <v>#REF!</v>
      </c>
      <c r="K286" s="2" t="str">
        <f>IFERROR(__xludf.DUMMYFUNCTION("IMPORTRANGE(""https://docs.google.com/spreadsheets/d/""&amp;$A286&amp;""/edit#gid=156619080"",K$3)"),"#REF!")</f>
        <v>#REF!</v>
      </c>
      <c r="L286" s="2" t="str">
        <f>IFERROR(__xludf.DUMMYFUNCTION("IMPORTRANGE(""https://docs.google.com/spreadsheets/d/""&amp;$A286&amp;""/edit#gid=156619080"",L$3)"),"#REF!")</f>
        <v>#REF!</v>
      </c>
      <c r="M286" s="2" t="str">
        <f>IFERROR(__xludf.DUMMYFUNCTION("IMPORTRANGE(""https://docs.google.com/spreadsheets/d/""&amp;$A286&amp;""/edit#gid=156619080"",M$3)"),"#REF!")</f>
        <v>#REF!</v>
      </c>
      <c r="N286" s="2" t="str">
        <f>IFERROR(__xludf.DUMMYFUNCTION("IMPORTRANGE(""https://docs.google.com/spreadsheets/d/""&amp;$A286&amp;""/edit#gid=156619080"",N$3)"),"#REF!")</f>
        <v>#REF!</v>
      </c>
      <c r="O286" s="2" t="str">
        <f>IFERROR(__xludf.DUMMYFUNCTION("IMPORTRANGE(""https://docs.google.com/spreadsheets/d/""&amp;$A286&amp;""/edit#gid=156619080"",O$3)"),"#REF!")</f>
        <v>#REF!</v>
      </c>
      <c r="P286" s="2" t="str">
        <f>IFERROR(__xludf.DUMMYFUNCTION("IMPORTRANGE(""https://docs.google.com/spreadsheets/d/""&amp;$A286&amp;""/edit#gid=156619080"",P$3)"),"#REF!")</f>
        <v>#REF!</v>
      </c>
      <c r="Q286" s="2" t="str">
        <f>IFERROR(__xludf.DUMMYFUNCTION("IMPORTRANGE(""https://docs.google.com/spreadsheets/d/""&amp;$A286&amp;""/edit#gid=156619080"",Q$3)"),"#REF!")</f>
        <v>#REF!</v>
      </c>
      <c r="R286" s="2" t="str">
        <f>IFERROR(__xludf.DUMMYFUNCTION("IMPORTRANGE(""https://docs.google.com/spreadsheets/d/""&amp;$A286&amp;""/edit#gid=156619080"",R$3)"),"#REF!")</f>
        <v>#REF!</v>
      </c>
      <c r="S286" s="2" t="str">
        <f>IFERROR(__xludf.DUMMYFUNCTION("IMPORTRANGE(""https://docs.google.com/spreadsheets/d/""&amp;$A286&amp;""/edit#gid=156619080"",S$3)"),"#REF!")</f>
        <v>#REF!</v>
      </c>
      <c r="T286" s="2" t="str">
        <f>IFERROR(__xludf.DUMMYFUNCTION("IMPORTRANGE(""https://docs.google.com/spreadsheets/d/""&amp;$A286&amp;""/edit#gid=156619080"",T$3)"),"#REF!")</f>
        <v>#REF!</v>
      </c>
      <c r="U286" s="2" t="str">
        <f>IFERROR(__xludf.DUMMYFUNCTION("IMPORTRANGE(""https://docs.google.com/spreadsheets/d/""&amp;$A286&amp;""/edit#gid=156619080"",U$3)"),"#REF!")</f>
        <v>#REF!</v>
      </c>
      <c r="V286" s="2" t="str">
        <f>IFERROR(__xludf.DUMMYFUNCTION("IMPORTRANGE(""https://docs.google.com/spreadsheets/d/""&amp;$A286&amp;""/edit#gid=156619080"",V$3)"),"#REF!")</f>
        <v>#REF!</v>
      </c>
      <c r="W286" s="2" t="str">
        <f>IFERROR(__xludf.DUMMYFUNCTION("IMPORTRANGE(""https://docs.google.com/spreadsheets/d/""&amp;$A286&amp;""/edit#gid=156619080"",W$3)"),"#REF!")</f>
        <v>#REF!</v>
      </c>
      <c r="X286" s="2" t="str">
        <f>IFERROR(__xludf.DUMMYFUNCTION("IMPORTRANGE(""https://docs.google.com/spreadsheets/d/""&amp;$A286&amp;""/edit#gid=156619080"",X$3)"),"#REF!")</f>
        <v>#REF!</v>
      </c>
      <c r="Y286" s="2" t="str">
        <f>IFERROR(__xludf.DUMMYFUNCTION("IMPORTRANGE(""https://docs.google.com/spreadsheets/d/""&amp;$A286&amp;""/edit#gid=156619080"",Y$3)"),"#REF!")</f>
        <v>#REF!</v>
      </c>
      <c r="Z286" s="2" t="str">
        <f>IFERROR(__xludf.DUMMYFUNCTION("IMPORTRANGE(""https://docs.google.com/spreadsheets/d/""&amp;$A286&amp;""/edit#gid=156619080"",Z$3)"),"#REF!")</f>
        <v>#REF!</v>
      </c>
      <c r="AA286" s="2" t="str">
        <f>IFERROR(__xludf.DUMMYFUNCTION("IMPORTRANGE(""https://docs.google.com/spreadsheets/d/""&amp;$A286&amp;""/edit#gid=156619080"",AA$3)"),"#REF!")</f>
        <v>#REF!</v>
      </c>
      <c r="AB286" s="2" t="str">
        <f>IFERROR(__xludf.DUMMYFUNCTION("IMPORTRANGE(""https://docs.google.com/spreadsheets/d/""&amp;$A286&amp;""/edit#gid=156619080"",AB$3)"),"#REF!")</f>
        <v>#REF!</v>
      </c>
      <c r="AC286" s="2" t="str">
        <f>IFERROR(__xludf.DUMMYFUNCTION("IMPORTRANGE(""https://docs.google.com/spreadsheets/d/""&amp;$A286&amp;""/edit#gid=156619080"",AC$3)"),"#REF!")</f>
        <v>#REF!</v>
      </c>
      <c r="AD286" s="2" t="str">
        <f>IFERROR(__xludf.DUMMYFUNCTION("IMPORTRANGE(""https://docs.google.com/spreadsheets/d/""&amp;$A286&amp;""/edit#gid=156619080"",AD$3)"),"#REF!")</f>
        <v>#REF!</v>
      </c>
      <c r="AE286" s="2" t="str">
        <f>IFERROR(__xludf.DUMMYFUNCTION("IMPORTRANGE(""https://docs.google.com/spreadsheets/d/""&amp;$A286&amp;""/edit#gid=156619080"",AE$3)"),"#REF!")</f>
        <v>#REF!</v>
      </c>
      <c r="AF286" s="2" t="str">
        <f>IFERROR(__xludf.DUMMYFUNCTION("IMPORTRANGE(""https://docs.google.com/spreadsheets/d/""&amp;$A286&amp;""/edit#gid=156619080"",AF$3)"),"#REF!")</f>
        <v>#REF!</v>
      </c>
      <c r="AG286" s="2" t="str">
        <f>IFERROR(__xludf.DUMMYFUNCTION("IMPORTRANGE(""https://docs.google.com/spreadsheets/d/""&amp;$A286&amp;""/edit#gid=156619080"",AG$3)"),"#REF!")</f>
        <v>#REF!</v>
      </c>
      <c r="AH286" s="2" t="str">
        <f>IFERROR(__xludf.DUMMYFUNCTION("IMPORTRANGE(""https://docs.google.com/spreadsheets/d/""&amp;$A286&amp;""/edit#gid=156619080"",AH$3)"),"#REF!")</f>
        <v>#REF!</v>
      </c>
      <c r="AI286" s="2" t="str">
        <f>IFERROR(__xludf.DUMMYFUNCTION("IMPORTRANGE(""https://docs.google.com/spreadsheets/d/""&amp;$A286&amp;""/edit#gid=156619080"",AI$3)"),"#REF!")</f>
        <v>#REF!</v>
      </c>
      <c r="AJ286" s="2" t="str">
        <f>IFERROR(__xludf.DUMMYFUNCTION("IMPORTRANGE(""https://docs.google.com/spreadsheets/d/""&amp;$A286&amp;""/edit#gid=156619080"",AJ$3)"),"#REF!")</f>
        <v>#REF!</v>
      </c>
      <c r="AK286" s="2" t="str">
        <f>IFERROR(__xludf.DUMMYFUNCTION("IMPORTRANGE(""https://docs.google.com/spreadsheets/d/""&amp;$A286&amp;""/edit#gid=156619080"",AK$3)"),"#REF!")</f>
        <v>#REF!</v>
      </c>
      <c r="AL286" s="2" t="str">
        <f>IFERROR(__xludf.DUMMYFUNCTION("IMPORTRANGE(""https://docs.google.com/spreadsheets/d/""&amp;$A286&amp;""/edit#gid=156619080"",AL$3)"),"#REF!")</f>
        <v>#REF!</v>
      </c>
      <c r="AM286" s="2" t="str">
        <f>IFERROR(__xludf.DUMMYFUNCTION("IMPORTRANGE(""https://docs.google.com/spreadsheets/d/""&amp;$A286&amp;""/edit#gid=156619080"",AM$3)"),"#REF!")</f>
        <v>#REF!</v>
      </c>
      <c r="AN286" s="2" t="str">
        <f>IFERROR(__xludf.DUMMYFUNCTION("IMPORTRANGE(""https://docs.google.com/spreadsheets/d/""&amp;$A286&amp;""/edit#gid=156619080"",AN$3)"),"#REF!")</f>
        <v>#REF!</v>
      </c>
      <c r="AO286" s="2" t="str">
        <f>IFERROR(__xludf.DUMMYFUNCTION("IMPORTRANGE(""https://docs.google.com/spreadsheets/d/""&amp;$A286&amp;""/edit#gid=156619080"",AO$3)"),"#REF!")</f>
        <v>#REF!</v>
      </c>
      <c r="AP286" s="2" t="str">
        <f>IFERROR(__xludf.DUMMYFUNCTION("IMPORTRANGE(""https://docs.google.com/spreadsheets/d/""&amp;$A286&amp;""/edit#gid=156619080"",AP$3)"),"#REF!")</f>
        <v>#REF!</v>
      </c>
      <c r="AQ286" s="2" t="str">
        <f>IFERROR(__xludf.DUMMYFUNCTION("IMPORTRANGE(""https://docs.google.com/spreadsheets/d/""&amp;$A286&amp;""/edit#gid=156619080"",AQ$3)"),"#REF!")</f>
        <v>#REF!</v>
      </c>
      <c r="AR286" s="2" t="str">
        <f>IFERROR(__xludf.DUMMYFUNCTION("IMPORTRANGE(""https://docs.google.com/spreadsheets/d/""&amp;$A286&amp;""/edit#gid=156619080"",AR$3)"),"#REF!")</f>
        <v>#REF!</v>
      </c>
      <c r="AS286" s="19" t="str">
        <f>IFERROR(__xludf.DUMMYFUNCTION("IMPORTRANGE(""https://docs.google.com/spreadsheets/d/""&amp;$A286&amp;""/edit#gid=156619080"",AS$3)"),"#REF!")</f>
        <v>#REF!</v>
      </c>
      <c r="AT286" s="2" t="str">
        <f>IFERROR(__xludf.DUMMYFUNCTION("IMPORTRANGE(""https://docs.google.com/spreadsheets/d/""&amp;$A286&amp;""/edit#gid=156619080"",AT$3)"),"#REF!")</f>
        <v>#REF!</v>
      </c>
      <c r="AU286" s="3" t="str">
        <f>IFERROR(__xludf.DUMMYFUNCTION("IMPORTRANGE(""https://docs.google.com/spreadsheets/d/""&amp;$A286&amp;""/edit#gid=156619080"",AU$3)"),"#REF!")</f>
        <v>#REF!</v>
      </c>
      <c r="AV286" s="2" t="str">
        <f>IFERROR(__xludf.DUMMYFUNCTION("IMPORTRANGE(""https://docs.google.com/spreadsheets/d/""&amp;$A286&amp;""/edit#gid=156619080"",AV$3)"),"#REF!")</f>
        <v>#REF!</v>
      </c>
      <c r="AW286" s="19" t="str">
        <f>IFERROR(__xludf.DUMMYFUNCTION("IMPORTRANGE(""https://docs.google.com/spreadsheets/d/""&amp;$A286&amp;""/edit#gid=156619080"",AW$3)"),"#REF!")</f>
        <v>#REF!</v>
      </c>
      <c r="AX286" s="2" t="str">
        <f>IFERROR(__xludf.DUMMYFUNCTION("IMPORTRANGE(""https://docs.google.com/spreadsheets/d/""&amp;$A286&amp;""/edit#gid=156619080"",AX$3)"),"#REF!")</f>
        <v>#REF!</v>
      </c>
      <c r="AY286" s="2" t="str">
        <f>IFERROR(__xludf.DUMMYFUNCTION("IMPORTRANGE(""https://docs.google.com/spreadsheets/d/""&amp;$A286&amp;""/edit#gid=156619080"",AY$3)"),"#REF!")</f>
        <v>#REF!</v>
      </c>
      <c r="AZ286" s="2" t="str">
        <f>IFERROR(__xludf.DUMMYFUNCTION("IMPORTRANGE(""https://docs.google.com/spreadsheets/d/""&amp;$A286&amp;""/edit#gid=156619080"",AZ$3)"),"#REF!")</f>
        <v>#REF!</v>
      </c>
      <c r="BA286" s="2" t="str">
        <f>IFERROR(__xludf.DUMMYFUNCTION("IMPORTRANGE(""https://docs.google.com/spreadsheets/d/""&amp;$A286&amp;""/edit#gid=156619080"",BA$3)"),"#REF!")</f>
        <v>#REF!</v>
      </c>
      <c r="BB286" s="2" t="str">
        <f>IFERROR(__xludf.DUMMYFUNCTION("IMPORTRANGE(""https://docs.google.com/spreadsheets/d/""&amp;$A286&amp;""/edit#gid=156619080"",BB$3)"),"#REF!")</f>
        <v>#REF!</v>
      </c>
      <c r="BC286" s="2" t="str">
        <f>IFERROR(__xludf.DUMMYFUNCTION("IMPORTRANGE(""https://docs.google.com/spreadsheets/d/""&amp;$A286&amp;""/edit#gid=156619080"",BC$3)"),"#REF!")</f>
        <v>#REF!</v>
      </c>
    </row>
    <row r="287" ht="51.0" customHeight="1">
      <c r="A287" s="7" t="str">
        <f t="shared" si="5"/>
        <v>1-ZaDJ5OZo7CMKB69OC9UQPbCy0Z96yHZrbDuMQLcEXU</v>
      </c>
      <c r="B287" s="1" t="s">
        <v>314</v>
      </c>
      <c r="C287" s="2" t="str">
        <f>IFERROR(__xludf.DUMMYFUNCTION("IMPORTRANGE(""https://docs.google.com/spreadsheets/d/""&amp;$A287&amp;""/edit#gid=156619080"",C$3)"),"#REF!")</f>
        <v>#REF!</v>
      </c>
      <c r="D287" s="2" t="str">
        <f>IFERROR(__xludf.DUMMYFUNCTION("IMPORTRANGE(""https://docs.google.com/spreadsheets/d/""&amp;$A287&amp;""/edit#gid=156619080"",D$3)"),"#REF!")</f>
        <v>#REF!</v>
      </c>
      <c r="E287" s="2" t="str">
        <f>IFERROR(__xludf.DUMMYFUNCTION("IMPORTRANGE(""https://docs.google.com/spreadsheets/d/""&amp;$A287&amp;""/edit#gid=156619080"",E$3)"),"#REF!")</f>
        <v>#REF!</v>
      </c>
      <c r="F287" s="2" t="str">
        <f>IFERROR(__xludf.DUMMYFUNCTION("IMPORTRANGE(""https://docs.google.com/spreadsheets/d/""&amp;$A287&amp;""/edit#gid=156619080"",F$3)"),"#REF!")</f>
        <v>#REF!</v>
      </c>
      <c r="G287" s="2" t="str">
        <f>IFERROR(__xludf.DUMMYFUNCTION("IMPORTRANGE(""https://docs.google.com/spreadsheets/d/""&amp;$A287&amp;""/edit#gid=156619080"",G$3)"),"#REF!")</f>
        <v>#REF!</v>
      </c>
      <c r="H287" s="2" t="str">
        <f>IFERROR(__xludf.DUMMYFUNCTION("IMPORTRANGE(""https://docs.google.com/spreadsheets/d/""&amp;$A287&amp;""/edit#gid=156619080"",H$3)"),"#REF!")</f>
        <v>#REF!</v>
      </c>
      <c r="I287" s="2" t="str">
        <f>IFERROR(__xludf.DUMMYFUNCTION("IMPORTRANGE(""https://docs.google.com/spreadsheets/d/""&amp;$A287&amp;""/edit#gid=156619080"",I$3)"),"#REF!")</f>
        <v>#REF!</v>
      </c>
      <c r="J287" s="2" t="str">
        <f>IFERROR(__xludf.DUMMYFUNCTION("IMPORTRANGE(""https://docs.google.com/spreadsheets/d/""&amp;$A287&amp;""/edit#gid=156619080"",J$3)"),"#REF!")</f>
        <v>#REF!</v>
      </c>
      <c r="K287" s="2" t="str">
        <f>IFERROR(__xludf.DUMMYFUNCTION("IMPORTRANGE(""https://docs.google.com/spreadsheets/d/""&amp;$A287&amp;""/edit#gid=156619080"",K$3)"),"#REF!")</f>
        <v>#REF!</v>
      </c>
      <c r="L287" s="2" t="str">
        <f>IFERROR(__xludf.DUMMYFUNCTION("IMPORTRANGE(""https://docs.google.com/spreadsheets/d/""&amp;$A287&amp;""/edit#gid=156619080"",L$3)"),"#REF!")</f>
        <v>#REF!</v>
      </c>
      <c r="M287" s="2" t="str">
        <f>IFERROR(__xludf.DUMMYFUNCTION("IMPORTRANGE(""https://docs.google.com/spreadsheets/d/""&amp;$A287&amp;""/edit#gid=156619080"",M$3)"),"#REF!")</f>
        <v>#REF!</v>
      </c>
      <c r="N287" s="2" t="str">
        <f>IFERROR(__xludf.DUMMYFUNCTION("IMPORTRANGE(""https://docs.google.com/spreadsheets/d/""&amp;$A287&amp;""/edit#gid=156619080"",N$3)"),"#REF!")</f>
        <v>#REF!</v>
      </c>
      <c r="O287" s="2" t="str">
        <f>IFERROR(__xludf.DUMMYFUNCTION("IMPORTRANGE(""https://docs.google.com/spreadsheets/d/""&amp;$A287&amp;""/edit#gid=156619080"",O$3)"),"#REF!")</f>
        <v>#REF!</v>
      </c>
      <c r="P287" s="2" t="str">
        <f>IFERROR(__xludf.DUMMYFUNCTION("IMPORTRANGE(""https://docs.google.com/spreadsheets/d/""&amp;$A287&amp;""/edit#gid=156619080"",P$3)"),"#REF!")</f>
        <v>#REF!</v>
      </c>
      <c r="Q287" s="2" t="str">
        <f>IFERROR(__xludf.DUMMYFUNCTION("IMPORTRANGE(""https://docs.google.com/spreadsheets/d/""&amp;$A287&amp;""/edit#gid=156619080"",Q$3)"),"#REF!")</f>
        <v>#REF!</v>
      </c>
      <c r="R287" s="2" t="str">
        <f>IFERROR(__xludf.DUMMYFUNCTION("IMPORTRANGE(""https://docs.google.com/spreadsheets/d/""&amp;$A287&amp;""/edit#gid=156619080"",R$3)"),"#REF!")</f>
        <v>#REF!</v>
      </c>
      <c r="S287" s="2" t="str">
        <f>IFERROR(__xludf.DUMMYFUNCTION("IMPORTRANGE(""https://docs.google.com/spreadsheets/d/""&amp;$A287&amp;""/edit#gid=156619080"",S$3)"),"#REF!")</f>
        <v>#REF!</v>
      </c>
      <c r="T287" s="2" t="str">
        <f>IFERROR(__xludf.DUMMYFUNCTION("IMPORTRANGE(""https://docs.google.com/spreadsheets/d/""&amp;$A287&amp;""/edit#gid=156619080"",T$3)"),"#REF!")</f>
        <v>#REF!</v>
      </c>
      <c r="U287" s="2" t="str">
        <f>IFERROR(__xludf.DUMMYFUNCTION("IMPORTRANGE(""https://docs.google.com/spreadsheets/d/""&amp;$A287&amp;""/edit#gid=156619080"",U$3)"),"#REF!")</f>
        <v>#REF!</v>
      </c>
      <c r="V287" s="2" t="str">
        <f>IFERROR(__xludf.DUMMYFUNCTION("IMPORTRANGE(""https://docs.google.com/spreadsheets/d/""&amp;$A287&amp;""/edit#gid=156619080"",V$3)"),"#REF!")</f>
        <v>#REF!</v>
      </c>
      <c r="W287" s="2" t="str">
        <f>IFERROR(__xludf.DUMMYFUNCTION("IMPORTRANGE(""https://docs.google.com/spreadsheets/d/""&amp;$A287&amp;""/edit#gid=156619080"",W$3)"),"#REF!")</f>
        <v>#REF!</v>
      </c>
      <c r="X287" s="2" t="str">
        <f>IFERROR(__xludf.DUMMYFUNCTION("IMPORTRANGE(""https://docs.google.com/spreadsheets/d/""&amp;$A287&amp;""/edit#gid=156619080"",X$3)"),"#REF!")</f>
        <v>#REF!</v>
      </c>
      <c r="Y287" s="2" t="str">
        <f>IFERROR(__xludf.DUMMYFUNCTION("IMPORTRANGE(""https://docs.google.com/spreadsheets/d/""&amp;$A287&amp;""/edit#gid=156619080"",Y$3)"),"#REF!")</f>
        <v>#REF!</v>
      </c>
      <c r="Z287" s="2" t="str">
        <f>IFERROR(__xludf.DUMMYFUNCTION("IMPORTRANGE(""https://docs.google.com/spreadsheets/d/""&amp;$A287&amp;""/edit#gid=156619080"",Z$3)"),"#REF!")</f>
        <v>#REF!</v>
      </c>
      <c r="AA287" s="2" t="str">
        <f>IFERROR(__xludf.DUMMYFUNCTION("IMPORTRANGE(""https://docs.google.com/spreadsheets/d/""&amp;$A287&amp;""/edit#gid=156619080"",AA$3)"),"#REF!")</f>
        <v>#REF!</v>
      </c>
      <c r="AB287" s="2" t="str">
        <f>IFERROR(__xludf.DUMMYFUNCTION("IMPORTRANGE(""https://docs.google.com/spreadsheets/d/""&amp;$A287&amp;""/edit#gid=156619080"",AB$3)"),"#REF!")</f>
        <v>#REF!</v>
      </c>
      <c r="AC287" s="2" t="str">
        <f>IFERROR(__xludf.DUMMYFUNCTION("IMPORTRANGE(""https://docs.google.com/spreadsheets/d/""&amp;$A287&amp;""/edit#gid=156619080"",AC$3)"),"#REF!")</f>
        <v>#REF!</v>
      </c>
      <c r="AD287" s="2" t="str">
        <f>IFERROR(__xludf.DUMMYFUNCTION("IMPORTRANGE(""https://docs.google.com/spreadsheets/d/""&amp;$A287&amp;""/edit#gid=156619080"",AD$3)"),"#REF!")</f>
        <v>#REF!</v>
      </c>
      <c r="AE287" s="2" t="str">
        <f>IFERROR(__xludf.DUMMYFUNCTION("IMPORTRANGE(""https://docs.google.com/spreadsheets/d/""&amp;$A287&amp;""/edit#gid=156619080"",AE$3)"),"#REF!")</f>
        <v>#REF!</v>
      </c>
      <c r="AF287" s="2" t="str">
        <f>IFERROR(__xludf.DUMMYFUNCTION("IMPORTRANGE(""https://docs.google.com/spreadsheets/d/""&amp;$A287&amp;""/edit#gid=156619080"",AF$3)"),"#REF!")</f>
        <v>#REF!</v>
      </c>
      <c r="AG287" s="2" t="str">
        <f>IFERROR(__xludf.DUMMYFUNCTION("IMPORTRANGE(""https://docs.google.com/spreadsheets/d/""&amp;$A287&amp;""/edit#gid=156619080"",AG$3)"),"#REF!")</f>
        <v>#REF!</v>
      </c>
      <c r="AH287" s="2" t="str">
        <f>IFERROR(__xludf.DUMMYFUNCTION("IMPORTRANGE(""https://docs.google.com/spreadsheets/d/""&amp;$A287&amp;""/edit#gid=156619080"",AH$3)"),"#REF!")</f>
        <v>#REF!</v>
      </c>
      <c r="AI287" s="2" t="str">
        <f>IFERROR(__xludf.DUMMYFUNCTION("IMPORTRANGE(""https://docs.google.com/spreadsheets/d/""&amp;$A287&amp;""/edit#gid=156619080"",AI$3)"),"#REF!")</f>
        <v>#REF!</v>
      </c>
      <c r="AJ287" s="2" t="str">
        <f>IFERROR(__xludf.DUMMYFUNCTION("IMPORTRANGE(""https://docs.google.com/spreadsheets/d/""&amp;$A287&amp;""/edit#gid=156619080"",AJ$3)"),"#REF!")</f>
        <v>#REF!</v>
      </c>
      <c r="AK287" s="2" t="str">
        <f>IFERROR(__xludf.DUMMYFUNCTION("IMPORTRANGE(""https://docs.google.com/spreadsheets/d/""&amp;$A287&amp;""/edit#gid=156619080"",AK$3)"),"#REF!")</f>
        <v>#REF!</v>
      </c>
      <c r="AL287" s="2" t="str">
        <f>IFERROR(__xludf.DUMMYFUNCTION("IMPORTRANGE(""https://docs.google.com/spreadsheets/d/""&amp;$A287&amp;""/edit#gid=156619080"",AL$3)"),"#REF!")</f>
        <v>#REF!</v>
      </c>
      <c r="AM287" s="2" t="str">
        <f>IFERROR(__xludf.DUMMYFUNCTION("IMPORTRANGE(""https://docs.google.com/spreadsheets/d/""&amp;$A287&amp;""/edit#gid=156619080"",AM$3)"),"#REF!")</f>
        <v>#REF!</v>
      </c>
      <c r="AN287" s="2" t="str">
        <f>IFERROR(__xludf.DUMMYFUNCTION("IMPORTRANGE(""https://docs.google.com/spreadsheets/d/""&amp;$A287&amp;""/edit#gid=156619080"",AN$3)"),"#REF!")</f>
        <v>#REF!</v>
      </c>
      <c r="AO287" s="2" t="str">
        <f>IFERROR(__xludf.DUMMYFUNCTION("IMPORTRANGE(""https://docs.google.com/spreadsheets/d/""&amp;$A287&amp;""/edit#gid=156619080"",AO$3)"),"#REF!")</f>
        <v>#REF!</v>
      </c>
      <c r="AP287" s="2" t="str">
        <f>IFERROR(__xludf.DUMMYFUNCTION("IMPORTRANGE(""https://docs.google.com/spreadsheets/d/""&amp;$A287&amp;""/edit#gid=156619080"",AP$3)"),"#REF!")</f>
        <v>#REF!</v>
      </c>
      <c r="AQ287" s="2" t="str">
        <f>IFERROR(__xludf.DUMMYFUNCTION("IMPORTRANGE(""https://docs.google.com/spreadsheets/d/""&amp;$A287&amp;""/edit#gid=156619080"",AQ$3)"),"#REF!")</f>
        <v>#REF!</v>
      </c>
      <c r="AR287" s="2" t="str">
        <f>IFERROR(__xludf.DUMMYFUNCTION("IMPORTRANGE(""https://docs.google.com/spreadsheets/d/""&amp;$A287&amp;""/edit#gid=156619080"",AR$3)"),"#REF!")</f>
        <v>#REF!</v>
      </c>
      <c r="AS287" s="19" t="str">
        <f>IFERROR(__xludf.DUMMYFUNCTION("IMPORTRANGE(""https://docs.google.com/spreadsheets/d/""&amp;$A287&amp;""/edit#gid=156619080"",AS$3)"),"#REF!")</f>
        <v>#REF!</v>
      </c>
      <c r="AT287" s="2" t="str">
        <f>IFERROR(__xludf.DUMMYFUNCTION("IMPORTRANGE(""https://docs.google.com/spreadsheets/d/""&amp;$A287&amp;""/edit#gid=156619080"",AT$3)"),"#REF!")</f>
        <v>#REF!</v>
      </c>
      <c r="AU287" s="3" t="str">
        <f>IFERROR(__xludf.DUMMYFUNCTION("IMPORTRANGE(""https://docs.google.com/spreadsheets/d/""&amp;$A287&amp;""/edit#gid=156619080"",AU$3)"),"#REF!")</f>
        <v>#REF!</v>
      </c>
      <c r="AV287" s="2" t="str">
        <f>IFERROR(__xludf.DUMMYFUNCTION("IMPORTRANGE(""https://docs.google.com/spreadsheets/d/""&amp;$A287&amp;""/edit#gid=156619080"",AV$3)"),"#REF!")</f>
        <v>#REF!</v>
      </c>
      <c r="AW287" s="19" t="str">
        <f>IFERROR(__xludf.DUMMYFUNCTION("IMPORTRANGE(""https://docs.google.com/spreadsheets/d/""&amp;$A287&amp;""/edit#gid=156619080"",AW$3)"),"#REF!")</f>
        <v>#REF!</v>
      </c>
      <c r="AX287" s="2" t="str">
        <f>IFERROR(__xludf.DUMMYFUNCTION("IMPORTRANGE(""https://docs.google.com/spreadsheets/d/""&amp;$A287&amp;""/edit#gid=156619080"",AX$3)"),"#REF!")</f>
        <v>#REF!</v>
      </c>
      <c r="AY287" s="2" t="str">
        <f>IFERROR(__xludf.DUMMYFUNCTION("IMPORTRANGE(""https://docs.google.com/spreadsheets/d/""&amp;$A287&amp;""/edit#gid=156619080"",AY$3)"),"#REF!")</f>
        <v>#REF!</v>
      </c>
      <c r="AZ287" s="2" t="str">
        <f>IFERROR(__xludf.DUMMYFUNCTION("IMPORTRANGE(""https://docs.google.com/spreadsheets/d/""&amp;$A287&amp;""/edit#gid=156619080"",AZ$3)"),"#REF!")</f>
        <v>#REF!</v>
      </c>
      <c r="BA287" s="2" t="str">
        <f>IFERROR(__xludf.DUMMYFUNCTION("IMPORTRANGE(""https://docs.google.com/spreadsheets/d/""&amp;$A287&amp;""/edit#gid=156619080"",BA$3)"),"#REF!")</f>
        <v>#REF!</v>
      </c>
      <c r="BB287" s="2" t="str">
        <f>IFERROR(__xludf.DUMMYFUNCTION("IMPORTRANGE(""https://docs.google.com/spreadsheets/d/""&amp;$A287&amp;""/edit#gid=156619080"",BB$3)"),"#REF!")</f>
        <v>#REF!</v>
      </c>
      <c r="BC287" s="2" t="str">
        <f>IFERROR(__xludf.DUMMYFUNCTION("IMPORTRANGE(""https://docs.google.com/spreadsheets/d/""&amp;$A287&amp;""/edit#gid=156619080"",BC$3)"),"#REF!")</f>
        <v>#REF!</v>
      </c>
    </row>
    <row r="288" ht="51.0" customHeight="1">
      <c r="A288" s="7" t="str">
        <f t="shared" si="5"/>
        <v>1D4GiSQF_p9PZwRw-p7HL1yEnKITd0_x3hI1PzULFsSw</v>
      </c>
      <c r="B288" s="1" t="s">
        <v>315</v>
      </c>
      <c r="C288" s="2" t="str">
        <f>IFERROR(__xludf.DUMMYFUNCTION("IMPORTRANGE(""https://docs.google.com/spreadsheets/d/""&amp;$A288&amp;""/edit#gid=156619080"",C$3)"),"#REF!")</f>
        <v>#REF!</v>
      </c>
      <c r="D288" s="2" t="str">
        <f>IFERROR(__xludf.DUMMYFUNCTION("IMPORTRANGE(""https://docs.google.com/spreadsheets/d/""&amp;$A288&amp;""/edit#gid=156619080"",D$3)"),"#REF!")</f>
        <v>#REF!</v>
      </c>
      <c r="E288" s="2" t="str">
        <f>IFERROR(__xludf.DUMMYFUNCTION("IMPORTRANGE(""https://docs.google.com/spreadsheets/d/""&amp;$A288&amp;""/edit#gid=156619080"",E$3)"),"#REF!")</f>
        <v>#REF!</v>
      </c>
      <c r="F288" s="2" t="str">
        <f>IFERROR(__xludf.DUMMYFUNCTION("IMPORTRANGE(""https://docs.google.com/spreadsheets/d/""&amp;$A288&amp;""/edit#gid=156619080"",F$3)"),"#REF!")</f>
        <v>#REF!</v>
      </c>
      <c r="G288" s="2" t="str">
        <f>IFERROR(__xludf.DUMMYFUNCTION("IMPORTRANGE(""https://docs.google.com/spreadsheets/d/""&amp;$A288&amp;""/edit#gid=156619080"",G$3)"),"#REF!")</f>
        <v>#REF!</v>
      </c>
      <c r="H288" s="2" t="str">
        <f>IFERROR(__xludf.DUMMYFUNCTION("IMPORTRANGE(""https://docs.google.com/spreadsheets/d/""&amp;$A288&amp;""/edit#gid=156619080"",H$3)"),"#REF!")</f>
        <v>#REF!</v>
      </c>
      <c r="I288" s="2" t="str">
        <f>IFERROR(__xludf.DUMMYFUNCTION("IMPORTRANGE(""https://docs.google.com/spreadsheets/d/""&amp;$A288&amp;""/edit#gid=156619080"",I$3)"),"#REF!")</f>
        <v>#REF!</v>
      </c>
      <c r="J288" s="2" t="str">
        <f>IFERROR(__xludf.DUMMYFUNCTION("IMPORTRANGE(""https://docs.google.com/spreadsheets/d/""&amp;$A288&amp;""/edit#gid=156619080"",J$3)"),"#REF!")</f>
        <v>#REF!</v>
      </c>
      <c r="K288" s="2" t="str">
        <f>IFERROR(__xludf.DUMMYFUNCTION("IMPORTRANGE(""https://docs.google.com/spreadsheets/d/""&amp;$A288&amp;""/edit#gid=156619080"",K$3)"),"#REF!")</f>
        <v>#REF!</v>
      </c>
      <c r="L288" s="2" t="str">
        <f>IFERROR(__xludf.DUMMYFUNCTION("IMPORTRANGE(""https://docs.google.com/spreadsheets/d/""&amp;$A288&amp;""/edit#gid=156619080"",L$3)"),"#REF!")</f>
        <v>#REF!</v>
      </c>
      <c r="M288" s="2" t="str">
        <f>IFERROR(__xludf.DUMMYFUNCTION("IMPORTRANGE(""https://docs.google.com/spreadsheets/d/""&amp;$A288&amp;""/edit#gid=156619080"",M$3)"),"#REF!")</f>
        <v>#REF!</v>
      </c>
      <c r="N288" s="2" t="str">
        <f>IFERROR(__xludf.DUMMYFUNCTION("IMPORTRANGE(""https://docs.google.com/spreadsheets/d/""&amp;$A288&amp;""/edit#gid=156619080"",N$3)"),"#REF!")</f>
        <v>#REF!</v>
      </c>
      <c r="O288" s="2" t="str">
        <f>IFERROR(__xludf.DUMMYFUNCTION("IMPORTRANGE(""https://docs.google.com/spreadsheets/d/""&amp;$A288&amp;""/edit#gid=156619080"",O$3)"),"#REF!")</f>
        <v>#REF!</v>
      </c>
      <c r="P288" s="2" t="str">
        <f>IFERROR(__xludf.DUMMYFUNCTION("IMPORTRANGE(""https://docs.google.com/spreadsheets/d/""&amp;$A288&amp;""/edit#gid=156619080"",P$3)"),"#REF!")</f>
        <v>#REF!</v>
      </c>
      <c r="Q288" s="2" t="str">
        <f>IFERROR(__xludf.DUMMYFUNCTION("IMPORTRANGE(""https://docs.google.com/spreadsheets/d/""&amp;$A288&amp;""/edit#gid=156619080"",Q$3)"),"#REF!")</f>
        <v>#REF!</v>
      </c>
      <c r="R288" s="2" t="str">
        <f>IFERROR(__xludf.DUMMYFUNCTION("IMPORTRANGE(""https://docs.google.com/spreadsheets/d/""&amp;$A288&amp;""/edit#gid=156619080"",R$3)"),"#REF!")</f>
        <v>#REF!</v>
      </c>
      <c r="S288" s="2" t="str">
        <f>IFERROR(__xludf.DUMMYFUNCTION("IMPORTRANGE(""https://docs.google.com/spreadsheets/d/""&amp;$A288&amp;""/edit#gid=156619080"",S$3)"),"#REF!")</f>
        <v>#REF!</v>
      </c>
      <c r="T288" s="2" t="str">
        <f>IFERROR(__xludf.DUMMYFUNCTION("IMPORTRANGE(""https://docs.google.com/spreadsheets/d/""&amp;$A288&amp;""/edit#gid=156619080"",T$3)"),"#REF!")</f>
        <v>#REF!</v>
      </c>
      <c r="U288" s="2" t="str">
        <f>IFERROR(__xludf.DUMMYFUNCTION("IMPORTRANGE(""https://docs.google.com/spreadsheets/d/""&amp;$A288&amp;""/edit#gid=156619080"",U$3)"),"#REF!")</f>
        <v>#REF!</v>
      </c>
      <c r="V288" s="2" t="str">
        <f>IFERROR(__xludf.DUMMYFUNCTION("IMPORTRANGE(""https://docs.google.com/spreadsheets/d/""&amp;$A288&amp;""/edit#gid=156619080"",V$3)"),"#REF!")</f>
        <v>#REF!</v>
      </c>
      <c r="W288" s="2" t="str">
        <f>IFERROR(__xludf.DUMMYFUNCTION("IMPORTRANGE(""https://docs.google.com/spreadsheets/d/""&amp;$A288&amp;""/edit#gid=156619080"",W$3)"),"#REF!")</f>
        <v>#REF!</v>
      </c>
      <c r="X288" s="2" t="str">
        <f>IFERROR(__xludf.DUMMYFUNCTION("IMPORTRANGE(""https://docs.google.com/spreadsheets/d/""&amp;$A288&amp;""/edit#gid=156619080"",X$3)"),"#REF!")</f>
        <v>#REF!</v>
      </c>
      <c r="Y288" s="2" t="str">
        <f>IFERROR(__xludf.DUMMYFUNCTION("IMPORTRANGE(""https://docs.google.com/spreadsheets/d/""&amp;$A288&amp;""/edit#gid=156619080"",Y$3)"),"#REF!")</f>
        <v>#REF!</v>
      </c>
      <c r="Z288" s="2" t="str">
        <f>IFERROR(__xludf.DUMMYFUNCTION("IMPORTRANGE(""https://docs.google.com/spreadsheets/d/""&amp;$A288&amp;""/edit#gid=156619080"",Z$3)"),"#REF!")</f>
        <v>#REF!</v>
      </c>
      <c r="AA288" s="2" t="str">
        <f>IFERROR(__xludf.DUMMYFUNCTION("IMPORTRANGE(""https://docs.google.com/spreadsheets/d/""&amp;$A288&amp;""/edit#gid=156619080"",AA$3)"),"#REF!")</f>
        <v>#REF!</v>
      </c>
      <c r="AB288" s="2" t="str">
        <f>IFERROR(__xludf.DUMMYFUNCTION("IMPORTRANGE(""https://docs.google.com/spreadsheets/d/""&amp;$A288&amp;""/edit#gid=156619080"",AB$3)"),"#REF!")</f>
        <v>#REF!</v>
      </c>
      <c r="AC288" s="2" t="str">
        <f>IFERROR(__xludf.DUMMYFUNCTION("IMPORTRANGE(""https://docs.google.com/spreadsheets/d/""&amp;$A288&amp;""/edit#gid=156619080"",AC$3)"),"#REF!")</f>
        <v>#REF!</v>
      </c>
      <c r="AD288" s="2" t="str">
        <f>IFERROR(__xludf.DUMMYFUNCTION("IMPORTRANGE(""https://docs.google.com/spreadsheets/d/""&amp;$A288&amp;""/edit#gid=156619080"",AD$3)"),"#REF!")</f>
        <v>#REF!</v>
      </c>
      <c r="AE288" s="2" t="str">
        <f>IFERROR(__xludf.DUMMYFUNCTION("IMPORTRANGE(""https://docs.google.com/spreadsheets/d/""&amp;$A288&amp;""/edit#gid=156619080"",AE$3)"),"#REF!")</f>
        <v>#REF!</v>
      </c>
      <c r="AF288" s="2" t="str">
        <f>IFERROR(__xludf.DUMMYFUNCTION("IMPORTRANGE(""https://docs.google.com/spreadsheets/d/""&amp;$A288&amp;""/edit#gid=156619080"",AF$3)"),"#REF!")</f>
        <v>#REF!</v>
      </c>
      <c r="AG288" s="2" t="str">
        <f>IFERROR(__xludf.DUMMYFUNCTION("IMPORTRANGE(""https://docs.google.com/spreadsheets/d/""&amp;$A288&amp;""/edit#gid=156619080"",AG$3)"),"#REF!")</f>
        <v>#REF!</v>
      </c>
      <c r="AH288" s="2" t="str">
        <f>IFERROR(__xludf.DUMMYFUNCTION("IMPORTRANGE(""https://docs.google.com/spreadsheets/d/""&amp;$A288&amp;""/edit#gid=156619080"",AH$3)"),"#REF!")</f>
        <v>#REF!</v>
      </c>
      <c r="AI288" s="2" t="str">
        <f>IFERROR(__xludf.DUMMYFUNCTION("IMPORTRANGE(""https://docs.google.com/spreadsheets/d/""&amp;$A288&amp;""/edit#gid=156619080"",AI$3)"),"#REF!")</f>
        <v>#REF!</v>
      </c>
      <c r="AJ288" s="2" t="str">
        <f>IFERROR(__xludf.DUMMYFUNCTION("IMPORTRANGE(""https://docs.google.com/spreadsheets/d/""&amp;$A288&amp;""/edit#gid=156619080"",AJ$3)"),"#REF!")</f>
        <v>#REF!</v>
      </c>
      <c r="AK288" s="2" t="str">
        <f>IFERROR(__xludf.DUMMYFUNCTION("IMPORTRANGE(""https://docs.google.com/spreadsheets/d/""&amp;$A288&amp;""/edit#gid=156619080"",AK$3)"),"#REF!")</f>
        <v>#REF!</v>
      </c>
      <c r="AL288" s="2" t="str">
        <f>IFERROR(__xludf.DUMMYFUNCTION("IMPORTRANGE(""https://docs.google.com/spreadsheets/d/""&amp;$A288&amp;""/edit#gid=156619080"",AL$3)"),"#REF!")</f>
        <v>#REF!</v>
      </c>
      <c r="AM288" s="2" t="str">
        <f>IFERROR(__xludf.DUMMYFUNCTION("IMPORTRANGE(""https://docs.google.com/spreadsheets/d/""&amp;$A288&amp;""/edit#gid=156619080"",AM$3)"),"#REF!")</f>
        <v>#REF!</v>
      </c>
      <c r="AN288" s="2" t="str">
        <f>IFERROR(__xludf.DUMMYFUNCTION("IMPORTRANGE(""https://docs.google.com/spreadsheets/d/""&amp;$A288&amp;""/edit#gid=156619080"",AN$3)"),"#REF!")</f>
        <v>#REF!</v>
      </c>
      <c r="AO288" s="2" t="str">
        <f>IFERROR(__xludf.DUMMYFUNCTION("IMPORTRANGE(""https://docs.google.com/spreadsheets/d/""&amp;$A288&amp;""/edit#gid=156619080"",AO$3)"),"#REF!")</f>
        <v>#REF!</v>
      </c>
      <c r="AP288" s="2" t="str">
        <f>IFERROR(__xludf.DUMMYFUNCTION("IMPORTRANGE(""https://docs.google.com/spreadsheets/d/""&amp;$A288&amp;""/edit#gid=156619080"",AP$3)"),"#REF!")</f>
        <v>#REF!</v>
      </c>
      <c r="AQ288" s="2" t="str">
        <f>IFERROR(__xludf.DUMMYFUNCTION("IMPORTRANGE(""https://docs.google.com/spreadsheets/d/""&amp;$A288&amp;""/edit#gid=156619080"",AQ$3)"),"#REF!")</f>
        <v>#REF!</v>
      </c>
      <c r="AR288" s="2" t="str">
        <f>IFERROR(__xludf.DUMMYFUNCTION("IMPORTRANGE(""https://docs.google.com/spreadsheets/d/""&amp;$A288&amp;""/edit#gid=156619080"",AR$3)"),"#REF!")</f>
        <v>#REF!</v>
      </c>
      <c r="AS288" s="19" t="str">
        <f>IFERROR(__xludf.DUMMYFUNCTION("IMPORTRANGE(""https://docs.google.com/spreadsheets/d/""&amp;$A288&amp;""/edit#gid=156619080"",AS$3)"),"#REF!")</f>
        <v>#REF!</v>
      </c>
      <c r="AT288" s="2" t="str">
        <f>IFERROR(__xludf.DUMMYFUNCTION("IMPORTRANGE(""https://docs.google.com/spreadsheets/d/""&amp;$A288&amp;""/edit#gid=156619080"",AT$3)"),"#REF!")</f>
        <v>#REF!</v>
      </c>
      <c r="AU288" s="3" t="str">
        <f>IFERROR(__xludf.DUMMYFUNCTION("IMPORTRANGE(""https://docs.google.com/spreadsheets/d/""&amp;$A288&amp;""/edit#gid=156619080"",AU$3)"),"#REF!")</f>
        <v>#REF!</v>
      </c>
      <c r="AV288" s="2" t="str">
        <f>IFERROR(__xludf.DUMMYFUNCTION("IMPORTRANGE(""https://docs.google.com/spreadsheets/d/""&amp;$A288&amp;""/edit#gid=156619080"",AV$3)"),"#REF!")</f>
        <v>#REF!</v>
      </c>
      <c r="AW288" s="19" t="str">
        <f>IFERROR(__xludf.DUMMYFUNCTION("IMPORTRANGE(""https://docs.google.com/spreadsheets/d/""&amp;$A288&amp;""/edit#gid=156619080"",AW$3)"),"#REF!")</f>
        <v>#REF!</v>
      </c>
      <c r="AX288" s="2" t="str">
        <f>IFERROR(__xludf.DUMMYFUNCTION("IMPORTRANGE(""https://docs.google.com/spreadsheets/d/""&amp;$A288&amp;""/edit#gid=156619080"",AX$3)"),"#REF!")</f>
        <v>#REF!</v>
      </c>
      <c r="AY288" s="2" t="str">
        <f>IFERROR(__xludf.DUMMYFUNCTION("IMPORTRANGE(""https://docs.google.com/spreadsheets/d/""&amp;$A288&amp;""/edit#gid=156619080"",AY$3)"),"#REF!")</f>
        <v>#REF!</v>
      </c>
      <c r="AZ288" s="2" t="str">
        <f>IFERROR(__xludf.DUMMYFUNCTION("IMPORTRANGE(""https://docs.google.com/spreadsheets/d/""&amp;$A288&amp;""/edit#gid=156619080"",AZ$3)"),"#REF!")</f>
        <v>#REF!</v>
      </c>
      <c r="BA288" s="2" t="str">
        <f>IFERROR(__xludf.DUMMYFUNCTION("IMPORTRANGE(""https://docs.google.com/spreadsheets/d/""&amp;$A288&amp;""/edit#gid=156619080"",BA$3)"),"#REF!")</f>
        <v>#REF!</v>
      </c>
      <c r="BB288" s="2" t="str">
        <f>IFERROR(__xludf.DUMMYFUNCTION("IMPORTRANGE(""https://docs.google.com/spreadsheets/d/""&amp;$A288&amp;""/edit#gid=156619080"",BB$3)"),"#REF!")</f>
        <v>#REF!</v>
      </c>
      <c r="BC288" s="2" t="str">
        <f>IFERROR(__xludf.DUMMYFUNCTION("IMPORTRANGE(""https://docs.google.com/spreadsheets/d/""&amp;$A288&amp;""/edit#gid=156619080"",BC$3)"),"#REF!")</f>
        <v>#REF!</v>
      </c>
    </row>
    <row r="289" ht="51.0" customHeight="1">
      <c r="A289" s="7" t="str">
        <f t="shared" si="5"/>
        <v>1mjBpW0rQnGeUh04GIBUC-RcKfPi3C3ZAFgwVltK4aPg</v>
      </c>
      <c r="B289" s="1" t="s">
        <v>316</v>
      </c>
      <c r="C289" s="2" t="str">
        <f>IFERROR(__xludf.DUMMYFUNCTION("IMPORTRANGE(""https://docs.google.com/spreadsheets/d/""&amp;$A289&amp;""/edit#gid=156619080"",C$3)"),"#REF!")</f>
        <v>#REF!</v>
      </c>
      <c r="D289" s="2" t="str">
        <f>IFERROR(__xludf.DUMMYFUNCTION("IMPORTRANGE(""https://docs.google.com/spreadsheets/d/""&amp;$A289&amp;""/edit#gid=156619080"",D$3)"),"#REF!")</f>
        <v>#REF!</v>
      </c>
      <c r="E289" s="2" t="str">
        <f>IFERROR(__xludf.DUMMYFUNCTION("IMPORTRANGE(""https://docs.google.com/spreadsheets/d/""&amp;$A289&amp;""/edit#gid=156619080"",E$3)"),"#REF!")</f>
        <v>#REF!</v>
      </c>
      <c r="F289" s="2" t="str">
        <f>IFERROR(__xludf.DUMMYFUNCTION("IMPORTRANGE(""https://docs.google.com/spreadsheets/d/""&amp;$A289&amp;""/edit#gid=156619080"",F$3)"),"#REF!")</f>
        <v>#REF!</v>
      </c>
      <c r="G289" s="2" t="str">
        <f>IFERROR(__xludf.DUMMYFUNCTION("IMPORTRANGE(""https://docs.google.com/spreadsheets/d/""&amp;$A289&amp;""/edit#gid=156619080"",G$3)"),"#REF!")</f>
        <v>#REF!</v>
      </c>
      <c r="H289" s="2" t="str">
        <f>IFERROR(__xludf.DUMMYFUNCTION("IMPORTRANGE(""https://docs.google.com/spreadsheets/d/""&amp;$A289&amp;""/edit#gid=156619080"",H$3)"),"#REF!")</f>
        <v>#REF!</v>
      </c>
      <c r="I289" s="2" t="str">
        <f>IFERROR(__xludf.DUMMYFUNCTION("IMPORTRANGE(""https://docs.google.com/spreadsheets/d/""&amp;$A289&amp;""/edit#gid=156619080"",I$3)"),"#REF!")</f>
        <v>#REF!</v>
      </c>
      <c r="J289" s="2" t="str">
        <f>IFERROR(__xludf.DUMMYFUNCTION("IMPORTRANGE(""https://docs.google.com/spreadsheets/d/""&amp;$A289&amp;""/edit#gid=156619080"",J$3)"),"#REF!")</f>
        <v>#REF!</v>
      </c>
      <c r="K289" s="2" t="str">
        <f>IFERROR(__xludf.DUMMYFUNCTION("IMPORTRANGE(""https://docs.google.com/spreadsheets/d/""&amp;$A289&amp;""/edit#gid=156619080"",K$3)"),"#REF!")</f>
        <v>#REF!</v>
      </c>
      <c r="L289" s="2" t="str">
        <f>IFERROR(__xludf.DUMMYFUNCTION("IMPORTRANGE(""https://docs.google.com/spreadsheets/d/""&amp;$A289&amp;""/edit#gid=156619080"",L$3)"),"#REF!")</f>
        <v>#REF!</v>
      </c>
      <c r="M289" s="2" t="str">
        <f>IFERROR(__xludf.DUMMYFUNCTION("IMPORTRANGE(""https://docs.google.com/spreadsheets/d/""&amp;$A289&amp;""/edit#gid=156619080"",M$3)"),"#REF!")</f>
        <v>#REF!</v>
      </c>
      <c r="N289" s="2" t="str">
        <f>IFERROR(__xludf.DUMMYFUNCTION("IMPORTRANGE(""https://docs.google.com/spreadsheets/d/""&amp;$A289&amp;""/edit#gid=156619080"",N$3)"),"#REF!")</f>
        <v>#REF!</v>
      </c>
      <c r="O289" s="2" t="str">
        <f>IFERROR(__xludf.DUMMYFUNCTION("IMPORTRANGE(""https://docs.google.com/spreadsheets/d/""&amp;$A289&amp;""/edit#gid=156619080"",O$3)"),"#REF!")</f>
        <v>#REF!</v>
      </c>
      <c r="P289" s="2" t="str">
        <f>IFERROR(__xludf.DUMMYFUNCTION("IMPORTRANGE(""https://docs.google.com/spreadsheets/d/""&amp;$A289&amp;""/edit#gid=156619080"",P$3)"),"#REF!")</f>
        <v>#REF!</v>
      </c>
      <c r="Q289" s="2" t="str">
        <f>IFERROR(__xludf.DUMMYFUNCTION("IMPORTRANGE(""https://docs.google.com/spreadsheets/d/""&amp;$A289&amp;""/edit#gid=156619080"",Q$3)"),"#REF!")</f>
        <v>#REF!</v>
      </c>
      <c r="R289" s="2" t="str">
        <f>IFERROR(__xludf.DUMMYFUNCTION("IMPORTRANGE(""https://docs.google.com/spreadsheets/d/""&amp;$A289&amp;""/edit#gid=156619080"",R$3)"),"#REF!")</f>
        <v>#REF!</v>
      </c>
      <c r="S289" s="2" t="str">
        <f>IFERROR(__xludf.DUMMYFUNCTION("IMPORTRANGE(""https://docs.google.com/spreadsheets/d/""&amp;$A289&amp;""/edit#gid=156619080"",S$3)"),"#REF!")</f>
        <v>#REF!</v>
      </c>
      <c r="T289" s="2" t="str">
        <f>IFERROR(__xludf.DUMMYFUNCTION("IMPORTRANGE(""https://docs.google.com/spreadsheets/d/""&amp;$A289&amp;""/edit#gid=156619080"",T$3)"),"#REF!")</f>
        <v>#REF!</v>
      </c>
      <c r="U289" s="2" t="str">
        <f>IFERROR(__xludf.DUMMYFUNCTION("IMPORTRANGE(""https://docs.google.com/spreadsheets/d/""&amp;$A289&amp;""/edit#gid=156619080"",U$3)"),"#REF!")</f>
        <v>#REF!</v>
      </c>
      <c r="V289" s="2" t="str">
        <f>IFERROR(__xludf.DUMMYFUNCTION("IMPORTRANGE(""https://docs.google.com/spreadsheets/d/""&amp;$A289&amp;""/edit#gid=156619080"",V$3)"),"#REF!")</f>
        <v>#REF!</v>
      </c>
      <c r="W289" s="2" t="str">
        <f>IFERROR(__xludf.DUMMYFUNCTION("IMPORTRANGE(""https://docs.google.com/spreadsheets/d/""&amp;$A289&amp;""/edit#gid=156619080"",W$3)"),"#REF!")</f>
        <v>#REF!</v>
      </c>
      <c r="X289" s="2" t="str">
        <f>IFERROR(__xludf.DUMMYFUNCTION("IMPORTRANGE(""https://docs.google.com/spreadsheets/d/""&amp;$A289&amp;""/edit#gid=156619080"",X$3)"),"#REF!")</f>
        <v>#REF!</v>
      </c>
      <c r="Y289" s="2" t="str">
        <f>IFERROR(__xludf.DUMMYFUNCTION("IMPORTRANGE(""https://docs.google.com/spreadsheets/d/""&amp;$A289&amp;""/edit#gid=156619080"",Y$3)"),"#REF!")</f>
        <v>#REF!</v>
      </c>
      <c r="Z289" s="2" t="str">
        <f>IFERROR(__xludf.DUMMYFUNCTION("IMPORTRANGE(""https://docs.google.com/spreadsheets/d/""&amp;$A289&amp;""/edit#gid=156619080"",Z$3)"),"#REF!")</f>
        <v>#REF!</v>
      </c>
      <c r="AA289" s="2" t="str">
        <f>IFERROR(__xludf.DUMMYFUNCTION("IMPORTRANGE(""https://docs.google.com/spreadsheets/d/""&amp;$A289&amp;""/edit#gid=156619080"",AA$3)"),"#REF!")</f>
        <v>#REF!</v>
      </c>
      <c r="AB289" s="2" t="str">
        <f>IFERROR(__xludf.DUMMYFUNCTION("IMPORTRANGE(""https://docs.google.com/spreadsheets/d/""&amp;$A289&amp;""/edit#gid=156619080"",AB$3)"),"#REF!")</f>
        <v>#REF!</v>
      </c>
      <c r="AC289" s="2" t="str">
        <f>IFERROR(__xludf.DUMMYFUNCTION("IMPORTRANGE(""https://docs.google.com/spreadsheets/d/""&amp;$A289&amp;""/edit#gid=156619080"",AC$3)"),"#REF!")</f>
        <v>#REF!</v>
      </c>
      <c r="AD289" s="2" t="str">
        <f>IFERROR(__xludf.DUMMYFUNCTION("IMPORTRANGE(""https://docs.google.com/spreadsheets/d/""&amp;$A289&amp;""/edit#gid=156619080"",AD$3)"),"#REF!")</f>
        <v>#REF!</v>
      </c>
      <c r="AE289" s="2" t="str">
        <f>IFERROR(__xludf.DUMMYFUNCTION("IMPORTRANGE(""https://docs.google.com/spreadsheets/d/""&amp;$A289&amp;""/edit#gid=156619080"",AE$3)"),"#REF!")</f>
        <v>#REF!</v>
      </c>
      <c r="AF289" s="2" t="str">
        <f>IFERROR(__xludf.DUMMYFUNCTION("IMPORTRANGE(""https://docs.google.com/spreadsheets/d/""&amp;$A289&amp;""/edit#gid=156619080"",AF$3)"),"#REF!")</f>
        <v>#REF!</v>
      </c>
      <c r="AG289" s="2" t="str">
        <f>IFERROR(__xludf.DUMMYFUNCTION("IMPORTRANGE(""https://docs.google.com/spreadsheets/d/""&amp;$A289&amp;""/edit#gid=156619080"",AG$3)"),"#REF!")</f>
        <v>#REF!</v>
      </c>
      <c r="AH289" s="2" t="str">
        <f>IFERROR(__xludf.DUMMYFUNCTION("IMPORTRANGE(""https://docs.google.com/spreadsheets/d/""&amp;$A289&amp;""/edit#gid=156619080"",AH$3)"),"#REF!")</f>
        <v>#REF!</v>
      </c>
      <c r="AI289" s="2" t="str">
        <f>IFERROR(__xludf.DUMMYFUNCTION("IMPORTRANGE(""https://docs.google.com/spreadsheets/d/""&amp;$A289&amp;""/edit#gid=156619080"",AI$3)"),"#REF!")</f>
        <v>#REF!</v>
      </c>
      <c r="AJ289" s="2" t="str">
        <f>IFERROR(__xludf.DUMMYFUNCTION("IMPORTRANGE(""https://docs.google.com/spreadsheets/d/""&amp;$A289&amp;""/edit#gid=156619080"",AJ$3)"),"#REF!")</f>
        <v>#REF!</v>
      </c>
      <c r="AK289" s="2" t="str">
        <f>IFERROR(__xludf.DUMMYFUNCTION("IMPORTRANGE(""https://docs.google.com/spreadsheets/d/""&amp;$A289&amp;""/edit#gid=156619080"",AK$3)"),"#REF!")</f>
        <v>#REF!</v>
      </c>
      <c r="AL289" s="2" t="str">
        <f>IFERROR(__xludf.DUMMYFUNCTION("IMPORTRANGE(""https://docs.google.com/spreadsheets/d/""&amp;$A289&amp;""/edit#gid=156619080"",AL$3)"),"#REF!")</f>
        <v>#REF!</v>
      </c>
      <c r="AM289" s="2" t="str">
        <f>IFERROR(__xludf.DUMMYFUNCTION("IMPORTRANGE(""https://docs.google.com/spreadsheets/d/""&amp;$A289&amp;""/edit#gid=156619080"",AM$3)"),"#REF!")</f>
        <v>#REF!</v>
      </c>
      <c r="AN289" s="2" t="str">
        <f>IFERROR(__xludf.DUMMYFUNCTION("IMPORTRANGE(""https://docs.google.com/spreadsheets/d/""&amp;$A289&amp;""/edit#gid=156619080"",AN$3)"),"#REF!")</f>
        <v>#REF!</v>
      </c>
      <c r="AO289" s="2" t="str">
        <f>IFERROR(__xludf.DUMMYFUNCTION("IMPORTRANGE(""https://docs.google.com/spreadsheets/d/""&amp;$A289&amp;""/edit#gid=156619080"",AO$3)"),"#REF!")</f>
        <v>#REF!</v>
      </c>
      <c r="AP289" s="2" t="str">
        <f>IFERROR(__xludf.DUMMYFUNCTION("IMPORTRANGE(""https://docs.google.com/spreadsheets/d/""&amp;$A289&amp;""/edit#gid=156619080"",AP$3)"),"#REF!")</f>
        <v>#REF!</v>
      </c>
      <c r="AQ289" s="2" t="str">
        <f>IFERROR(__xludf.DUMMYFUNCTION("IMPORTRANGE(""https://docs.google.com/spreadsheets/d/""&amp;$A289&amp;""/edit#gid=156619080"",AQ$3)"),"#REF!")</f>
        <v>#REF!</v>
      </c>
      <c r="AR289" s="2" t="str">
        <f>IFERROR(__xludf.DUMMYFUNCTION("IMPORTRANGE(""https://docs.google.com/spreadsheets/d/""&amp;$A289&amp;""/edit#gid=156619080"",AR$3)"),"#REF!")</f>
        <v>#REF!</v>
      </c>
      <c r="AS289" s="19" t="str">
        <f>IFERROR(__xludf.DUMMYFUNCTION("IMPORTRANGE(""https://docs.google.com/spreadsheets/d/""&amp;$A289&amp;""/edit#gid=156619080"",AS$3)"),"#REF!")</f>
        <v>#REF!</v>
      </c>
      <c r="AT289" s="2" t="str">
        <f>IFERROR(__xludf.DUMMYFUNCTION("IMPORTRANGE(""https://docs.google.com/spreadsheets/d/""&amp;$A289&amp;""/edit#gid=156619080"",AT$3)"),"#REF!")</f>
        <v>#REF!</v>
      </c>
      <c r="AU289" s="3" t="str">
        <f>IFERROR(__xludf.DUMMYFUNCTION("IMPORTRANGE(""https://docs.google.com/spreadsheets/d/""&amp;$A289&amp;""/edit#gid=156619080"",AU$3)"),"#REF!")</f>
        <v>#REF!</v>
      </c>
      <c r="AV289" s="2" t="str">
        <f>IFERROR(__xludf.DUMMYFUNCTION("IMPORTRANGE(""https://docs.google.com/spreadsheets/d/""&amp;$A289&amp;""/edit#gid=156619080"",AV$3)"),"#REF!")</f>
        <v>#REF!</v>
      </c>
      <c r="AW289" s="19" t="str">
        <f>IFERROR(__xludf.DUMMYFUNCTION("IMPORTRANGE(""https://docs.google.com/spreadsheets/d/""&amp;$A289&amp;""/edit#gid=156619080"",AW$3)"),"#REF!")</f>
        <v>#REF!</v>
      </c>
      <c r="AX289" s="2" t="str">
        <f>IFERROR(__xludf.DUMMYFUNCTION("IMPORTRANGE(""https://docs.google.com/spreadsheets/d/""&amp;$A289&amp;""/edit#gid=156619080"",AX$3)"),"#REF!")</f>
        <v>#REF!</v>
      </c>
      <c r="AY289" s="2" t="str">
        <f>IFERROR(__xludf.DUMMYFUNCTION("IMPORTRANGE(""https://docs.google.com/spreadsheets/d/""&amp;$A289&amp;""/edit#gid=156619080"",AY$3)"),"#REF!")</f>
        <v>#REF!</v>
      </c>
      <c r="AZ289" s="2" t="str">
        <f>IFERROR(__xludf.DUMMYFUNCTION("IMPORTRANGE(""https://docs.google.com/spreadsheets/d/""&amp;$A289&amp;""/edit#gid=156619080"",AZ$3)"),"#REF!")</f>
        <v>#REF!</v>
      </c>
      <c r="BA289" s="2" t="str">
        <f>IFERROR(__xludf.DUMMYFUNCTION("IMPORTRANGE(""https://docs.google.com/spreadsheets/d/""&amp;$A289&amp;""/edit#gid=156619080"",BA$3)"),"#REF!")</f>
        <v>#REF!</v>
      </c>
      <c r="BB289" s="2" t="str">
        <f>IFERROR(__xludf.DUMMYFUNCTION("IMPORTRANGE(""https://docs.google.com/spreadsheets/d/""&amp;$A289&amp;""/edit#gid=156619080"",BB$3)"),"#REF!")</f>
        <v>#REF!</v>
      </c>
      <c r="BC289" s="2" t="str">
        <f>IFERROR(__xludf.DUMMYFUNCTION("IMPORTRANGE(""https://docs.google.com/spreadsheets/d/""&amp;$A289&amp;""/edit#gid=156619080"",BC$3)"),"#REF!")</f>
        <v>#REF!</v>
      </c>
    </row>
    <row r="290" ht="51.0" customHeight="1">
      <c r="A290" s="7" t="str">
        <f t="shared" si="5"/>
        <v>1chDe-OeXHDF0pRJFdZCKLnTfs-MSrTcbuvFtCQNcHEM</v>
      </c>
      <c r="B290" s="1" t="s">
        <v>317</v>
      </c>
      <c r="C290" s="2" t="str">
        <f>IFERROR(__xludf.DUMMYFUNCTION("IMPORTRANGE(""https://docs.google.com/spreadsheets/d/""&amp;$A290&amp;""/edit#gid=156619080"",C$3)"),"#REF!")</f>
        <v>#REF!</v>
      </c>
      <c r="D290" s="2" t="str">
        <f>IFERROR(__xludf.DUMMYFUNCTION("IMPORTRANGE(""https://docs.google.com/spreadsheets/d/""&amp;$A290&amp;""/edit#gid=156619080"",D$3)"),"#REF!")</f>
        <v>#REF!</v>
      </c>
      <c r="E290" s="2" t="str">
        <f>IFERROR(__xludf.DUMMYFUNCTION("IMPORTRANGE(""https://docs.google.com/spreadsheets/d/""&amp;$A290&amp;""/edit#gid=156619080"",E$3)"),"#REF!")</f>
        <v>#REF!</v>
      </c>
      <c r="F290" s="2" t="str">
        <f>IFERROR(__xludf.DUMMYFUNCTION("IMPORTRANGE(""https://docs.google.com/spreadsheets/d/""&amp;$A290&amp;""/edit#gid=156619080"",F$3)"),"#REF!")</f>
        <v>#REF!</v>
      </c>
      <c r="G290" s="2" t="str">
        <f>IFERROR(__xludf.DUMMYFUNCTION("IMPORTRANGE(""https://docs.google.com/spreadsheets/d/""&amp;$A290&amp;""/edit#gid=156619080"",G$3)"),"#REF!")</f>
        <v>#REF!</v>
      </c>
      <c r="H290" s="2" t="str">
        <f>IFERROR(__xludf.DUMMYFUNCTION("IMPORTRANGE(""https://docs.google.com/spreadsheets/d/""&amp;$A290&amp;""/edit#gid=156619080"",H$3)"),"#REF!")</f>
        <v>#REF!</v>
      </c>
      <c r="I290" s="2" t="str">
        <f>IFERROR(__xludf.DUMMYFUNCTION("IMPORTRANGE(""https://docs.google.com/spreadsheets/d/""&amp;$A290&amp;""/edit#gid=156619080"",I$3)"),"#REF!")</f>
        <v>#REF!</v>
      </c>
      <c r="J290" s="2" t="str">
        <f>IFERROR(__xludf.DUMMYFUNCTION("IMPORTRANGE(""https://docs.google.com/spreadsheets/d/""&amp;$A290&amp;""/edit#gid=156619080"",J$3)"),"#REF!")</f>
        <v>#REF!</v>
      </c>
      <c r="K290" s="2" t="str">
        <f>IFERROR(__xludf.DUMMYFUNCTION("IMPORTRANGE(""https://docs.google.com/spreadsheets/d/""&amp;$A290&amp;""/edit#gid=156619080"",K$3)"),"#REF!")</f>
        <v>#REF!</v>
      </c>
      <c r="L290" s="2" t="str">
        <f>IFERROR(__xludf.DUMMYFUNCTION("IMPORTRANGE(""https://docs.google.com/spreadsheets/d/""&amp;$A290&amp;""/edit#gid=156619080"",L$3)"),"#REF!")</f>
        <v>#REF!</v>
      </c>
      <c r="M290" s="2" t="str">
        <f>IFERROR(__xludf.DUMMYFUNCTION("IMPORTRANGE(""https://docs.google.com/spreadsheets/d/""&amp;$A290&amp;""/edit#gid=156619080"",M$3)"),"#REF!")</f>
        <v>#REF!</v>
      </c>
      <c r="N290" s="2" t="str">
        <f>IFERROR(__xludf.DUMMYFUNCTION("IMPORTRANGE(""https://docs.google.com/spreadsheets/d/""&amp;$A290&amp;""/edit#gid=156619080"",N$3)"),"#REF!")</f>
        <v>#REF!</v>
      </c>
      <c r="O290" s="2" t="str">
        <f>IFERROR(__xludf.DUMMYFUNCTION("IMPORTRANGE(""https://docs.google.com/spreadsheets/d/""&amp;$A290&amp;""/edit#gid=156619080"",O$3)"),"#REF!")</f>
        <v>#REF!</v>
      </c>
      <c r="P290" s="2" t="str">
        <f>IFERROR(__xludf.DUMMYFUNCTION("IMPORTRANGE(""https://docs.google.com/spreadsheets/d/""&amp;$A290&amp;""/edit#gid=156619080"",P$3)"),"#REF!")</f>
        <v>#REF!</v>
      </c>
      <c r="Q290" s="2" t="str">
        <f>IFERROR(__xludf.DUMMYFUNCTION("IMPORTRANGE(""https://docs.google.com/spreadsheets/d/""&amp;$A290&amp;""/edit#gid=156619080"",Q$3)"),"#REF!")</f>
        <v>#REF!</v>
      </c>
      <c r="R290" s="2" t="str">
        <f>IFERROR(__xludf.DUMMYFUNCTION("IMPORTRANGE(""https://docs.google.com/spreadsheets/d/""&amp;$A290&amp;""/edit#gid=156619080"",R$3)"),"#REF!")</f>
        <v>#REF!</v>
      </c>
      <c r="S290" s="2" t="str">
        <f>IFERROR(__xludf.DUMMYFUNCTION("IMPORTRANGE(""https://docs.google.com/spreadsheets/d/""&amp;$A290&amp;""/edit#gid=156619080"",S$3)"),"#REF!")</f>
        <v>#REF!</v>
      </c>
      <c r="T290" s="2" t="str">
        <f>IFERROR(__xludf.DUMMYFUNCTION("IMPORTRANGE(""https://docs.google.com/spreadsheets/d/""&amp;$A290&amp;""/edit#gid=156619080"",T$3)"),"#REF!")</f>
        <v>#REF!</v>
      </c>
      <c r="U290" s="2" t="str">
        <f>IFERROR(__xludf.DUMMYFUNCTION("IMPORTRANGE(""https://docs.google.com/spreadsheets/d/""&amp;$A290&amp;""/edit#gid=156619080"",U$3)"),"#REF!")</f>
        <v>#REF!</v>
      </c>
      <c r="V290" s="2" t="str">
        <f>IFERROR(__xludf.DUMMYFUNCTION("IMPORTRANGE(""https://docs.google.com/spreadsheets/d/""&amp;$A290&amp;""/edit#gid=156619080"",V$3)"),"#REF!")</f>
        <v>#REF!</v>
      </c>
      <c r="W290" s="2" t="str">
        <f>IFERROR(__xludf.DUMMYFUNCTION("IMPORTRANGE(""https://docs.google.com/spreadsheets/d/""&amp;$A290&amp;""/edit#gid=156619080"",W$3)"),"#REF!")</f>
        <v>#REF!</v>
      </c>
      <c r="X290" s="2" t="str">
        <f>IFERROR(__xludf.DUMMYFUNCTION("IMPORTRANGE(""https://docs.google.com/spreadsheets/d/""&amp;$A290&amp;""/edit#gid=156619080"",X$3)"),"#REF!")</f>
        <v>#REF!</v>
      </c>
      <c r="Y290" s="2" t="str">
        <f>IFERROR(__xludf.DUMMYFUNCTION("IMPORTRANGE(""https://docs.google.com/spreadsheets/d/""&amp;$A290&amp;""/edit#gid=156619080"",Y$3)"),"#REF!")</f>
        <v>#REF!</v>
      </c>
      <c r="Z290" s="2" t="str">
        <f>IFERROR(__xludf.DUMMYFUNCTION("IMPORTRANGE(""https://docs.google.com/spreadsheets/d/""&amp;$A290&amp;""/edit#gid=156619080"",Z$3)"),"#REF!")</f>
        <v>#REF!</v>
      </c>
      <c r="AA290" s="2" t="str">
        <f>IFERROR(__xludf.DUMMYFUNCTION("IMPORTRANGE(""https://docs.google.com/spreadsheets/d/""&amp;$A290&amp;""/edit#gid=156619080"",AA$3)"),"#REF!")</f>
        <v>#REF!</v>
      </c>
      <c r="AB290" s="2" t="str">
        <f>IFERROR(__xludf.DUMMYFUNCTION("IMPORTRANGE(""https://docs.google.com/spreadsheets/d/""&amp;$A290&amp;""/edit#gid=156619080"",AB$3)"),"#REF!")</f>
        <v>#REF!</v>
      </c>
      <c r="AC290" s="2" t="str">
        <f>IFERROR(__xludf.DUMMYFUNCTION("IMPORTRANGE(""https://docs.google.com/spreadsheets/d/""&amp;$A290&amp;""/edit#gid=156619080"",AC$3)"),"#REF!")</f>
        <v>#REF!</v>
      </c>
      <c r="AD290" s="2" t="str">
        <f>IFERROR(__xludf.DUMMYFUNCTION("IMPORTRANGE(""https://docs.google.com/spreadsheets/d/""&amp;$A290&amp;""/edit#gid=156619080"",AD$3)"),"#REF!")</f>
        <v>#REF!</v>
      </c>
      <c r="AE290" s="2" t="str">
        <f>IFERROR(__xludf.DUMMYFUNCTION("IMPORTRANGE(""https://docs.google.com/spreadsheets/d/""&amp;$A290&amp;""/edit#gid=156619080"",AE$3)"),"#REF!")</f>
        <v>#REF!</v>
      </c>
      <c r="AF290" s="2" t="str">
        <f>IFERROR(__xludf.DUMMYFUNCTION("IMPORTRANGE(""https://docs.google.com/spreadsheets/d/""&amp;$A290&amp;""/edit#gid=156619080"",AF$3)"),"#REF!")</f>
        <v>#REF!</v>
      </c>
      <c r="AG290" s="2" t="str">
        <f>IFERROR(__xludf.DUMMYFUNCTION("IMPORTRANGE(""https://docs.google.com/spreadsheets/d/""&amp;$A290&amp;""/edit#gid=156619080"",AG$3)"),"#REF!")</f>
        <v>#REF!</v>
      </c>
      <c r="AH290" s="2" t="str">
        <f>IFERROR(__xludf.DUMMYFUNCTION("IMPORTRANGE(""https://docs.google.com/spreadsheets/d/""&amp;$A290&amp;""/edit#gid=156619080"",AH$3)"),"#REF!")</f>
        <v>#REF!</v>
      </c>
      <c r="AI290" s="2" t="str">
        <f>IFERROR(__xludf.DUMMYFUNCTION("IMPORTRANGE(""https://docs.google.com/spreadsheets/d/""&amp;$A290&amp;""/edit#gid=156619080"",AI$3)"),"#REF!")</f>
        <v>#REF!</v>
      </c>
      <c r="AJ290" s="2" t="str">
        <f>IFERROR(__xludf.DUMMYFUNCTION("IMPORTRANGE(""https://docs.google.com/spreadsheets/d/""&amp;$A290&amp;""/edit#gid=156619080"",AJ$3)"),"#REF!")</f>
        <v>#REF!</v>
      </c>
      <c r="AK290" s="2" t="str">
        <f>IFERROR(__xludf.DUMMYFUNCTION("IMPORTRANGE(""https://docs.google.com/spreadsheets/d/""&amp;$A290&amp;""/edit#gid=156619080"",AK$3)"),"#REF!")</f>
        <v>#REF!</v>
      </c>
      <c r="AL290" s="2" t="str">
        <f>IFERROR(__xludf.DUMMYFUNCTION("IMPORTRANGE(""https://docs.google.com/spreadsheets/d/""&amp;$A290&amp;""/edit#gid=156619080"",AL$3)"),"#REF!")</f>
        <v>#REF!</v>
      </c>
      <c r="AM290" s="2" t="str">
        <f>IFERROR(__xludf.DUMMYFUNCTION("IMPORTRANGE(""https://docs.google.com/spreadsheets/d/""&amp;$A290&amp;""/edit#gid=156619080"",AM$3)"),"#REF!")</f>
        <v>#REF!</v>
      </c>
      <c r="AN290" s="2" t="str">
        <f>IFERROR(__xludf.DUMMYFUNCTION("IMPORTRANGE(""https://docs.google.com/spreadsheets/d/""&amp;$A290&amp;""/edit#gid=156619080"",AN$3)"),"#REF!")</f>
        <v>#REF!</v>
      </c>
      <c r="AO290" s="2" t="str">
        <f>IFERROR(__xludf.DUMMYFUNCTION("IMPORTRANGE(""https://docs.google.com/spreadsheets/d/""&amp;$A290&amp;""/edit#gid=156619080"",AO$3)"),"#REF!")</f>
        <v>#REF!</v>
      </c>
      <c r="AP290" s="2" t="str">
        <f>IFERROR(__xludf.DUMMYFUNCTION("IMPORTRANGE(""https://docs.google.com/spreadsheets/d/""&amp;$A290&amp;""/edit#gid=156619080"",AP$3)"),"#REF!")</f>
        <v>#REF!</v>
      </c>
      <c r="AQ290" s="2" t="str">
        <f>IFERROR(__xludf.DUMMYFUNCTION("IMPORTRANGE(""https://docs.google.com/spreadsheets/d/""&amp;$A290&amp;""/edit#gid=156619080"",AQ$3)"),"#REF!")</f>
        <v>#REF!</v>
      </c>
      <c r="AR290" s="2" t="str">
        <f>IFERROR(__xludf.DUMMYFUNCTION("IMPORTRANGE(""https://docs.google.com/spreadsheets/d/""&amp;$A290&amp;""/edit#gid=156619080"",AR$3)"),"#REF!")</f>
        <v>#REF!</v>
      </c>
      <c r="AS290" s="19" t="str">
        <f>IFERROR(__xludf.DUMMYFUNCTION("IMPORTRANGE(""https://docs.google.com/spreadsheets/d/""&amp;$A290&amp;""/edit#gid=156619080"",AS$3)"),"#REF!")</f>
        <v>#REF!</v>
      </c>
      <c r="AT290" s="2" t="str">
        <f>IFERROR(__xludf.DUMMYFUNCTION("IMPORTRANGE(""https://docs.google.com/spreadsheets/d/""&amp;$A290&amp;""/edit#gid=156619080"",AT$3)"),"#REF!")</f>
        <v>#REF!</v>
      </c>
      <c r="AU290" s="3" t="str">
        <f>IFERROR(__xludf.DUMMYFUNCTION("IMPORTRANGE(""https://docs.google.com/spreadsheets/d/""&amp;$A290&amp;""/edit#gid=156619080"",AU$3)"),"#REF!")</f>
        <v>#REF!</v>
      </c>
      <c r="AV290" s="2" t="str">
        <f>IFERROR(__xludf.DUMMYFUNCTION("IMPORTRANGE(""https://docs.google.com/spreadsheets/d/""&amp;$A290&amp;""/edit#gid=156619080"",AV$3)"),"#REF!")</f>
        <v>#REF!</v>
      </c>
      <c r="AW290" s="19" t="str">
        <f>IFERROR(__xludf.DUMMYFUNCTION("IMPORTRANGE(""https://docs.google.com/spreadsheets/d/""&amp;$A290&amp;""/edit#gid=156619080"",AW$3)"),"#REF!")</f>
        <v>#REF!</v>
      </c>
      <c r="AX290" s="2" t="str">
        <f>IFERROR(__xludf.DUMMYFUNCTION("IMPORTRANGE(""https://docs.google.com/spreadsheets/d/""&amp;$A290&amp;""/edit#gid=156619080"",AX$3)"),"#REF!")</f>
        <v>#REF!</v>
      </c>
      <c r="AY290" s="2" t="str">
        <f>IFERROR(__xludf.DUMMYFUNCTION("IMPORTRANGE(""https://docs.google.com/spreadsheets/d/""&amp;$A290&amp;""/edit#gid=156619080"",AY$3)"),"#REF!")</f>
        <v>#REF!</v>
      </c>
      <c r="AZ290" s="2" t="str">
        <f>IFERROR(__xludf.DUMMYFUNCTION("IMPORTRANGE(""https://docs.google.com/spreadsheets/d/""&amp;$A290&amp;""/edit#gid=156619080"",AZ$3)"),"#REF!")</f>
        <v>#REF!</v>
      </c>
      <c r="BA290" s="2" t="str">
        <f>IFERROR(__xludf.DUMMYFUNCTION("IMPORTRANGE(""https://docs.google.com/spreadsheets/d/""&amp;$A290&amp;""/edit#gid=156619080"",BA$3)"),"#REF!")</f>
        <v>#REF!</v>
      </c>
      <c r="BB290" s="2" t="str">
        <f>IFERROR(__xludf.DUMMYFUNCTION("IMPORTRANGE(""https://docs.google.com/spreadsheets/d/""&amp;$A290&amp;""/edit#gid=156619080"",BB$3)"),"#REF!")</f>
        <v>#REF!</v>
      </c>
      <c r="BC290" s="2" t="str">
        <f>IFERROR(__xludf.DUMMYFUNCTION("IMPORTRANGE(""https://docs.google.com/spreadsheets/d/""&amp;$A290&amp;""/edit#gid=156619080"",BC$3)"),"#REF!")</f>
        <v>#REF!</v>
      </c>
    </row>
    <row r="291" ht="51.0" customHeight="1">
      <c r="A291" s="7" t="str">
        <f t="shared" si="5"/>
        <v>1PE5GKfR_oUmxgyl7HssS85O3NyLhm85Ofajpp9Ke2tE</v>
      </c>
      <c r="B291" s="1" t="s">
        <v>318</v>
      </c>
      <c r="C291" s="2" t="str">
        <f>IFERROR(__xludf.DUMMYFUNCTION("IMPORTRANGE(""https://docs.google.com/spreadsheets/d/""&amp;$A291&amp;""/edit#gid=156619080"",C$3)"),"#REF!")</f>
        <v>#REF!</v>
      </c>
      <c r="D291" s="2" t="str">
        <f>IFERROR(__xludf.DUMMYFUNCTION("IMPORTRANGE(""https://docs.google.com/spreadsheets/d/""&amp;$A291&amp;""/edit#gid=156619080"",D$3)"),"#REF!")</f>
        <v>#REF!</v>
      </c>
      <c r="E291" s="2" t="str">
        <f>IFERROR(__xludf.DUMMYFUNCTION("IMPORTRANGE(""https://docs.google.com/spreadsheets/d/""&amp;$A291&amp;""/edit#gid=156619080"",E$3)"),"#REF!")</f>
        <v>#REF!</v>
      </c>
      <c r="F291" s="2" t="str">
        <f>IFERROR(__xludf.DUMMYFUNCTION("IMPORTRANGE(""https://docs.google.com/spreadsheets/d/""&amp;$A291&amp;""/edit#gid=156619080"",F$3)"),"#REF!")</f>
        <v>#REF!</v>
      </c>
      <c r="G291" s="2" t="str">
        <f>IFERROR(__xludf.DUMMYFUNCTION("IMPORTRANGE(""https://docs.google.com/spreadsheets/d/""&amp;$A291&amp;""/edit#gid=156619080"",G$3)"),"#REF!")</f>
        <v>#REF!</v>
      </c>
      <c r="H291" s="2" t="str">
        <f>IFERROR(__xludf.DUMMYFUNCTION("IMPORTRANGE(""https://docs.google.com/spreadsheets/d/""&amp;$A291&amp;""/edit#gid=156619080"",H$3)"),"#REF!")</f>
        <v>#REF!</v>
      </c>
      <c r="I291" s="2" t="str">
        <f>IFERROR(__xludf.DUMMYFUNCTION("IMPORTRANGE(""https://docs.google.com/spreadsheets/d/""&amp;$A291&amp;""/edit#gid=156619080"",I$3)"),"#REF!")</f>
        <v>#REF!</v>
      </c>
      <c r="J291" s="2" t="str">
        <f>IFERROR(__xludf.DUMMYFUNCTION("IMPORTRANGE(""https://docs.google.com/spreadsheets/d/""&amp;$A291&amp;""/edit#gid=156619080"",J$3)"),"#REF!")</f>
        <v>#REF!</v>
      </c>
      <c r="K291" s="2" t="str">
        <f>IFERROR(__xludf.DUMMYFUNCTION("IMPORTRANGE(""https://docs.google.com/spreadsheets/d/""&amp;$A291&amp;""/edit#gid=156619080"",K$3)"),"#REF!")</f>
        <v>#REF!</v>
      </c>
      <c r="L291" s="2" t="str">
        <f>IFERROR(__xludf.DUMMYFUNCTION("IMPORTRANGE(""https://docs.google.com/spreadsheets/d/""&amp;$A291&amp;""/edit#gid=156619080"",L$3)"),"#REF!")</f>
        <v>#REF!</v>
      </c>
      <c r="M291" s="2" t="str">
        <f>IFERROR(__xludf.DUMMYFUNCTION("IMPORTRANGE(""https://docs.google.com/spreadsheets/d/""&amp;$A291&amp;""/edit#gid=156619080"",M$3)"),"#REF!")</f>
        <v>#REF!</v>
      </c>
      <c r="N291" s="2" t="str">
        <f>IFERROR(__xludf.DUMMYFUNCTION("IMPORTRANGE(""https://docs.google.com/spreadsheets/d/""&amp;$A291&amp;""/edit#gid=156619080"",N$3)"),"#REF!")</f>
        <v>#REF!</v>
      </c>
      <c r="O291" s="2" t="str">
        <f>IFERROR(__xludf.DUMMYFUNCTION("IMPORTRANGE(""https://docs.google.com/spreadsheets/d/""&amp;$A291&amp;""/edit#gid=156619080"",O$3)"),"#REF!")</f>
        <v>#REF!</v>
      </c>
      <c r="P291" s="2" t="str">
        <f>IFERROR(__xludf.DUMMYFUNCTION("IMPORTRANGE(""https://docs.google.com/spreadsheets/d/""&amp;$A291&amp;""/edit#gid=156619080"",P$3)"),"#REF!")</f>
        <v>#REF!</v>
      </c>
      <c r="Q291" s="2" t="str">
        <f>IFERROR(__xludf.DUMMYFUNCTION("IMPORTRANGE(""https://docs.google.com/spreadsheets/d/""&amp;$A291&amp;""/edit#gid=156619080"",Q$3)"),"#REF!")</f>
        <v>#REF!</v>
      </c>
      <c r="R291" s="2" t="str">
        <f>IFERROR(__xludf.DUMMYFUNCTION("IMPORTRANGE(""https://docs.google.com/spreadsheets/d/""&amp;$A291&amp;""/edit#gid=156619080"",R$3)"),"#REF!")</f>
        <v>#REF!</v>
      </c>
      <c r="S291" s="2" t="str">
        <f>IFERROR(__xludf.DUMMYFUNCTION("IMPORTRANGE(""https://docs.google.com/spreadsheets/d/""&amp;$A291&amp;""/edit#gid=156619080"",S$3)"),"#REF!")</f>
        <v>#REF!</v>
      </c>
      <c r="T291" s="2" t="str">
        <f>IFERROR(__xludf.DUMMYFUNCTION("IMPORTRANGE(""https://docs.google.com/spreadsheets/d/""&amp;$A291&amp;""/edit#gid=156619080"",T$3)"),"#REF!")</f>
        <v>#REF!</v>
      </c>
      <c r="U291" s="2" t="str">
        <f>IFERROR(__xludf.DUMMYFUNCTION("IMPORTRANGE(""https://docs.google.com/spreadsheets/d/""&amp;$A291&amp;""/edit#gid=156619080"",U$3)"),"#REF!")</f>
        <v>#REF!</v>
      </c>
      <c r="V291" s="2" t="str">
        <f>IFERROR(__xludf.DUMMYFUNCTION("IMPORTRANGE(""https://docs.google.com/spreadsheets/d/""&amp;$A291&amp;""/edit#gid=156619080"",V$3)"),"#REF!")</f>
        <v>#REF!</v>
      </c>
      <c r="W291" s="2" t="str">
        <f>IFERROR(__xludf.DUMMYFUNCTION("IMPORTRANGE(""https://docs.google.com/spreadsheets/d/""&amp;$A291&amp;""/edit#gid=156619080"",W$3)"),"#REF!")</f>
        <v>#REF!</v>
      </c>
      <c r="X291" s="2" t="str">
        <f>IFERROR(__xludf.DUMMYFUNCTION("IMPORTRANGE(""https://docs.google.com/spreadsheets/d/""&amp;$A291&amp;""/edit#gid=156619080"",X$3)"),"#REF!")</f>
        <v>#REF!</v>
      </c>
      <c r="Y291" s="2" t="str">
        <f>IFERROR(__xludf.DUMMYFUNCTION("IMPORTRANGE(""https://docs.google.com/spreadsheets/d/""&amp;$A291&amp;""/edit#gid=156619080"",Y$3)"),"#REF!")</f>
        <v>#REF!</v>
      </c>
      <c r="Z291" s="2" t="str">
        <f>IFERROR(__xludf.DUMMYFUNCTION("IMPORTRANGE(""https://docs.google.com/spreadsheets/d/""&amp;$A291&amp;""/edit#gid=156619080"",Z$3)"),"#REF!")</f>
        <v>#REF!</v>
      </c>
      <c r="AA291" s="2" t="str">
        <f>IFERROR(__xludf.DUMMYFUNCTION("IMPORTRANGE(""https://docs.google.com/spreadsheets/d/""&amp;$A291&amp;""/edit#gid=156619080"",AA$3)"),"#REF!")</f>
        <v>#REF!</v>
      </c>
      <c r="AB291" s="2" t="str">
        <f>IFERROR(__xludf.DUMMYFUNCTION("IMPORTRANGE(""https://docs.google.com/spreadsheets/d/""&amp;$A291&amp;""/edit#gid=156619080"",AB$3)"),"#REF!")</f>
        <v>#REF!</v>
      </c>
      <c r="AC291" s="2" t="str">
        <f>IFERROR(__xludf.DUMMYFUNCTION("IMPORTRANGE(""https://docs.google.com/spreadsheets/d/""&amp;$A291&amp;""/edit#gid=156619080"",AC$3)"),"#REF!")</f>
        <v>#REF!</v>
      </c>
      <c r="AD291" s="2" t="str">
        <f>IFERROR(__xludf.DUMMYFUNCTION("IMPORTRANGE(""https://docs.google.com/spreadsheets/d/""&amp;$A291&amp;""/edit#gid=156619080"",AD$3)"),"#REF!")</f>
        <v>#REF!</v>
      </c>
      <c r="AE291" s="2" t="str">
        <f>IFERROR(__xludf.DUMMYFUNCTION("IMPORTRANGE(""https://docs.google.com/spreadsheets/d/""&amp;$A291&amp;""/edit#gid=156619080"",AE$3)"),"#REF!")</f>
        <v>#REF!</v>
      </c>
      <c r="AF291" s="2" t="str">
        <f>IFERROR(__xludf.DUMMYFUNCTION("IMPORTRANGE(""https://docs.google.com/spreadsheets/d/""&amp;$A291&amp;""/edit#gid=156619080"",AF$3)"),"#REF!")</f>
        <v>#REF!</v>
      </c>
      <c r="AG291" s="2" t="str">
        <f>IFERROR(__xludf.DUMMYFUNCTION("IMPORTRANGE(""https://docs.google.com/spreadsheets/d/""&amp;$A291&amp;""/edit#gid=156619080"",AG$3)"),"#REF!")</f>
        <v>#REF!</v>
      </c>
      <c r="AH291" s="2" t="str">
        <f>IFERROR(__xludf.DUMMYFUNCTION("IMPORTRANGE(""https://docs.google.com/spreadsheets/d/""&amp;$A291&amp;""/edit#gid=156619080"",AH$3)"),"#REF!")</f>
        <v>#REF!</v>
      </c>
      <c r="AI291" s="2" t="str">
        <f>IFERROR(__xludf.DUMMYFUNCTION("IMPORTRANGE(""https://docs.google.com/spreadsheets/d/""&amp;$A291&amp;""/edit#gid=156619080"",AI$3)"),"#REF!")</f>
        <v>#REF!</v>
      </c>
      <c r="AJ291" s="2" t="str">
        <f>IFERROR(__xludf.DUMMYFUNCTION("IMPORTRANGE(""https://docs.google.com/spreadsheets/d/""&amp;$A291&amp;""/edit#gid=156619080"",AJ$3)"),"#REF!")</f>
        <v>#REF!</v>
      </c>
      <c r="AK291" s="2" t="str">
        <f>IFERROR(__xludf.DUMMYFUNCTION("IMPORTRANGE(""https://docs.google.com/spreadsheets/d/""&amp;$A291&amp;""/edit#gid=156619080"",AK$3)"),"#REF!")</f>
        <v>#REF!</v>
      </c>
      <c r="AL291" s="2" t="str">
        <f>IFERROR(__xludf.DUMMYFUNCTION("IMPORTRANGE(""https://docs.google.com/spreadsheets/d/""&amp;$A291&amp;""/edit#gid=156619080"",AL$3)"),"#REF!")</f>
        <v>#REF!</v>
      </c>
      <c r="AM291" s="2" t="str">
        <f>IFERROR(__xludf.DUMMYFUNCTION("IMPORTRANGE(""https://docs.google.com/spreadsheets/d/""&amp;$A291&amp;""/edit#gid=156619080"",AM$3)"),"#REF!")</f>
        <v>#REF!</v>
      </c>
      <c r="AN291" s="2" t="str">
        <f>IFERROR(__xludf.DUMMYFUNCTION("IMPORTRANGE(""https://docs.google.com/spreadsheets/d/""&amp;$A291&amp;""/edit#gid=156619080"",AN$3)"),"#REF!")</f>
        <v>#REF!</v>
      </c>
      <c r="AO291" s="2" t="str">
        <f>IFERROR(__xludf.DUMMYFUNCTION("IMPORTRANGE(""https://docs.google.com/spreadsheets/d/""&amp;$A291&amp;""/edit#gid=156619080"",AO$3)"),"#REF!")</f>
        <v>#REF!</v>
      </c>
      <c r="AP291" s="2" t="str">
        <f>IFERROR(__xludf.DUMMYFUNCTION("IMPORTRANGE(""https://docs.google.com/spreadsheets/d/""&amp;$A291&amp;""/edit#gid=156619080"",AP$3)"),"#REF!")</f>
        <v>#REF!</v>
      </c>
      <c r="AQ291" s="2" t="str">
        <f>IFERROR(__xludf.DUMMYFUNCTION("IMPORTRANGE(""https://docs.google.com/spreadsheets/d/""&amp;$A291&amp;""/edit#gid=156619080"",AQ$3)"),"#REF!")</f>
        <v>#REF!</v>
      </c>
      <c r="AR291" s="2" t="str">
        <f>IFERROR(__xludf.DUMMYFUNCTION("IMPORTRANGE(""https://docs.google.com/spreadsheets/d/""&amp;$A291&amp;""/edit#gid=156619080"",AR$3)"),"#REF!")</f>
        <v>#REF!</v>
      </c>
      <c r="AS291" s="19" t="str">
        <f>IFERROR(__xludf.DUMMYFUNCTION("IMPORTRANGE(""https://docs.google.com/spreadsheets/d/""&amp;$A291&amp;""/edit#gid=156619080"",AS$3)"),"#REF!")</f>
        <v>#REF!</v>
      </c>
      <c r="AT291" s="2" t="str">
        <f>IFERROR(__xludf.DUMMYFUNCTION("IMPORTRANGE(""https://docs.google.com/spreadsheets/d/""&amp;$A291&amp;""/edit#gid=156619080"",AT$3)"),"#REF!")</f>
        <v>#REF!</v>
      </c>
      <c r="AU291" s="3" t="str">
        <f>IFERROR(__xludf.DUMMYFUNCTION("IMPORTRANGE(""https://docs.google.com/spreadsheets/d/""&amp;$A291&amp;""/edit#gid=156619080"",AU$3)"),"#REF!")</f>
        <v>#REF!</v>
      </c>
      <c r="AV291" s="2" t="str">
        <f>IFERROR(__xludf.DUMMYFUNCTION("IMPORTRANGE(""https://docs.google.com/spreadsheets/d/""&amp;$A291&amp;""/edit#gid=156619080"",AV$3)"),"#REF!")</f>
        <v>#REF!</v>
      </c>
      <c r="AW291" s="19" t="str">
        <f>IFERROR(__xludf.DUMMYFUNCTION("IMPORTRANGE(""https://docs.google.com/spreadsheets/d/""&amp;$A291&amp;""/edit#gid=156619080"",AW$3)"),"#REF!")</f>
        <v>#REF!</v>
      </c>
      <c r="AX291" s="2" t="str">
        <f>IFERROR(__xludf.DUMMYFUNCTION("IMPORTRANGE(""https://docs.google.com/spreadsheets/d/""&amp;$A291&amp;""/edit#gid=156619080"",AX$3)"),"#REF!")</f>
        <v>#REF!</v>
      </c>
      <c r="AY291" s="2" t="str">
        <f>IFERROR(__xludf.DUMMYFUNCTION("IMPORTRANGE(""https://docs.google.com/spreadsheets/d/""&amp;$A291&amp;""/edit#gid=156619080"",AY$3)"),"#REF!")</f>
        <v>#REF!</v>
      </c>
      <c r="AZ291" s="2" t="str">
        <f>IFERROR(__xludf.DUMMYFUNCTION("IMPORTRANGE(""https://docs.google.com/spreadsheets/d/""&amp;$A291&amp;""/edit#gid=156619080"",AZ$3)"),"#REF!")</f>
        <v>#REF!</v>
      </c>
      <c r="BA291" s="2" t="str">
        <f>IFERROR(__xludf.DUMMYFUNCTION("IMPORTRANGE(""https://docs.google.com/spreadsheets/d/""&amp;$A291&amp;""/edit#gid=156619080"",BA$3)"),"#REF!")</f>
        <v>#REF!</v>
      </c>
      <c r="BB291" s="2" t="str">
        <f>IFERROR(__xludf.DUMMYFUNCTION("IMPORTRANGE(""https://docs.google.com/spreadsheets/d/""&amp;$A291&amp;""/edit#gid=156619080"",BB$3)"),"#REF!")</f>
        <v>#REF!</v>
      </c>
      <c r="BC291" s="2" t="str">
        <f>IFERROR(__xludf.DUMMYFUNCTION("IMPORTRANGE(""https://docs.google.com/spreadsheets/d/""&amp;$A291&amp;""/edit#gid=156619080"",BC$3)"),"#REF!")</f>
        <v>#REF!</v>
      </c>
    </row>
    <row r="292" ht="51.0" customHeight="1">
      <c r="A292" s="7" t="str">
        <f t="shared" si="5"/>
        <v>1wDcTAo_yA0Ou0ag7Mji8Nz0mok4iLALUd5TAvQfxgoU</v>
      </c>
      <c r="B292" s="1" t="s">
        <v>319</v>
      </c>
      <c r="C292" s="2" t="str">
        <f>IFERROR(__xludf.DUMMYFUNCTION("IMPORTRANGE(""https://docs.google.com/spreadsheets/d/""&amp;$A292&amp;""/edit#gid=156619080"",C$3)"),"#REF!")</f>
        <v>#REF!</v>
      </c>
      <c r="D292" s="2" t="str">
        <f>IFERROR(__xludf.DUMMYFUNCTION("IMPORTRANGE(""https://docs.google.com/spreadsheets/d/""&amp;$A292&amp;""/edit#gid=156619080"",D$3)"),"#REF!")</f>
        <v>#REF!</v>
      </c>
      <c r="E292" s="2" t="str">
        <f>IFERROR(__xludf.DUMMYFUNCTION("IMPORTRANGE(""https://docs.google.com/spreadsheets/d/""&amp;$A292&amp;""/edit#gid=156619080"",E$3)"),"#REF!")</f>
        <v>#REF!</v>
      </c>
      <c r="F292" s="2" t="str">
        <f>IFERROR(__xludf.DUMMYFUNCTION("IMPORTRANGE(""https://docs.google.com/spreadsheets/d/""&amp;$A292&amp;""/edit#gid=156619080"",F$3)"),"#REF!")</f>
        <v>#REF!</v>
      </c>
      <c r="G292" s="2" t="str">
        <f>IFERROR(__xludf.DUMMYFUNCTION("IMPORTRANGE(""https://docs.google.com/spreadsheets/d/""&amp;$A292&amp;""/edit#gid=156619080"",G$3)"),"#REF!")</f>
        <v>#REF!</v>
      </c>
      <c r="H292" s="2" t="str">
        <f>IFERROR(__xludf.DUMMYFUNCTION("IMPORTRANGE(""https://docs.google.com/spreadsheets/d/""&amp;$A292&amp;""/edit#gid=156619080"",H$3)"),"#REF!")</f>
        <v>#REF!</v>
      </c>
      <c r="I292" s="2" t="str">
        <f>IFERROR(__xludf.DUMMYFUNCTION("IMPORTRANGE(""https://docs.google.com/spreadsheets/d/""&amp;$A292&amp;""/edit#gid=156619080"",I$3)"),"#REF!")</f>
        <v>#REF!</v>
      </c>
      <c r="J292" s="2" t="str">
        <f>IFERROR(__xludf.DUMMYFUNCTION("IMPORTRANGE(""https://docs.google.com/spreadsheets/d/""&amp;$A292&amp;""/edit#gid=156619080"",J$3)"),"#REF!")</f>
        <v>#REF!</v>
      </c>
      <c r="K292" s="2" t="str">
        <f>IFERROR(__xludf.DUMMYFUNCTION("IMPORTRANGE(""https://docs.google.com/spreadsheets/d/""&amp;$A292&amp;""/edit#gid=156619080"",K$3)"),"#REF!")</f>
        <v>#REF!</v>
      </c>
      <c r="L292" s="2" t="str">
        <f>IFERROR(__xludf.DUMMYFUNCTION("IMPORTRANGE(""https://docs.google.com/spreadsheets/d/""&amp;$A292&amp;""/edit#gid=156619080"",L$3)"),"#REF!")</f>
        <v>#REF!</v>
      </c>
      <c r="M292" s="2" t="str">
        <f>IFERROR(__xludf.DUMMYFUNCTION("IMPORTRANGE(""https://docs.google.com/spreadsheets/d/""&amp;$A292&amp;""/edit#gid=156619080"",M$3)"),"#REF!")</f>
        <v>#REF!</v>
      </c>
      <c r="N292" s="2" t="str">
        <f>IFERROR(__xludf.DUMMYFUNCTION("IMPORTRANGE(""https://docs.google.com/spreadsheets/d/""&amp;$A292&amp;""/edit#gid=156619080"",N$3)"),"#REF!")</f>
        <v>#REF!</v>
      </c>
      <c r="O292" s="2" t="str">
        <f>IFERROR(__xludf.DUMMYFUNCTION("IMPORTRANGE(""https://docs.google.com/spreadsheets/d/""&amp;$A292&amp;""/edit#gid=156619080"",O$3)"),"#REF!")</f>
        <v>#REF!</v>
      </c>
      <c r="P292" s="2" t="str">
        <f>IFERROR(__xludf.DUMMYFUNCTION("IMPORTRANGE(""https://docs.google.com/spreadsheets/d/""&amp;$A292&amp;""/edit#gid=156619080"",P$3)"),"#REF!")</f>
        <v>#REF!</v>
      </c>
      <c r="Q292" s="2" t="str">
        <f>IFERROR(__xludf.DUMMYFUNCTION("IMPORTRANGE(""https://docs.google.com/spreadsheets/d/""&amp;$A292&amp;""/edit#gid=156619080"",Q$3)"),"#REF!")</f>
        <v>#REF!</v>
      </c>
      <c r="R292" s="2" t="str">
        <f>IFERROR(__xludf.DUMMYFUNCTION("IMPORTRANGE(""https://docs.google.com/spreadsheets/d/""&amp;$A292&amp;""/edit#gid=156619080"",R$3)"),"#REF!")</f>
        <v>#REF!</v>
      </c>
      <c r="S292" s="2" t="str">
        <f>IFERROR(__xludf.DUMMYFUNCTION("IMPORTRANGE(""https://docs.google.com/spreadsheets/d/""&amp;$A292&amp;""/edit#gid=156619080"",S$3)"),"#REF!")</f>
        <v>#REF!</v>
      </c>
      <c r="T292" s="2" t="str">
        <f>IFERROR(__xludf.DUMMYFUNCTION("IMPORTRANGE(""https://docs.google.com/spreadsheets/d/""&amp;$A292&amp;""/edit#gid=156619080"",T$3)"),"#REF!")</f>
        <v>#REF!</v>
      </c>
      <c r="U292" s="2" t="str">
        <f>IFERROR(__xludf.DUMMYFUNCTION("IMPORTRANGE(""https://docs.google.com/spreadsheets/d/""&amp;$A292&amp;""/edit#gid=156619080"",U$3)"),"#REF!")</f>
        <v>#REF!</v>
      </c>
      <c r="V292" s="2" t="str">
        <f>IFERROR(__xludf.DUMMYFUNCTION("IMPORTRANGE(""https://docs.google.com/spreadsheets/d/""&amp;$A292&amp;""/edit#gid=156619080"",V$3)"),"#REF!")</f>
        <v>#REF!</v>
      </c>
      <c r="W292" s="2" t="str">
        <f>IFERROR(__xludf.DUMMYFUNCTION("IMPORTRANGE(""https://docs.google.com/spreadsheets/d/""&amp;$A292&amp;""/edit#gid=156619080"",W$3)"),"#REF!")</f>
        <v>#REF!</v>
      </c>
      <c r="X292" s="2" t="str">
        <f>IFERROR(__xludf.DUMMYFUNCTION("IMPORTRANGE(""https://docs.google.com/spreadsheets/d/""&amp;$A292&amp;""/edit#gid=156619080"",X$3)"),"#REF!")</f>
        <v>#REF!</v>
      </c>
      <c r="Y292" s="2" t="str">
        <f>IFERROR(__xludf.DUMMYFUNCTION("IMPORTRANGE(""https://docs.google.com/spreadsheets/d/""&amp;$A292&amp;""/edit#gid=156619080"",Y$3)"),"#REF!")</f>
        <v>#REF!</v>
      </c>
      <c r="Z292" s="2" t="str">
        <f>IFERROR(__xludf.DUMMYFUNCTION("IMPORTRANGE(""https://docs.google.com/spreadsheets/d/""&amp;$A292&amp;""/edit#gid=156619080"",Z$3)"),"#REF!")</f>
        <v>#REF!</v>
      </c>
      <c r="AA292" s="2" t="str">
        <f>IFERROR(__xludf.DUMMYFUNCTION("IMPORTRANGE(""https://docs.google.com/spreadsheets/d/""&amp;$A292&amp;""/edit#gid=156619080"",AA$3)"),"#REF!")</f>
        <v>#REF!</v>
      </c>
      <c r="AB292" s="2" t="str">
        <f>IFERROR(__xludf.DUMMYFUNCTION("IMPORTRANGE(""https://docs.google.com/spreadsheets/d/""&amp;$A292&amp;""/edit#gid=156619080"",AB$3)"),"#REF!")</f>
        <v>#REF!</v>
      </c>
      <c r="AC292" s="2" t="str">
        <f>IFERROR(__xludf.DUMMYFUNCTION("IMPORTRANGE(""https://docs.google.com/spreadsheets/d/""&amp;$A292&amp;""/edit#gid=156619080"",AC$3)"),"#REF!")</f>
        <v>#REF!</v>
      </c>
      <c r="AD292" s="2" t="str">
        <f>IFERROR(__xludf.DUMMYFUNCTION("IMPORTRANGE(""https://docs.google.com/spreadsheets/d/""&amp;$A292&amp;""/edit#gid=156619080"",AD$3)"),"#REF!")</f>
        <v>#REF!</v>
      </c>
      <c r="AE292" s="2" t="str">
        <f>IFERROR(__xludf.DUMMYFUNCTION("IMPORTRANGE(""https://docs.google.com/spreadsheets/d/""&amp;$A292&amp;""/edit#gid=156619080"",AE$3)"),"#REF!")</f>
        <v>#REF!</v>
      </c>
      <c r="AF292" s="2" t="str">
        <f>IFERROR(__xludf.DUMMYFUNCTION("IMPORTRANGE(""https://docs.google.com/spreadsheets/d/""&amp;$A292&amp;""/edit#gid=156619080"",AF$3)"),"#REF!")</f>
        <v>#REF!</v>
      </c>
      <c r="AG292" s="2" t="str">
        <f>IFERROR(__xludf.DUMMYFUNCTION("IMPORTRANGE(""https://docs.google.com/spreadsheets/d/""&amp;$A292&amp;""/edit#gid=156619080"",AG$3)"),"#REF!")</f>
        <v>#REF!</v>
      </c>
      <c r="AH292" s="2" t="str">
        <f>IFERROR(__xludf.DUMMYFUNCTION("IMPORTRANGE(""https://docs.google.com/spreadsheets/d/""&amp;$A292&amp;""/edit#gid=156619080"",AH$3)"),"#REF!")</f>
        <v>#REF!</v>
      </c>
      <c r="AI292" s="2" t="str">
        <f>IFERROR(__xludf.DUMMYFUNCTION("IMPORTRANGE(""https://docs.google.com/spreadsheets/d/""&amp;$A292&amp;""/edit#gid=156619080"",AI$3)"),"#REF!")</f>
        <v>#REF!</v>
      </c>
      <c r="AJ292" s="2" t="str">
        <f>IFERROR(__xludf.DUMMYFUNCTION("IMPORTRANGE(""https://docs.google.com/spreadsheets/d/""&amp;$A292&amp;""/edit#gid=156619080"",AJ$3)"),"#REF!")</f>
        <v>#REF!</v>
      </c>
      <c r="AK292" s="2" t="str">
        <f>IFERROR(__xludf.DUMMYFUNCTION("IMPORTRANGE(""https://docs.google.com/spreadsheets/d/""&amp;$A292&amp;""/edit#gid=156619080"",AK$3)"),"#REF!")</f>
        <v>#REF!</v>
      </c>
      <c r="AL292" s="2" t="str">
        <f>IFERROR(__xludf.DUMMYFUNCTION("IMPORTRANGE(""https://docs.google.com/spreadsheets/d/""&amp;$A292&amp;""/edit#gid=156619080"",AL$3)"),"#REF!")</f>
        <v>#REF!</v>
      </c>
      <c r="AM292" s="2" t="str">
        <f>IFERROR(__xludf.DUMMYFUNCTION("IMPORTRANGE(""https://docs.google.com/spreadsheets/d/""&amp;$A292&amp;""/edit#gid=156619080"",AM$3)"),"#REF!")</f>
        <v>#REF!</v>
      </c>
      <c r="AN292" s="2" t="str">
        <f>IFERROR(__xludf.DUMMYFUNCTION("IMPORTRANGE(""https://docs.google.com/spreadsheets/d/""&amp;$A292&amp;""/edit#gid=156619080"",AN$3)"),"#REF!")</f>
        <v>#REF!</v>
      </c>
      <c r="AO292" s="2" t="str">
        <f>IFERROR(__xludf.DUMMYFUNCTION("IMPORTRANGE(""https://docs.google.com/spreadsheets/d/""&amp;$A292&amp;""/edit#gid=156619080"",AO$3)"),"#REF!")</f>
        <v>#REF!</v>
      </c>
      <c r="AP292" s="2" t="str">
        <f>IFERROR(__xludf.DUMMYFUNCTION("IMPORTRANGE(""https://docs.google.com/spreadsheets/d/""&amp;$A292&amp;""/edit#gid=156619080"",AP$3)"),"#REF!")</f>
        <v>#REF!</v>
      </c>
      <c r="AQ292" s="2" t="str">
        <f>IFERROR(__xludf.DUMMYFUNCTION("IMPORTRANGE(""https://docs.google.com/spreadsheets/d/""&amp;$A292&amp;""/edit#gid=156619080"",AQ$3)"),"#REF!")</f>
        <v>#REF!</v>
      </c>
      <c r="AR292" s="2" t="str">
        <f>IFERROR(__xludf.DUMMYFUNCTION("IMPORTRANGE(""https://docs.google.com/spreadsheets/d/""&amp;$A292&amp;""/edit#gid=156619080"",AR$3)"),"#REF!")</f>
        <v>#REF!</v>
      </c>
      <c r="AS292" s="19" t="str">
        <f>IFERROR(__xludf.DUMMYFUNCTION("IMPORTRANGE(""https://docs.google.com/spreadsheets/d/""&amp;$A292&amp;""/edit#gid=156619080"",AS$3)"),"#REF!")</f>
        <v>#REF!</v>
      </c>
      <c r="AT292" s="2" t="str">
        <f>IFERROR(__xludf.DUMMYFUNCTION("IMPORTRANGE(""https://docs.google.com/spreadsheets/d/""&amp;$A292&amp;""/edit#gid=156619080"",AT$3)"),"#REF!")</f>
        <v>#REF!</v>
      </c>
      <c r="AU292" s="3" t="str">
        <f>IFERROR(__xludf.DUMMYFUNCTION("IMPORTRANGE(""https://docs.google.com/spreadsheets/d/""&amp;$A292&amp;""/edit#gid=156619080"",AU$3)"),"#REF!")</f>
        <v>#REF!</v>
      </c>
      <c r="AV292" s="2" t="str">
        <f>IFERROR(__xludf.DUMMYFUNCTION("IMPORTRANGE(""https://docs.google.com/spreadsheets/d/""&amp;$A292&amp;""/edit#gid=156619080"",AV$3)"),"#REF!")</f>
        <v>#REF!</v>
      </c>
      <c r="AW292" s="19" t="str">
        <f>IFERROR(__xludf.DUMMYFUNCTION("IMPORTRANGE(""https://docs.google.com/spreadsheets/d/""&amp;$A292&amp;""/edit#gid=156619080"",AW$3)"),"#REF!")</f>
        <v>#REF!</v>
      </c>
      <c r="AX292" s="2" t="str">
        <f>IFERROR(__xludf.DUMMYFUNCTION("IMPORTRANGE(""https://docs.google.com/spreadsheets/d/""&amp;$A292&amp;""/edit#gid=156619080"",AX$3)"),"#REF!")</f>
        <v>#REF!</v>
      </c>
      <c r="AY292" s="2" t="str">
        <f>IFERROR(__xludf.DUMMYFUNCTION("IMPORTRANGE(""https://docs.google.com/spreadsheets/d/""&amp;$A292&amp;""/edit#gid=156619080"",AY$3)"),"#REF!")</f>
        <v>#REF!</v>
      </c>
      <c r="AZ292" s="2" t="str">
        <f>IFERROR(__xludf.DUMMYFUNCTION("IMPORTRANGE(""https://docs.google.com/spreadsheets/d/""&amp;$A292&amp;""/edit#gid=156619080"",AZ$3)"),"#REF!")</f>
        <v>#REF!</v>
      </c>
      <c r="BA292" s="2" t="str">
        <f>IFERROR(__xludf.DUMMYFUNCTION("IMPORTRANGE(""https://docs.google.com/spreadsheets/d/""&amp;$A292&amp;""/edit#gid=156619080"",BA$3)"),"#REF!")</f>
        <v>#REF!</v>
      </c>
      <c r="BB292" s="2" t="str">
        <f>IFERROR(__xludf.DUMMYFUNCTION("IMPORTRANGE(""https://docs.google.com/spreadsheets/d/""&amp;$A292&amp;""/edit#gid=156619080"",BB$3)"),"#REF!")</f>
        <v>#REF!</v>
      </c>
      <c r="BC292" s="2" t="str">
        <f>IFERROR(__xludf.DUMMYFUNCTION("IMPORTRANGE(""https://docs.google.com/spreadsheets/d/""&amp;$A292&amp;""/edit#gid=156619080"",BC$3)"),"#REF!")</f>
        <v>#REF!</v>
      </c>
    </row>
    <row r="293" ht="51.0" customHeight="1">
      <c r="A293" s="7" t="str">
        <f t="shared" si="5"/>
        <v>1qTl8KpafUxFGeM7Icbsh7HzPcxF5QuxcGGmPjAd4G4o</v>
      </c>
      <c r="B293" s="1" t="s">
        <v>320</v>
      </c>
      <c r="C293" s="2" t="str">
        <f>IFERROR(__xludf.DUMMYFUNCTION("IMPORTRANGE(""https://docs.google.com/spreadsheets/d/""&amp;$A293&amp;""/edit#gid=156619080"",C$3)"),"#REF!")</f>
        <v>#REF!</v>
      </c>
      <c r="D293" s="2" t="str">
        <f>IFERROR(__xludf.DUMMYFUNCTION("IMPORTRANGE(""https://docs.google.com/spreadsheets/d/""&amp;$A293&amp;""/edit#gid=156619080"",D$3)"),"#REF!")</f>
        <v>#REF!</v>
      </c>
      <c r="E293" s="2" t="str">
        <f>IFERROR(__xludf.DUMMYFUNCTION("IMPORTRANGE(""https://docs.google.com/spreadsheets/d/""&amp;$A293&amp;""/edit#gid=156619080"",E$3)"),"#REF!")</f>
        <v>#REF!</v>
      </c>
      <c r="F293" s="2" t="str">
        <f>IFERROR(__xludf.DUMMYFUNCTION("IMPORTRANGE(""https://docs.google.com/spreadsheets/d/""&amp;$A293&amp;""/edit#gid=156619080"",F$3)"),"#REF!")</f>
        <v>#REF!</v>
      </c>
      <c r="G293" s="2" t="str">
        <f>IFERROR(__xludf.DUMMYFUNCTION("IMPORTRANGE(""https://docs.google.com/spreadsheets/d/""&amp;$A293&amp;""/edit#gid=156619080"",G$3)"),"#REF!")</f>
        <v>#REF!</v>
      </c>
      <c r="H293" s="2" t="str">
        <f>IFERROR(__xludf.DUMMYFUNCTION("IMPORTRANGE(""https://docs.google.com/spreadsheets/d/""&amp;$A293&amp;""/edit#gid=156619080"",H$3)"),"#REF!")</f>
        <v>#REF!</v>
      </c>
      <c r="I293" s="2" t="str">
        <f>IFERROR(__xludf.DUMMYFUNCTION("IMPORTRANGE(""https://docs.google.com/spreadsheets/d/""&amp;$A293&amp;""/edit#gid=156619080"",I$3)"),"#REF!")</f>
        <v>#REF!</v>
      </c>
      <c r="J293" s="2" t="str">
        <f>IFERROR(__xludf.DUMMYFUNCTION("IMPORTRANGE(""https://docs.google.com/spreadsheets/d/""&amp;$A293&amp;""/edit#gid=156619080"",J$3)"),"#REF!")</f>
        <v>#REF!</v>
      </c>
      <c r="K293" s="2" t="str">
        <f>IFERROR(__xludf.DUMMYFUNCTION("IMPORTRANGE(""https://docs.google.com/spreadsheets/d/""&amp;$A293&amp;""/edit#gid=156619080"",K$3)"),"#REF!")</f>
        <v>#REF!</v>
      </c>
      <c r="L293" s="2" t="str">
        <f>IFERROR(__xludf.DUMMYFUNCTION("IMPORTRANGE(""https://docs.google.com/spreadsheets/d/""&amp;$A293&amp;""/edit#gid=156619080"",L$3)"),"#REF!")</f>
        <v>#REF!</v>
      </c>
      <c r="M293" s="2" t="str">
        <f>IFERROR(__xludf.DUMMYFUNCTION("IMPORTRANGE(""https://docs.google.com/spreadsheets/d/""&amp;$A293&amp;""/edit#gid=156619080"",M$3)"),"#REF!")</f>
        <v>#REF!</v>
      </c>
      <c r="N293" s="2" t="str">
        <f>IFERROR(__xludf.DUMMYFUNCTION("IMPORTRANGE(""https://docs.google.com/spreadsheets/d/""&amp;$A293&amp;""/edit#gid=156619080"",N$3)"),"#REF!")</f>
        <v>#REF!</v>
      </c>
      <c r="O293" s="2" t="str">
        <f>IFERROR(__xludf.DUMMYFUNCTION("IMPORTRANGE(""https://docs.google.com/spreadsheets/d/""&amp;$A293&amp;""/edit#gid=156619080"",O$3)"),"#REF!")</f>
        <v>#REF!</v>
      </c>
      <c r="P293" s="2" t="str">
        <f>IFERROR(__xludf.DUMMYFUNCTION("IMPORTRANGE(""https://docs.google.com/spreadsheets/d/""&amp;$A293&amp;""/edit#gid=156619080"",P$3)"),"#REF!")</f>
        <v>#REF!</v>
      </c>
      <c r="Q293" s="2" t="str">
        <f>IFERROR(__xludf.DUMMYFUNCTION("IMPORTRANGE(""https://docs.google.com/spreadsheets/d/""&amp;$A293&amp;""/edit#gid=156619080"",Q$3)"),"#REF!")</f>
        <v>#REF!</v>
      </c>
      <c r="R293" s="2" t="str">
        <f>IFERROR(__xludf.DUMMYFUNCTION("IMPORTRANGE(""https://docs.google.com/spreadsheets/d/""&amp;$A293&amp;""/edit#gid=156619080"",R$3)"),"#REF!")</f>
        <v>#REF!</v>
      </c>
      <c r="S293" s="2" t="str">
        <f>IFERROR(__xludf.DUMMYFUNCTION("IMPORTRANGE(""https://docs.google.com/spreadsheets/d/""&amp;$A293&amp;""/edit#gid=156619080"",S$3)"),"#REF!")</f>
        <v>#REF!</v>
      </c>
      <c r="T293" s="2" t="str">
        <f>IFERROR(__xludf.DUMMYFUNCTION("IMPORTRANGE(""https://docs.google.com/spreadsheets/d/""&amp;$A293&amp;""/edit#gid=156619080"",T$3)"),"#REF!")</f>
        <v>#REF!</v>
      </c>
      <c r="U293" s="2" t="str">
        <f>IFERROR(__xludf.DUMMYFUNCTION("IMPORTRANGE(""https://docs.google.com/spreadsheets/d/""&amp;$A293&amp;""/edit#gid=156619080"",U$3)"),"#REF!")</f>
        <v>#REF!</v>
      </c>
      <c r="V293" s="2" t="str">
        <f>IFERROR(__xludf.DUMMYFUNCTION("IMPORTRANGE(""https://docs.google.com/spreadsheets/d/""&amp;$A293&amp;""/edit#gid=156619080"",V$3)"),"#REF!")</f>
        <v>#REF!</v>
      </c>
      <c r="W293" s="2" t="str">
        <f>IFERROR(__xludf.DUMMYFUNCTION("IMPORTRANGE(""https://docs.google.com/spreadsheets/d/""&amp;$A293&amp;""/edit#gid=156619080"",W$3)"),"#REF!")</f>
        <v>#REF!</v>
      </c>
      <c r="X293" s="2" t="str">
        <f>IFERROR(__xludf.DUMMYFUNCTION("IMPORTRANGE(""https://docs.google.com/spreadsheets/d/""&amp;$A293&amp;""/edit#gid=156619080"",X$3)"),"#REF!")</f>
        <v>#REF!</v>
      </c>
      <c r="Y293" s="2" t="str">
        <f>IFERROR(__xludf.DUMMYFUNCTION("IMPORTRANGE(""https://docs.google.com/spreadsheets/d/""&amp;$A293&amp;""/edit#gid=156619080"",Y$3)"),"#REF!")</f>
        <v>#REF!</v>
      </c>
      <c r="Z293" s="2" t="str">
        <f>IFERROR(__xludf.DUMMYFUNCTION("IMPORTRANGE(""https://docs.google.com/spreadsheets/d/""&amp;$A293&amp;""/edit#gid=156619080"",Z$3)"),"#REF!")</f>
        <v>#REF!</v>
      </c>
      <c r="AA293" s="2" t="str">
        <f>IFERROR(__xludf.DUMMYFUNCTION("IMPORTRANGE(""https://docs.google.com/spreadsheets/d/""&amp;$A293&amp;""/edit#gid=156619080"",AA$3)"),"#REF!")</f>
        <v>#REF!</v>
      </c>
      <c r="AB293" s="2" t="str">
        <f>IFERROR(__xludf.DUMMYFUNCTION("IMPORTRANGE(""https://docs.google.com/spreadsheets/d/""&amp;$A293&amp;""/edit#gid=156619080"",AB$3)"),"#REF!")</f>
        <v>#REF!</v>
      </c>
      <c r="AC293" s="2" t="str">
        <f>IFERROR(__xludf.DUMMYFUNCTION("IMPORTRANGE(""https://docs.google.com/spreadsheets/d/""&amp;$A293&amp;""/edit#gid=156619080"",AC$3)"),"#REF!")</f>
        <v>#REF!</v>
      </c>
      <c r="AD293" s="2" t="str">
        <f>IFERROR(__xludf.DUMMYFUNCTION("IMPORTRANGE(""https://docs.google.com/spreadsheets/d/""&amp;$A293&amp;""/edit#gid=156619080"",AD$3)"),"#REF!")</f>
        <v>#REF!</v>
      </c>
      <c r="AE293" s="2" t="str">
        <f>IFERROR(__xludf.DUMMYFUNCTION("IMPORTRANGE(""https://docs.google.com/spreadsheets/d/""&amp;$A293&amp;""/edit#gid=156619080"",AE$3)"),"#REF!")</f>
        <v>#REF!</v>
      </c>
      <c r="AF293" s="2" t="str">
        <f>IFERROR(__xludf.DUMMYFUNCTION("IMPORTRANGE(""https://docs.google.com/spreadsheets/d/""&amp;$A293&amp;""/edit#gid=156619080"",AF$3)"),"#REF!")</f>
        <v>#REF!</v>
      </c>
      <c r="AG293" s="2" t="str">
        <f>IFERROR(__xludf.DUMMYFUNCTION("IMPORTRANGE(""https://docs.google.com/spreadsheets/d/""&amp;$A293&amp;""/edit#gid=156619080"",AG$3)"),"#REF!")</f>
        <v>#REF!</v>
      </c>
      <c r="AH293" s="2" t="str">
        <f>IFERROR(__xludf.DUMMYFUNCTION("IMPORTRANGE(""https://docs.google.com/spreadsheets/d/""&amp;$A293&amp;""/edit#gid=156619080"",AH$3)"),"#REF!")</f>
        <v>#REF!</v>
      </c>
      <c r="AI293" s="2" t="str">
        <f>IFERROR(__xludf.DUMMYFUNCTION("IMPORTRANGE(""https://docs.google.com/spreadsheets/d/""&amp;$A293&amp;""/edit#gid=156619080"",AI$3)"),"#REF!")</f>
        <v>#REF!</v>
      </c>
      <c r="AJ293" s="2" t="str">
        <f>IFERROR(__xludf.DUMMYFUNCTION("IMPORTRANGE(""https://docs.google.com/spreadsheets/d/""&amp;$A293&amp;""/edit#gid=156619080"",AJ$3)"),"#REF!")</f>
        <v>#REF!</v>
      </c>
      <c r="AK293" s="2" t="str">
        <f>IFERROR(__xludf.DUMMYFUNCTION("IMPORTRANGE(""https://docs.google.com/spreadsheets/d/""&amp;$A293&amp;""/edit#gid=156619080"",AK$3)"),"#REF!")</f>
        <v>#REF!</v>
      </c>
      <c r="AL293" s="2" t="str">
        <f>IFERROR(__xludf.DUMMYFUNCTION("IMPORTRANGE(""https://docs.google.com/spreadsheets/d/""&amp;$A293&amp;""/edit#gid=156619080"",AL$3)"),"#REF!")</f>
        <v>#REF!</v>
      </c>
      <c r="AM293" s="2" t="str">
        <f>IFERROR(__xludf.DUMMYFUNCTION("IMPORTRANGE(""https://docs.google.com/spreadsheets/d/""&amp;$A293&amp;""/edit#gid=156619080"",AM$3)"),"#REF!")</f>
        <v>#REF!</v>
      </c>
      <c r="AN293" s="2" t="str">
        <f>IFERROR(__xludf.DUMMYFUNCTION("IMPORTRANGE(""https://docs.google.com/spreadsheets/d/""&amp;$A293&amp;""/edit#gid=156619080"",AN$3)"),"#REF!")</f>
        <v>#REF!</v>
      </c>
      <c r="AO293" s="2" t="str">
        <f>IFERROR(__xludf.DUMMYFUNCTION("IMPORTRANGE(""https://docs.google.com/spreadsheets/d/""&amp;$A293&amp;""/edit#gid=156619080"",AO$3)"),"#REF!")</f>
        <v>#REF!</v>
      </c>
      <c r="AP293" s="2" t="str">
        <f>IFERROR(__xludf.DUMMYFUNCTION("IMPORTRANGE(""https://docs.google.com/spreadsheets/d/""&amp;$A293&amp;""/edit#gid=156619080"",AP$3)"),"#REF!")</f>
        <v>#REF!</v>
      </c>
      <c r="AQ293" s="2" t="str">
        <f>IFERROR(__xludf.DUMMYFUNCTION("IMPORTRANGE(""https://docs.google.com/spreadsheets/d/""&amp;$A293&amp;""/edit#gid=156619080"",AQ$3)"),"#REF!")</f>
        <v>#REF!</v>
      </c>
      <c r="AR293" s="2" t="str">
        <f>IFERROR(__xludf.DUMMYFUNCTION("IMPORTRANGE(""https://docs.google.com/spreadsheets/d/""&amp;$A293&amp;""/edit#gid=156619080"",AR$3)"),"#REF!")</f>
        <v>#REF!</v>
      </c>
      <c r="AS293" s="19" t="str">
        <f>IFERROR(__xludf.DUMMYFUNCTION("IMPORTRANGE(""https://docs.google.com/spreadsheets/d/""&amp;$A293&amp;""/edit#gid=156619080"",AS$3)"),"#REF!")</f>
        <v>#REF!</v>
      </c>
      <c r="AT293" s="2" t="str">
        <f>IFERROR(__xludf.DUMMYFUNCTION("IMPORTRANGE(""https://docs.google.com/spreadsheets/d/""&amp;$A293&amp;""/edit#gid=156619080"",AT$3)"),"#REF!")</f>
        <v>#REF!</v>
      </c>
      <c r="AU293" s="3" t="str">
        <f>IFERROR(__xludf.DUMMYFUNCTION("IMPORTRANGE(""https://docs.google.com/spreadsheets/d/""&amp;$A293&amp;""/edit#gid=156619080"",AU$3)"),"#REF!")</f>
        <v>#REF!</v>
      </c>
      <c r="AV293" s="2" t="str">
        <f>IFERROR(__xludf.DUMMYFUNCTION("IMPORTRANGE(""https://docs.google.com/spreadsheets/d/""&amp;$A293&amp;""/edit#gid=156619080"",AV$3)"),"#REF!")</f>
        <v>#REF!</v>
      </c>
      <c r="AW293" s="19" t="str">
        <f>IFERROR(__xludf.DUMMYFUNCTION("IMPORTRANGE(""https://docs.google.com/spreadsheets/d/""&amp;$A293&amp;""/edit#gid=156619080"",AW$3)"),"#REF!")</f>
        <v>#REF!</v>
      </c>
      <c r="AX293" s="2" t="str">
        <f>IFERROR(__xludf.DUMMYFUNCTION("IMPORTRANGE(""https://docs.google.com/spreadsheets/d/""&amp;$A293&amp;""/edit#gid=156619080"",AX$3)"),"#REF!")</f>
        <v>#REF!</v>
      </c>
      <c r="AY293" s="2" t="str">
        <f>IFERROR(__xludf.DUMMYFUNCTION("IMPORTRANGE(""https://docs.google.com/spreadsheets/d/""&amp;$A293&amp;""/edit#gid=156619080"",AY$3)"),"#REF!")</f>
        <v>#REF!</v>
      </c>
      <c r="AZ293" s="2" t="str">
        <f>IFERROR(__xludf.DUMMYFUNCTION("IMPORTRANGE(""https://docs.google.com/spreadsheets/d/""&amp;$A293&amp;""/edit#gid=156619080"",AZ$3)"),"#REF!")</f>
        <v>#REF!</v>
      </c>
      <c r="BA293" s="2" t="str">
        <f>IFERROR(__xludf.DUMMYFUNCTION("IMPORTRANGE(""https://docs.google.com/spreadsheets/d/""&amp;$A293&amp;""/edit#gid=156619080"",BA$3)"),"#REF!")</f>
        <v>#REF!</v>
      </c>
      <c r="BB293" s="2" t="str">
        <f>IFERROR(__xludf.DUMMYFUNCTION("IMPORTRANGE(""https://docs.google.com/spreadsheets/d/""&amp;$A293&amp;""/edit#gid=156619080"",BB$3)"),"#REF!")</f>
        <v>#REF!</v>
      </c>
      <c r="BC293" s="2" t="str">
        <f>IFERROR(__xludf.DUMMYFUNCTION("IMPORTRANGE(""https://docs.google.com/spreadsheets/d/""&amp;$A293&amp;""/edit#gid=156619080"",BC$3)"),"#REF!")</f>
        <v>#REF!</v>
      </c>
    </row>
    <row r="294" ht="51.0" customHeight="1">
      <c r="A294" s="7" t="str">
        <f t="shared" si="5"/>
        <v>1yWvARB2gxvaB3pubs4vIecZQyNsYH7U0pZVI1rTyobg</v>
      </c>
      <c r="B294" s="1" t="s">
        <v>321</v>
      </c>
      <c r="C294" s="2" t="str">
        <f>IFERROR(__xludf.DUMMYFUNCTION("IMPORTRANGE(""https://docs.google.com/spreadsheets/d/""&amp;$A294&amp;""/edit#gid=156619080"",C$3)"),"#REF!")</f>
        <v>#REF!</v>
      </c>
      <c r="D294" s="2" t="str">
        <f>IFERROR(__xludf.DUMMYFUNCTION("IMPORTRANGE(""https://docs.google.com/spreadsheets/d/""&amp;$A294&amp;""/edit#gid=156619080"",D$3)"),"#REF!")</f>
        <v>#REF!</v>
      </c>
      <c r="E294" s="2" t="str">
        <f>IFERROR(__xludf.DUMMYFUNCTION("IMPORTRANGE(""https://docs.google.com/spreadsheets/d/""&amp;$A294&amp;""/edit#gid=156619080"",E$3)"),"#REF!")</f>
        <v>#REF!</v>
      </c>
      <c r="F294" s="2" t="str">
        <f>IFERROR(__xludf.DUMMYFUNCTION("IMPORTRANGE(""https://docs.google.com/spreadsheets/d/""&amp;$A294&amp;""/edit#gid=156619080"",F$3)"),"#REF!")</f>
        <v>#REF!</v>
      </c>
      <c r="G294" s="2" t="str">
        <f>IFERROR(__xludf.DUMMYFUNCTION("IMPORTRANGE(""https://docs.google.com/spreadsheets/d/""&amp;$A294&amp;""/edit#gid=156619080"",G$3)"),"#REF!")</f>
        <v>#REF!</v>
      </c>
      <c r="H294" s="2" t="str">
        <f>IFERROR(__xludf.DUMMYFUNCTION("IMPORTRANGE(""https://docs.google.com/spreadsheets/d/""&amp;$A294&amp;""/edit#gid=156619080"",H$3)"),"#REF!")</f>
        <v>#REF!</v>
      </c>
      <c r="I294" s="2" t="str">
        <f>IFERROR(__xludf.DUMMYFUNCTION("IMPORTRANGE(""https://docs.google.com/spreadsheets/d/""&amp;$A294&amp;""/edit#gid=156619080"",I$3)"),"#REF!")</f>
        <v>#REF!</v>
      </c>
      <c r="J294" s="2" t="str">
        <f>IFERROR(__xludf.DUMMYFUNCTION("IMPORTRANGE(""https://docs.google.com/spreadsheets/d/""&amp;$A294&amp;""/edit#gid=156619080"",J$3)"),"#REF!")</f>
        <v>#REF!</v>
      </c>
      <c r="K294" s="2" t="str">
        <f>IFERROR(__xludf.DUMMYFUNCTION("IMPORTRANGE(""https://docs.google.com/spreadsheets/d/""&amp;$A294&amp;""/edit#gid=156619080"",K$3)"),"#REF!")</f>
        <v>#REF!</v>
      </c>
      <c r="L294" s="2" t="str">
        <f>IFERROR(__xludf.DUMMYFUNCTION("IMPORTRANGE(""https://docs.google.com/spreadsheets/d/""&amp;$A294&amp;""/edit#gid=156619080"",L$3)"),"#REF!")</f>
        <v>#REF!</v>
      </c>
      <c r="M294" s="2" t="str">
        <f>IFERROR(__xludf.DUMMYFUNCTION("IMPORTRANGE(""https://docs.google.com/spreadsheets/d/""&amp;$A294&amp;""/edit#gid=156619080"",M$3)"),"#REF!")</f>
        <v>#REF!</v>
      </c>
      <c r="N294" s="2" t="str">
        <f>IFERROR(__xludf.DUMMYFUNCTION("IMPORTRANGE(""https://docs.google.com/spreadsheets/d/""&amp;$A294&amp;""/edit#gid=156619080"",N$3)"),"#REF!")</f>
        <v>#REF!</v>
      </c>
      <c r="O294" s="2" t="str">
        <f>IFERROR(__xludf.DUMMYFUNCTION("IMPORTRANGE(""https://docs.google.com/spreadsheets/d/""&amp;$A294&amp;""/edit#gid=156619080"",O$3)"),"#REF!")</f>
        <v>#REF!</v>
      </c>
      <c r="P294" s="2" t="str">
        <f>IFERROR(__xludf.DUMMYFUNCTION("IMPORTRANGE(""https://docs.google.com/spreadsheets/d/""&amp;$A294&amp;""/edit#gid=156619080"",P$3)"),"#REF!")</f>
        <v>#REF!</v>
      </c>
      <c r="Q294" s="2" t="str">
        <f>IFERROR(__xludf.DUMMYFUNCTION("IMPORTRANGE(""https://docs.google.com/spreadsheets/d/""&amp;$A294&amp;""/edit#gid=156619080"",Q$3)"),"#REF!")</f>
        <v>#REF!</v>
      </c>
      <c r="R294" s="2" t="str">
        <f>IFERROR(__xludf.DUMMYFUNCTION("IMPORTRANGE(""https://docs.google.com/spreadsheets/d/""&amp;$A294&amp;""/edit#gid=156619080"",R$3)"),"#REF!")</f>
        <v>#REF!</v>
      </c>
      <c r="S294" s="2" t="str">
        <f>IFERROR(__xludf.DUMMYFUNCTION("IMPORTRANGE(""https://docs.google.com/spreadsheets/d/""&amp;$A294&amp;""/edit#gid=156619080"",S$3)"),"#REF!")</f>
        <v>#REF!</v>
      </c>
      <c r="T294" s="2" t="str">
        <f>IFERROR(__xludf.DUMMYFUNCTION("IMPORTRANGE(""https://docs.google.com/spreadsheets/d/""&amp;$A294&amp;""/edit#gid=156619080"",T$3)"),"#REF!")</f>
        <v>#REF!</v>
      </c>
      <c r="U294" s="2" t="str">
        <f>IFERROR(__xludf.DUMMYFUNCTION("IMPORTRANGE(""https://docs.google.com/spreadsheets/d/""&amp;$A294&amp;""/edit#gid=156619080"",U$3)"),"#REF!")</f>
        <v>#REF!</v>
      </c>
      <c r="V294" s="2" t="str">
        <f>IFERROR(__xludf.DUMMYFUNCTION("IMPORTRANGE(""https://docs.google.com/spreadsheets/d/""&amp;$A294&amp;""/edit#gid=156619080"",V$3)"),"#REF!")</f>
        <v>#REF!</v>
      </c>
      <c r="W294" s="2" t="str">
        <f>IFERROR(__xludf.DUMMYFUNCTION("IMPORTRANGE(""https://docs.google.com/spreadsheets/d/""&amp;$A294&amp;""/edit#gid=156619080"",W$3)"),"#REF!")</f>
        <v>#REF!</v>
      </c>
      <c r="X294" s="2" t="str">
        <f>IFERROR(__xludf.DUMMYFUNCTION("IMPORTRANGE(""https://docs.google.com/spreadsheets/d/""&amp;$A294&amp;""/edit#gid=156619080"",X$3)"),"#REF!")</f>
        <v>#REF!</v>
      </c>
      <c r="Y294" s="2" t="str">
        <f>IFERROR(__xludf.DUMMYFUNCTION("IMPORTRANGE(""https://docs.google.com/spreadsheets/d/""&amp;$A294&amp;""/edit#gid=156619080"",Y$3)"),"#REF!")</f>
        <v>#REF!</v>
      </c>
      <c r="Z294" s="2" t="str">
        <f>IFERROR(__xludf.DUMMYFUNCTION("IMPORTRANGE(""https://docs.google.com/spreadsheets/d/""&amp;$A294&amp;""/edit#gid=156619080"",Z$3)"),"#REF!")</f>
        <v>#REF!</v>
      </c>
      <c r="AA294" s="2" t="str">
        <f>IFERROR(__xludf.DUMMYFUNCTION("IMPORTRANGE(""https://docs.google.com/spreadsheets/d/""&amp;$A294&amp;""/edit#gid=156619080"",AA$3)"),"#REF!")</f>
        <v>#REF!</v>
      </c>
      <c r="AB294" s="2" t="str">
        <f>IFERROR(__xludf.DUMMYFUNCTION("IMPORTRANGE(""https://docs.google.com/spreadsheets/d/""&amp;$A294&amp;""/edit#gid=156619080"",AB$3)"),"#REF!")</f>
        <v>#REF!</v>
      </c>
      <c r="AC294" s="2" t="str">
        <f>IFERROR(__xludf.DUMMYFUNCTION("IMPORTRANGE(""https://docs.google.com/spreadsheets/d/""&amp;$A294&amp;""/edit#gid=156619080"",AC$3)"),"#REF!")</f>
        <v>#REF!</v>
      </c>
      <c r="AD294" s="2" t="str">
        <f>IFERROR(__xludf.DUMMYFUNCTION("IMPORTRANGE(""https://docs.google.com/spreadsheets/d/""&amp;$A294&amp;""/edit#gid=156619080"",AD$3)"),"#REF!")</f>
        <v>#REF!</v>
      </c>
      <c r="AE294" s="2" t="str">
        <f>IFERROR(__xludf.DUMMYFUNCTION("IMPORTRANGE(""https://docs.google.com/spreadsheets/d/""&amp;$A294&amp;""/edit#gid=156619080"",AE$3)"),"#REF!")</f>
        <v>#REF!</v>
      </c>
      <c r="AF294" s="2" t="str">
        <f>IFERROR(__xludf.DUMMYFUNCTION("IMPORTRANGE(""https://docs.google.com/spreadsheets/d/""&amp;$A294&amp;""/edit#gid=156619080"",AF$3)"),"#REF!")</f>
        <v>#REF!</v>
      </c>
      <c r="AG294" s="2" t="str">
        <f>IFERROR(__xludf.DUMMYFUNCTION("IMPORTRANGE(""https://docs.google.com/spreadsheets/d/""&amp;$A294&amp;""/edit#gid=156619080"",AG$3)"),"#REF!")</f>
        <v>#REF!</v>
      </c>
      <c r="AH294" s="2" t="str">
        <f>IFERROR(__xludf.DUMMYFUNCTION("IMPORTRANGE(""https://docs.google.com/spreadsheets/d/""&amp;$A294&amp;""/edit#gid=156619080"",AH$3)"),"#REF!")</f>
        <v>#REF!</v>
      </c>
      <c r="AI294" s="2" t="str">
        <f>IFERROR(__xludf.DUMMYFUNCTION("IMPORTRANGE(""https://docs.google.com/spreadsheets/d/""&amp;$A294&amp;""/edit#gid=156619080"",AI$3)"),"#REF!")</f>
        <v>#REF!</v>
      </c>
      <c r="AJ294" s="2" t="str">
        <f>IFERROR(__xludf.DUMMYFUNCTION("IMPORTRANGE(""https://docs.google.com/spreadsheets/d/""&amp;$A294&amp;""/edit#gid=156619080"",AJ$3)"),"#REF!")</f>
        <v>#REF!</v>
      </c>
      <c r="AK294" s="2" t="str">
        <f>IFERROR(__xludf.DUMMYFUNCTION("IMPORTRANGE(""https://docs.google.com/spreadsheets/d/""&amp;$A294&amp;""/edit#gid=156619080"",AK$3)"),"#REF!")</f>
        <v>#REF!</v>
      </c>
      <c r="AL294" s="2" t="str">
        <f>IFERROR(__xludf.DUMMYFUNCTION("IMPORTRANGE(""https://docs.google.com/spreadsheets/d/""&amp;$A294&amp;""/edit#gid=156619080"",AL$3)"),"#REF!")</f>
        <v>#REF!</v>
      </c>
      <c r="AM294" s="2" t="str">
        <f>IFERROR(__xludf.DUMMYFUNCTION("IMPORTRANGE(""https://docs.google.com/spreadsheets/d/""&amp;$A294&amp;""/edit#gid=156619080"",AM$3)"),"#REF!")</f>
        <v>#REF!</v>
      </c>
      <c r="AN294" s="2" t="str">
        <f>IFERROR(__xludf.DUMMYFUNCTION("IMPORTRANGE(""https://docs.google.com/spreadsheets/d/""&amp;$A294&amp;""/edit#gid=156619080"",AN$3)"),"#REF!")</f>
        <v>#REF!</v>
      </c>
      <c r="AO294" s="2" t="str">
        <f>IFERROR(__xludf.DUMMYFUNCTION("IMPORTRANGE(""https://docs.google.com/spreadsheets/d/""&amp;$A294&amp;""/edit#gid=156619080"",AO$3)"),"#REF!")</f>
        <v>#REF!</v>
      </c>
      <c r="AP294" s="2" t="str">
        <f>IFERROR(__xludf.DUMMYFUNCTION("IMPORTRANGE(""https://docs.google.com/spreadsheets/d/""&amp;$A294&amp;""/edit#gid=156619080"",AP$3)"),"#REF!")</f>
        <v>#REF!</v>
      </c>
      <c r="AQ294" s="2" t="str">
        <f>IFERROR(__xludf.DUMMYFUNCTION("IMPORTRANGE(""https://docs.google.com/spreadsheets/d/""&amp;$A294&amp;""/edit#gid=156619080"",AQ$3)"),"#REF!")</f>
        <v>#REF!</v>
      </c>
      <c r="AR294" s="2" t="str">
        <f>IFERROR(__xludf.DUMMYFUNCTION("IMPORTRANGE(""https://docs.google.com/spreadsheets/d/""&amp;$A294&amp;""/edit#gid=156619080"",AR$3)"),"#REF!")</f>
        <v>#REF!</v>
      </c>
      <c r="AS294" s="19" t="str">
        <f>IFERROR(__xludf.DUMMYFUNCTION("IMPORTRANGE(""https://docs.google.com/spreadsheets/d/""&amp;$A294&amp;""/edit#gid=156619080"",AS$3)"),"#REF!")</f>
        <v>#REF!</v>
      </c>
      <c r="AT294" s="2" t="str">
        <f>IFERROR(__xludf.DUMMYFUNCTION("IMPORTRANGE(""https://docs.google.com/spreadsheets/d/""&amp;$A294&amp;""/edit#gid=156619080"",AT$3)"),"#REF!")</f>
        <v>#REF!</v>
      </c>
      <c r="AU294" s="3" t="str">
        <f>IFERROR(__xludf.DUMMYFUNCTION("IMPORTRANGE(""https://docs.google.com/spreadsheets/d/""&amp;$A294&amp;""/edit#gid=156619080"",AU$3)"),"#REF!")</f>
        <v>#REF!</v>
      </c>
      <c r="AV294" s="2" t="str">
        <f>IFERROR(__xludf.DUMMYFUNCTION("IMPORTRANGE(""https://docs.google.com/spreadsheets/d/""&amp;$A294&amp;""/edit#gid=156619080"",AV$3)"),"#REF!")</f>
        <v>#REF!</v>
      </c>
      <c r="AW294" s="19" t="str">
        <f>IFERROR(__xludf.DUMMYFUNCTION("IMPORTRANGE(""https://docs.google.com/spreadsheets/d/""&amp;$A294&amp;""/edit#gid=156619080"",AW$3)"),"#REF!")</f>
        <v>#REF!</v>
      </c>
      <c r="AX294" s="2" t="str">
        <f>IFERROR(__xludf.DUMMYFUNCTION("IMPORTRANGE(""https://docs.google.com/spreadsheets/d/""&amp;$A294&amp;""/edit#gid=156619080"",AX$3)"),"#REF!")</f>
        <v>#REF!</v>
      </c>
      <c r="AY294" s="2" t="str">
        <f>IFERROR(__xludf.DUMMYFUNCTION("IMPORTRANGE(""https://docs.google.com/spreadsheets/d/""&amp;$A294&amp;""/edit#gid=156619080"",AY$3)"),"#REF!")</f>
        <v>#REF!</v>
      </c>
      <c r="AZ294" s="2" t="str">
        <f>IFERROR(__xludf.DUMMYFUNCTION("IMPORTRANGE(""https://docs.google.com/spreadsheets/d/""&amp;$A294&amp;""/edit#gid=156619080"",AZ$3)"),"#REF!")</f>
        <v>#REF!</v>
      </c>
      <c r="BA294" s="2" t="str">
        <f>IFERROR(__xludf.DUMMYFUNCTION("IMPORTRANGE(""https://docs.google.com/spreadsheets/d/""&amp;$A294&amp;""/edit#gid=156619080"",BA$3)"),"#REF!")</f>
        <v>#REF!</v>
      </c>
      <c r="BB294" s="2" t="str">
        <f>IFERROR(__xludf.DUMMYFUNCTION("IMPORTRANGE(""https://docs.google.com/spreadsheets/d/""&amp;$A294&amp;""/edit#gid=156619080"",BB$3)"),"#REF!")</f>
        <v>#REF!</v>
      </c>
      <c r="BC294" s="2" t="str">
        <f>IFERROR(__xludf.DUMMYFUNCTION("IMPORTRANGE(""https://docs.google.com/spreadsheets/d/""&amp;$A294&amp;""/edit#gid=156619080"",BC$3)"),"#REF!")</f>
        <v>#REF!</v>
      </c>
    </row>
    <row r="295" ht="51.0" customHeight="1">
      <c r="A295" s="7" t="str">
        <f t="shared" si="5"/>
        <v>1a_ErE2sNu4g1xYTAfTbkQGGwmQEU_wl-LPAofUtGI04</v>
      </c>
      <c r="B295" s="1" t="s">
        <v>322</v>
      </c>
      <c r="C295" s="2" t="str">
        <f>IFERROR(__xludf.DUMMYFUNCTION("IMPORTRANGE(""https://docs.google.com/spreadsheets/d/""&amp;$A295&amp;""/edit#gid=156619080"",C$3)"),"#REF!")</f>
        <v>#REF!</v>
      </c>
      <c r="D295" s="2" t="str">
        <f>IFERROR(__xludf.DUMMYFUNCTION("IMPORTRANGE(""https://docs.google.com/spreadsheets/d/""&amp;$A295&amp;""/edit#gid=156619080"",D$3)"),"#REF!")</f>
        <v>#REF!</v>
      </c>
      <c r="E295" s="2" t="str">
        <f>IFERROR(__xludf.DUMMYFUNCTION("IMPORTRANGE(""https://docs.google.com/spreadsheets/d/""&amp;$A295&amp;""/edit#gid=156619080"",E$3)"),"#REF!")</f>
        <v>#REF!</v>
      </c>
      <c r="F295" s="2" t="str">
        <f>IFERROR(__xludf.DUMMYFUNCTION("IMPORTRANGE(""https://docs.google.com/spreadsheets/d/""&amp;$A295&amp;""/edit#gid=156619080"",F$3)"),"#REF!")</f>
        <v>#REF!</v>
      </c>
      <c r="G295" s="2" t="str">
        <f>IFERROR(__xludf.DUMMYFUNCTION("IMPORTRANGE(""https://docs.google.com/spreadsheets/d/""&amp;$A295&amp;""/edit#gid=156619080"",G$3)"),"#REF!")</f>
        <v>#REF!</v>
      </c>
      <c r="H295" s="2" t="str">
        <f>IFERROR(__xludf.DUMMYFUNCTION("IMPORTRANGE(""https://docs.google.com/spreadsheets/d/""&amp;$A295&amp;""/edit#gid=156619080"",H$3)"),"#REF!")</f>
        <v>#REF!</v>
      </c>
      <c r="I295" s="2" t="str">
        <f>IFERROR(__xludf.DUMMYFUNCTION("IMPORTRANGE(""https://docs.google.com/spreadsheets/d/""&amp;$A295&amp;""/edit#gid=156619080"",I$3)"),"#REF!")</f>
        <v>#REF!</v>
      </c>
      <c r="J295" s="2" t="str">
        <f>IFERROR(__xludf.DUMMYFUNCTION("IMPORTRANGE(""https://docs.google.com/spreadsheets/d/""&amp;$A295&amp;""/edit#gid=156619080"",J$3)"),"#REF!")</f>
        <v>#REF!</v>
      </c>
      <c r="K295" s="2" t="str">
        <f>IFERROR(__xludf.DUMMYFUNCTION("IMPORTRANGE(""https://docs.google.com/spreadsheets/d/""&amp;$A295&amp;""/edit#gid=156619080"",K$3)"),"#REF!")</f>
        <v>#REF!</v>
      </c>
      <c r="L295" s="2" t="str">
        <f>IFERROR(__xludf.DUMMYFUNCTION("IMPORTRANGE(""https://docs.google.com/spreadsheets/d/""&amp;$A295&amp;""/edit#gid=156619080"",L$3)"),"#REF!")</f>
        <v>#REF!</v>
      </c>
      <c r="M295" s="2" t="str">
        <f>IFERROR(__xludf.DUMMYFUNCTION("IMPORTRANGE(""https://docs.google.com/spreadsheets/d/""&amp;$A295&amp;""/edit#gid=156619080"",M$3)"),"#REF!")</f>
        <v>#REF!</v>
      </c>
      <c r="N295" s="2" t="str">
        <f>IFERROR(__xludf.DUMMYFUNCTION("IMPORTRANGE(""https://docs.google.com/spreadsheets/d/""&amp;$A295&amp;""/edit#gid=156619080"",N$3)"),"#REF!")</f>
        <v>#REF!</v>
      </c>
      <c r="O295" s="2" t="str">
        <f>IFERROR(__xludf.DUMMYFUNCTION("IMPORTRANGE(""https://docs.google.com/spreadsheets/d/""&amp;$A295&amp;""/edit#gid=156619080"",O$3)"),"#REF!")</f>
        <v>#REF!</v>
      </c>
      <c r="P295" s="2" t="str">
        <f>IFERROR(__xludf.DUMMYFUNCTION("IMPORTRANGE(""https://docs.google.com/spreadsheets/d/""&amp;$A295&amp;""/edit#gid=156619080"",P$3)"),"#REF!")</f>
        <v>#REF!</v>
      </c>
      <c r="Q295" s="2" t="str">
        <f>IFERROR(__xludf.DUMMYFUNCTION("IMPORTRANGE(""https://docs.google.com/spreadsheets/d/""&amp;$A295&amp;""/edit#gid=156619080"",Q$3)"),"#REF!")</f>
        <v>#REF!</v>
      </c>
      <c r="R295" s="2" t="str">
        <f>IFERROR(__xludf.DUMMYFUNCTION("IMPORTRANGE(""https://docs.google.com/spreadsheets/d/""&amp;$A295&amp;""/edit#gid=156619080"",R$3)"),"#REF!")</f>
        <v>#REF!</v>
      </c>
      <c r="S295" s="2" t="str">
        <f>IFERROR(__xludf.DUMMYFUNCTION("IMPORTRANGE(""https://docs.google.com/spreadsheets/d/""&amp;$A295&amp;""/edit#gid=156619080"",S$3)"),"#REF!")</f>
        <v>#REF!</v>
      </c>
      <c r="T295" s="2" t="str">
        <f>IFERROR(__xludf.DUMMYFUNCTION("IMPORTRANGE(""https://docs.google.com/spreadsheets/d/""&amp;$A295&amp;""/edit#gid=156619080"",T$3)"),"#REF!")</f>
        <v>#REF!</v>
      </c>
      <c r="U295" s="2" t="str">
        <f>IFERROR(__xludf.DUMMYFUNCTION("IMPORTRANGE(""https://docs.google.com/spreadsheets/d/""&amp;$A295&amp;""/edit#gid=156619080"",U$3)"),"#REF!")</f>
        <v>#REF!</v>
      </c>
      <c r="V295" s="2" t="str">
        <f>IFERROR(__xludf.DUMMYFUNCTION("IMPORTRANGE(""https://docs.google.com/spreadsheets/d/""&amp;$A295&amp;""/edit#gid=156619080"",V$3)"),"#REF!")</f>
        <v>#REF!</v>
      </c>
      <c r="W295" s="2" t="str">
        <f>IFERROR(__xludf.DUMMYFUNCTION("IMPORTRANGE(""https://docs.google.com/spreadsheets/d/""&amp;$A295&amp;""/edit#gid=156619080"",W$3)"),"#REF!")</f>
        <v>#REF!</v>
      </c>
      <c r="X295" s="2" t="str">
        <f>IFERROR(__xludf.DUMMYFUNCTION("IMPORTRANGE(""https://docs.google.com/spreadsheets/d/""&amp;$A295&amp;""/edit#gid=156619080"",X$3)"),"#REF!")</f>
        <v>#REF!</v>
      </c>
      <c r="Y295" s="2" t="str">
        <f>IFERROR(__xludf.DUMMYFUNCTION("IMPORTRANGE(""https://docs.google.com/spreadsheets/d/""&amp;$A295&amp;""/edit#gid=156619080"",Y$3)"),"#REF!")</f>
        <v>#REF!</v>
      </c>
      <c r="Z295" s="2" t="str">
        <f>IFERROR(__xludf.DUMMYFUNCTION("IMPORTRANGE(""https://docs.google.com/spreadsheets/d/""&amp;$A295&amp;""/edit#gid=156619080"",Z$3)"),"#REF!")</f>
        <v>#REF!</v>
      </c>
      <c r="AA295" s="2" t="str">
        <f>IFERROR(__xludf.DUMMYFUNCTION("IMPORTRANGE(""https://docs.google.com/spreadsheets/d/""&amp;$A295&amp;""/edit#gid=156619080"",AA$3)"),"#REF!")</f>
        <v>#REF!</v>
      </c>
      <c r="AB295" s="2" t="str">
        <f>IFERROR(__xludf.DUMMYFUNCTION("IMPORTRANGE(""https://docs.google.com/spreadsheets/d/""&amp;$A295&amp;""/edit#gid=156619080"",AB$3)"),"#REF!")</f>
        <v>#REF!</v>
      </c>
      <c r="AC295" s="2" t="str">
        <f>IFERROR(__xludf.DUMMYFUNCTION("IMPORTRANGE(""https://docs.google.com/spreadsheets/d/""&amp;$A295&amp;""/edit#gid=156619080"",AC$3)"),"#REF!")</f>
        <v>#REF!</v>
      </c>
      <c r="AD295" s="2" t="str">
        <f>IFERROR(__xludf.DUMMYFUNCTION("IMPORTRANGE(""https://docs.google.com/spreadsheets/d/""&amp;$A295&amp;""/edit#gid=156619080"",AD$3)"),"#REF!")</f>
        <v>#REF!</v>
      </c>
      <c r="AE295" s="2" t="str">
        <f>IFERROR(__xludf.DUMMYFUNCTION("IMPORTRANGE(""https://docs.google.com/spreadsheets/d/""&amp;$A295&amp;""/edit#gid=156619080"",AE$3)"),"#REF!")</f>
        <v>#REF!</v>
      </c>
      <c r="AF295" s="2" t="str">
        <f>IFERROR(__xludf.DUMMYFUNCTION("IMPORTRANGE(""https://docs.google.com/spreadsheets/d/""&amp;$A295&amp;""/edit#gid=156619080"",AF$3)"),"#REF!")</f>
        <v>#REF!</v>
      </c>
      <c r="AG295" s="2" t="str">
        <f>IFERROR(__xludf.DUMMYFUNCTION("IMPORTRANGE(""https://docs.google.com/spreadsheets/d/""&amp;$A295&amp;""/edit#gid=156619080"",AG$3)"),"#REF!")</f>
        <v>#REF!</v>
      </c>
      <c r="AH295" s="2" t="str">
        <f>IFERROR(__xludf.DUMMYFUNCTION("IMPORTRANGE(""https://docs.google.com/spreadsheets/d/""&amp;$A295&amp;""/edit#gid=156619080"",AH$3)"),"#REF!")</f>
        <v>#REF!</v>
      </c>
      <c r="AI295" s="2" t="str">
        <f>IFERROR(__xludf.DUMMYFUNCTION("IMPORTRANGE(""https://docs.google.com/spreadsheets/d/""&amp;$A295&amp;""/edit#gid=156619080"",AI$3)"),"#REF!")</f>
        <v>#REF!</v>
      </c>
      <c r="AJ295" s="2" t="str">
        <f>IFERROR(__xludf.DUMMYFUNCTION("IMPORTRANGE(""https://docs.google.com/spreadsheets/d/""&amp;$A295&amp;""/edit#gid=156619080"",AJ$3)"),"#REF!")</f>
        <v>#REF!</v>
      </c>
      <c r="AK295" s="2" t="str">
        <f>IFERROR(__xludf.DUMMYFUNCTION("IMPORTRANGE(""https://docs.google.com/spreadsheets/d/""&amp;$A295&amp;""/edit#gid=156619080"",AK$3)"),"#REF!")</f>
        <v>#REF!</v>
      </c>
      <c r="AL295" s="2" t="str">
        <f>IFERROR(__xludf.DUMMYFUNCTION("IMPORTRANGE(""https://docs.google.com/spreadsheets/d/""&amp;$A295&amp;""/edit#gid=156619080"",AL$3)"),"#REF!")</f>
        <v>#REF!</v>
      </c>
      <c r="AM295" s="2" t="str">
        <f>IFERROR(__xludf.DUMMYFUNCTION("IMPORTRANGE(""https://docs.google.com/spreadsheets/d/""&amp;$A295&amp;""/edit#gid=156619080"",AM$3)"),"#REF!")</f>
        <v>#REF!</v>
      </c>
      <c r="AN295" s="2" t="str">
        <f>IFERROR(__xludf.DUMMYFUNCTION("IMPORTRANGE(""https://docs.google.com/spreadsheets/d/""&amp;$A295&amp;""/edit#gid=156619080"",AN$3)"),"#REF!")</f>
        <v>#REF!</v>
      </c>
      <c r="AO295" s="2" t="str">
        <f>IFERROR(__xludf.DUMMYFUNCTION("IMPORTRANGE(""https://docs.google.com/spreadsheets/d/""&amp;$A295&amp;""/edit#gid=156619080"",AO$3)"),"#REF!")</f>
        <v>#REF!</v>
      </c>
      <c r="AP295" s="2" t="str">
        <f>IFERROR(__xludf.DUMMYFUNCTION("IMPORTRANGE(""https://docs.google.com/spreadsheets/d/""&amp;$A295&amp;""/edit#gid=156619080"",AP$3)"),"#REF!")</f>
        <v>#REF!</v>
      </c>
      <c r="AQ295" s="2" t="str">
        <f>IFERROR(__xludf.DUMMYFUNCTION("IMPORTRANGE(""https://docs.google.com/spreadsheets/d/""&amp;$A295&amp;""/edit#gid=156619080"",AQ$3)"),"#REF!")</f>
        <v>#REF!</v>
      </c>
      <c r="AR295" s="2" t="str">
        <f>IFERROR(__xludf.DUMMYFUNCTION("IMPORTRANGE(""https://docs.google.com/spreadsheets/d/""&amp;$A295&amp;""/edit#gid=156619080"",AR$3)"),"#REF!")</f>
        <v>#REF!</v>
      </c>
      <c r="AS295" s="19" t="str">
        <f>IFERROR(__xludf.DUMMYFUNCTION("IMPORTRANGE(""https://docs.google.com/spreadsheets/d/""&amp;$A295&amp;""/edit#gid=156619080"",AS$3)"),"#REF!")</f>
        <v>#REF!</v>
      </c>
      <c r="AT295" s="2" t="str">
        <f>IFERROR(__xludf.DUMMYFUNCTION("IMPORTRANGE(""https://docs.google.com/spreadsheets/d/""&amp;$A295&amp;""/edit#gid=156619080"",AT$3)"),"#REF!")</f>
        <v>#REF!</v>
      </c>
      <c r="AU295" s="3" t="str">
        <f>IFERROR(__xludf.DUMMYFUNCTION("IMPORTRANGE(""https://docs.google.com/spreadsheets/d/""&amp;$A295&amp;""/edit#gid=156619080"",AU$3)"),"#REF!")</f>
        <v>#REF!</v>
      </c>
      <c r="AV295" s="2" t="str">
        <f>IFERROR(__xludf.DUMMYFUNCTION("IMPORTRANGE(""https://docs.google.com/spreadsheets/d/""&amp;$A295&amp;""/edit#gid=156619080"",AV$3)"),"#REF!")</f>
        <v>#REF!</v>
      </c>
      <c r="AW295" s="19" t="str">
        <f>IFERROR(__xludf.DUMMYFUNCTION("IMPORTRANGE(""https://docs.google.com/spreadsheets/d/""&amp;$A295&amp;""/edit#gid=156619080"",AW$3)"),"#REF!")</f>
        <v>#REF!</v>
      </c>
      <c r="AX295" s="2" t="str">
        <f>IFERROR(__xludf.DUMMYFUNCTION("IMPORTRANGE(""https://docs.google.com/spreadsheets/d/""&amp;$A295&amp;""/edit#gid=156619080"",AX$3)"),"#REF!")</f>
        <v>#REF!</v>
      </c>
      <c r="AY295" s="2" t="str">
        <f>IFERROR(__xludf.DUMMYFUNCTION("IMPORTRANGE(""https://docs.google.com/spreadsheets/d/""&amp;$A295&amp;""/edit#gid=156619080"",AY$3)"),"#REF!")</f>
        <v>#REF!</v>
      </c>
      <c r="AZ295" s="2" t="str">
        <f>IFERROR(__xludf.DUMMYFUNCTION("IMPORTRANGE(""https://docs.google.com/spreadsheets/d/""&amp;$A295&amp;""/edit#gid=156619080"",AZ$3)"),"#REF!")</f>
        <v>#REF!</v>
      </c>
      <c r="BA295" s="2" t="str">
        <f>IFERROR(__xludf.DUMMYFUNCTION("IMPORTRANGE(""https://docs.google.com/spreadsheets/d/""&amp;$A295&amp;""/edit#gid=156619080"",BA$3)"),"#REF!")</f>
        <v>#REF!</v>
      </c>
      <c r="BB295" s="2" t="str">
        <f>IFERROR(__xludf.DUMMYFUNCTION("IMPORTRANGE(""https://docs.google.com/spreadsheets/d/""&amp;$A295&amp;""/edit#gid=156619080"",BB$3)"),"#REF!")</f>
        <v>#REF!</v>
      </c>
      <c r="BC295" s="2" t="str">
        <f>IFERROR(__xludf.DUMMYFUNCTION("IMPORTRANGE(""https://docs.google.com/spreadsheets/d/""&amp;$A295&amp;""/edit#gid=156619080"",BC$3)"),"#REF!")</f>
        <v>#REF!</v>
      </c>
    </row>
    <row r="296" ht="51.0" customHeight="1">
      <c r="A296" s="7" t="str">
        <f t="shared" si="5"/>
        <v>1sEpwYt_Cma8hjYy_WswUlcMqu8RGxMjhu-FkBMRYMQk</v>
      </c>
      <c r="B296" s="1" t="s">
        <v>323</v>
      </c>
      <c r="C296" s="2" t="str">
        <f>IFERROR(__xludf.DUMMYFUNCTION("IMPORTRANGE(""https://docs.google.com/spreadsheets/d/""&amp;$A296&amp;""/edit#gid=156619080"",C$3)"),"#REF!")</f>
        <v>#REF!</v>
      </c>
      <c r="D296" s="2" t="str">
        <f>IFERROR(__xludf.DUMMYFUNCTION("IMPORTRANGE(""https://docs.google.com/spreadsheets/d/""&amp;$A296&amp;""/edit#gid=156619080"",D$3)"),"#REF!")</f>
        <v>#REF!</v>
      </c>
      <c r="E296" s="2" t="str">
        <f>IFERROR(__xludf.DUMMYFUNCTION("IMPORTRANGE(""https://docs.google.com/spreadsheets/d/""&amp;$A296&amp;""/edit#gid=156619080"",E$3)"),"#REF!")</f>
        <v>#REF!</v>
      </c>
      <c r="F296" s="2" t="str">
        <f>IFERROR(__xludf.DUMMYFUNCTION("IMPORTRANGE(""https://docs.google.com/spreadsheets/d/""&amp;$A296&amp;""/edit#gid=156619080"",F$3)"),"#REF!")</f>
        <v>#REF!</v>
      </c>
      <c r="G296" s="2" t="str">
        <f>IFERROR(__xludf.DUMMYFUNCTION("IMPORTRANGE(""https://docs.google.com/spreadsheets/d/""&amp;$A296&amp;""/edit#gid=156619080"",G$3)"),"#REF!")</f>
        <v>#REF!</v>
      </c>
      <c r="H296" s="2" t="str">
        <f>IFERROR(__xludf.DUMMYFUNCTION("IMPORTRANGE(""https://docs.google.com/spreadsheets/d/""&amp;$A296&amp;""/edit#gid=156619080"",H$3)"),"#REF!")</f>
        <v>#REF!</v>
      </c>
      <c r="I296" s="2" t="str">
        <f>IFERROR(__xludf.DUMMYFUNCTION("IMPORTRANGE(""https://docs.google.com/spreadsheets/d/""&amp;$A296&amp;""/edit#gid=156619080"",I$3)"),"#REF!")</f>
        <v>#REF!</v>
      </c>
      <c r="J296" s="2" t="str">
        <f>IFERROR(__xludf.DUMMYFUNCTION("IMPORTRANGE(""https://docs.google.com/spreadsheets/d/""&amp;$A296&amp;""/edit#gid=156619080"",J$3)"),"#REF!")</f>
        <v>#REF!</v>
      </c>
      <c r="K296" s="2" t="str">
        <f>IFERROR(__xludf.DUMMYFUNCTION("IMPORTRANGE(""https://docs.google.com/spreadsheets/d/""&amp;$A296&amp;""/edit#gid=156619080"",K$3)"),"#REF!")</f>
        <v>#REF!</v>
      </c>
      <c r="L296" s="2" t="str">
        <f>IFERROR(__xludf.DUMMYFUNCTION("IMPORTRANGE(""https://docs.google.com/spreadsheets/d/""&amp;$A296&amp;""/edit#gid=156619080"",L$3)"),"#REF!")</f>
        <v>#REF!</v>
      </c>
      <c r="M296" s="2" t="str">
        <f>IFERROR(__xludf.DUMMYFUNCTION("IMPORTRANGE(""https://docs.google.com/spreadsheets/d/""&amp;$A296&amp;""/edit#gid=156619080"",M$3)"),"#REF!")</f>
        <v>#REF!</v>
      </c>
      <c r="N296" s="2" t="str">
        <f>IFERROR(__xludf.DUMMYFUNCTION("IMPORTRANGE(""https://docs.google.com/spreadsheets/d/""&amp;$A296&amp;""/edit#gid=156619080"",N$3)"),"#REF!")</f>
        <v>#REF!</v>
      </c>
      <c r="O296" s="2" t="str">
        <f>IFERROR(__xludf.DUMMYFUNCTION("IMPORTRANGE(""https://docs.google.com/spreadsheets/d/""&amp;$A296&amp;""/edit#gid=156619080"",O$3)"),"#REF!")</f>
        <v>#REF!</v>
      </c>
      <c r="P296" s="2" t="str">
        <f>IFERROR(__xludf.DUMMYFUNCTION("IMPORTRANGE(""https://docs.google.com/spreadsheets/d/""&amp;$A296&amp;""/edit#gid=156619080"",P$3)"),"#REF!")</f>
        <v>#REF!</v>
      </c>
      <c r="Q296" s="2" t="str">
        <f>IFERROR(__xludf.DUMMYFUNCTION("IMPORTRANGE(""https://docs.google.com/spreadsheets/d/""&amp;$A296&amp;""/edit#gid=156619080"",Q$3)"),"#REF!")</f>
        <v>#REF!</v>
      </c>
      <c r="R296" s="2" t="str">
        <f>IFERROR(__xludf.DUMMYFUNCTION("IMPORTRANGE(""https://docs.google.com/spreadsheets/d/""&amp;$A296&amp;""/edit#gid=156619080"",R$3)"),"#REF!")</f>
        <v>#REF!</v>
      </c>
      <c r="S296" s="2" t="str">
        <f>IFERROR(__xludf.DUMMYFUNCTION("IMPORTRANGE(""https://docs.google.com/spreadsheets/d/""&amp;$A296&amp;""/edit#gid=156619080"",S$3)"),"#REF!")</f>
        <v>#REF!</v>
      </c>
      <c r="T296" s="2" t="str">
        <f>IFERROR(__xludf.DUMMYFUNCTION("IMPORTRANGE(""https://docs.google.com/spreadsheets/d/""&amp;$A296&amp;""/edit#gid=156619080"",T$3)"),"#REF!")</f>
        <v>#REF!</v>
      </c>
      <c r="U296" s="2" t="str">
        <f>IFERROR(__xludf.DUMMYFUNCTION("IMPORTRANGE(""https://docs.google.com/spreadsheets/d/""&amp;$A296&amp;""/edit#gid=156619080"",U$3)"),"#REF!")</f>
        <v>#REF!</v>
      </c>
      <c r="V296" s="2" t="str">
        <f>IFERROR(__xludf.DUMMYFUNCTION("IMPORTRANGE(""https://docs.google.com/spreadsheets/d/""&amp;$A296&amp;""/edit#gid=156619080"",V$3)"),"#REF!")</f>
        <v>#REF!</v>
      </c>
      <c r="W296" s="2" t="str">
        <f>IFERROR(__xludf.DUMMYFUNCTION("IMPORTRANGE(""https://docs.google.com/spreadsheets/d/""&amp;$A296&amp;""/edit#gid=156619080"",W$3)"),"#REF!")</f>
        <v>#REF!</v>
      </c>
      <c r="X296" s="2" t="str">
        <f>IFERROR(__xludf.DUMMYFUNCTION("IMPORTRANGE(""https://docs.google.com/spreadsheets/d/""&amp;$A296&amp;""/edit#gid=156619080"",X$3)"),"#REF!")</f>
        <v>#REF!</v>
      </c>
      <c r="Y296" s="2" t="str">
        <f>IFERROR(__xludf.DUMMYFUNCTION("IMPORTRANGE(""https://docs.google.com/spreadsheets/d/""&amp;$A296&amp;""/edit#gid=156619080"",Y$3)"),"#REF!")</f>
        <v>#REF!</v>
      </c>
      <c r="Z296" s="2" t="str">
        <f>IFERROR(__xludf.DUMMYFUNCTION("IMPORTRANGE(""https://docs.google.com/spreadsheets/d/""&amp;$A296&amp;""/edit#gid=156619080"",Z$3)"),"#REF!")</f>
        <v>#REF!</v>
      </c>
      <c r="AA296" s="2" t="str">
        <f>IFERROR(__xludf.DUMMYFUNCTION("IMPORTRANGE(""https://docs.google.com/spreadsheets/d/""&amp;$A296&amp;""/edit#gid=156619080"",AA$3)"),"#REF!")</f>
        <v>#REF!</v>
      </c>
      <c r="AB296" s="2" t="str">
        <f>IFERROR(__xludf.DUMMYFUNCTION("IMPORTRANGE(""https://docs.google.com/spreadsheets/d/""&amp;$A296&amp;""/edit#gid=156619080"",AB$3)"),"#REF!")</f>
        <v>#REF!</v>
      </c>
      <c r="AC296" s="2" t="str">
        <f>IFERROR(__xludf.DUMMYFUNCTION("IMPORTRANGE(""https://docs.google.com/spreadsheets/d/""&amp;$A296&amp;""/edit#gid=156619080"",AC$3)"),"#REF!")</f>
        <v>#REF!</v>
      </c>
      <c r="AD296" s="2" t="str">
        <f>IFERROR(__xludf.DUMMYFUNCTION("IMPORTRANGE(""https://docs.google.com/spreadsheets/d/""&amp;$A296&amp;""/edit#gid=156619080"",AD$3)"),"#REF!")</f>
        <v>#REF!</v>
      </c>
      <c r="AE296" s="2" t="str">
        <f>IFERROR(__xludf.DUMMYFUNCTION("IMPORTRANGE(""https://docs.google.com/spreadsheets/d/""&amp;$A296&amp;""/edit#gid=156619080"",AE$3)"),"#REF!")</f>
        <v>#REF!</v>
      </c>
      <c r="AF296" s="2" t="str">
        <f>IFERROR(__xludf.DUMMYFUNCTION("IMPORTRANGE(""https://docs.google.com/spreadsheets/d/""&amp;$A296&amp;""/edit#gid=156619080"",AF$3)"),"#REF!")</f>
        <v>#REF!</v>
      </c>
      <c r="AG296" s="2" t="str">
        <f>IFERROR(__xludf.DUMMYFUNCTION("IMPORTRANGE(""https://docs.google.com/spreadsheets/d/""&amp;$A296&amp;""/edit#gid=156619080"",AG$3)"),"#REF!")</f>
        <v>#REF!</v>
      </c>
      <c r="AH296" s="2" t="str">
        <f>IFERROR(__xludf.DUMMYFUNCTION("IMPORTRANGE(""https://docs.google.com/spreadsheets/d/""&amp;$A296&amp;""/edit#gid=156619080"",AH$3)"),"#REF!")</f>
        <v>#REF!</v>
      </c>
      <c r="AI296" s="2" t="str">
        <f>IFERROR(__xludf.DUMMYFUNCTION("IMPORTRANGE(""https://docs.google.com/spreadsheets/d/""&amp;$A296&amp;""/edit#gid=156619080"",AI$3)"),"#REF!")</f>
        <v>#REF!</v>
      </c>
      <c r="AJ296" s="2" t="str">
        <f>IFERROR(__xludf.DUMMYFUNCTION("IMPORTRANGE(""https://docs.google.com/spreadsheets/d/""&amp;$A296&amp;""/edit#gid=156619080"",AJ$3)"),"#REF!")</f>
        <v>#REF!</v>
      </c>
      <c r="AK296" s="2" t="str">
        <f>IFERROR(__xludf.DUMMYFUNCTION("IMPORTRANGE(""https://docs.google.com/spreadsheets/d/""&amp;$A296&amp;""/edit#gid=156619080"",AK$3)"),"#REF!")</f>
        <v>#REF!</v>
      </c>
      <c r="AL296" s="2" t="str">
        <f>IFERROR(__xludf.DUMMYFUNCTION("IMPORTRANGE(""https://docs.google.com/spreadsheets/d/""&amp;$A296&amp;""/edit#gid=156619080"",AL$3)"),"#REF!")</f>
        <v>#REF!</v>
      </c>
      <c r="AM296" s="2" t="str">
        <f>IFERROR(__xludf.DUMMYFUNCTION("IMPORTRANGE(""https://docs.google.com/spreadsheets/d/""&amp;$A296&amp;""/edit#gid=156619080"",AM$3)"),"#REF!")</f>
        <v>#REF!</v>
      </c>
      <c r="AN296" s="2" t="str">
        <f>IFERROR(__xludf.DUMMYFUNCTION("IMPORTRANGE(""https://docs.google.com/spreadsheets/d/""&amp;$A296&amp;""/edit#gid=156619080"",AN$3)"),"#REF!")</f>
        <v>#REF!</v>
      </c>
      <c r="AO296" s="2" t="str">
        <f>IFERROR(__xludf.DUMMYFUNCTION("IMPORTRANGE(""https://docs.google.com/spreadsheets/d/""&amp;$A296&amp;""/edit#gid=156619080"",AO$3)"),"#REF!")</f>
        <v>#REF!</v>
      </c>
      <c r="AP296" s="2" t="str">
        <f>IFERROR(__xludf.DUMMYFUNCTION("IMPORTRANGE(""https://docs.google.com/spreadsheets/d/""&amp;$A296&amp;""/edit#gid=156619080"",AP$3)"),"#REF!")</f>
        <v>#REF!</v>
      </c>
      <c r="AQ296" s="2" t="str">
        <f>IFERROR(__xludf.DUMMYFUNCTION("IMPORTRANGE(""https://docs.google.com/spreadsheets/d/""&amp;$A296&amp;""/edit#gid=156619080"",AQ$3)"),"#REF!")</f>
        <v>#REF!</v>
      </c>
      <c r="AR296" s="2" t="str">
        <f>IFERROR(__xludf.DUMMYFUNCTION("IMPORTRANGE(""https://docs.google.com/spreadsheets/d/""&amp;$A296&amp;""/edit#gid=156619080"",AR$3)"),"#REF!")</f>
        <v>#REF!</v>
      </c>
      <c r="AS296" s="19" t="str">
        <f>IFERROR(__xludf.DUMMYFUNCTION("IMPORTRANGE(""https://docs.google.com/spreadsheets/d/""&amp;$A296&amp;""/edit#gid=156619080"",AS$3)"),"#REF!")</f>
        <v>#REF!</v>
      </c>
      <c r="AT296" s="2" t="str">
        <f>IFERROR(__xludf.DUMMYFUNCTION("IMPORTRANGE(""https://docs.google.com/spreadsheets/d/""&amp;$A296&amp;""/edit#gid=156619080"",AT$3)"),"#REF!")</f>
        <v>#REF!</v>
      </c>
      <c r="AU296" s="3" t="str">
        <f>IFERROR(__xludf.DUMMYFUNCTION("IMPORTRANGE(""https://docs.google.com/spreadsheets/d/""&amp;$A296&amp;""/edit#gid=156619080"",AU$3)"),"#REF!")</f>
        <v>#REF!</v>
      </c>
      <c r="AV296" s="2" t="str">
        <f>IFERROR(__xludf.DUMMYFUNCTION("IMPORTRANGE(""https://docs.google.com/spreadsheets/d/""&amp;$A296&amp;""/edit#gid=156619080"",AV$3)"),"#REF!")</f>
        <v>#REF!</v>
      </c>
      <c r="AW296" s="19" t="str">
        <f>IFERROR(__xludf.DUMMYFUNCTION("IMPORTRANGE(""https://docs.google.com/spreadsheets/d/""&amp;$A296&amp;""/edit#gid=156619080"",AW$3)"),"#REF!")</f>
        <v>#REF!</v>
      </c>
      <c r="AX296" s="2" t="str">
        <f>IFERROR(__xludf.DUMMYFUNCTION("IMPORTRANGE(""https://docs.google.com/spreadsheets/d/""&amp;$A296&amp;""/edit#gid=156619080"",AX$3)"),"#REF!")</f>
        <v>#REF!</v>
      </c>
      <c r="AY296" s="2" t="str">
        <f>IFERROR(__xludf.DUMMYFUNCTION("IMPORTRANGE(""https://docs.google.com/spreadsheets/d/""&amp;$A296&amp;""/edit#gid=156619080"",AY$3)"),"#REF!")</f>
        <v>#REF!</v>
      </c>
      <c r="AZ296" s="2" t="str">
        <f>IFERROR(__xludf.DUMMYFUNCTION("IMPORTRANGE(""https://docs.google.com/spreadsheets/d/""&amp;$A296&amp;""/edit#gid=156619080"",AZ$3)"),"#REF!")</f>
        <v>#REF!</v>
      </c>
      <c r="BA296" s="2" t="str">
        <f>IFERROR(__xludf.DUMMYFUNCTION("IMPORTRANGE(""https://docs.google.com/spreadsheets/d/""&amp;$A296&amp;""/edit#gid=156619080"",BA$3)"),"#REF!")</f>
        <v>#REF!</v>
      </c>
      <c r="BB296" s="2" t="str">
        <f>IFERROR(__xludf.DUMMYFUNCTION("IMPORTRANGE(""https://docs.google.com/spreadsheets/d/""&amp;$A296&amp;""/edit#gid=156619080"",BB$3)"),"#REF!")</f>
        <v>#REF!</v>
      </c>
      <c r="BC296" s="2" t="str">
        <f>IFERROR(__xludf.DUMMYFUNCTION("IMPORTRANGE(""https://docs.google.com/spreadsheets/d/""&amp;$A296&amp;""/edit#gid=156619080"",BC$3)"),"#REF!")</f>
        <v>#REF!</v>
      </c>
    </row>
    <row r="297" ht="51.0" customHeight="1">
      <c r="A297" s="7" t="str">
        <f t="shared" si="5"/>
        <v>1p2xkPoGj7fDYtIg3nz65U3kmVyT-znxAbVzuv2d8LQM</v>
      </c>
      <c r="B297" s="1" t="s">
        <v>324</v>
      </c>
      <c r="C297" s="2" t="str">
        <f>IFERROR(__xludf.DUMMYFUNCTION("IMPORTRANGE(""https://docs.google.com/spreadsheets/d/""&amp;$A297&amp;""/edit#gid=156619080"",C$3)"),"#REF!")</f>
        <v>#REF!</v>
      </c>
      <c r="D297" s="2" t="str">
        <f>IFERROR(__xludf.DUMMYFUNCTION("IMPORTRANGE(""https://docs.google.com/spreadsheets/d/""&amp;$A297&amp;""/edit#gid=156619080"",D$3)"),"#REF!")</f>
        <v>#REF!</v>
      </c>
      <c r="E297" s="2" t="str">
        <f>IFERROR(__xludf.DUMMYFUNCTION("IMPORTRANGE(""https://docs.google.com/spreadsheets/d/""&amp;$A297&amp;""/edit#gid=156619080"",E$3)"),"#REF!")</f>
        <v>#REF!</v>
      </c>
      <c r="F297" s="2" t="str">
        <f>IFERROR(__xludf.DUMMYFUNCTION("IMPORTRANGE(""https://docs.google.com/spreadsheets/d/""&amp;$A297&amp;""/edit#gid=156619080"",F$3)"),"#REF!")</f>
        <v>#REF!</v>
      </c>
      <c r="G297" s="2" t="str">
        <f>IFERROR(__xludf.DUMMYFUNCTION("IMPORTRANGE(""https://docs.google.com/spreadsheets/d/""&amp;$A297&amp;""/edit#gid=156619080"",G$3)"),"#REF!")</f>
        <v>#REF!</v>
      </c>
      <c r="H297" s="2" t="str">
        <f>IFERROR(__xludf.DUMMYFUNCTION("IMPORTRANGE(""https://docs.google.com/spreadsheets/d/""&amp;$A297&amp;""/edit#gid=156619080"",H$3)"),"#REF!")</f>
        <v>#REF!</v>
      </c>
      <c r="I297" s="2" t="str">
        <f>IFERROR(__xludf.DUMMYFUNCTION("IMPORTRANGE(""https://docs.google.com/spreadsheets/d/""&amp;$A297&amp;""/edit#gid=156619080"",I$3)"),"#REF!")</f>
        <v>#REF!</v>
      </c>
      <c r="J297" s="2" t="str">
        <f>IFERROR(__xludf.DUMMYFUNCTION("IMPORTRANGE(""https://docs.google.com/spreadsheets/d/""&amp;$A297&amp;""/edit#gid=156619080"",J$3)"),"#REF!")</f>
        <v>#REF!</v>
      </c>
      <c r="K297" s="2" t="str">
        <f>IFERROR(__xludf.DUMMYFUNCTION("IMPORTRANGE(""https://docs.google.com/spreadsheets/d/""&amp;$A297&amp;""/edit#gid=156619080"",K$3)"),"#REF!")</f>
        <v>#REF!</v>
      </c>
      <c r="L297" s="2" t="str">
        <f>IFERROR(__xludf.DUMMYFUNCTION("IMPORTRANGE(""https://docs.google.com/spreadsheets/d/""&amp;$A297&amp;""/edit#gid=156619080"",L$3)"),"#REF!")</f>
        <v>#REF!</v>
      </c>
      <c r="M297" s="2" t="str">
        <f>IFERROR(__xludf.DUMMYFUNCTION("IMPORTRANGE(""https://docs.google.com/spreadsheets/d/""&amp;$A297&amp;""/edit#gid=156619080"",M$3)"),"#REF!")</f>
        <v>#REF!</v>
      </c>
      <c r="N297" s="2" t="str">
        <f>IFERROR(__xludf.DUMMYFUNCTION("IMPORTRANGE(""https://docs.google.com/spreadsheets/d/""&amp;$A297&amp;""/edit#gid=156619080"",N$3)"),"#REF!")</f>
        <v>#REF!</v>
      </c>
      <c r="O297" s="2" t="str">
        <f>IFERROR(__xludf.DUMMYFUNCTION("IMPORTRANGE(""https://docs.google.com/spreadsheets/d/""&amp;$A297&amp;""/edit#gid=156619080"",O$3)"),"#REF!")</f>
        <v>#REF!</v>
      </c>
      <c r="P297" s="2" t="str">
        <f>IFERROR(__xludf.DUMMYFUNCTION("IMPORTRANGE(""https://docs.google.com/spreadsheets/d/""&amp;$A297&amp;""/edit#gid=156619080"",P$3)"),"#REF!")</f>
        <v>#REF!</v>
      </c>
      <c r="Q297" s="2" t="str">
        <f>IFERROR(__xludf.DUMMYFUNCTION("IMPORTRANGE(""https://docs.google.com/spreadsheets/d/""&amp;$A297&amp;""/edit#gid=156619080"",Q$3)"),"#REF!")</f>
        <v>#REF!</v>
      </c>
      <c r="R297" s="2" t="str">
        <f>IFERROR(__xludf.DUMMYFUNCTION("IMPORTRANGE(""https://docs.google.com/spreadsheets/d/""&amp;$A297&amp;""/edit#gid=156619080"",R$3)"),"#REF!")</f>
        <v>#REF!</v>
      </c>
      <c r="S297" s="2" t="str">
        <f>IFERROR(__xludf.DUMMYFUNCTION("IMPORTRANGE(""https://docs.google.com/spreadsheets/d/""&amp;$A297&amp;""/edit#gid=156619080"",S$3)"),"#REF!")</f>
        <v>#REF!</v>
      </c>
      <c r="T297" s="2" t="str">
        <f>IFERROR(__xludf.DUMMYFUNCTION("IMPORTRANGE(""https://docs.google.com/spreadsheets/d/""&amp;$A297&amp;""/edit#gid=156619080"",T$3)"),"#REF!")</f>
        <v>#REF!</v>
      </c>
      <c r="U297" s="2" t="str">
        <f>IFERROR(__xludf.DUMMYFUNCTION("IMPORTRANGE(""https://docs.google.com/spreadsheets/d/""&amp;$A297&amp;""/edit#gid=156619080"",U$3)"),"#REF!")</f>
        <v>#REF!</v>
      </c>
      <c r="V297" s="2" t="str">
        <f>IFERROR(__xludf.DUMMYFUNCTION("IMPORTRANGE(""https://docs.google.com/spreadsheets/d/""&amp;$A297&amp;""/edit#gid=156619080"",V$3)"),"#REF!")</f>
        <v>#REF!</v>
      </c>
      <c r="W297" s="2" t="str">
        <f>IFERROR(__xludf.DUMMYFUNCTION("IMPORTRANGE(""https://docs.google.com/spreadsheets/d/""&amp;$A297&amp;""/edit#gid=156619080"",W$3)"),"#REF!")</f>
        <v>#REF!</v>
      </c>
      <c r="X297" s="2" t="str">
        <f>IFERROR(__xludf.DUMMYFUNCTION("IMPORTRANGE(""https://docs.google.com/spreadsheets/d/""&amp;$A297&amp;""/edit#gid=156619080"",X$3)"),"#REF!")</f>
        <v>#REF!</v>
      </c>
      <c r="Y297" s="2" t="str">
        <f>IFERROR(__xludf.DUMMYFUNCTION("IMPORTRANGE(""https://docs.google.com/spreadsheets/d/""&amp;$A297&amp;""/edit#gid=156619080"",Y$3)"),"#REF!")</f>
        <v>#REF!</v>
      </c>
      <c r="Z297" s="2" t="str">
        <f>IFERROR(__xludf.DUMMYFUNCTION("IMPORTRANGE(""https://docs.google.com/spreadsheets/d/""&amp;$A297&amp;""/edit#gid=156619080"",Z$3)"),"#REF!")</f>
        <v>#REF!</v>
      </c>
      <c r="AA297" s="2" t="str">
        <f>IFERROR(__xludf.DUMMYFUNCTION("IMPORTRANGE(""https://docs.google.com/spreadsheets/d/""&amp;$A297&amp;""/edit#gid=156619080"",AA$3)"),"#REF!")</f>
        <v>#REF!</v>
      </c>
      <c r="AB297" s="2" t="str">
        <f>IFERROR(__xludf.DUMMYFUNCTION("IMPORTRANGE(""https://docs.google.com/spreadsheets/d/""&amp;$A297&amp;""/edit#gid=156619080"",AB$3)"),"#REF!")</f>
        <v>#REF!</v>
      </c>
      <c r="AC297" s="2" t="str">
        <f>IFERROR(__xludf.DUMMYFUNCTION("IMPORTRANGE(""https://docs.google.com/spreadsheets/d/""&amp;$A297&amp;""/edit#gid=156619080"",AC$3)"),"#REF!")</f>
        <v>#REF!</v>
      </c>
      <c r="AD297" s="2" t="str">
        <f>IFERROR(__xludf.DUMMYFUNCTION("IMPORTRANGE(""https://docs.google.com/spreadsheets/d/""&amp;$A297&amp;""/edit#gid=156619080"",AD$3)"),"#REF!")</f>
        <v>#REF!</v>
      </c>
      <c r="AE297" s="2" t="str">
        <f>IFERROR(__xludf.DUMMYFUNCTION("IMPORTRANGE(""https://docs.google.com/spreadsheets/d/""&amp;$A297&amp;""/edit#gid=156619080"",AE$3)"),"#REF!")</f>
        <v>#REF!</v>
      </c>
      <c r="AF297" s="2" t="str">
        <f>IFERROR(__xludf.DUMMYFUNCTION("IMPORTRANGE(""https://docs.google.com/spreadsheets/d/""&amp;$A297&amp;""/edit#gid=156619080"",AF$3)"),"#REF!")</f>
        <v>#REF!</v>
      </c>
      <c r="AG297" s="2" t="str">
        <f>IFERROR(__xludf.DUMMYFUNCTION("IMPORTRANGE(""https://docs.google.com/spreadsheets/d/""&amp;$A297&amp;""/edit#gid=156619080"",AG$3)"),"#REF!")</f>
        <v>#REF!</v>
      </c>
      <c r="AH297" s="2" t="str">
        <f>IFERROR(__xludf.DUMMYFUNCTION("IMPORTRANGE(""https://docs.google.com/spreadsheets/d/""&amp;$A297&amp;""/edit#gid=156619080"",AH$3)"),"#REF!")</f>
        <v>#REF!</v>
      </c>
      <c r="AI297" s="2" t="str">
        <f>IFERROR(__xludf.DUMMYFUNCTION("IMPORTRANGE(""https://docs.google.com/spreadsheets/d/""&amp;$A297&amp;""/edit#gid=156619080"",AI$3)"),"#REF!")</f>
        <v>#REF!</v>
      </c>
      <c r="AJ297" s="2" t="str">
        <f>IFERROR(__xludf.DUMMYFUNCTION("IMPORTRANGE(""https://docs.google.com/spreadsheets/d/""&amp;$A297&amp;""/edit#gid=156619080"",AJ$3)"),"#REF!")</f>
        <v>#REF!</v>
      </c>
      <c r="AK297" s="2" t="str">
        <f>IFERROR(__xludf.DUMMYFUNCTION("IMPORTRANGE(""https://docs.google.com/spreadsheets/d/""&amp;$A297&amp;""/edit#gid=156619080"",AK$3)"),"#REF!")</f>
        <v>#REF!</v>
      </c>
      <c r="AL297" s="2" t="str">
        <f>IFERROR(__xludf.DUMMYFUNCTION("IMPORTRANGE(""https://docs.google.com/spreadsheets/d/""&amp;$A297&amp;""/edit#gid=156619080"",AL$3)"),"#REF!")</f>
        <v>#REF!</v>
      </c>
      <c r="AM297" s="2" t="str">
        <f>IFERROR(__xludf.DUMMYFUNCTION("IMPORTRANGE(""https://docs.google.com/spreadsheets/d/""&amp;$A297&amp;""/edit#gid=156619080"",AM$3)"),"#REF!")</f>
        <v>#REF!</v>
      </c>
      <c r="AN297" s="2" t="str">
        <f>IFERROR(__xludf.DUMMYFUNCTION("IMPORTRANGE(""https://docs.google.com/spreadsheets/d/""&amp;$A297&amp;""/edit#gid=156619080"",AN$3)"),"#REF!")</f>
        <v>#REF!</v>
      </c>
      <c r="AO297" s="2" t="str">
        <f>IFERROR(__xludf.DUMMYFUNCTION("IMPORTRANGE(""https://docs.google.com/spreadsheets/d/""&amp;$A297&amp;""/edit#gid=156619080"",AO$3)"),"#REF!")</f>
        <v>#REF!</v>
      </c>
      <c r="AP297" s="2" t="str">
        <f>IFERROR(__xludf.DUMMYFUNCTION("IMPORTRANGE(""https://docs.google.com/spreadsheets/d/""&amp;$A297&amp;""/edit#gid=156619080"",AP$3)"),"#REF!")</f>
        <v>#REF!</v>
      </c>
      <c r="AQ297" s="2" t="str">
        <f>IFERROR(__xludf.DUMMYFUNCTION("IMPORTRANGE(""https://docs.google.com/spreadsheets/d/""&amp;$A297&amp;""/edit#gid=156619080"",AQ$3)"),"#REF!")</f>
        <v>#REF!</v>
      </c>
      <c r="AR297" s="2" t="str">
        <f>IFERROR(__xludf.DUMMYFUNCTION("IMPORTRANGE(""https://docs.google.com/spreadsheets/d/""&amp;$A297&amp;""/edit#gid=156619080"",AR$3)"),"#REF!")</f>
        <v>#REF!</v>
      </c>
      <c r="AS297" s="19" t="str">
        <f>IFERROR(__xludf.DUMMYFUNCTION("IMPORTRANGE(""https://docs.google.com/spreadsheets/d/""&amp;$A297&amp;""/edit#gid=156619080"",AS$3)"),"#REF!")</f>
        <v>#REF!</v>
      </c>
      <c r="AT297" s="2" t="str">
        <f>IFERROR(__xludf.DUMMYFUNCTION("IMPORTRANGE(""https://docs.google.com/spreadsheets/d/""&amp;$A297&amp;""/edit#gid=156619080"",AT$3)"),"#REF!")</f>
        <v>#REF!</v>
      </c>
      <c r="AU297" s="3" t="str">
        <f>IFERROR(__xludf.DUMMYFUNCTION("IMPORTRANGE(""https://docs.google.com/spreadsheets/d/""&amp;$A297&amp;""/edit#gid=156619080"",AU$3)"),"#REF!")</f>
        <v>#REF!</v>
      </c>
      <c r="AV297" s="2" t="str">
        <f>IFERROR(__xludf.DUMMYFUNCTION("IMPORTRANGE(""https://docs.google.com/spreadsheets/d/""&amp;$A297&amp;""/edit#gid=156619080"",AV$3)"),"#REF!")</f>
        <v>#REF!</v>
      </c>
      <c r="AW297" s="19" t="str">
        <f>IFERROR(__xludf.DUMMYFUNCTION("IMPORTRANGE(""https://docs.google.com/spreadsheets/d/""&amp;$A297&amp;""/edit#gid=156619080"",AW$3)"),"#REF!")</f>
        <v>#REF!</v>
      </c>
      <c r="AX297" s="2" t="str">
        <f>IFERROR(__xludf.DUMMYFUNCTION("IMPORTRANGE(""https://docs.google.com/spreadsheets/d/""&amp;$A297&amp;""/edit#gid=156619080"",AX$3)"),"#REF!")</f>
        <v>#REF!</v>
      </c>
      <c r="AY297" s="2" t="str">
        <f>IFERROR(__xludf.DUMMYFUNCTION("IMPORTRANGE(""https://docs.google.com/spreadsheets/d/""&amp;$A297&amp;""/edit#gid=156619080"",AY$3)"),"#REF!")</f>
        <v>#REF!</v>
      </c>
      <c r="AZ297" s="2" t="str">
        <f>IFERROR(__xludf.DUMMYFUNCTION("IMPORTRANGE(""https://docs.google.com/spreadsheets/d/""&amp;$A297&amp;""/edit#gid=156619080"",AZ$3)"),"#REF!")</f>
        <v>#REF!</v>
      </c>
      <c r="BA297" s="2" t="str">
        <f>IFERROR(__xludf.DUMMYFUNCTION("IMPORTRANGE(""https://docs.google.com/spreadsheets/d/""&amp;$A297&amp;""/edit#gid=156619080"",BA$3)"),"#REF!")</f>
        <v>#REF!</v>
      </c>
      <c r="BB297" s="2" t="str">
        <f>IFERROR(__xludf.DUMMYFUNCTION("IMPORTRANGE(""https://docs.google.com/spreadsheets/d/""&amp;$A297&amp;""/edit#gid=156619080"",BB$3)"),"#REF!")</f>
        <v>#REF!</v>
      </c>
      <c r="BC297" s="2" t="str">
        <f>IFERROR(__xludf.DUMMYFUNCTION("IMPORTRANGE(""https://docs.google.com/spreadsheets/d/""&amp;$A297&amp;""/edit#gid=156619080"",BC$3)"),"#REF!")</f>
        <v>#REF!</v>
      </c>
    </row>
    <row r="298" ht="51.0" customHeight="1">
      <c r="A298" s="7" t="str">
        <f t="shared" si="5"/>
        <v>1iirrERzkt_ZygmYY8Dmnrd5be2ndzz5tctd3ypabiHk</v>
      </c>
      <c r="B298" s="1" t="s">
        <v>325</v>
      </c>
      <c r="C298" s="2" t="str">
        <f>IFERROR(__xludf.DUMMYFUNCTION("IMPORTRANGE(""https://docs.google.com/spreadsheets/d/""&amp;$A298&amp;""/edit#gid=156619080"",C$3)"),"#REF!")</f>
        <v>#REF!</v>
      </c>
      <c r="D298" s="2" t="str">
        <f>IFERROR(__xludf.DUMMYFUNCTION("IMPORTRANGE(""https://docs.google.com/spreadsheets/d/""&amp;$A298&amp;""/edit#gid=156619080"",D$3)"),"#REF!")</f>
        <v>#REF!</v>
      </c>
      <c r="E298" s="2" t="str">
        <f>IFERROR(__xludf.DUMMYFUNCTION("IMPORTRANGE(""https://docs.google.com/spreadsheets/d/""&amp;$A298&amp;""/edit#gid=156619080"",E$3)"),"#REF!")</f>
        <v>#REF!</v>
      </c>
      <c r="F298" s="2" t="str">
        <f>IFERROR(__xludf.DUMMYFUNCTION("IMPORTRANGE(""https://docs.google.com/spreadsheets/d/""&amp;$A298&amp;""/edit#gid=156619080"",F$3)"),"#REF!")</f>
        <v>#REF!</v>
      </c>
      <c r="G298" s="2" t="str">
        <f>IFERROR(__xludf.DUMMYFUNCTION("IMPORTRANGE(""https://docs.google.com/spreadsheets/d/""&amp;$A298&amp;""/edit#gid=156619080"",G$3)"),"#REF!")</f>
        <v>#REF!</v>
      </c>
      <c r="H298" s="2" t="str">
        <f>IFERROR(__xludf.DUMMYFUNCTION("IMPORTRANGE(""https://docs.google.com/spreadsheets/d/""&amp;$A298&amp;""/edit#gid=156619080"",H$3)"),"#REF!")</f>
        <v>#REF!</v>
      </c>
      <c r="I298" s="2" t="str">
        <f>IFERROR(__xludf.DUMMYFUNCTION("IMPORTRANGE(""https://docs.google.com/spreadsheets/d/""&amp;$A298&amp;""/edit#gid=156619080"",I$3)"),"#REF!")</f>
        <v>#REF!</v>
      </c>
      <c r="J298" s="2" t="str">
        <f>IFERROR(__xludf.DUMMYFUNCTION("IMPORTRANGE(""https://docs.google.com/spreadsheets/d/""&amp;$A298&amp;""/edit#gid=156619080"",J$3)"),"#REF!")</f>
        <v>#REF!</v>
      </c>
      <c r="K298" s="2" t="str">
        <f>IFERROR(__xludf.DUMMYFUNCTION("IMPORTRANGE(""https://docs.google.com/spreadsheets/d/""&amp;$A298&amp;""/edit#gid=156619080"",K$3)"),"#REF!")</f>
        <v>#REF!</v>
      </c>
      <c r="L298" s="2" t="str">
        <f>IFERROR(__xludf.DUMMYFUNCTION("IMPORTRANGE(""https://docs.google.com/spreadsheets/d/""&amp;$A298&amp;""/edit#gid=156619080"",L$3)"),"#REF!")</f>
        <v>#REF!</v>
      </c>
      <c r="M298" s="2" t="str">
        <f>IFERROR(__xludf.DUMMYFUNCTION("IMPORTRANGE(""https://docs.google.com/spreadsheets/d/""&amp;$A298&amp;""/edit#gid=156619080"",M$3)"),"#REF!")</f>
        <v>#REF!</v>
      </c>
      <c r="N298" s="2" t="str">
        <f>IFERROR(__xludf.DUMMYFUNCTION("IMPORTRANGE(""https://docs.google.com/spreadsheets/d/""&amp;$A298&amp;""/edit#gid=156619080"",N$3)"),"#REF!")</f>
        <v>#REF!</v>
      </c>
      <c r="O298" s="2" t="str">
        <f>IFERROR(__xludf.DUMMYFUNCTION("IMPORTRANGE(""https://docs.google.com/spreadsheets/d/""&amp;$A298&amp;""/edit#gid=156619080"",O$3)"),"#REF!")</f>
        <v>#REF!</v>
      </c>
      <c r="P298" s="2" t="str">
        <f>IFERROR(__xludf.DUMMYFUNCTION("IMPORTRANGE(""https://docs.google.com/spreadsheets/d/""&amp;$A298&amp;""/edit#gid=156619080"",P$3)"),"#REF!")</f>
        <v>#REF!</v>
      </c>
      <c r="Q298" s="2" t="str">
        <f>IFERROR(__xludf.DUMMYFUNCTION("IMPORTRANGE(""https://docs.google.com/spreadsheets/d/""&amp;$A298&amp;""/edit#gid=156619080"",Q$3)"),"#REF!")</f>
        <v>#REF!</v>
      </c>
      <c r="R298" s="2" t="str">
        <f>IFERROR(__xludf.DUMMYFUNCTION("IMPORTRANGE(""https://docs.google.com/spreadsheets/d/""&amp;$A298&amp;""/edit#gid=156619080"",R$3)"),"#REF!")</f>
        <v>#REF!</v>
      </c>
      <c r="S298" s="2" t="str">
        <f>IFERROR(__xludf.DUMMYFUNCTION("IMPORTRANGE(""https://docs.google.com/spreadsheets/d/""&amp;$A298&amp;""/edit#gid=156619080"",S$3)"),"#REF!")</f>
        <v>#REF!</v>
      </c>
      <c r="T298" s="2" t="str">
        <f>IFERROR(__xludf.DUMMYFUNCTION("IMPORTRANGE(""https://docs.google.com/spreadsheets/d/""&amp;$A298&amp;""/edit#gid=156619080"",T$3)"),"#REF!")</f>
        <v>#REF!</v>
      </c>
      <c r="U298" s="2" t="str">
        <f>IFERROR(__xludf.DUMMYFUNCTION("IMPORTRANGE(""https://docs.google.com/spreadsheets/d/""&amp;$A298&amp;""/edit#gid=156619080"",U$3)"),"#REF!")</f>
        <v>#REF!</v>
      </c>
      <c r="V298" s="2" t="str">
        <f>IFERROR(__xludf.DUMMYFUNCTION("IMPORTRANGE(""https://docs.google.com/spreadsheets/d/""&amp;$A298&amp;""/edit#gid=156619080"",V$3)"),"#REF!")</f>
        <v>#REF!</v>
      </c>
      <c r="W298" s="2" t="str">
        <f>IFERROR(__xludf.DUMMYFUNCTION("IMPORTRANGE(""https://docs.google.com/spreadsheets/d/""&amp;$A298&amp;""/edit#gid=156619080"",W$3)"),"#REF!")</f>
        <v>#REF!</v>
      </c>
      <c r="X298" s="2" t="str">
        <f>IFERROR(__xludf.DUMMYFUNCTION("IMPORTRANGE(""https://docs.google.com/spreadsheets/d/""&amp;$A298&amp;""/edit#gid=156619080"",X$3)"),"#REF!")</f>
        <v>#REF!</v>
      </c>
      <c r="Y298" s="2" t="str">
        <f>IFERROR(__xludf.DUMMYFUNCTION("IMPORTRANGE(""https://docs.google.com/spreadsheets/d/""&amp;$A298&amp;""/edit#gid=156619080"",Y$3)"),"#REF!")</f>
        <v>#REF!</v>
      </c>
      <c r="Z298" s="2" t="str">
        <f>IFERROR(__xludf.DUMMYFUNCTION("IMPORTRANGE(""https://docs.google.com/spreadsheets/d/""&amp;$A298&amp;""/edit#gid=156619080"",Z$3)"),"#REF!")</f>
        <v>#REF!</v>
      </c>
      <c r="AA298" s="2" t="str">
        <f>IFERROR(__xludf.DUMMYFUNCTION("IMPORTRANGE(""https://docs.google.com/spreadsheets/d/""&amp;$A298&amp;""/edit#gid=156619080"",AA$3)"),"#REF!")</f>
        <v>#REF!</v>
      </c>
      <c r="AB298" s="2" t="str">
        <f>IFERROR(__xludf.DUMMYFUNCTION("IMPORTRANGE(""https://docs.google.com/spreadsheets/d/""&amp;$A298&amp;""/edit#gid=156619080"",AB$3)"),"#REF!")</f>
        <v>#REF!</v>
      </c>
      <c r="AC298" s="2" t="str">
        <f>IFERROR(__xludf.DUMMYFUNCTION("IMPORTRANGE(""https://docs.google.com/spreadsheets/d/""&amp;$A298&amp;""/edit#gid=156619080"",AC$3)"),"#REF!")</f>
        <v>#REF!</v>
      </c>
      <c r="AD298" s="2" t="str">
        <f>IFERROR(__xludf.DUMMYFUNCTION("IMPORTRANGE(""https://docs.google.com/spreadsheets/d/""&amp;$A298&amp;""/edit#gid=156619080"",AD$3)"),"#REF!")</f>
        <v>#REF!</v>
      </c>
      <c r="AE298" s="2" t="str">
        <f>IFERROR(__xludf.DUMMYFUNCTION("IMPORTRANGE(""https://docs.google.com/spreadsheets/d/""&amp;$A298&amp;""/edit#gid=156619080"",AE$3)"),"#REF!")</f>
        <v>#REF!</v>
      </c>
      <c r="AF298" s="2" t="str">
        <f>IFERROR(__xludf.DUMMYFUNCTION("IMPORTRANGE(""https://docs.google.com/spreadsheets/d/""&amp;$A298&amp;""/edit#gid=156619080"",AF$3)"),"#REF!")</f>
        <v>#REF!</v>
      </c>
      <c r="AG298" s="2" t="str">
        <f>IFERROR(__xludf.DUMMYFUNCTION("IMPORTRANGE(""https://docs.google.com/spreadsheets/d/""&amp;$A298&amp;""/edit#gid=156619080"",AG$3)"),"#REF!")</f>
        <v>#REF!</v>
      </c>
      <c r="AH298" s="2" t="str">
        <f>IFERROR(__xludf.DUMMYFUNCTION("IMPORTRANGE(""https://docs.google.com/spreadsheets/d/""&amp;$A298&amp;""/edit#gid=156619080"",AH$3)"),"#REF!")</f>
        <v>#REF!</v>
      </c>
      <c r="AI298" s="2" t="str">
        <f>IFERROR(__xludf.DUMMYFUNCTION("IMPORTRANGE(""https://docs.google.com/spreadsheets/d/""&amp;$A298&amp;""/edit#gid=156619080"",AI$3)"),"#REF!")</f>
        <v>#REF!</v>
      </c>
      <c r="AJ298" s="2" t="str">
        <f>IFERROR(__xludf.DUMMYFUNCTION("IMPORTRANGE(""https://docs.google.com/spreadsheets/d/""&amp;$A298&amp;""/edit#gid=156619080"",AJ$3)"),"#REF!")</f>
        <v>#REF!</v>
      </c>
      <c r="AK298" s="2" t="str">
        <f>IFERROR(__xludf.DUMMYFUNCTION("IMPORTRANGE(""https://docs.google.com/spreadsheets/d/""&amp;$A298&amp;""/edit#gid=156619080"",AK$3)"),"#REF!")</f>
        <v>#REF!</v>
      </c>
      <c r="AL298" s="2" t="str">
        <f>IFERROR(__xludf.DUMMYFUNCTION("IMPORTRANGE(""https://docs.google.com/spreadsheets/d/""&amp;$A298&amp;""/edit#gid=156619080"",AL$3)"),"#REF!")</f>
        <v>#REF!</v>
      </c>
      <c r="AM298" s="2" t="str">
        <f>IFERROR(__xludf.DUMMYFUNCTION("IMPORTRANGE(""https://docs.google.com/spreadsheets/d/""&amp;$A298&amp;""/edit#gid=156619080"",AM$3)"),"#REF!")</f>
        <v>#REF!</v>
      </c>
      <c r="AN298" s="2" t="str">
        <f>IFERROR(__xludf.DUMMYFUNCTION("IMPORTRANGE(""https://docs.google.com/spreadsheets/d/""&amp;$A298&amp;""/edit#gid=156619080"",AN$3)"),"#REF!")</f>
        <v>#REF!</v>
      </c>
      <c r="AO298" s="2" t="str">
        <f>IFERROR(__xludf.DUMMYFUNCTION("IMPORTRANGE(""https://docs.google.com/spreadsheets/d/""&amp;$A298&amp;""/edit#gid=156619080"",AO$3)"),"#REF!")</f>
        <v>#REF!</v>
      </c>
      <c r="AP298" s="2" t="str">
        <f>IFERROR(__xludf.DUMMYFUNCTION("IMPORTRANGE(""https://docs.google.com/spreadsheets/d/""&amp;$A298&amp;""/edit#gid=156619080"",AP$3)"),"#REF!")</f>
        <v>#REF!</v>
      </c>
      <c r="AQ298" s="2" t="str">
        <f>IFERROR(__xludf.DUMMYFUNCTION("IMPORTRANGE(""https://docs.google.com/spreadsheets/d/""&amp;$A298&amp;""/edit#gid=156619080"",AQ$3)"),"#REF!")</f>
        <v>#REF!</v>
      </c>
      <c r="AR298" s="2" t="str">
        <f>IFERROR(__xludf.DUMMYFUNCTION("IMPORTRANGE(""https://docs.google.com/spreadsheets/d/""&amp;$A298&amp;""/edit#gid=156619080"",AR$3)"),"#REF!")</f>
        <v>#REF!</v>
      </c>
      <c r="AS298" s="19" t="str">
        <f>IFERROR(__xludf.DUMMYFUNCTION("IMPORTRANGE(""https://docs.google.com/spreadsheets/d/""&amp;$A298&amp;""/edit#gid=156619080"",AS$3)"),"#REF!")</f>
        <v>#REF!</v>
      </c>
      <c r="AT298" s="2" t="str">
        <f>IFERROR(__xludf.DUMMYFUNCTION("IMPORTRANGE(""https://docs.google.com/spreadsheets/d/""&amp;$A298&amp;""/edit#gid=156619080"",AT$3)"),"#REF!")</f>
        <v>#REF!</v>
      </c>
      <c r="AU298" s="3" t="str">
        <f>IFERROR(__xludf.DUMMYFUNCTION("IMPORTRANGE(""https://docs.google.com/spreadsheets/d/""&amp;$A298&amp;""/edit#gid=156619080"",AU$3)"),"#REF!")</f>
        <v>#REF!</v>
      </c>
      <c r="AV298" s="2" t="str">
        <f>IFERROR(__xludf.DUMMYFUNCTION("IMPORTRANGE(""https://docs.google.com/spreadsheets/d/""&amp;$A298&amp;""/edit#gid=156619080"",AV$3)"),"#REF!")</f>
        <v>#REF!</v>
      </c>
      <c r="AW298" s="19" t="str">
        <f>IFERROR(__xludf.DUMMYFUNCTION("IMPORTRANGE(""https://docs.google.com/spreadsheets/d/""&amp;$A298&amp;""/edit#gid=156619080"",AW$3)"),"#REF!")</f>
        <v>#REF!</v>
      </c>
      <c r="AX298" s="2" t="str">
        <f>IFERROR(__xludf.DUMMYFUNCTION("IMPORTRANGE(""https://docs.google.com/spreadsheets/d/""&amp;$A298&amp;""/edit#gid=156619080"",AX$3)"),"#REF!")</f>
        <v>#REF!</v>
      </c>
      <c r="AY298" s="2" t="str">
        <f>IFERROR(__xludf.DUMMYFUNCTION("IMPORTRANGE(""https://docs.google.com/spreadsheets/d/""&amp;$A298&amp;""/edit#gid=156619080"",AY$3)"),"#REF!")</f>
        <v>#REF!</v>
      </c>
      <c r="AZ298" s="2" t="str">
        <f>IFERROR(__xludf.DUMMYFUNCTION("IMPORTRANGE(""https://docs.google.com/spreadsheets/d/""&amp;$A298&amp;""/edit#gid=156619080"",AZ$3)"),"#REF!")</f>
        <v>#REF!</v>
      </c>
      <c r="BA298" s="2" t="str">
        <f>IFERROR(__xludf.DUMMYFUNCTION("IMPORTRANGE(""https://docs.google.com/spreadsheets/d/""&amp;$A298&amp;""/edit#gid=156619080"",BA$3)"),"#REF!")</f>
        <v>#REF!</v>
      </c>
      <c r="BB298" s="2" t="str">
        <f>IFERROR(__xludf.DUMMYFUNCTION("IMPORTRANGE(""https://docs.google.com/spreadsheets/d/""&amp;$A298&amp;""/edit#gid=156619080"",BB$3)"),"#REF!")</f>
        <v>#REF!</v>
      </c>
      <c r="BC298" s="2" t="str">
        <f>IFERROR(__xludf.DUMMYFUNCTION("IMPORTRANGE(""https://docs.google.com/spreadsheets/d/""&amp;$A298&amp;""/edit#gid=156619080"",BC$3)"),"#REF!")</f>
        <v>#REF!</v>
      </c>
    </row>
    <row r="299" ht="51.0" customHeight="1">
      <c r="A299" s="7" t="str">
        <f t="shared" si="5"/>
        <v>1dX89bwNXzOm9_c3kq1R8zA4HDMdU0uXLikN3vAx6fVs</v>
      </c>
      <c r="B299" s="1" t="s">
        <v>326</v>
      </c>
      <c r="C299" s="2" t="str">
        <f>IFERROR(__xludf.DUMMYFUNCTION("IMPORTRANGE(""https://docs.google.com/spreadsheets/d/""&amp;$A299&amp;""/edit#gid=156619080"",C$3)"),"#REF!")</f>
        <v>#REF!</v>
      </c>
      <c r="D299" s="2" t="str">
        <f>IFERROR(__xludf.DUMMYFUNCTION("IMPORTRANGE(""https://docs.google.com/spreadsheets/d/""&amp;$A299&amp;""/edit#gid=156619080"",D$3)"),"#REF!")</f>
        <v>#REF!</v>
      </c>
      <c r="E299" s="2" t="str">
        <f>IFERROR(__xludf.DUMMYFUNCTION("IMPORTRANGE(""https://docs.google.com/spreadsheets/d/""&amp;$A299&amp;""/edit#gid=156619080"",E$3)"),"#REF!")</f>
        <v>#REF!</v>
      </c>
      <c r="F299" s="2" t="str">
        <f>IFERROR(__xludf.DUMMYFUNCTION("IMPORTRANGE(""https://docs.google.com/spreadsheets/d/""&amp;$A299&amp;""/edit#gid=156619080"",F$3)"),"#REF!")</f>
        <v>#REF!</v>
      </c>
      <c r="G299" s="2" t="str">
        <f>IFERROR(__xludf.DUMMYFUNCTION("IMPORTRANGE(""https://docs.google.com/spreadsheets/d/""&amp;$A299&amp;""/edit#gid=156619080"",G$3)"),"#REF!")</f>
        <v>#REF!</v>
      </c>
      <c r="H299" s="2" t="str">
        <f>IFERROR(__xludf.DUMMYFUNCTION("IMPORTRANGE(""https://docs.google.com/spreadsheets/d/""&amp;$A299&amp;""/edit#gid=156619080"",H$3)"),"#REF!")</f>
        <v>#REF!</v>
      </c>
      <c r="I299" s="2" t="str">
        <f>IFERROR(__xludf.DUMMYFUNCTION("IMPORTRANGE(""https://docs.google.com/spreadsheets/d/""&amp;$A299&amp;""/edit#gid=156619080"",I$3)"),"#REF!")</f>
        <v>#REF!</v>
      </c>
      <c r="J299" s="2" t="str">
        <f>IFERROR(__xludf.DUMMYFUNCTION("IMPORTRANGE(""https://docs.google.com/spreadsheets/d/""&amp;$A299&amp;""/edit#gid=156619080"",J$3)"),"#REF!")</f>
        <v>#REF!</v>
      </c>
      <c r="K299" s="2" t="str">
        <f>IFERROR(__xludf.DUMMYFUNCTION("IMPORTRANGE(""https://docs.google.com/spreadsheets/d/""&amp;$A299&amp;""/edit#gid=156619080"",K$3)"),"#REF!")</f>
        <v>#REF!</v>
      </c>
      <c r="L299" s="2" t="str">
        <f>IFERROR(__xludf.DUMMYFUNCTION("IMPORTRANGE(""https://docs.google.com/spreadsheets/d/""&amp;$A299&amp;""/edit#gid=156619080"",L$3)"),"#REF!")</f>
        <v>#REF!</v>
      </c>
      <c r="M299" s="2" t="str">
        <f>IFERROR(__xludf.DUMMYFUNCTION("IMPORTRANGE(""https://docs.google.com/spreadsheets/d/""&amp;$A299&amp;""/edit#gid=156619080"",M$3)"),"#REF!")</f>
        <v>#REF!</v>
      </c>
      <c r="N299" s="2" t="str">
        <f>IFERROR(__xludf.DUMMYFUNCTION("IMPORTRANGE(""https://docs.google.com/spreadsheets/d/""&amp;$A299&amp;""/edit#gid=156619080"",N$3)"),"#REF!")</f>
        <v>#REF!</v>
      </c>
      <c r="O299" s="2" t="str">
        <f>IFERROR(__xludf.DUMMYFUNCTION("IMPORTRANGE(""https://docs.google.com/spreadsheets/d/""&amp;$A299&amp;""/edit#gid=156619080"",O$3)"),"#REF!")</f>
        <v>#REF!</v>
      </c>
      <c r="P299" s="2" t="str">
        <f>IFERROR(__xludf.DUMMYFUNCTION("IMPORTRANGE(""https://docs.google.com/spreadsheets/d/""&amp;$A299&amp;""/edit#gid=156619080"",P$3)"),"#REF!")</f>
        <v>#REF!</v>
      </c>
      <c r="Q299" s="2" t="str">
        <f>IFERROR(__xludf.DUMMYFUNCTION("IMPORTRANGE(""https://docs.google.com/spreadsheets/d/""&amp;$A299&amp;""/edit#gid=156619080"",Q$3)"),"#REF!")</f>
        <v>#REF!</v>
      </c>
      <c r="R299" s="2" t="str">
        <f>IFERROR(__xludf.DUMMYFUNCTION("IMPORTRANGE(""https://docs.google.com/spreadsheets/d/""&amp;$A299&amp;""/edit#gid=156619080"",R$3)"),"#REF!")</f>
        <v>#REF!</v>
      </c>
      <c r="S299" s="2" t="str">
        <f>IFERROR(__xludf.DUMMYFUNCTION("IMPORTRANGE(""https://docs.google.com/spreadsheets/d/""&amp;$A299&amp;""/edit#gid=156619080"",S$3)"),"#REF!")</f>
        <v>#REF!</v>
      </c>
      <c r="T299" s="2" t="str">
        <f>IFERROR(__xludf.DUMMYFUNCTION("IMPORTRANGE(""https://docs.google.com/spreadsheets/d/""&amp;$A299&amp;""/edit#gid=156619080"",T$3)"),"#REF!")</f>
        <v>#REF!</v>
      </c>
      <c r="U299" s="2" t="str">
        <f>IFERROR(__xludf.DUMMYFUNCTION("IMPORTRANGE(""https://docs.google.com/spreadsheets/d/""&amp;$A299&amp;""/edit#gid=156619080"",U$3)"),"#REF!")</f>
        <v>#REF!</v>
      </c>
      <c r="V299" s="2" t="str">
        <f>IFERROR(__xludf.DUMMYFUNCTION("IMPORTRANGE(""https://docs.google.com/spreadsheets/d/""&amp;$A299&amp;""/edit#gid=156619080"",V$3)"),"#REF!")</f>
        <v>#REF!</v>
      </c>
      <c r="W299" s="2" t="str">
        <f>IFERROR(__xludf.DUMMYFUNCTION("IMPORTRANGE(""https://docs.google.com/spreadsheets/d/""&amp;$A299&amp;""/edit#gid=156619080"",W$3)"),"#REF!")</f>
        <v>#REF!</v>
      </c>
      <c r="X299" s="2" t="str">
        <f>IFERROR(__xludf.DUMMYFUNCTION("IMPORTRANGE(""https://docs.google.com/spreadsheets/d/""&amp;$A299&amp;""/edit#gid=156619080"",X$3)"),"#REF!")</f>
        <v>#REF!</v>
      </c>
      <c r="Y299" s="2" t="str">
        <f>IFERROR(__xludf.DUMMYFUNCTION("IMPORTRANGE(""https://docs.google.com/spreadsheets/d/""&amp;$A299&amp;""/edit#gid=156619080"",Y$3)"),"#REF!")</f>
        <v>#REF!</v>
      </c>
      <c r="Z299" s="2" t="str">
        <f>IFERROR(__xludf.DUMMYFUNCTION("IMPORTRANGE(""https://docs.google.com/spreadsheets/d/""&amp;$A299&amp;""/edit#gid=156619080"",Z$3)"),"#REF!")</f>
        <v>#REF!</v>
      </c>
      <c r="AA299" s="2" t="str">
        <f>IFERROR(__xludf.DUMMYFUNCTION("IMPORTRANGE(""https://docs.google.com/spreadsheets/d/""&amp;$A299&amp;""/edit#gid=156619080"",AA$3)"),"#REF!")</f>
        <v>#REF!</v>
      </c>
      <c r="AB299" s="2" t="str">
        <f>IFERROR(__xludf.DUMMYFUNCTION("IMPORTRANGE(""https://docs.google.com/spreadsheets/d/""&amp;$A299&amp;""/edit#gid=156619080"",AB$3)"),"#REF!")</f>
        <v>#REF!</v>
      </c>
      <c r="AC299" s="2" t="str">
        <f>IFERROR(__xludf.DUMMYFUNCTION("IMPORTRANGE(""https://docs.google.com/spreadsheets/d/""&amp;$A299&amp;""/edit#gid=156619080"",AC$3)"),"#REF!")</f>
        <v>#REF!</v>
      </c>
      <c r="AD299" s="2" t="str">
        <f>IFERROR(__xludf.DUMMYFUNCTION("IMPORTRANGE(""https://docs.google.com/spreadsheets/d/""&amp;$A299&amp;""/edit#gid=156619080"",AD$3)"),"#REF!")</f>
        <v>#REF!</v>
      </c>
      <c r="AE299" s="2" t="str">
        <f>IFERROR(__xludf.DUMMYFUNCTION("IMPORTRANGE(""https://docs.google.com/spreadsheets/d/""&amp;$A299&amp;""/edit#gid=156619080"",AE$3)"),"#REF!")</f>
        <v>#REF!</v>
      </c>
      <c r="AF299" s="2" t="str">
        <f>IFERROR(__xludf.DUMMYFUNCTION("IMPORTRANGE(""https://docs.google.com/spreadsheets/d/""&amp;$A299&amp;""/edit#gid=156619080"",AF$3)"),"#REF!")</f>
        <v>#REF!</v>
      </c>
      <c r="AG299" s="2" t="str">
        <f>IFERROR(__xludf.DUMMYFUNCTION("IMPORTRANGE(""https://docs.google.com/spreadsheets/d/""&amp;$A299&amp;""/edit#gid=156619080"",AG$3)"),"#REF!")</f>
        <v>#REF!</v>
      </c>
      <c r="AH299" s="2" t="str">
        <f>IFERROR(__xludf.DUMMYFUNCTION("IMPORTRANGE(""https://docs.google.com/spreadsheets/d/""&amp;$A299&amp;""/edit#gid=156619080"",AH$3)"),"#REF!")</f>
        <v>#REF!</v>
      </c>
      <c r="AI299" s="2" t="str">
        <f>IFERROR(__xludf.DUMMYFUNCTION("IMPORTRANGE(""https://docs.google.com/spreadsheets/d/""&amp;$A299&amp;""/edit#gid=156619080"",AI$3)"),"#REF!")</f>
        <v>#REF!</v>
      </c>
      <c r="AJ299" s="2" t="str">
        <f>IFERROR(__xludf.DUMMYFUNCTION("IMPORTRANGE(""https://docs.google.com/spreadsheets/d/""&amp;$A299&amp;""/edit#gid=156619080"",AJ$3)"),"#REF!")</f>
        <v>#REF!</v>
      </c>
      <c r="AK299" s="2" t="str">
        <f>IFERROR(__xludf.DUMMYFUNCTION("IMPORTRANGE(""https://docs.google.com/spreadsheets/d/""&amp;$A299&amp;""/edit#gid=156619080"",AK$3)"),"#REF!")</f>
        <v>#REF!</v>
      </c>
      <c r="AL299" s="2" t="str">
        <f>IFERROR(__xludf.DUMMYFUNCTION("IMPORTRANGE(""https://docs.google.com/spreadsheets/d/""&amp;$A299&amp;""/edit#gid=156619080"",AL$3)"),"#REF!")</f>
        <v>#REF!</v>
      </c>
      <c r="AM299" s="2" t="str">
        <f>IFERROR(__xludf.DUMMYFUNCTION("IMPORTRANGE(""https://docs.google.com/spreadsheets/d/""&amp;$A299&amp;""/edit#gid=156619080"",AM$3)"),"#REF!")</f>
        <v>#REF!</v>
      </c>
      <c r="AN299" s="2" t="str">
        <f>IFERROR(__xludf.DUMMYFUNCTION("IMPORTRANGE(""https://docs.google.com/spreadsheets/d/""&amp;$A299&amp;""/edit#gid=156619080"",AN$3)"),"#REF!")</f>
        <v>#REF!</v>
      </c>
      <c r="AO299" s="2" t="str">
        <f>IFERROR(__xludf.DUMMYFUNCTION("IMPORTRANGE(""https://docs.google.com/spreadsheets/d/""&amp;$A299&amp;""/edit#gid=156619080"",AO$3)"),"#REF!")</f>
        <v>#REF!</v>
      </c>
      <c r="AP299" s="2" t="str">
        <f>IFERROR(__xludf.DUMMYFUNCTION("IMPORTRANGE(""https://docs.google.com/spreadsheets/d/""&amp;$A299&amp;""/edit#gid=156619080"",AP$3)"),"#REF!")</f>
        <v>#REF!</v>
      </c>
      <c r="AQ299" s="2" t="str">
        <f>IFERROR(__xludf.DUMMYFUNCTION("IMPORTRANGE(""https://docs.google.com/spreadsheets/d/""&amp;$A299&amp;""/edit#gid=156619080"",AQ$3)"),"#REF!")</f>
        <v>#REF!</v>
      </c>
      <c r="AR299" s="2" t="str">
        <f>IFERROR(__xludf.DUMMYFUNCTION("IMPORTRANGE(""https://docs.google.com/spreadsheets/d/""&amp;$A299&amp;""/edit#gid=156619080"",AR$3)"),"#REF!")</f>
        <v>#REF!</v>
      </c>
      <c r="AS299" s="19" t="str">
        <f>IFERROR(__xludf.DUMMYFUNCTION("IMPORTRANGE(""https://docs.google.com/spreadsheets/d/""&amp;$A299&amp;""/edit#gid=156619080"",AS$3)"),"#REF!")</f>
        <v>#REF!</v>
      </c>
      <c r="AT299" s="2" t="str">
        <f>IFERROR(__xludf.DUMMYFUNCTION("IMPORTRANGE(""https://docs.google.com/spreadsheets/d/""&amp;$A299&amp;""/edit#gid=156619080"",AT$3)"),"#REF!")</f>
        <v>#REF!</v>
      </c>
      <c r="AU299" s="3" t="str">
        <f>IFERROR(__xludf.DUMMYFUNCTION("IMPORTRANGE(""https://docs.google.com/spreadsheets/d/""&amp;$A299&amp;""/edit#gid=156619080"",AU$3)"),"#REF!")</f>
        <v>#REF!</v>
      </c>
      <c r="AV299" s="2" t="str">
        <f>IFERROR(__xludf.DUMMYFUNCTION("IMPORTRANGE(""https://docs.google.com/spreadsheets/d/""&amp;$A299&amp;""/edit#gid=156619080"",AV$3)"),"#REF!")</f>
        <v>#REF!</v>
      </c>
      <c r="AW299" s="19" t="str">
        <f>IFERROR(__xludf.DUMMYFUNCTION("IMPORTRANGE(""https://docs.google.com/spreadsheets/d/""&amp;$A299&amp;""/edit#gid=156619080"",AW$3)"),"#REF!")</f>
        <v>#REF!</v>
      </c>
      <c r="AX299" s="2" t="str">
        <f>IFERROR(__xludf.DUMMYFUNCTION("IMPORTRANGE(""https://docs.google.com/spreadsheets/d/""&amp;$A299&amp;""/edit#gid=156619080"",AX$3)"),"#REF!")</f>
        <v>#REF!</v>
      </c>
      <c r="AY299" s="2" t="str">
        <f>IFERROR(__xludf.DUMMYFUNCTION("IMPORTRANGE(""https://docs.google.com/spreadsheets/d/""&amp;$A299&amp;""/edit#gid=156619080"",AY$3)"),"#REF!")</f>
        <v>#REF!</v>
      </c>
      <c r="AZ299" s="2" t="str">
        <f>IFERROR(__xludf.DUMMYFUNCTION("IMPORTRANGE(""https://docs.google.com/spreadsheets/d/""&amp;$A299&amp;""/edit#gid=156619080"",AZ$3)"),"#REF!")</f>
        <v>#REF!</v>
      </c>
      <c r="BA299" s="2" t="str">
        <f>IFERROR(__xludf.DUMMYFUNCTION("IMPORTRANGE(""https://docs.google.com/spreadsheets/d/""&amp;$A299&amp;""/edit#gid=156619080"",BA$3)"),"#REF!")</f>
        <v>#REF!</v>
      </c>
      <c r="BB299" s="2" t="str">
        <f>IFERROR(__xludf.DUMMYFUNCTION("IMPORTRANGE(""https://docs.google.com/spreadsheets/d/""&amp;$A299&amp;""/edit#gid=156619080"",BB$3)"),"#REF!")</f>
        <v>#REF!</v>
      </c>
      <c r="BC299" s="2" t="str">
        <f>IFERROR(__xludf.DUMMYFUNCTION("IMPORTRANGE(""https://docs.google.com/spreadsheets/d/""&amp;$A299&amp;""/edit#gid=156619080"",BC$3)"),"#REF!")</f>
        <v>#REF!</v>
      </c>
    </row>
    <row r="300" ht="51.0" customHeight="1">
      <c r="A300" s="7" t="str">
        <f t="shared" si="5"/>
        <v>1VykJr6MpDLZUnldaBPK9AfaI3-OQYmsa1Paa0gUEAE8</v>
      </c>
      <c r="B300" s="1" t="s">
        <v>327</v>
      </c>
      <c r="C300" s="2" t="str">
        <f>IFERROR(__xludf.DUMMYFUNCTION("IMPORTRANGE(""https://docs.google.com/spreadsheets/d/""&amp;$A300&amp;""/edit#gid=156619080"",C$3)"),"#REF!")</f>
        <v>#REF!</v>
      </c>
      <c r="D300" s="2" t="str">
        <f>IFERROR(__xludf.DUMMYFUNCTION("IMPORTRANGE(""https://docs.google.com/spreadsheets/d/""&amp;$A300&amp;""/edit#gid=156619080"",D$3)"),"#REF!")</f>
        <v>#REF!</v>
      </c>
      <c r="E300" s="2" t="str">
        <f>IFERROR(__xludf.DUMMYFUNCTION("IMPORTRANGE(""https://docs.google.com/spreadsheets/d/""&amp;$A300&amp;""/edit#gid=156619080"",E$3)"),"#REF!")</f>
        <v>#REF!</v>
      </c>
      <c r="F300" s="2" t="str">
        <f>IFERROR(__xludf.DUMMYFUNCTION("IMPORTRANGE(""https://docs.google.com/spreadsheets/d/""&amp;$A300&amp;""/edit#gid=156619080"",F$3)"),"#REF!")</f>
        <v>#REF!</v>
      </c>
      <c r="G300" s="2" t="str">
        <f>IFERROR(__xludf.DUMMYFUNCTION("IMPORTRANGE(""https://docs.google.com/spreadsheets/d/""&amp;$A300&amp;""/edit#gid=156619080"",G$3)"),"#REF!")</f>
        <v>#REF!</v>
      </c>
      <c r="H300" s="2" t="str">
        <f>IFERROR(__xludf.DUMMYFUNCTION("IMPORTRANGE(""https://docs.google.com/spreadsheets/d/""&amp;$A300&amp;""/edit#gid=156619080"",H$3)"),"#REF!")</f>
        <v>#REF!</v>
      </c>
      <c r="I300" s="2" t="str">
        <f>IFERROR(__xludf.DUMMYFUNCTION("IMPORTRANGE(""https://docs.google.com/spreadsheets/d/""&amp;$A300&amp;""/edit#gid=156619080"",I$3)"),"#REF!")</f>
        <v>#REF!</v>
      </c>
      <c r="J300" s="2" t="str">
        <f>IFERROR(__xludf.DUMMYFUNCTION("IMPORTRANGE(""https://docs.google.com/spreadsheets/d/""&amp;$A300&amp;""/edit#gid=156619080"",J$3)"),"#REF!")</f>
        <v>#REF!</v>
      </c>
      <c r="K300" s="2" t="str">
        <f>IFERROR(__xludf.DUMMYFUNCTION("IMPORTRANGE(""https://docs.google.com/spreadsheets/d/""&amp;$A300&amp;""/edit#gid=156619080"",K$3)"),"#REF!")</f>
        <v>#REF!</v>
      </c>
      <c r="L300" s="2" t="str">
        <f>IFERROR(__xludf.DUMMYFUNCTION("IMPORTRANGE(""https://docs.google.com/spreadsheets/d/""&amp;$A300&amp;""/edit#gid=156619080"",L$3)"),"#REF!")</f>
        <v>#REF!</v>
      </c>
      <c r="M300" s="2" t="str">
        <f>IFERROR(__xludf.DUMMYFUNCTION("IMPORTRANGE(""https://docs.google.com/spreadsheets/d/""&amp;$A300&amp;""/edit#gid=156619080"",M$3)"),"#REF!")</f>
        <v>#REF!</v>
      </c>
      <c r="N300" s="2" t="str">
        <f>IFERROR(__xludf.DUMMYFUNCTION("IMPORTRANGE(""https://docs.google.com/spreadsheets/d/""&amp;$A300&amp;""/edit#gid=156619080"",N$3)"),"#REF!")</f>
        <v>#REF!</v>
      </c>
      <c r="O300" s="2" t="str">
        <f>IFERROR(__xludf.DUMMYFUNCTION("IMPORTRANGE(""https://docs.google.com/spreadsheets/d/""&amp;$A300&amp;""/edit#gid=156619080"",O$3)"),"#REF!")</f>
        <v>#REF!</v>
      </c>
      <c r="P300" s="2" t="str">
        <f>IFERROR(__xludf.DUMMYFUNCTION("IMPORTRANGE(""https://docs.google.com/spreadsheets/d/""&amp;$A300&amp;""/edit#gid=156619080"",P$3)"),"#REF!")</f>
        <v>#REF!</v>
      </c>
      <c r="Q300" s="2" t="str">
        <f>IFERROR(__xludf.DUMMYFUNCTION("IMPORTRANGE(""https://docs.google.com/spreadsheets/d/""&amp;$A300&amp;""/edit#gid=156619080"",Q$3)"),"#REF!")</f>
        <v>#REF!</v>
      </c>
      <c r="R300" s="2" t="str">
        <f>IFERROR(__xludf.DUMMYFUNCTION("IMPORTRANGE(""https://docs.google.com/spreadsheets/d/""&amp;$A300&amp;""/edit#gid=156619080"",R$3)"),"#REF!")</f>
        <v>#REF!</v>
      </c>
      <c r="S300" s="2" t="str">
        <f>IFERROR(__xludf.DUMMYFUNCTION("IMPORTRANGE(""https://docs.google.com/spreadsheets/d/""&amp;$A300&amp;""/edit#gid=156619080"",S$3)"),"#REF!")</f>
        <v>#REF!</v>
      </c>
      <c r="T300" s="2" t="str">
        <f>IFERROR(__xludf.DUMMYFUNCTION("IMPORTRANGE(""https://docs.google.com/spreadsheets/d/""&amp;$A300&amp;""/edit#gid=156619080"",T$3)"),"#REF!")</f>
        <v>#REF!</v>
      </c>
      <c r="U300" s="2" t="str">
        <f>IFERROR(__xludf.DUMMYFUNCTION("IMPORTRANGE(""https://docs.google.com/spreadsheets/d/""&amp;$A300&amp;""/edit#gid=156619080"",U$3)"),"#REF!")</f>
        <v>#REF!</v>
      </c>
      <c r="V300" s="2" t="str">
        <f>IFERROR(__xludf.DUMMYFUNCTION("IMPORTRANGE(""https://docs.google.com/spreadsheets/d/""&amp;$A300&amp;""/edit#gid=156619080"",V$3)"),"#REF!")</f>
        <v>#REF!</v>
      </c>
      <c r="W300" s="2" t="str">
        <f>IFERROR(__xludf.DUMMYFUNCTION("IMPORTRANGE(""https://docs.google.com/spreadsheets/d/""&amp;$A300&amp;""/edit#gid=156619080"",W$3)"),"#REF!")</f>
        <v>#REF!</v>
      </c>
      <c r="X300" s="2" t="str">
        <f>IFERROR(__xludf.DUMMYFUNCTION("IMPORTRANGE(""https://docs.google.com/spreadsheets/d/""&amp;$A300&amp;""/edit#gid=156619080"",X$3)"),"#REF!")</f>
        <v>#REF!</v>
      </c>
      <c r="Y300" s="2" t="str">
        <f>IFERROR(__xludf.DUMMYFUNCTION("IMPORTRANGE(""https://docs.google.com/spreadsheets/d/""&amp;$A300&amp;""/edit#gid=156619080"",Y$3)"),"#REF!")</f>
        <v>#REF!</v>
      </c>
      <c r="Z300" s="2" t="str">
        <f>IFERROR(__xludf.DUMMYFUNCTION("IMPORTRANGE(""https://docs.google.com/spreadsheets/d/""&amp;$A300&amp;""/edit#gid=156619080"",Z$3)"),"#REF!")</f>
        <v>#REF!</v>
      </c>
      <c r="AA300" s="2" t="str">
        <f>IFERROR(__xludf.DUMMYFUNCTION("IMPORTRANGE(""https://docs.google.com/spreadsheets/d/""&amp;$A300&amp;""/edit#gid=156619080"",AA$3)"),"#REF!")</f>
        <v>#REF!</v>
      </c>
      <c r="AB300" s="2" t="str">
        <f>IFERROR(__xludf.DUMMYFUNCTION("IMPORTRANGE(""https://docs.google.com/spreadsheets/d/""&amp;$A300&amp;""/edit#gid=156619080"",AB$3)"),"#REF!")</f>
        <v>#REF!</v>
      </c>
      <c r="AC300" s="2" t="str">
        <f>IFERROR(__xludf.DUMMYFUNCTION("IMPORTRANGE(""https://docs.google.com/spreadsheets/d/""&amp;$A300&amp;""/edit#gid=156619080"",AC$3)"),"#REF!")</f>
        <v>#REF!</v>
      </c>
      <c r="AD300" s="2" t="str">
        <f>IFERROR(__xludf.DUMMYFUNCTION("IMPORTRANGE(""https://docs.google.com/spreadsheets/d/""&amp;$A300&amp;""/edit#gid=156619080"",AD$3)"),"#REF!")</f>
        <v>#REF!</v>
      </c>
      <c r="AE300" s="2" t="str">
        <f>IFERROR(__xludf.DUMMYFUNCTION("IMPORTRANGE(""https://docs.google.com/spreadsheets/d/""&amp;$A300&amp;""/edit#gid=156619080"",AE$3)"),"#REF!")</f>
        <v>#REF!</v>
      </c>
      <c r="AF300" s="2" t="str">
        <f>IFERROR(__xludf.DUMMYFUNCTION("IMPORTRANGE(""https://docs.google.com/spreadsheets/d/""&amp;$A300&amp;""/edit#gid=156619080"",AF$3)"),"#REF!")</f>
        <v>#REF!</v>
      </c>
      <c r="AG300" s="2" t="str">
        <f>IFERROR(__xludf.DUMMYFUNCTION("IMPORTRANGE(""https://docs.google.com/spreadsheets/d/""&amp;$A300&amp;""/edit#gid=156619080"",AG$3)"),"#REF!")</f>
        <v>#REF!</v>
      </c>
      <c r="AH300" s="2" t="str">
        <f>IFERROR(__xludf.DUMMYFUNCTION("IMPORTRANGE(""https://docs.google.com/spreadsheets/d/""&amp;$A300&amp;""/edit#gid=156619080"",AH$3)"),"#REF!")</f>
        <v>#REF!</v>
      </c>
      <c r="AI300" s="2" t="str">
        <f>IFERROR(__xludf.DUMMYFUNCTION("IMPORTRANGE(""https://docs.google.com/spreadsheets/d/""&amp;$A300&amp;""/edit#gid=156619080"",AI$3)"),"#REF!")</f>
        <v>#REF!</v>
      </c>
      <c r="AJ300" s="2" t="str">
        <f>IFERROR(__xludf.DUMMYFUNCTION("IMPORTRANGE(""https://docs.google.com/spreadsheets/d/""&amp;$A300&amp;""/edit#gid=156619080"",AJ$3)"),"#REF!")</f>
        <v>#REF!</v>
      </c>
      <c r="AK300" s="2" t="str">
        <f>IFERROR(__xludf.DUMMYFUNCTION("IMPORTRANGE(""https://docs.google.com/spreadsheets/d/""&amp;$A300&amp;""/edit#gid=156619080"",AK$3)"),"#REF!")</f>
        <v>#REF!</v>
      </c>
      <c r="AL300" s="2" t="str">
        <f>IFERROR(__xludf.DUMMYFUNCTION("IMPORTRANGE(""https://docs.google.com/spreadsheets/d/""&amp;$A300&amp;""/edit#gid=156619080"",AL$3)"),"#REF!")</f>
        <v>#REF!</v>
      </c>
      <c r="AM300" s="2" t="str">
        <f>IFERROR(__xludf.DUMMYFUNCTION("IMPORTRANGE(""https://docs.google.com/spreadsheets/d/""&amp;$A300&amp;""/edit#gid=156619080"",AM$3)"),"#REF!")</f>
        <v>#REF!</v>
      </c>
      <c r="AN300" s="2" t="str">
        <f>IFERROR(__xludf.DUMMYFUNCTION("IMPORTRANGE(""https://docs.google.com/spreadsheets/d/""&amp;$A300&amp;""/edit#gid=156619080"",AN$3)"),"#REF!")</f>
        <v>#REF!</v>
      </c>
      <c r="AO300" s="2" t="str">
        <f>IFERROR(__xludf.DUMMYFUNCTION("IMPORTRANGE(""https://docs.google.com/spreadsheets/d/""&amp;$A300&amp;""/edit#gid=156619080"",AO$3)"),"#REF!")</f>
        <v>#REF!</v>
      </c>
      <c r="AP300" s="2" t="str">
        <f>IFERROR(__xludf.DUMMYFUNCTION("IMPORTRANGE(""https://docs.google.com/spreadsheets/d/""&amp;$A300&amp;""/edit#gid=156619080"",AP$3)"),"#REF!")</f>
        <v>#REF!</v>
      </c>
      <c r="AQ300" s="2" t="str">
        <f>IFERROR(__xludf.DUMMYFUNCTION("IMPORTRANGE(""https://docs.google.com/spreadsheets/d/""&amp;$A300&amp;""/edit#gid=156619080"",AQ$3)"),"#REF!")</f>
        <v>#REF!</v>
      </c>
      <c r="AR300" s="2" t="str">
        <f>IFERROR(__xludf.DUMMYFUNCTION("IMPORTRANGE(""https://docs.google.com/spreadsheets/d/""&amp;$A300&amp;""/edit#gid=156619080"",AR$3)"),"#REF!")</f>
        <v>#REF!</v>
      </c>
      <c r="AS300" s="19" t="str">
        <f>IFERROR(__xludf.DUMMYFUNCTION("IMPORTRANGE(""https://docs.google.com/spreadsheets/d/""&amp;$A300&amp;""/edit#gid=156619080"",AS$3)"),"#REF!")</f>
        <v>#REF!</v>
      </c>
      <c r="AT300" s="2" t="str">
        <f>IFERROR(__xludf.DUMMYFUNCTION("IMPORTRANGE(""https://docs.google.com/spreadsheets/d/""&amp;$A300&amp;""/edit#gid=156619080"",AT$3)"),"#REF!")</f>
        <v>#REF!</v>
      </c>
      <c r="AU300" s="3" t="str">
        <f>IFERROR(__xludf.DUMMYFUNCTION("IMPORTRANGE(""https://docs.google.com/spreadsheets/d/""&amp;$A300&amp;""/edit#gid=156619080"",AU$3)"),"#REF!")</f>
        <v>#REF!</v>
      </c>
      <c r="AV300" s="2" t="str">
        <f>IFERROR(__xludf.DUMMYFUNCTION("IMPORTRANGE(""https://docs.google.com/spreadsheets/d/""&amp;$A300&amp;""/edit#gid=156619080"",AV$3)"),"#REF!")</f>
        <v>#REF!</v>
      </c>
      <c r="AW300" s="19" t="str">
        <f>IFERROR(__xludf.DUMMYFUNCTION("IMPORTRANGE(""https://docs.google.com/spreadsheets/d/""&amp;$A300&amp;""/edit#gid=156619080"",AW$3)"),"#REF!")</f>
        <v>#REF!</v>
      </c>
      <c r="AX300" s="2" t="str">
        <f>IFERROR(__xludf.DUMMYFUNCTION("IMPORTRANGE(""https://docs.google.com/spreadsheets/d/""&amp;$A300&amp;""/edit#gid=156619080"",AX$3)"),"#REF!")</f>
        <v>#REF!</v>
      </c>
      <c r="AY300" s="2" t="str">
        <f>IFERROR(__xludf.DUMMYFUNCTION("IMPORTRANGE(""https://docs.google.com/spreadsheets/d/""&amp;$A300&amp;""/edit#gid=156619080"",AY$3)"),"#REF!")</f>
        <v>#REF!</v>
      </c>
      <c r="AZ300" s="2" t="str">
        <f>IFERROR(__xludf.DUMMYFUNCTION("IMPORTRANGE(""https://docs.google.com/spreadsheets/d/""&amp;$A300&amp;""/edit#gid=156619080"",AZ$3)"),"#REF!")</f>
        <v>#REF!</v>
      </c>
      <c r="BA300" s="2" t="str">
        <f>IFERROR(__xludf.DUMMYFUNCTION("IMPORTRANGE(""https://docs.google.com/spreadsheets/d/""&amp;$A300&amp;""/edit#gid=156619080"",BA$3)"),"#REF!")</f>
        <v>#REF!</v>
      </c>
      <c r="BB300" s="2" t="str">
        <f>IFERROR(__xludf.DUMMYFUNCTION("IMPORTRANGE(""https://docs.google.com/spreadsheets/d/""&amp;$A300&amp;""/edit#gid=156619080"",BB$3)"),"#REF!")</f>
        <v>#REF!</v>
      </c>
      <c r="BC300" s="2" t="str">
        <f>IFERROR(__xludf.DUMMYFUNCTION("IMPORTRANGE(""https://docs.google.com/spreadsheets/d/""&amp;$A300&amp;""/edit#gid=156619080"",BC$3)"),"#REF!")</f>
        <v>#REF!</v>
      </c>
    </row>
    <row r="301" ht="51.0" customHeight="1">
      <c r="A301" s="7" t="str">
        <f t="shared" si="5"/>
        <v>1MWX8HplQXtF1uXtj1wzECKh4Tt4mS22TrrkIaEvzEyw</v>
      </c>
      <c r="B301" s="1" t="s">
        <v>328</v>
      </c>
      <c r="C301" s="2" t="str">
        <f>IFERROR(__xludf.DUMMYFUNCTION("IMPORTRANGE(""https://docs.google.com/spreadsheets/d/""&amp;$A301&amp;""/edit#gid=156619080"",C$3)"),"#REF!")</f>
        <v>#REF!</v>
      </c>
      <c r="D301" s="2" t="str">
        <f>IFERROR(__xludf.DUMMYFUNCTION("IMPORTRANGE(""https://docs.google.com/spreadsheets/d/""&amp;$A301&amp;""/edit#gid=156619080"",D$3)"),"#REF!")</f>
        <v>#REF!</v>
      </c>
      <c r="E301" s="2" t="str">
        <f>IFERROR(__xludf.DUMMYFUNCTION("IMPORTRANGE(""https://docs.google.com/spreadsheets/d/""&amp;$A301&amp;""/edit#gid=156619080"",E$3)"),"#REF!")</f>
        <v>#REF!</v>
      </c>
      <c r="F301" s="2" t="str">
        <f>IFERROR(__xludf.DUMMYFUNCTION("IMPORTRANGE(""https://docs.google.com/spreadsheets/d/""&amp;$A301&amp;""/edit#gid=156619080"",F$3)"),"#REF!")</f>
        <v>#REF!</v>
      </c>
      <c r="G301" s="2" t="str">
        <f>IFERROR(__xludf.DUMMYFUNCTION("IMPORTRANGE(""https://docs.google.com/spreadsheets/d/""&amp;$A301&amp;""/edit#gid=156619080"",G$3)"),"#REF!")</f>
        <v>#REF!</v>
      </c>
      <c r="H301" s="2" t="str">
        <f>IFERROR(__xludf.DUMMYFUNCTION("IMPORTRANGE(""https://docs.google.com/spreadsheets/d/""&amp;$A301&amp;""/edit#gid=156619080"",H$3)"),"#REF!")</f>
        <v>#REF!</v>
      </c>
      <c r="I301" s="2" t="str">
        <f>IFERROR(__xludf.DUMMYFUNCTION("IMPORTRANGE(""https://docs.google.com/spreadsheets/d/""&amp;$A301&amp;""/edit#gid=156619080"",I$3)"),"#REF!")</f>
        <v>#REF!</v>
      </c>
      <c r="J301" s="2" t="str">
        <f>IFERROR(__xludf.DUMMYFUNCTION("IMPORTRANGE(""https://docs.google.com/spreadsheets/d/""&amp;$A301&amp;""/edit#gid=156619080"",J$3)"),"#REF!")</f>
        <v>#REF!</v>
      </c>
      <c r="K301" s="2" t="str">
        <f>IFERROR(__xludf.DUMMYFUNCTION("IMPORTRANGE(""https://docs.google.com/spreadsheets/d/""&amp;$A301&amp;""/edit#gid=156619080"",K$3)"),"#REF!")</f>
        <v>#REF!</v>
      </c>
      <c r="L301" s="2" t="str">
        <f>IFERROR(__xludf.DUMMYFUNCTION("IMPORTRANGE(""https://docs.google.com/spreadsheets/d/""&amp;$A301&amp;""/edit#gid=156619080"",L$3)"),"#REF!")</f>
        <v>#REF!</v>
      </c>
      <c r="M301" s="2" t="str">
        <f>IFERROR(__xludf.DUMMYFUNCTION("IMPORTRANGE(""https://docs.google.com/spreadsheets/d/""&amp;$A301&amp;""/edit#gid=156619080"",M$3)"),"#REF!")</f>
        <v>#REF!</v>
      </c>
      <c r="N301" s="2" t="str">
        <f>IFERROR(__xludf.DUMMYFUNCTION("IMPORTRANGE(""https://docs.google.com/spreadsheets/d/""&amp;$A301&amp;""/edit#gid=156619080"",N$3)"),"#REF!")</f>
        <v>#REF!</v>
      </c>
      <c r="O301" s="2" t="str">
        <f>IFERROR(__xludf.DUMMYFUNCTION("IMPORTRANGE(""https://docs.google.com/spreadsheets/d/""&amp;$A301&amp;""/edit#gid=156619080"",O$3)"),"#REF!")</f>
        <v>#REF!</v>
      </c>
      <c r="P301" s="2" t="str">
        <f>IFERROR(__xludf.DUMMYFUNCTION("IMPORTRANGE(""https://docs.google.com/spreadsheets/d/""&amp;$A301&amp;""/edit#gid=156619080"",P$3)"),"#REF!")</f>
        <v>#REF!</v>
      </c>
      <c r="Q301" s="2" t="str">
        <f>IFERROR(__xludf.DUMMYFUNCTION("IMPORTRANGE(""https://docs.google.com/spreadsheets/d/""&amp;$A301&amp;""/edit#gid=156619080"",Q$3)"),"#REF!")</f>
        <v>#REF!</v>
      </c>
      <c r="R301" s="2" t="str">
        <f>IFERROR(__xludf.DUMMYFUNCTION("IMPORTRANGE(""https://docs.google.com/spreadsheets/d/""&amp;$A301&amp;""/edit#gid=156619080"",R$3)"),"#REF!")</f>
        <v>#REF!</v>
      </c>
      <c r="S301" s="2" t="str">
        <f>IFERROR(__xludf.DUMMYFUNCTION("IMPORTRANGE(""https://docs.google.com/spreadsheets/d/""&amp;$A301&amp;""/edit#gid=156619080"",S$3)"),"#REF!")</f>
        <v>#REF!</v>
      </c>
      <c r="T301" s="2" t="str">
        <f>IFERROR(__xludf.DUMMYFUNCTION("IMPORTRANGE(""https://docs.google.com/spreadsheets/d/""&amp;$A301&amp;""/edit#gid=156619080"",T$3)"),"#REF!")</f>
        <v>#REF!</v>
      </c>
      <c r="U301" s="2" t="str">
        <f>IFERROR(__xludf.DUMMYFUNCTION("IMPORTRANGE(""https://docs.google.com/spreadsheets/d/""&amp;$A301&amp;""/edit#gid=156619080"",U$3)"),"#REF!")</f>
        <v>#REF!</v>
      </c>
      <c r="V301" s="2" t="str">
        <f>IFERROR(__xludf.DUMMYFUNCTION("IMPORTRANGE(""https://docs.google.com/spreadsheets/d/""&amp;$A301&amp;""/edit#gid=156619080"",V$3)"),"#REF!")</f>
        <v>#REF!</v>
      </c>
      <c r="W301" s="2" t="str">
        <f>IFERROR(__xludf.DUMMYFUNCTION("IMPORTRANGE(""https://docs.google.com/spreadsheets/d/""&amp;$A301&amp;""/edit#gid=156619080"",W$3)"),"#REF!")</f>
        <v>#REF!</v>
      </c>
      <c r="X301" s="2" t="str">
        <f>IFERROR(__xludf.DUMMYFUNCTION("IMPORTRANGE(""https://docs.google.com/spreadsheets/d/""&amp;$A301&amp;""/edit#gid=156619080"",X$3)"),"#REF!")</f>
        <v>#REF!</v>
      </c>
      <c r="Y301" s="2" t="str">
        <f>IFERROR(__xludf.DUMMYFUNCTION("IMPORTRANGE(""https://docs.google.com/spreadsheets/d/""&amp;$A301&amp;""/edit#gid=156619080"",Y$3)"),"#REF!")</f>
        <v>#REF!</v>
      </c>
      <c r="Z301" s="2" t="str">
        <f>IFERROR(__xludf.DUMMYFUNCTION("IMPORTRANGE(""https://docs.google.com/spreadsheets/d/""&amp;$A301&amp;""/edit#gid=156619080"",Z$3)"),"#REF!")</f>
        <v>#REF!</v>
      </c>
      <c r="AA301" s="2" t="str">
        <f>IFERROR(__xludf.DUMMYFUNCTION("IMPORTRANGE(""https://docs.google.com/spreadsheets/d/""&amp;$A301&amp;""/edit#gid=156619080"",AA$3)"),"#REF!")</f>
        <v>#REF!</v>
      </c>
      <c r="AB301" s="2" t="str">
        <f>IFERROR(__xludf.DUMMYFUNCTION("IMPORTRANGE(""https://docs.google.com/spreadsheets/d/""&amp;$A301&amp;""/edit#gid=156619080"",AB$3)"),"#REF!")</f>
        <v>#REF!</v>
      </c>
      <c r="AC301" s="2" t="str">
        <f>IFERROR(__xludf.DUMMYFUNCTION("IMPORTRANGE(""https://docs.google.com/spreadsheets/d/""&amp;$A301&amp;""/edit#gid=156619080"",AC$3)"),"#REF!")</f>
        <v>#REF!</v>
      </c>
      <c r="AD301" s="2" t="str">
        <f>IFERROR(__xludf.DUMMYFUNCTION("IMPORTRANGE(""https://docs.google.com/spreadsheets/d/""&amp;$A301&amp;""/edit#gid=156619080"",AD$3)"),"#REF!")</f>
        <v>#REF!</v>
      </c>
      <c r="AE301" s="2" t="str">
        <f>IFERROR(__xludf.DUMMYFUNCTION("IMPORTRANGE(""https://docs.google.com/spreadsheets/d/""&amp;$A301&amp;""/edit#gid=156619080"",AE$3)"),"#REF!")</f>
        <v>#REF!</v>
      </c>
      <c r="AF301" s="2" t="str">
        <f>IFERROR(__xludf.DUMMYFUNCTION("IMPORTRANGE(""https://docs.google.com/spreadsheets/d/""&amp;$A301&amp;""/edit#gid=156619080"",AF$3)"),"#REF!")</f>
        <v>#REF!</v>
      </c>
      <c r="AG301" s="2" t="str">
        <f>IFERROR(__xludf.DUMMYFUNCTION("IMPORTRANGE(""https://docs.google.com/spreadsheets/d/""&amp;$A301&amp;""/edit#gid=156619080"",AG$3)"),"#REF!")</f>
        <v>#REF!</v>
      </c>
      <c r="AH301" s="2" t="str">
        <f>IFERROR(__xludf.DUMMYFUNCTION("IMPORTRANGE(""https://docs.google.com/spreadsheets/d/""&amp;$A301&amp;""/edit#gid=156619080"",AH$3)"),"#REF!")</f>
        <v>#REF!</v>
      </c>
      <c r="AI301" s="2" t="str">
        <f>IFERROR(__xludf.DUMMYFUNCTION("IMPORTRANGE(""https://docs.google.com/spreadsheets/d/""&amp;$A301&amp;""/edit#gid=156619080"",AI$3)"),"#REF!")</f>
        <v>#REF!</v>
      </c>
      <c r="AJ301" s="2" t="str">
        <f>IFERROR(__xludf.DUMMYFUNCTION("IMPORTRANGE(""https://docs.google.com/spreadsheets/d/""&amp;$A301&amp;""/edit#gid=156619080"",AJ$3)"),"#REF!")</f>
        <v>#REF!</v>
      </c>
      <c r="AK301" s="2" t="str">
        <f>IFERROR(__xludf.DUMMYFUNCTION("IMPORTRANGE(""https://docs.google.com/spreadsheets/d/""&amp;$A301&amp;""/edit#gid=156619080"",AK$3)"),"#REF!")</f>
        <v>#REF!</v>
      </c>
      <c r="AL301" s="2" t="str">
        <f>IFERROR(__xludf.DUMMYFUNCTION("IMPORTRANGE(""https://docs.google.com/spreadsheets/d/""&amp;$A301&amp;""/edit#gid=156619080"",AL$3)"),"#REF!")</f>
        <v>#REF!</v>
      </c>
      <c r="AM301" s="2" t="str">
        <f>IFERROR(__xludf.DUMMYFUNCTION("IMPORTRANGE(""https://docs.google.com/spreadsheets/d/""&amp;$A301&amp;""/edit#gid=156619080"",AM$3)"),"#REF!")</f>
        <v>#REF!</v>
      </c>
      <c r="AN301" s="2" t="str">
        <f>IFERROR(__xludf.DUMMYFUNCTION("IMPORTRANGE(""https://docs.google.com/spreadsheets/d/""&amp;$A301&amp;""/edit#gid=156619080"",AN$3)"),"#REF!")</f>
        <v>#REF!</v>
      </c>
      <c r="AO301" s="2" t="str">
        <f>IFERROR(__xludf.DUMMYFUNCTION("IMPORTRANGE(""https://docs.google.com/spreadsheets/d/""&amp;$A301&amp;""/edit#gid=156619080"",AO$3)"),"#REF!")</f>
        <v>#REF!</v>
      </c>
      <c r="AP301" s="2" t="str">
        <f>IFERROR(__xludf.DUMMYFUNCTION("IMPORTRANGE(""https://docs.google.com/spreadsheets/d/""&amp;$A301&amp;""/edit#gid=156619080"",AP$3)"),"#REF!")</f>
        <v>#REF!</v>
      </c>
      <c r="AQ301" s="2" t="str">
        <f>IFERROR(__xludf.DUMMYFUNCTION("IMPORTRANGE(""https://docs.google.com/spreadsheets/d/""&amp;$A301&amp;""/edit#gid=156619080"",AQ$3)"),"#REF!")</f>
        <v>#REF!</v>
      </c>
      <c r="AR301" s="2" t="str">
        <f>IFERROR(__xludf.DUMMYFUNCTION("IMPORTRANGE(""https://docs.google.com/spreadsheets/d/""&amp;$A301&amp;""/edit#gid=156619080"",AR$3)"),"#REF!")</f>
        <v>#REF!</v>
      </c>
      <c r="AS301" s="19" t="str">
        <f>IFERROR(__xludf.DUMMYFUNCTION("IMPORTRANGE(""https://docs.google.com/spreadsheets/d/""&amp;$A301&amp;""/edit#gid=156619080"",AS$3)"),"#REF!")</f>
        <v>#REF!</v>
      </c>
      <c r="AT301" s="2" t="str">
        <f>IFERROR(__xludf.DUMMYFUNCTION("IMPORTRANGE(""https://docs.google.com/spreadsheets/d/""&amp;$A301&amp;""/edit#gid=156619080"",AT$3)"),"#REF!")</f>
        <v>#REF!</v>
      </c>
      <c r="AU301" s="3" t="str">
        <f>IFERROR(__xludf.DUMMYFUNCTION("IMPORTRANGE(""https://docs.google.com/spreadsheets/d/""&amp;$A301&amp;""/edit#gid=156619080"",AU$3)"),"#REF!")</f>
        <v>#REF!</v>
      </c>
      <c r="AV301" s="2" t="str">
        <f>IFERROR(__xludf.DUMMYFUNCTION("IMPORTRANGE(""https://docs.google.com/spreadsheets/d/""&amp;$A301&amp;""/edit#gid=156619080"",AV$3)"),"#REF!")</f>
        <v>#REF!</v>
      </c>
      <c r="AW301" s="19" t="str">
        <f>IFERROR(__xludf.DUMMYFUNCTION("IMPORTRANGE(""https://docs.google.com/spreadsheets/d/""&amp;$A301&amp;""/edit#gid=156619080"",AW$3)"),"#REF!")</f>
        <v>#REF!</v>
      </c>
      <c r="AX301" s="2" t="str">
        <f>IFERROR(__xludf.DUMMYFUNCTION("IMPORTRANGE(""https://docs.google.com/spreadsheets/d/""&amp;$A301&amp;""/edit#gid=156619080"",AX$3)"),"#REF!")</f>
        <v>#REF!</v>
      </c>
      <c r="AY301" s="2" t="str">
        <f>IFERROR(__xludf.DUMMYFUNCTION("IMPORTRANGE(""https://docs.google.com/spreadsheets/d/""&amp;$A301&amp;""/edit#gid=156619080"",AY$3)"),"#REF!")</f>
        <v>#REF!</v>
      </c>
      <c r="AZ301" s="2" t="str">
        <f>IFERROR(__xludf.DUMMYFUNCTION("IMPORTRANGE(""https://docs.google.com/spreadsheets/d/""&amp;$A301&amp;""/edit#gid=156619080"",AZ$3)"),"#REF!")</f>
        <v>#REF!</v>
      </c>
      <c r="BA301" s="2" t="str">
        <f>IFERROR(__xludf.DUMMYFUNCTION("IMPORTRANGE(""https://docs.google.com/spreadsheets/d/""&amp;$A301&amp;""/edit#gid=156619080"",BA$3)"),"#REF!")</f>
        <v>#REF!</v>
      </c>
      <c r="BB301" s="2" t="str">
        <f>IFERROR(__xludf.DUMMYFUNCTION("IMPORTRANGE(""https://docs.google.com/spreadsheets/d/""&amp;$A301&amp;""/edit#gid=156619080"",BB$3)"),"#REF!")</f>
        <v>#REF!</v>
      </c>
      <c r="BC301" s="2" t="str">
        <f>IFERROR(__xludf.DUMMYFUNCTION("IMPORTRANGE(""https://docs.google.com/spreadsheets/d/""&amp;$A301&amp;""/edit#gid=156619080"",BC$3)"),"#REF!")</f>
        <v>#REF!</v>
      </c>
    </row>
    <row r="302" ht="51.0" customHeight="1">
      <c r="A302" s="7" t="str">
        <f t="shared" si="5"/>
        <v>1VH55X4H5V7LC-Lp8a3gIz76Ac5O48AsUEglfgRr9Cas</v>
      </c>
      <c r="B302" s="1" t="s">
        <v>329</v>
      </c>
      <c r="C302" s="2" t="str">
        <f>IFERROR(__xludf.DUMMYFUNCTION("IMPORTRANGE(""https://docs.google.com/spreadsheets/d/""&amp;$A302&amp;""/edit#gid=156619080"",C$3)"),"#REF!")</f>
        <v>#REF!</v>
      </c>
      <c r="D302" s="2" t="str">
        <f>IFERROR(__xludf.DUMMYFUNCTION("IMPORTRANGE(""https://docs.google.com/spreadsheets/d/""&amp;$A302&amp;""/edit#gid=156619080"",D$3)"),"#REF!")</f>
        <v>#REF!</v>
      </c>
      <c r="E302" s="2" t="str">
        <f>IFERROR(__xludf.DUMMYFUNCTION("IMPORTRANGE(""https://docs.google.com/spreadsheets/d/""&amp;$A302&amp;""/edit#gid=156619080"",E$3)"),"#REF!")</f>
        <v>#REF!</v>
      </c>
      <c r="F302" s="2" t="str">
        <f>IFERROR(__xludf.DUMMYFUNCTION("IMPORTRANGE(""https://docs.google.com/spreadsheets/d/""&amp;$A302&amp;""/edit#gid=156619080"",F$3)"),"#REF!")</f>
        <v>#REF!</v>
      </c>
      <c r="G302" s="2" t="str">
        <f>IFERROR(__xludf.DUMMYFUNCTION("IMPORTRANGE(""https://docs.google.com/spreadsheets/d/""&amp;$A302&amp;""/edit#gid=156619080"",G$3)"),"#REF!")</f>
        <v>#REF!</v>
      </c>
      <c r="H302" s="2" t="str">
        <f>IFERROR(__xludf.DUMMYFUNCTION("IMPORTRANGE(""https://docs.google.com/spreadsheets/d/""&amp;$A302&amp;""/edit#gid=156619080"",H$3)"),"#REF!")</f>
        <v>#REF!</v>
      </c>
      <c r="I302" s="2" t="str">
        <f>IFERROR(__xludf.DUMMYFUNCTION("IMPORTRANGE(""https://docs.google.com/spreadsheets/d/""&amp;$A302&amp;""/edit#gid=156619080"",I$3)"),"#REF!")</f>
        <v>#REF!</v>
      </c>
      <c r="J302" s="2" t="str">
        <f>IFERROR(__xludf.DUMMYFUNCTION("IMPORTRANGE(""https://docs.google.com/spreadsheets/d/""&amp;$A302&amp;""/edit#gid=156619080"",J$3)"),"#REF!")</f>
        <v>#REF!</v>
      </c>
      <c r="K302" s="2" t="str">
        <f>IFERROR(__xludf.DUMMYFUNCTION("IMPORTRANGE(""https://docs.google.com/spreadsheets/d/""&amp;$A302&amp;""/edit#gid=156619080"",K$3)"),"#REF!")</f>
        <v>#REF!</v>
      </c>
      <c r="L302" s="2" t="str">
        <f>IFERROR(__xludf.DUMMYFUNCTION("IMPORTRANGE(""https://docs.google.com/spreadsheets/d/""&amp;$A302&amp;""/edit#gid=156619080"",L$3)"),"#REF!")</f>
        <v>#REF!</v>
      </c>
      <c r="M302" s="2" t="str">
        <f>IFERROR(__xludf.DUMMYFUNCTION("IMPORTRANGE(""https://docs.google.com/spreadsheets/d/""&amp;$A302&amp;""/edit#gid=156619080"",M$3)"),"#REF!")</f>
        <v>#REF!</v>
      </c>
      <c r="N302" s="2" t="str">
        <f>IFERROR(__xludf.DUMMYFUNCTION("IMPORTRANGE(""https://docs.google.com/spreadsheets/d/""&amp;$A302&amp;""/edit#gid=156619080"",N$3)"),"#REF!")</f>
        <v>#REF!</v>
      </c>
      <c r="O302" s="2" t="str">
        <f>IFERROR(__xludf.DUMMYFUNCTION("IMPORTRANGE(""https://docs.google.com/spreadsheets/d/""&amp;$A302&amp;""/edit#gid=156619080"",O$3)"),"#REF!")</f>
        <v>#REF!</v>
      </c>
      <c r="P302" s="2" t="str">
        <f>IFERROR(__xludf.DUMMYFUNCTION("IMPORTRANGE(""https://docs.google.com/spreadsheets/d/""&amp;$A302&amp;""/edit#gid=156619080"",P$3)"),"#REF!")</f>
        <v>#REF!</v>
      </c>
      <c r="Q302" s="2" t="str">
        <f>IFERROR(__xludf.DUMMYFUNCTION("IMPORTRANGE(""https://docs.google.com/spreadsheets/d/""&amp;$A302&amp;""/edit#gid=156619080"",Q$3)"),"#REF!")</f>
        <v>#REF!</v>
      </c>
      <c r="R302" s="2" t="str">
        <f>IFERROR(__xludf.DUMMYFUNCTION("IMPORTRANGE(""https://docs.google.com/spreadsheets/d/""&amp;$A302&amp;""/edit#gid=156619080"",R$3)"),"#REF!")</f>
        <v>#REF!</v>
      </c>
      <c r="S302" s="2" t="str">
        <f>IFERROR(__xludf.DUMMYFUNCTION("IMPORTRANGE(""https://docs.google.com/spreadsheets/d/""&amp;$A302&amp;""/edit#gid=156619080"",S$3)"),"#REF!")</f>
        <v>#REF!</v>
      </c>
      <c r="T302" s="2" t="str">
        <f>IFERROR(__xludf.DUMMYFUNCTION("IMPORTRANGE(""https://docs.google.com/spreadsheets/d/""&amp;$A302&amp;""/edit#gid=156619080"",T$3)"),"#REF!")</f>
        <v>#REF!</v>
      </c>
      <c r="U302" s="2" t="str">
        <f>IFERROR(__xludf.DUMMYFUNCTION("IMPORTRANGE(""https://docs.google.com/spreadsheets/d/""&amp;$A302&amp;""/edit#gid=156619080"",U$3)"),"#REF!")</f>
        <v>#REF!</v>
      </c>
      <c r="V302" s="2" t="str">
        <f>IFERROR(__xludf.DUMMYFUNCTION("IMPORTRANGE(""https://docs.google.com/spreadsheets/d/""&amp;$A302&amp;""/edit#gid=156619080"",V$3)"),"#REF!")</f>
        <v>#REF!</v>
      </c>
      <c r="W302" s="2" t="str">
        <f>IFERROR(__xludf.DUMMYFUNCTION("IMPORTRANGE(""https://docs.google.com/spreadsheets/d/""&amp;$A302&amp;""/edit#gid=156619080"",W$3)"),"#REF!")</f>
        <v>#REF!</v>
      </c>
      <c r="X302" s="2" t="str">
        <f>IFERROR(__xludf.DUMMYFUNCTION("IMPORTRANGE(""https://docs.google.com/spreadsheets/d/""&amp;$A302&amp;""/edit#gid=156619080"",X$3)"),"#REF!")</f>
        <v>#REF!</v>
      </c>
      <c r="Y302" s="2" t="str">
        <f>IFERROR(__xludf.DUMMYFUNCTION("IMPORTRANGE(""https://docs.google.com/spreadsheets/d/""&amp;$A302&amp;""/edit#gid=156619080"",Y$3)"),"#REF!")</f>
        <v>#REF!</v>
      </c>
      <c r="Z302" s="2" t="str">
        <f>IFERROR(__xludf.DUMMYFUNCTION("IMPORTRANGE(""https://docs.google.com/spreadsheets/d/""&amp;$A302&amp;""/edit#gid=156619080"",Z$3)"),"#REF!")</f>
        <v>#REF!</v>
      </c>
      <c r="AA302" s="2" t="str">
        <f>IFERROR(__xludf.DUMMYFUNCTION("IMPORTRANGE(""https://docs.google.com/spreadsheets/d/""&amp;$A302&amp;""/edit#gid=156619080"",AA$3)"),"#REF!")</f>
        <v>#REF!</v>
      </c>
      <c r="AB302" s="2" t="str">
        <f>IFERROR(__xludf.DUMMYFUNCTION("IMPORTRANGE(""https://docs.google.com/spreadsheets/d/""&amp;$A302&amp;""/edit#gid=156619080"",AB$3)"),"#REF!")</f>
        <v>#REF!</v>
      </c>
      <c r="AC302" s="2" t="str">
        <f>IFERROR(__xludf.DUMMYFUNCTION("IMPORTRANGE(""https://docs.google.com/spreadsheets/d/""&amp;$A302&amp;""/edit#gid=156619080"",AC$3)"),"#REF!")</f>
        <v>#REF!</v>
      </c>
      <c r="AD302" s="2" t="str">
        <f>IFERROR(__xludf.DUMMYFUNCTION("IMPORTRANGE(""https://docs.google.com/spreadsheets/d/""&amp;$A302&amp;""/edit#gid=156619080"",AD$3)"),"#REF!")</f>
        <v>#REF!</v>
      </c>
      <c r="AE302" s="2" t="str">
        <f>IFERROR(__xludf.DUMMYFUNCTION("IMPORTRANGE(""https://docs.google.com/spreadsheets/d/""&amp;$A302&amp;""/edit#gid=156619080"",AE$3)"),"#REF!")</f>
        <v>#REF!</v>
      </c>
      <c r="AF302" s="2" t="str">
        <f>IFERROR(__xludf.DUMMYFUNCTION("IMPORTRANGE(""https://docs.google.com/spreadsheets/d/""&amp;$A302&amp;""/edit#gid=156619080"",AF$3)"),"#REF!")</f>
        <v>#REF!</v>
      </c>
      <c r="AG302" s="2" t="str">
        <f>IFERROR(__xludf.DUMMYFUNCTION("IMPORTRANGE(""https://docs.google.com/spreadsheets/d/""&amp;$A302&amp;""/edit#gid=156619080"",AG$3)"),"#REF!")</f>
        <v>#REF!</v>
      </c>
      <c r="AH302" s="2" t="str">
        <f>IFERROR(__xludf.DUMMYFUNCTION("IMPORTRANGE(""https://docs.google.com/spreadsheets/d/""&amp;$A302&amp;""/edit#gid=156619080"",AH$3)"),"#REF!")</f>
        <v>#REF!</v>
      </c>
      <c r="AI302" s="2" t="str">
        <f>IFERROR(__xludf.DUMMYFUNCTION("IMPORTRANGE(""https://docs.google.com/spreadsheets/d/""&amp;$A302&amp;""/edit#gid=156619080"",AI$3)"),"#REF!")</f>
        <v>#REF!</v>
      </c>
      <c r="AJ302" s="2" t="str">
        <f>IFERROR(__xludf.DUMMYFUNCTION("IMPORTRANGE(""https://docs.google.com/spreadsheets/d/""&amp;$A302&amp;""/edit#gid=156619080"",AJ$3)"),"#REF!")</f>
        <v>#REF!</v>
      </c>
      <c r="AK302" s="2" t="str">
        <f>IFERROR(__xludf.DUMMYFUNCTION("IMPORTRANGE(""https://docs.google.com/spreadsheets/d/""&amp;$A302&amp;""/edit#gid=156619080"",AK$3)"),"#REF!")</f>
        <v>#REF!</v>
      </c>
      <c r="AL302" s="2" t="str">
        <f>IFERROR(__xludf.DUMMYFUNCTION("IMPORTRANGE(""https://docs.google.com/spreadsheets/d/""&amp;$A302&amp;""/edit#gid=156619080"",AL$3)"),"#REF!")</f>
        <v>#REF!</v>
      </c>
      <c r="AM302" s="2" t="str">
        <f>IFERROR(__xludf.DUMMYFUNCTION("IMPORTRANGE(""https://docs.google.com/spreadsheets/d/""&amp;$A302&amp;""/edit#gid=156619080"",AM$3)"),"#REF!")</f>
        <v>#REF!</v>
      </c>
      <c r="AN302" s="2" t="str">
        <f>IFERROR(__xludf.DUMMYFUNCTION("IMPORTRANGE(""https://docs.google.com/spreadsheets/d/""&amp;$A302&amp;""/edit#gid=156619080"",AN$3)"),"#REF!")</f>
        <v>#REF!</v>
      </c>
      <c r="AO302" s="2" t="str">
        <f>IFERROR(__xludf.DUMMYFUNCTION("IMPORTRANGE(""https://docs.google.com/spreadsheets/d/""&amp;$A302&amp;""/edit#gid=156619080"",AO$3)"),"#REF!")</f>
        <v>#REF!</v>
      </c>
      <c r="AP302" s="2" t="str">
        <f>IFERROR(__xludf.DUMMYFUNCTION("IMPORTRANGE(""https://docs.google.com/spreadsheets/d/""&amp;$A302&amp;""/edit#gid=156619080"",AP$3)"),"#REF!")</f>
        <v>#REF!</v>
      </c>
      <c r="AQ302" s="2" t="str">
        <f>IFERROR(__xludf.DUMMYFUNCTION("IMPORTRANGE(""https://docs.google.com/spreadsheets/d/""&amp;$A302&amp;""/edit#gid=156619080"",AQ$3)"),"#REF!")</f>
        <v>#REF!</v>
      </c>
      <c r="AR302" s="2" t="str">
        <f>IFERROR(__xludf.DUMMYFUNCTION("IMPORTRANGE(""https://docs.google.com/spreadsheets/d/""&amp;$A302&amp;""/edit#gid=156619080"",AR$3)"),"#REF!")</f>
        <v>#REF!</v>
      </c>
      <c r="AS302" s="19" t="str">
        <f>IFERROR(__xludf.DUMMYFUNCTION("IMPORTRANGE(""https://docs.google.com/spreadsheets/d/""&amp;$A302&amp;""/edit#gid=156619080"",AS$3)"),"#REF!")</f>
        <v>#REF!</v>
      </c>
      <c r="AT302" s="2" t="str">
        <f>IFERROR(__xludf.DUMMYFUNCTION("IMPORTRANGE(""https://docs.google.com/spreadsheets/d/""&amp;$A302&amp;""/edit#gid=156619080"",AT$3)"),"#REF!")</f>
        <v>#REF!</v>
      </c>
      <c r="AU302" s="3" t="str">
        <f>IFERROR(__xludf.DUMMYFUNCTION("IMPORTRANGE(""https://docs.google.com/spreadsheets/d/""&amp;$A302&amp;""/edit#gid=156619080"",AU$3)"),"#REF!")</f>
        <v>#REF!</v>
      </c>
      <c r="AV302" s="2" t="str">
        <f>IFERROR(__xludf.DUMMYFUNCTION("IMPORTRANGE(""https://docs.google.com/spreadsheets/d/""&amp;$A302&amp;""/edit#gid=156619080"",AV$3)"),"#REF!")</f>
        <v>#REF!</v>
      </c>
      <c r="AW302" s="19" t="str">
        <f>IFERROR(__xludf.DUMMYFUNCTION("IMPORTRANGE(""https://docs.google.com/spreadsheets/d/""&amp;$A302&amp;""/edit#gid=156619080"",AW$3)"),"#REF!")</f>
        <v>#REF!</v>
      </c>
      <c r="AX302" s="2" t="str">
        <f>IFERROR(__xludf.DUMMYFUNCTION("IMPORTRANGE(""https://docs.google.com/spreadsheets/d/""&amp;$A302&amp;""/edit#gid=156619080"",AX$3)"),"#REF!")</f>
        <v>#REF!</v>
      </c>
      <c r="AY302" s="2" t="str">
        <f>IFERROR(__xludf.DUMMYFUNCTION("IMPORTRANGE(""https://docs.google.com/spreadsheets/d/""&amp;$A302&amp;""/edit#gid=156619080"",AY$3)"),"#REF!")</f>
        <v>#REF!</v>
      </c>
      <c r="AZ302" s="2" t="str">
        <f>IFERROR(__xludf.DUMMYFUNCTION("IMPORTRANGE(""https://docs.google.com/spreadsheets/d/""&amp;$A302&amp;""/edit#gid=156619080"",AZ$3)"),"#REF!")</f>
        <v>#REF!</v>
      </c>
      <c r="BA302" s="2" t="str">
        <f>IFERROR(__xludf.DUMMYFUNCTION("IMPORTRANGE(""https://docs.google.com/spreadsheets/d/""&amp;$A302&amp;""/edit#gid=156619080"",BA$3)"),"#REF!")</f>
        <v>#REF!</v>
      </c>
      <c r="BB302" s="2" t="str">
        <f>IFERROR(__xludf.DUMMYFUNCTION("IMPORTRANGE(""https://docs.google.com/spreadsheets/d/""&amp;$A302&amp;""/edit#gid=156619080"",BB$3)"),"#REF!")</f>
        <v>#REF!</v>
      </c>
      <c r="BC302" s="2" t="str">
        <f>IFERROR(__xludf.DUMMYFUNCTION("IMPORTRANGE(""https://docs.google.com/spreadsheets/d/""&amp;$A302&amp;""/edit#gid=156619080"",BC$3)"),"#REF!")</f>
        <v>#REF!</v>
      </c>
    </row>
    <row r="303" ht="51.0" customHeight="1">
      <c r="A303" s="7" t="str">
        <f t="shared" si="5"/>
        <v>1qZicUNcUGGbQbXXU0vuc7S_sGXFDpq-RFgaSSBaXLH0</v>
      </c>
      <c r="B303" s="1" t="s">
        <v>330</v>
      </c>
      <c r="C303" s="2" t="str">
        <f>IFERROR(__xludf.DUMMYFUNCTION("IMPORTRANGE(""https://docs.google.com/spreadsheets/d/""&amp;$A303&amp;""/edit#gid=156619080"",C$3)"),"#REF!")</f>
        <v>#REF!</v>
      </c>
      <c r="D303" s="2" t="str">
        <f>IFERROR(__xludf.DUMMYFUNCTION("IMPORTRANGE(""https://docs.google.com/spreadsheets/d/""&amp;$A303&amp;""/edit#gid=156619080"",D$3)"),"#REF!")</f>
        <v>#REF!</v>
      </c>
      <c r="E303" s="2" t="str">
        <f>IFERROR(__xludf.DUMMYFUNCTION("IMPORTRANGE(""https://docs.google.com/spreadsheets/d/""&amp;$A303&amp;""/edit#gid=156619080"",E$3)"),"#REF!")</f>
        <v>#REF!</v>
      </c>
      <c r="F303" s="2" t="str">
        <f>IFERROR(__xludf.DUMMYFUNCTION("IMPORTRANGE(""https://docs.google.com/spreadsheets/d/""&amp;$A303&amp;""/edit#gid=156619080"",F$3)"),"#REF!")</f>
        <v>#REF!</v>
      </c>
      <c r="G303" s="2" t="str">
        <f>IFERROR(__xludf.DUMMYFUNCTION("IMPORTRANGE(""https://docs.google.com/spreadsheets/d/""&amp;$A303&amp;""/edit#gid=156619080"",G$3)"),"#REF!")</f>
        <v>#REF!</v>
      </c>
      <c r="H303" s="2" t="str">
        <f>IFERROR(__xludf.DUMMYFUNCTION("IMPORTRANGE(""https://docs.google.com/spreadsheets/d/""&amp;$A303&amp;""/edit#gid=156619080"",H$3)"),"#REF!")</f>
        <v>#REF!</v>
      </c>
      <c r="I303" s="2" t="str">
        <f>IFERROR(__xludf.DUMMYFUNCTION("IMPORTRANGE(""https://docs.google.com/spreadsheets/d/""&amp;$A303&amp;""/edit#gid=156619080"",I$3)"),"#REF!")</f>
        <v>#REF!</v>
      </c>
      <c r="J303" s="2" t="str">
        <f>IFERROR(__xludf.DUMMYFUNCTION("IMPORTRANGE(""https://docs.google.com/spreadsheets/d/""&amp;$A303&amp;""/edit#gid=156619080"",J$3)"),"#REF!")</f>
        <v>#REF!</v>
      </c>
      <c r="K303" s="2" t="str">
        <f>IFERROR(__xludf.DUMMYFUNCTION("IMPORTRANGE(""https://docs.google.com/spreadsheets/d/""&amp;$A303&amp;""/edit#gid=156619080"",K$3)"),"#REF!")</f>
        <v>#REF!</v>
      </c>
      <c r="L303" s="2" t="str">
        <f>IFERROR(__xludf.DUMMYFUNCTION("IMPORTRANGE(""https://docs.google.com/spreadsheets/d/""&amp;$A303&amp;""/edit#gid=156619080"",L$3)"),"#REF!")</f>
        <v>#REF!</v>
      </c>
      <c r="M303" s="2" t="str">
        <f>IFERROR(__xludf.DUMMYFUNCTION("IMPORTRANGE(""https://docs.google.com/spreadsheets/d/""&amp;$A303&amp;""/edit#gid=156619080"",M$3)"),"#REF!")</f>
        <v>#REF!</v>
      </c>
      <c r="N303" s="2" t="str">
        <f>IFERROR(__xludf.DUMMYFUNCTION("IMPORTRANGE(""https://docs.google.com/spreadsheets/d/""&amp;$A303&amp;""/edit#gid=156619080"",N$3)"),"#REF!")</f>
        <v>#REF!</v>
      </c>
      <c r="O303" s="2" t="str">
        <f>IFERROR(__xludf.DUMMYFUNCTION("IMPORTRANGE(""https://docs.google.com/spreadsheets/d/""&amp;$A303&amp;""/edit#gid=156619080"",O$3)"),"#REF!")</f>
        <v>#REF!</v>
      </c>
      <c r="P303" s="2" t="str">
        <f>IFERROR(__xludf.DUMMYFUNCTION("IMPORTRANGE(""https://docs.google.com/spreadsheets/d/""&amp;$A303&amp;""/edit#gid=156619080"",P$3)"),"#REF!")</f>
        <v>#REF!</v>
      </c>
      <c r="Q303" s="2" t="str">
        <f>IFERROR(__xludf.DUMMYFUNCTION("IMPORTRANGE(""https://docs.google.com/spreadsheets/d/""&amp;$A303&amp;""/edit#gid=156619080"",Q$3)"),"#REF!")</f>
        <v>#REF!</v>
      </c>
      <c r="R303" s="2" t="str">
        <f>IFERROR(__xludf.DUMMYFUNCTION("IMPORTRANGE(""https://docs.google.com/spreadsheets/d/""&amp;$A303&amp;""/edit#gid=156619080"",R$3)"),"#REF!")</f>
        <v>#REF!</v>
      </c>
      <c r="S303" s="2" t="str">
        <f>IFERROR(__xludf.DUMMYFUNCTION("IMPORTRANGE(""https://docs.google.com/spreadsheets/d/""&amp;$A303&amp;""/edit#gid=156619080"",S$3)"),"#REF!")</f>
        <v>#REF!</v>
      </c>
      <c r="T303" s="2" t="str">
        <f>IFERROR(__xludf.DUMMYFUNCTION("IMPORTRANGE(""https://docs.google.com/spreadsheets/d/""&amp;$A303&amp;""/edit#gid=156619080"",T$3)"),"#REF!")</f>
        <v>#REF!</v>
      </c>
      <c r="U303" s="2" t="str">
        <f>IFERROR(__xludf.DUMMYFUNCTION("IMPORTRANGE(""https://docs.google.com/spreadsheets/d/""&amp;$A303&amp;""/edit#gid=156619080"",U$3)"),"#REF!")</f>
        <v>#REF!</v>
      </c>
      <c r="V303" s="2" t="str">
        <f>IFERROR(__xludf.DUMMYFUNCTION("IMPORTRANGE(""https://docs.google.com/spreadsheets/d/""&amp;$A303&amp;""/edit#gid=156619080"",V$3)"),"#REF!")</f>
        <v>#REF!</v>
      </c>
      <c r="W303" s="2" t="str">
        <f>IFERROR(__xludf.DUMMYFUNCTION("IMPORTRANGE(""https://docs.google.com/spreadsheets/d/""&amp;$A303&amp;""/edit#gid=156619080"",W$3)"),"#REF!")</f>
        <v>#REF!</v>
      </c>
      <c r="X303" s="2" t="str">
        <f>IFERROR(__xludf.DUMMYFUNCTION("IMPORTRANGE(""https://docs.google.com/spreadsheets/d/""&amp;$A303&amp;""/edit#gid=156619080"",X$3)"),"#REF!")</f>
        <v>#REF!</v>
      </c>
      <c r="Y303" s="2" t="str">
        <f>IFERROR(__xludf.DUMMYFUNCTION("IMPORTRANGE(""https://docs.google.com/spreadsheets/d/""&amp;$A303&amp;""/edit#gid=156619080"",Y$3)"),"#REF!")</f>
        <v>#REF!</v>
      </c>
      <c r="Z303" s="2" t="str">
        <f>IFERROR(__xludf.DUMMYFUNCTION("IMPORTRANGE(""https://docs.google.com/spreadsheets/d/""&amp;$A303&amp;""/edit#gid=156619080"",Z$3)"),"#REF!")</f>
        <v>#REF!</v>
      </c>
      <c r="AA303" s="2" t="str">
        <f>IFERROR(__xludf.DUMMYFUNCTION("IMPORTRANGE(""https://docs.google.com/spreadsheets/d/""&amp;$A303&amp;""/edit#gid=156619080"",AA$3)"),"#REF!")</f>
        <v>#REF!</v>
      </c>
      <c r="AB303" s="2" t="str">
        <f>IFERROR(__xludf.DUMMYFUNCTION("IMPORTRANGE(""https://docs.google.com/spreadsheets/d/""&amp;$A303&amp;""/edit#gid=156619080"",AB$3)"),"#REF!")</f>
        <v>#REF!</v>
      </c>
      <c r="AC303" s="2" t="str">
        <f>IFERROR(__xludf.DUMMYFUNCTION("IMPORTRANGE(""https://docs.google.com/spreadsheets/d/""&amp;$A303&amp;""/edit#gid=156619080"",AC$3)"),"#REF!")</f>
        <v>#REF!</v>
      </c>
      <c r="AD303" s="2" t="str">
        <f>IFERROR(__xludf.DUMMYFUNCTION("IMPORTRANGE(""https://docs.google.com/spreadsheets/d/""&amp;$A303&amp;""/edit#gid=156619080"",AD$3)"),"#REF!")</f>
        <v>#REF!</v>
      </c>
      <c r="AE303" s="2" t="str">
        <f>IFERROR(__xludf.DUMMYFUNCTION("IMPORTRANGE(""https://docs.google.com/spreadsheets/d/""&amp;$A303&amp;""/edit#gid=156619080"",AE$3)"),"#REF!")</f>
        <v>#REF!</v>
      </c>
      <c r="AF303" s="2" t="str">
        <f>IFERROR(__xludf.DUMMYFUNCTION("IMPORTRANGE(""https://docs.google.com/spreadsheets/d/""&amp;$A303&amp;""/edit#gid=156619080"",AF$3)"),"#REF!")</f>
        <v>#REF!</v>
      </c>
      <c r="AG303" s="2" t="str">
        <f>IFERROR(__xludf.DUMMYFUNCTION("IMPORTRANGE(""https://docs.google.com/spreadsheets/d/""&amp;$A303&amp;""/edit#gid=156619080"",AG$3)"),"#REF!")</f>
        <v>#REF!</v>
      </c>
      <c r="AH303" s="2" t="str">
        <f>IFERROR(__xludf.DUMMYFUNCTION("IMPORTRANGE(""https://docs.google.com/spreadsheets/d/""&amp;$A303&amp;""/edit#gid=156619080"",AH$3)"),"#REF!")</f>
        <v>#REF!</v>
      </c>
      <c r="AI303" s="2" t="str">
        <f>IFERROR(__xludf.DUMMYFUNCTION("IMPORTRANGE(""https://docs.google.com/spreadsheets/d/""&amp;$A303&amp;""/edit#gid=156619080"",AI$3)"),"#REF!")</f>
        <v>#REF!</v>
      </c>
      <c r="AJ303" s="2" t="str">
        <f>IFERROR(__xludf.DUMMYFUNCTION("IMPORTRANGE(""https://docs.google.com/spreadsheets/d/""&amp;$A303&amp;""/edit#gid=156619080"",AJ$3)"),"#REF!")</f>
        <v>#REF!</v>
      </c>
      <c r="AK303" s="2" t="str">
        <f>IFERROR(__xludf.DUMMYFUNCTION("IMPORTRANGE(""https://docs.google.com/spreadsheets/d/""&amp;$A303&amp;""/edit#gid=156619080"",AK$3)"),"#REF!")</f>
        <v>#REF!</v>
      </c>
      <c r="AL303" s="2" t="str">
        <f>IFERROR(__xludf.DUMMYFUNCTION("IMPORTRANGE(""https://docs.google.com/spreadsheets/d/""&amp;$A303&amp;""/edit#gid=156619080"",AL$3)"),"#REF!")</f>
        <v>#REF!</v>
      </c>
      <c r="AM303" s="2" t="str">
        <f>IFERROR(__xludf.DUMMYFUNCTION("IMPORTRANGE(""https://docs.google.com/spreadsheets/d/""&amp;$A303&amp;""/edit#gid=156619080"",AM$3)"),"#REF!")</f>
        <v>#REF!</v>
      </c>
      <c r="AN303" s="2" t="str">
        <f>IFERROR(__xludf.DUMMYFUNCTION("IMPORTRANGE(""https://docs.google.com/spreadsheets/d/""&amp;$A303&amp;""/edit#gid=156619080"",AN$3)"),"#REF!")</f>
        <v>#REF!</v>
      </c>
      <c r="AO303" s="2" t="str">
        <f>IFERROR(__xludf.DUMMYFUNCTION("IMPORTRANGE(""https://docs.google.com/spreadsheets/d/""&amp;$A303&amp;""/edit#gid=156619080"",AO$3)"),"#REF!")</f>
        <v>#REF!</v>
      </c>
      <c r="AP303" s="2" t="str">
        <f>IFERROR(__xludf.DUMMYFUNCTION("IMPORTRANGE(""https://docs.google.com/spreadsheets/d/""&amp;$A303&amp;""/edit#gid=156619080"",AP$3)"),"#REF!")</f>
        <v>#REF!</v>
      </c>
      <c r="AQ303" s="2" t="str">
        <f>IFERROR(__xludf.DUMMYFUNCTION("IMPORTRANGE(""https://docs.google.com/spreadsheets/d/""&amp;$A303&amp;""/edit#gid=156619080"",AQ$3)"),"#REF!")</f>
        <v>#REF!</v>
      </c>
      <c r="AR303" s="2" t="str">
        <f>IFERROR(__xludf.DUMMYFUNCTION("IMPORTRANGE(""https://docs.google.com/spreadsheets/d/""&amp;$A303&amp;""/edit#gid=156619080"",AR$3)"),"#REF!")</f>
        <v>#REF!</v>
      </c>
      <c r="AS303" s="19" t="str">
        <f>IFERROR(__xludf.DUMMYFUNCTION("IMPORTRANGE(""https://docs.google.com/spreadsheets/d/""&amp;$A303&amp;""/edit#gid=156619080"",AS$3)"),"#REF!")</f>
        <v>#REF!</v>
      </c>
      <c r="AT303" s="2" t="str">
        <f>IFERROR(__xludf.DUMMYFUNCTION("IMPORTRANGE(""https://docs.google.com/spreadsheets/d/""&amp;$A303&amp;""/edit#gid=156619080"",AT$3)"),"#REF!")</f>
        <v>#REF!</v>
      </c>
      <c r="AU303" s="3" t="str">
        <f>IFERROR(__xludf.DUMMYFUNCTION("IMPORTRANGE(""https://docs.google.com/spreadsheets/d/""&amp;$A303&amp;""/edit#gid=156619080"",AU$3)"),"#REF!")</f>
        <v>#REF!</v>
      </c>
      <c r="AV303" s="2" t="str">
        <f>IFERROR(__xludf.DUMMYFUNCTION("IMPORTRANGE(""https://docs.google.com/spreadsheets/d/""&amp;$A303&amp;""/edit#gid=156619080"",AV$3)"),"#REF!")</f>
        <v>#REF!</v>
      </c>
      <c r="AW303" s="19" t="str">
        <f>IFERROR(__xludf.DUMMYFUNCTION("IMPORTRANGE(""https://docs.google.com/spreadsheets/d/""&amp;$A303&amp;""/edit#gid=156619080"",AW$3)"),"#REF!")</f>
        <v>#REF!</v>
      </c>
      <c r="AX303" s="2" t="str">
        <f>IFERROR(__xludf.DUMMYFUNCTION("IMPORTRANGE(""https://docs.google.com/spreadsheets/d/""&amp;$A303&amp;""/edit#gid=156619080"",AX$3)"),"#REF!")</f>
        <v>#REF!</v>
      </c>
      <c r="AY303" s="2" t="str">
        <f>IFERROR(__xludf.DUMMYFUNCTION("IMPORTRANGE(""https://docs.google.com/spreadsheets/d/""&amp;$A303&amp;""/edit#gid=156619080"",AY$3)"),"#REF!")</f>
        <v>#REF!</v>
      </c>
      <c r="AZ303" s="2" t="str">
        <f>IFERROR(__xludf.DUMMYFUNCTION("IMPORTRANGE(""https://docs.google.com/spreadsheets/d/""&amp;$A303&amp;""/edit#gid=156619080"",AZ$3)"),"#REF!")</f>
        <v>#REF!</v>
      </c>
      <c r="BA303" s="2" t="str">
        <f>IFERROR(__xludf.DUMMYFUNCTION("IMPORTRANGE(""https://docs.google.com/spreadsheets/d/""&amp;$A303&amp;""/edit#gid=156619080"",BA$3)"),"#REF!")</f>
        <v>#REF!</v>
      </c>
      <c r="BB303" s="2" t="str">
        <f>IFERROR(__xludf.DUMMYFUNCTION("IMPORTRANGE(""https://docs.google.com/spreadsheets/d/""&amp;$A303&amp;""/edit#gid=156619080"",BB$3)"),"#REF!")</f>
        <v>#REF!</v>
      </c>
      <c r="BC303" s="2" t="str">
        <f>IFERROR(__xludf.DUMMYFUNCTION("IMPORTRANGE(""https://docs.google.com/spreadsheets/d/""&amp;$A303&amp;""/edit#gid=156619080"",BC$3)"),"#REF!")</f>
        <v>#REF!</v>
      </c>
    </row>
    <row r="304" ht="51.0" customHeight="1">
      <c r="A304" s="7" t="str">
        <f t="shared" si="5"/>
        <v>1x8Y84BxXDQFIRKiFoSrso5kuMog38KlLoXgH-ZY-VCc</v>
      </c>
      <c r="B304" s="1" t="s">
        <v>331</v>
      </c>
      <c r="C304" s="2" t="str">
        <f>IFERROR(__xludf.DUMMYFUNCTION("IMPORTRANGE(""https://docs.google.com/spreadsheets/d/""&amp;$A304&amp;""/edit#gid=156619080"",C$3)"),"#REF!")</f>
        <v>#REF!</v>
      </c>
      <c r="D304" s="2" t="str">
        <f>IFERROR(__xludf.DUMMYFUNCTION("IMPORTRANGE(""https://docs.google.com/spreadsheets/d/""&amp;$A304&amp;""/edit#gid=156619080"",D$3)"),"#REF!")</f>
        <v>#REF!</v>
      </c>
      <c r="E304" s="2" t="str">
        <f>IFERROR(__xludf.DUMMYFUNCTION("IMPORTRANGE(""https://docs.google.com/spreadsheets/d/""&amp;$A304&amp;""/edit#gid=156619080"",E$3)"),"#REF!")</f>
        <v>#REF!</v>
      </c>
      <c r="F304" s="2" t="str">
        <f>IFERROR(__xludf.DUMMYFUNCTION("IMPORTRANGE(""https://docs.google.com/spreadsheets/d/""&amp;$A304&amp;""/edit#gid=156619080"",F$3)"),"#REF!")</f>
        <v>#REF!</v>
      </c>
      <c r="G304" s="2" t="str">
        <f>IFERROR(__xludf.DUMMYFUNCTION("IMPORTRANGE(""https://docs.google.com/spreadsheets/d/""&amp;$A304&amp;""/edit#gid=156619080"",G$3)"),"#REF!")</f>
        <v>#REF!</v>
      </c>
      <c r="H304" s="2" t="str">
        <f>IFERROR(__xludf.DUMMYFUNCTION("IMPORTRANGE(""https://docs.google.com/spreadsheets/d/""&amp;$A304&amp;""/edit#gid=156619080"",H$3)"),"#REF!")</f>
        <v>#REF!</v>
      </c>
      <c r="I304" s="2" t="str">
        <f>IFERROR(__xludf.DUMMYFUNCTION("IMPORTRANGE(""https://docs.google.com/spreadsheets/d/""&amp;$A304&amp;""/edit#gid=156619080"",I$3)"),"#REF!")</f>
        <v>#REF!</v>
      </c>
      <c r="J304" s="2" t="str">
        <f>IFERROR(__xludf.DUMMYFUNCTION("IMPORTRANGE(""https://docs.google.com/spreadsheets/d/""&amp;$A304&amp;""/edit#gid=156619080"",J$3)"),"#REF!")</f>
        <v>#REF!</v>
      </c>
      <c r="K304" s="2" t="str">
        <f>IFERROR(__xludf.DUMMYFUNCTION("IMPORTRANGE(""https://docs.google.com/spreadsheets/d/""&amp;$A304&amp;""/edit#gid=156619080"",K$3)"),"#REF!")</f>
        <v>#REF!</v>
      </c>
      <c r="L304" s="2" t="str">
        <f>IFERROR(__xludf.DUMMYFUNCTION("IMPORTRANGE(""https://docs.google.com/spreadsheets/d/""&amp;$A304&amp;""/edit#gid=156619080"",L$3)"),"#REF!")</f>
        <v>#REF!</v>
      </c>
      <c r="M304" s="2" t="str">
        <f>IFERROR(__xludf.DUMMYFUNCTION("IMPORTRANGE(""https://docs.google.com/spreadsheets/d/""&amp;$A304&amp;""/edit#gid=156619080"",M$3)"),"#REF!")</f>
        <v>#REF!</v>
      </c>
      <c r="N304" s="2" t="str">
        <f>IFERROR(__xludf.DUMMYFUNCTION("IMPORTRANGE(""https://docs.google.com/spreadsheets/d/""&amp;$A304&amp;""/edit#gid=156619080"",N$3)"),"#REF!")</f>
        <v>#REF!</v>
      </c>
      <c r="O304" s="2" t="str">
        <f>IFERROR(__xludf.DUMMYFUNCTION("IMPORTRANGE(""https://docs.google.com/spreadsheets/d/""&amp;$A304&amp;""/edit#gid=156619080"",O$3)"),"#REF!")</f>
        <v>#REF!</v>
      </c>
      <c r="P304" s="2" t="str">
        <f>IFERROR(__xludf.DUMMYFUNCTION("IMPORTRANGE(""https://docs.google.com/spreadsheets/d/""&amp;$A304&amp;""/edit#gid=156619080"",P$3)"),"#REF!")</f>
        <v>#REF!</v>
      </c>
      <c r="Q304" s="2" t="str">
        <f>IFERROR(__xludf.DUMMYFUNCTION("IMPORTRANGE(""https://docs.google.com/spreadsheets/d/""&amp;$A304&amp;""/edit#gid=156619080"",Q$3)"),"#REF!")</f>
        <v>#REF!</v>
      </c>
      <c r="R304" s="2" t="str">
        <f>IFERROR(__xludf.DUMMYFUNCTION("IMPORTRANGE(""https://docs.google.com/spreadsheets/d/""&amp;$A304&amp;""/edit#gid=156619080"",R$3)"),"#REF!")</f>
        <v>#REF!</v>
      </c>
      <c r="S304" s="2" t="str">
        <f>IFERROR(__xludf.DUMMYFUNCTION("IMPORTRANGE(""https://docs.google.com/spreadsheets/d/""&amp;$A304&amp;""/edit#gid=156619080"",S$3)"),"#REF!")</f>
        <v>#REF!</v>
      </c>
      <c r="T304" s="2" t="str">
        <f>IFERROR(__xludf.DUMMYFUNCTION("IMPORTRANGE(""https://docs.google.com/spreadsheets/d/""&amp;$A304&amp;""/edit#gid=156619080"",T$3)"),"#REF!")</f>
        <v>#REF!</v>
      </c>
      <c r="U304" s="2" t="str">
        <f>IFERROR(__xludf.DUMMYFUNCTION("IMPORTRANGE(""https://docs.google.com/spreadsheets/d/""&amp;$A304&amp;""/edit#gid=156619080"",U$3)"),"#REF!")</f>
        <v>#REF!</v>
      </c>
      <c r="V304" s="2" t="str">
        <f>IFERROR(__xludf.DUMMYFUNCTION("IMPORTRANGE(""https://docs.google.com/spreadsheets/d/""&amp;$A304&amp;""/edit#gid=156619080"",V$3)"),"#REF!")</f>
        <v>#REF!</v>
      </c>
      <c r="W304" s="2" t="str">
        <f>IFERROR(__xludf.DUMMYFUNCTION("IMPORTRANGE(""https://docs.google.com/spreadsheets/d/""&amp;$A304&amp;""/edit#gid=156619080"",W$3)"),"#REF!")</f>
        <v>#REF!</v>
      </c>
      <c r="X304" s="2" t="str">
        <f>IFERROR(__xludf.DUMMYFUNCTION("IMPORTRANGE(""https://docs.google.com/spreadsheets/d/""&amp;$A304&amp;""/edit#gid=156619080"",X$3)"),"#REF!")</f>
        <v>#REF!</v>
      </c>
      <c r="Y304" s="2" t="str">
        <f>IFERROR(__xludf.DUMMYFUNCTION("IMPORTRANGE(""https://docs.google.com/spreadsheets/d/""&amp;$A304&amp;""/edit#gid=156619080"",Y$3)"),"#REF!")</f>
        <v>#REF!</v>
      </c>
      <c r="Z304" s="2" t="str">
        <f>IFERROR(__xludf.DUMMYFUNCTION("IMPORTRANGE(""https://docs.google.com/spreadsheets/d/""&amp;$A304&amp;""/edit#gid=156619080"",Z$3)"),"#REF!")</f>
        <v>#REF!</v>
      </c>
      <c r="AA304" s="2" t="str">
        <f>IFERROR(__xludf.DUMMYFUNCTION("IMPORTRANGE(""https://docs.google.com/spreadsheets/d/""&amp;$A304&amp;""/edit#gid=156619080"",AA$3)"),"#REF!")</f>
        <v>#REF!</v>
      </c>
      <c r="AB304" s="2" t="str">
        <f>IFERROR(__xludf.DUMMYFUNCTION("IMPORTRANGE(""https://docs.google.com/spreadsheets/d/""&amp;$A304&amp;""/edit#gid=156619080"",AB$3)"),"#REF!")</f>
        <v>#REF!</v>
      </c>
      <c r="AC304" s="2" t="str">
        <f>IFERROR(__xludf.DUMMYFUNCTION("IMPORTRANGE(""https://docs.google.com/spreadsheets/d/""&amp;$A304&amp;""/edit#gid=156619080"",AC$3)"),"#REF!")</f>
        <v>#REF!</v>
      </c>
      <c r="AD304" s="2" t="str">
        <f>IFERROR(__xludf.DUMMYFUNCTION("IMPORTRANGE(""https://docs.google.com/spreadsheets/d/""&amp;$A304&amp;""/edit#gid=156619080"",AD$3)"),"#REF!")</f>
        <v>#REF!</v>
      </c>
      <c r="AE304" s="2" t="str">
        <f>IFERROR(__xludf.DUMMYFUNCTION("IMPORTRANGE(""https://docs.google.com/spreadsheets/d/""&amp;$A304&amp;""/edit#gid=156619080"",AE$3)"),"#REF!")</f>
        <v>#REF!</v>
      </c>
      <c r="AF304" s="2" t="str">
        <f>IFERROR(__xludf.DUMMYFUNCTION("IMPORTRANGE(""https://docs.google.com/spreadsheets/d/""&amp;$A304&amp;""/edit#gid=156619080"",AF$3)"),"#REF!")</f>
        <v>#REF!</v>
      </c>
      <c r="AG304" s="2" t="str">
        <f>IFERROR(__xludf.DUMMYFUNCTION("IMPORTRANGE(""https://docs.google.com/spreadsheets/d/""&amp;$A304&amp;""/edit#gid=156619080"",AG$3)"),"#REF!")</f>
        <v>#REF!</v>
      </c>
      <c r="AH304" s="2" t="str">
        <f>IFERROR(__xludf.DUMMYFUNCTION("IMPORTRANGE(""https://docs.google.com/spreadsheets/d/""&amp;$A304&amp;""/edit#gid=156619080"",AH$3)"),"#REF!")</f>
        <v>#REF!</v>
      </c>
      <c r="AI304" s="2" t="str">
        <f>IFERROR(__xludf.DUMMYFUNCTION("IMPORTRANGE(""https://docs.google.com/spreadsheets/d/""&amp;$A304&amp;""/edit#gid=156619080"",AI$3)"),"#REF!")</f>
        <v>#REF!</v>
      </c>
      <c r="AJ304" s="2" t="str">
        <f>IFERROR(__xludf.DUMMYFUNCTION("IMPORTRANGE(""https://docs.google.com/spreadsheets/d/""&amp;$A304&amp;""/edit#gid=156619080"",AJ$3)"),"#REF!")</f>
        <v>#REF!</v>
      </c>
      <c r="AK304" s="2" t="str">
        <f>IFERROR(__xludf.DUMMYFUNCTION("IMPORTRANGE(""https://docs.google.com/spreadsheets/d/""&amp;$A304&amp;""/edit#gid=156619080"",AK$3)"),"#REF!")</f>
        <v>#REF!</v>
      </c>
      <c r="AL304" s="2" t="str">
        <f>IFERROR(__xludf.DUMMYFUNCTION("IMPORTRANGE(""https://docs.google.com/spreadsheets/d/""&amp;$A304&amp;""/edit#gid=156619080"",AL$3)"),"#REF!")</f>
        <v>#REF!</v>
      </c>
      <c r="AM304" s="2" t="str">
        <f>IFERROR(__xludf.DUMMYFUNCTION("IMPORTRANGE(""https://docs.google.com/spreadsheets/d/""&amp;$A304&amp;""/edit#gid=156619080"",AM$3)"),"#REF!")</f>
        <v>#REF!</v>
      </c>
      <c r="AN304" s="2" t="str">
        <f>IFERROR(__xludf.DUMMYFUNCTION("IMPORTRANGE(""https://docs.google.com/spreadsheets/d/""&amp;$A304&amp;""/edit#gid=156619080"",AN$3)"),"#REF!")</f>
        <v>#REF!</v>
      </c>
      <c r="AO304" s="2" t="str">
        <f>IFERROR(__xludf.DUMMYFUNCTION("IMPORTRANGE(""https://docs.google.com/spreadsheets/d/""&amp;$A304&amp;""/edit#gid=156619080"",AO$3)"),"#REF!")</f>
        <v>#REF!</v>
      </c>
      <c r="AP304" s="2" t="str">
        <f>IFERROR(__xludf.DUMMYFUNCTION("IMPORTRANGE(""https://docs.google.com/spreadsheets/d/""&amp;$A304&amp;""/edit#gid=156619080"",AP$3)"),"#REF!")</f>
        <v>#REF!</v>
      </c>
      <c r="AQ304" s="2" t="str">
        <f>IFERROR(__xludf.DUMMYFUNCTION("IMPORTRANGE(""https://docs.google.com/spreadsheets/d/""&amp;$A304&amp;""/edit#gid=156619080"",AQ$3)"),"#REF!")</f>
        <v>#REF!</v>
      </c>
      <c r="AR304" s="2" t="str">
        <f>IFERROR(__xludf.DUMMYFUNCTION("IMPORTRANGE(""https://docs.google.com/spreadsheets/d/""&amp;$A304&amp;""/edit#gid=156619080"",AR$3)"),"#REF!")</f>
        <v>#REF!</v>
      </c>
      <c r="AS304" s="19" t="str">
        <f>IFERROR(__xludf.DUMMYFUNCTION("IMPORTRANGE(""https://docs.google.com/spreadsheets/d/""&amp;$A304&amp;""/edit#gid=156619080"",AS$3)"),"#REF!")</f>
        <v>#REF!</v>
      </c>
      <c r="AT304" s="2" t="str">
        <f>IFERROR(__xludf.DUMMYFUNCTION("IMPORTRANGE(""https://docs.google.com/spreadsheets/d/""&amp;$A304&amp;""/edit#gid=156619080"",AT$3)"),"#REF!")</f>
        <v>#REF!</v>
      </c>
      <c r="AU304" s="3" t="str">
        <f>IFERROR(__xludf.DUMMYFUNCTION("IMPORTRANGE(""https://docs.google.com/spreadsheets/d/""&amp;$A304&amp;""/edit#gid=156619080"",AU$3)"),"#REF!")</f>
        <v>#REF!</v>
      </c>
      <c r="AV304" s="2" t="str">
        <f>IFERROR(__xludf.DUMMYFUNCTION("IMPORTRANGE(""https://docs.google.com/spreadsheets/d/""&amp;$A304&amp;""/edit#gid=156619080"",AV$3)"),"#REF!")</f>
        <v>#REF!</v>
      </c>
      <c r="AW304" s="19" t="str">
        <f>IFERROR(__xludf.DUMMYFUNCTION("IMPORTRANGE(""https://docs.google.com/spreadsheets/d/""&amp;$A304&amp;""/edit#gid=156619080"",AW$3)"),"#REF!")</f>
        <v>#REF!</v>
      </c>
      <c r="AX304" s="2" t="str">
        <f>IFERROR(__xludf.DUMMYFUNCTION("IMPORTRANGE(""https://docs.google.com/spreadsheets/d/""&amp;$A304&amp;""/edit#gid=156619080"",AX$3)"),"#REF!")</f>
        <v>#REF!</v>
      </c>
      <c r="AY304" s="2" t="str">
        <f>IFERROR(__xludf.DUMMYFUNCTION("IMPORTRANGE(""https://docs.google.com/spreadsheets/d/""&amp;$A304&amp;""/edit#gid=156619080"",AY$3)"),"#REF!")</f>
        <v>#REF!</v>
      </c>
      <c r="AZ304" s="2" t="str">
        <f>IFERROR(__xludf.DUMMYFUNCTION("IMPORTRANGE(""https://docs.google.com/spreadsheets/d/""&amp;$A304&amp;""/edit#gid=156619080"",AZ$3)"),"#REF!")</f>
        <v>#REF!</v>
      </c>
      <c r="BA304" s="2" t="str">
        <f>IFERROR(__xludf.DUMMYFUNCTION("IMPORTRANGE(""https://docs.google.com/spreadsheets/d/""&amp;$A304&amp;""/edit#gid=156619080"",BA$3)"),"#REF!")</f>
        <v>#REF!</v>
      </c>
      <c r="BB304" s="2" t="str">
        <f>IFERROR(__xludf.DUMMYFUNCTION("IMPORTRANGE(""https://docs.google.com/spreadsheets/d/""&amp;$A304&amp;""/edit#gid=156619080"",BB$3)"),"#REF!")</f>
        <v>#REF!</v>
      </c>
      <c r="BC304" s="2" t="str">
        <f>IFERROR(__xludf.DUMMYFUNCTION("IMPORTRANGE(""https://docs.google.com/spreadsheets/d/""&amp;$A304&amp;""/edit#gid=156619080"",BC$3)"),"#REF!")</f>
        <v>#REF!</v>
      </c>
    </row>
    <row r="305" ht="51.0" customHeight="1">
      <c r="A305" s="7" t="str">
        <f t="shared" si="5"/>
        <v>1DxiWqrNup_6-8PYoNk1Pvu98ABPeZc0YTa-YCGYGQ5I</v>
      </c>
      <c r="B305" s="1" t="s">
        <v>332</v>
      </c>
      <c r="C305" s="2" t="str">
        <f>IFERROR(__xludf.DUMMYFUNCTION("IMPORTRANGE(""https://docs.google.com/spreadsheets/d/""&amp;$A305&amp;""/edit#gid=156619080"",C$3)"),"#REF!")</f>
        <v>#REF!</v>
      </c>
      <c r="D305" s="2" t="str">
        <f>IFERROR(__xludf.DUMMYFUNCTION("IMPORTRANGE(""https://docs.google.com/spreadsheets/d/""&amp;$A305&amp;""/edit#gid=156619080"",D$3)"),"#REF!")</f>
        <v>#REF!</v>
      </c>
      <c r="E305" s="2" t="str">
        <f>IFERROR(__xludf.DUMMYFUNCTION("IMPORTRANGE(""https://docs.google.com/spreadsheets/d/""&amp;$A305&amp;""/edit#gid=156619080"",E$3)"),"#REF!")</f>
        <v>#REF!</v>
      </c>
      <c r="F305" s="2" t="str">
        <f>IFERROR(__xludf.DUMMYFUNCTION("IMPORTRANGE(""https://docs.google.com/spreadsheets/d/""&amp;$A305&amp;""/edit#gid=156619080"",F$3)"),"#REF!")</f>
        <v>#REF!</v>
      </c>
      <c r="G305" s="2" t="str">
        <f>IFERROR(__xludf.DUMMYFUNCTION("IMPORTRANGE(""https://docs.google.com/spreadsheets/d/""&amp;$A305&amp;""/edit#gid=156619080"",G$3)"),"#REF!")</f>
        <v>#REF!</v>
      </c>
      <c r="H305" s="2" t="str">
        <f>IFERROR(__xludf.DUMMYFUNCTION("IMPORTRANGE(""https://docs.google.com/spreadsheets/d/""&amp;$A305&amp;""/edit#gid=156619080"",H$3)"),"#REF!")</f>
        <v>#REF!</v>
      </c>
      <c r="I305" s="2" t="str">
        <f>IFERROR(__xludf.DUMMYFUNCTION("IMPORTRANGE(""https://docs.google.com/spreadsheets/d/""&amp;$A305&amp;""/edit#gid=156619080"",I$3)"),"#REF!")</f>
        <v>#REF!</v>
      </c>
      <c r="J305" s="2" t="str">
        <f>IFERROR(__xludf.DUMMYFUNCTION("IMPORTRANGE(""https://docs.google.com/spreadsheets/d/""&amp;$A305&amp;""/edit#gid=156619080"",J$3)"),"#REF!")</f>
        <v>#REF!</v>
      </c>
      <c r="K305" s="2" t="str">
        <f>IFERROR(__xludf.DUMMYFUNCTION("IMPORTRANGE(""https://docs.google.com/spreadsheets/d/""&amp;$A305&amp;""/edit#gid=156619080"",K$3)"),"#REF!")</f>
        <v>#REF!</v>
      </c>
      <c r="L305" s="2" t="str">
        <f>IFERROR(__xludf.DUMMYFUNCTION("IMPORTRANGE(""https://docs.google.com/spreadsheets/d/""&amp;$A305&amp;""/edit#gid=156619080"",L$3)"),"#REF!")</f>
        <v>#REF!</v>
      </c>
      <c r="M305" s="2" t="str">
        <f>IFERROR(__xludf.DUMMYFUNCTION("IMPORTRANGE(""https://docs.google.com/spreadsheets/d/""&amp;$A305&amp;""/edit#gid=156619080"",M$3)"),"#REF!")</f>
        <v>#REF!</v>
      </c>
      <c r="N305" s="2" t="str">
        <f>IFERROR(__xludf.DUMMYFUNCTION("IMPORTRANGE(""https://docs.google.com/spreadsheets/d/""&amp;$A305&amp;""/edit#gid=156619080"",N$3)"),"#REF!")</f>
        <v>#REF!</v>
      </c>
      <c r="O305" s="2" t="str">
        <f>IFERROR(__xludf.DUMMYFUNCTION("IMPORTRANGE(""https://docs.google.com/spreadsheets/d/""&amp;$A305&amp;""/edit#gid=156619080"",O$3)"),"#REF!")</f>
        <v>#REF!</v>
      </c>
      <c r="P305" s="2" t="str">
        <f>IFERROR(__xludf.DUMMYFUNCTION("IMPORTRANGE(""https://docs.google.com/spreadsheets/d/""&amp;$A305&amp;""/edit#gid=156619080"",P$3)"),"#REF!")</f>
        <v>#REF!</v>
      </c>
      <c r="Q305" s="2" t="str">
        <f>IFERROR(__xludf.DUMMYFUNCTION("IMPORTRANGE(""https://docs.google.com/spreadsheets/d/""&amp;$A305&amp;""/edit#gid=156619080"",Q$3)"),"#REF!")</f>
        <v>#REF!</v>
      </c>
      <c r="R305" s="2" t="str">
        <f>IFERROR(__xludf.DUMMYFUNCTION("IMPORTRANGE(""https://docs.google.com/spreadsheets/d/""&amp;$A305&amp;""/edit#gid=156619080"",R$3)"),"#REF!")</f>
        <v>#REF!</v>
      </c>
      <c r="S305" s="2" t="str">
        <f>IFERROR(__xludf.DUMMYFUNCTION("IMPORTRANGE(""https://docs.google.com/spreadsheets/d/""&amp;$A305&amp;""/edit#gid=156619080"",S$3)"),"#REF!")</f>
        <v>#REF!</v>
      </c>
      <c r="T305" s="2" t="str">
        <f>IFERROR(__xludf.DUMMYFUNCTION("IMPORTRANGE(""https://docs.google.com/spreadsheets/d/""&amp;$A305&amp;""/edit#gid=156619080"",T$3)"),"#REF!")</f>
        <v>#REF!</v>
      </c>
      <c r="U305" s="2" t="str">
        <f>IFERROR(__xludf.DUMMYFUNCTION("IMPORTRANGE(""https://docs.google.com/spreadsheets/d/""&amp;$A305&amp;""/edit#gid=156619080"",U$3)"),"#REF!")</f>
        <v>#REF!</v>
      </c>
      <c r="V305" s="2" t="str">
        <f>IFERROR(__xludf.DUMMYFUNCTION("IMPORTRANGE(""https://docs.google.com/spreadsheets/d/""&amp;$A305&amp;""/edit#gid=156619080"",V$3)"),"#REF!")</f>
        <v>#REF!</v>
      </c>
      <c r="W305" s="2" t="str">
        <f>IFERROR(__xludf.DUMMYFUNCTION("IMPORTRANGE(""https://docs.google.com/spreadsheets/d/""&amp;$A305&amp;""/edit#gid=156619080"",W$3)"),"#REF!")</f>
        <v>#REF!</v>
      </c>
      <c r="X305" s="2" t="str">
        <f>IFERROR(__xludf.DUMMYFUNCTION("IMPORTRANGE(""https://docs.google.com/spreadsheets/d/""&amp;$A305&amp;""/edit#gid=156619080"",X$3)"),"#REF!")</f>
        <v>#REF!</v>
      </c>
      <c r="Y305" s="2" t="str">
        <f>IFERROR(__xludf.DUMMYFUNCTION("IMPORTRANGE(""https://docs.google.com/spreadsheets/d/""&amp;$A305&amp;""/edit#gid=156619080"",Y$3)"),"#REF!")</f>
        <v>#REF!</v>
      </c>
      <c r="Z305" s="2" t="str">
        <f>IFERROR(__xludf.DUMMYFUNCTION("IMPORTRANGE(""https://docs.google.com/spreadsheets/d/""&amp;$A305&amp;""/edit#gid=156619080"",Z$3)"),"#REF!")</f>
        <v>#REF!</v>
      </c>
      <c r="AA305" s="2" t="str">
        <f>IFERROR(__xludf.DUMMYFUNCTION("IMPORTRANGE(""https://docs.google.com/spreadsheets/d/""&amp;$A305&amp;""/edit#gid=156619080"",AA$3)"),"#REF!")</f>
        <v>#REF!</v>
      </c>
      <c r="AB305" s="2" t="str">
        <f>IFERROR(__xludf.DUMMYFUNCTION("IMPORTRANGE(""https://docs.google.com/spreadsheets/d/""&amp;$A305&amp;""/edit#gid=156619080"",AB$3)"),"#REF!")</f>
        <v>#REF!</v>
      </c>
      <c r="AC305" s="2" t="str">
        <f>IFERROR(__xludf.DUMMYFUNCTION("IMPORTRANGE(""https://docs.google.com/spreadsheets/d/""&amp;$A305&amp;""/edit#gid=156619080"",AC$3)"),"#REF!")</f>
        <v>#REF!</v>
      </c>
      <c r="AD305" s="2" t="str">
        <f>IFERROR(__xludf.DUMMYFUNCTION("IMPORTRANGE(""https://docs.google.com/spreadsheets/d/""&amp;$A305&amp;""/edit#gid=156619080"",AD$3)"),"#REF!")</f>
        <v>#REF!</v>
      </c>
      <c r="AE305" s="2" t="str">
        <f>IFERROR(__xludf.DUMMYFUNCTION("IMPORTRANGE(""https://docs.google.com/spreadsheets/d/""&amp;$A305&amp;""/edit#gid=156619080"",AE$3)"),"#REF!")</f>
        <v>#REF!</v>
      </c>
      <c r="AF305" s="2" t="str">
        <f>IFERROR(__xludf.DUMMYFUNCTION("IMPORTRANGE(""https://docs.google.com/spreadsheets/d/""&amp;$A305&amp;""/edit#gid=156619080"",AF$3)"),"#REF!")</f>
        <v>#REF!</v>
      </c>
      <c r="AG305" s="2" t="str">
        <f>IFERROR(__xludf.DUMMYFUNCTION("IMPORTRANGE(""https://docs.google.com/spreadsheets/d/""&amp;$A305&amp;""/edit#gid=156619080"",AG$3)"),"#REF!")</f>
        <v>#REF!</v>
      </c>
      <c r="AH305" s="2" t="str">
        <f>IFERROR(__xludf.DUMMYFUNCTION("IMPORTRANGE(""https://docs.google.com/spreadsheets/d/""&amp;$A305&amp;""/edit#gid=156619080"",AH$3)"),"#REF!")</f>
        <v>#REF!</v>
      </c>
      <c r="AI305" s="2" t="str">
        <f>IFERROR(__xludf.DUMMYFUNCTION("IMPORTRANGE(""https://docs.google.com/spreadsheets/d/""&amp;$A305&amp;""/edit#gid=156619080"",AI$3)"),"#REF!")</f>
        <v>#REF!</v>
      </c>
      <c r="AJ305" s="2" t="str">
        <f>IFERROR(__xludf.DUMMYFUNCTION("IMPORTRANGE(""https://docs.google.com/spreadsheets/d/""&amp;$A305&amp;""/edit#gid=156619080"",AJ$3)"),"#REF!")</f>
        <v>#REF!</v>
      </c>
      <c r="AK305" s="2" t="str">
        <f>IFERROR(__xludf.DUMMYFUNCTION("IMPORTRANGE(""https://docs.google.com/spreadsheets/d/""&amp;$A305&amp;""/edit#gid=156619080"",AK$3)"),"#REF!")</f>
        <v>#REF!</v>
      </c>
      <c r="AL305" s="2" t="str">
        <f>IFERROR(__xludf.DUMMYFUNCTION("IMPORTRANGE(""https://docs.google.com/spreadsheets/d/""&amp;$A305&amp;""/edit#gid=156619080"",AL$3)"),"#REF!")</f>
        <v>#REF!</v>
      </c>
      <c r="AM305" s="2" t="str">
        <f>IFERROR(__xludf.DUMMYFUNCTION("IMPORTRANGE(""https://docs.google.com/spreadsheets/d/""&amp;$A305&amp;""/edit#gid=156619080"",AM$3)"),"#REF!")</f>
        <v>#REF!</v>
      </c>
      <c r="AN305" s="2" t="str">
        <f>IFERROR(__xludf.DUMMYFUNCTION("IMPORTRANGE(""https://docs.google.com/spreadsheets/d/""&amp;$A305&amp;""/edit#gid=156619080"",AN$3)"),"#REF!")</f>
        <v>#REF!</v>
      </c>
      <c r="AO305" s="2" t="str">
        <f>IFERROR(__xludf.DUMMYFUNCTION("IMPORTRANGE(""https://docs.google.com/spreadsheets/d/""&amp;$A305&amp;""/edit#gid=156619080"",AO$3)"),"#REF!")</f>
        <v>#REF!</v>
      </c>
      <c r="AP305" s="2" t="str">
        <f>IFERROR(__xludf.DUMMYFUNCTION("IMPORTRANGE(""https://docs.google.com/spreadsheets/d/""&amp;$A305&amp;""/edit#gid=156619080"",AP$3)"),"#REF!")</f>
        <v>#REF!</v>
      </c>
      <c r="AQ305" s="2" t="str">
        <f>IFERROR(__xludf.DUMMYFUNCTION("IMPORTRANGE(""https://docs.google.com/spreadsheets/d/""&amp;$A305&amp;""/edit#gid=156619080"",AQ$3)"),"#REF!")</f>
        <v>#REF!</v>
      </c>
      <c r="AR305" s="2" t="str">
        <f>IFERROR(__xludf.DUMMYFUNCTION("IMPORTRANGE(""https://docs.google.com/spreadsheets/d/""&amp;$A305&amp;""/edit#gid=156619080"",AR$3)"),"#REF!")</f>
        <v>#REF!</v>
      </c>
      <c r="AS305" s="19" t="str">
        <f>IFERROR(__xludf.DUMMYFUNCTION("IMPORTRANGE(""https://docs.google.com/spreadsheets/d/""&amp;$A305&amp;""/edit#gid=156619080"",AS$3)"),"#REF!")</f>
        <v>#REF!</v>
      </c>
      <c r="AT305" s="2" t="str">
        <f>IFERROR(__xludf.DUMMYFUNCTION("IMPORTRANGE(""https://docs.google.com/spreadsheets/d/""&amp;$A305&amp;""/edit#gid=156619080"",AT$3)"),"#REF!")</f>
        <v>#REF!</v>
      </c>
      <c r="AU305" s="3" t="str">
        <f>IFERROR(__xludf.DUMMYFUNCTION("IMPORTRANGE(""https://docs.google.com/spreadsheets/d/""&amp;$A305&amp;""/edit#gid=156619080"",AU$3)"),"#REF!")</f>
        <v>#REF!</v>
      </c>
      <c r="AV305" s="2" t="str">
        <f>IFERROR(__xludf.DUMMYFUNCTION("IMPORTRANGE(""https://docs.google.com/spreadsheets/d/""&amp;$A305&amp;""/edit#gid=156619080"",AV$3)"),"#REF!")</f>
        <v>#REF!</v>
      </c>
      <c r="AW305" s="19" t="str">
        <f>IFERROR(__xludf.DUMMYFUNCTION("IMPORTRANGE(""https://docs.google.com/spreadsheets/d/""&amp;$A305&amp;""/edit#gid=156619080"",AW$3)"),"#REF!")</f>
        <v>#REF!</v>
      </c>
      <c r="AX305" s="2" t="str">
        <f>IFERROR(__xludf.DUMMYFUNCTION("IMPORTRANGE(""https://docs.google.com/spreadsheets/d/""&amp;$A305&amp;""/edit#gid=156619080"",AX$3)"),"#REF!")</f>
        <v>#REF!</v>
      </c>
      <c r="AY305" s="2" t="str">
        <f>IFERROR(__xludf.DUMMYFUNCTION("IMPORTRANGE(""https://docs.google.com/spreadsheets/d/""&amp;$A305&amp;""/edit#gid=156619080"",AY$3)"),"#REF!")</f>
        <v>#REF!</v>
      </c>
      <c r="AZ305" s="2" t="str">
        <f>IFERROR(__xludf.DUMMYFUNCTION("IMPORTRANGE(""https://docs.google.com/spreadsheets/d/""&amp;$A305&amp;""/edit#gid=156619080"",AZ$3)"),"#REF!")</f>
        <v>#REF!</v>
      </c>
      <c r="BA305" s="2" t="str">
        <f>IFERROR(__xludf.DUMMYFUNCTION("IMPORTRANGE(""https://docs.google.com/spreadsheets/d/""&amp;$A305&amp;""/edit#gid=156619080"",BA$3)"),"#REF!")</f>
        <v>#REF!</v>
      </c>
      <c r="BB305" s="2" t="str">
        <f>IFERROR(__xludf.DUMMYFUNCTION("IMPORTRANGE(""https://docs.google.com/spreadsheets/d/""&amp;$A305&amp;""/edit#gid=156619080"",BB$3)"),"#REF!")</f>
        <v>#REF!</v>
      </c>
      <c r="BC305" s="2" t="str">
        <f>IFERROR(__xludf.DUMMYFUNCTION("IMPORTRANGE(""https://docs.google.com/spreadsheets/d/""&amp;$A305&amp;""/edit#gid=156619080"",BC$3)"),"#REF!")</f>
        <v>#REF!</v>
      </c>
    </row>
    <row r="306" ht="51.0" customHeight="1">
      <c r="A306" s="7" t="str">
        <f t="shared" si="5"/>
        <v>15wMUgwv6F84Lk5HVKOTxsHQc1XnS07QI4jweDqSeQoc</v>
      </c>
      <c r="B306" s="1" t="s">
        <v>333</v>
      </c>
      <c r="C306" s="2" t="str">
        <f>IFERROR(__xludf.DUMMYFUNCTION("IMPORTRANGE(""https://docs.google.com/spreadsheets/d/""&amp;$A306&amp;""/edit#gid=156619080"",C$3)"),"#REF!")</f>
        <v>#REF!</v>
      </c>
      <c r="D306" s="2" t="str">
        <f>IFERROR(__xludf.DUMMYFUNCTION("IMPORTRANGE(""https://docs.google.com/spreadsheets/d/""&amp;$A306&amp;""/edit#gid=156619080"",D$3)"),"#REF!")</f>
        <v>#REF!</v>
      </c>
      <c r="E306" s="2" t="str">
        <f>IFERROR(__xludf.DUMMYFUNCTION("IMPORTRANGE(""https://docs.google.com/spreadsheets/d/""&amp;$A306&amp;""/edit#gid=156619080"",E$3)"),"#REF!")</f>
        <v>#REF!</v>
      </c>
      <c r="F306" s="2" t="str">
        <f>IFERROR(__xludf.DUMMYFUNCTION("IMPORTRANGE(""https://docs.google.com/spreadsheets/d/""&amp;$A306&amp;""/edit#gid=156619080"",F$3)"),"#REF!")</f>
        <v>#REF!</v>
      </c>
      <c r="G306" s="2" t="str">
        <f>IFERROR(__xludf.DUMMYFUNCTION("IMPORTRANGE(""https://docs.google.com/spreadsheets/d/""&amp;$A306&amp;""/edit#gid=156619080"",G$3)"),"#REF!")</f>
        <v>#REF!</v>
      </c>
      <c r="H306" s="2" t="str">
        <f>IFERROR(__xludf.DUMMYFUNCTION("IMPORTRANGE(""https://docs.google.com/spreadsheets/d/""&amp;$A306&amp;""/edit#gid=156619080"",H$3)"),"#REF!")</f>
        <v>#REF!</v>
      </c>
      <c r="I306" s="2" t="str">
        <f>IFERROR(__xludf.DUMMYFUNCTION("IMPORTRANGE(""https://docs.google.com/spreadsheets/d/""&amp;$A306&amp;""/edit#gid=156619080"",I$3)"),"#REF!")</f>
        <v>#REF!</v>
      </c>
      <c r="J306" s="2" t="str">
        <f>IFERROR(__xludf.DUMMYFUNCTION("IMPORTRANGE(""https://docs.google.com/spreadsheets/d/""&amp;$A306&amp;""/edit#gid=156619080"",J$3)"),"#REF!")</f>
        <v>#REF!</v>
      </c>
      <c r="K306" s="2" t="str">
        <f>IFERROR(__xludf.DUMMYFUNCTION("IMPORTRANGE(""https://docs.google.com/spreadsheets/d/""&amp;$A306&amp;""/edit#gid=156619080"",K$3)"),"#REF!")</f>
        <v>#REF!</v>
      </c>
      <c r="L306" s="2" t="str">
        <f>IFERROR(__xludf.DUMMYFUNCTION("IMPORTRANGE(""https://docs.google.com/spreadsheets/d/""&amp;$A306&amp;""/edit#gid=156619080"",L$3)"),"#REF!")</f>
        <v>#REF!</v>
      </c>
      <c r="M306" s="2" t="str">
        <f>IFERROR(__xludf.DUMMYFUNCTION("IMPORTRANGE(""https://docs.google.com/spreadsheets/d/""&amp;$A306&amp;""/edit#gid=156619080"",M$3)"),"#REF!")</f>
        <v>#REF!</v>
      </c>
      <c r="N306" s="2" t="str">
        <f>IFERROR(__xludf.DUMMYFUNCTION("IMPORTRANGE(""https://docs.google.com/spreadsheets/d/""&amp;$A306&amp;""/edit#gid=156619080"",N$3)"),"#REF!")</f>
        <v>#REF!</v>
      </c>
      <c r="O306" s="2" t="str">
        <f>IFERROR(__xludf.DUMMYFUNCTION("IMPORTRANGE(""https://docs.google.com/spreadsheets/d/""&amp;$A306&amp;""/edit#gid=156619080"",O$3)"),"#REF!")</f>
        <v>#REF!</v>
      </c>
      <c r="P306" s="2" t="str">
        <f>IFERROR(__xludf.DUMMYFUNCTION("IMPORTRANGE(""https://docs.google.com/spreadsheets/d/""&amp;$A306&amp;""/edit#gid=156619080"",P$3)"),"#REF!")</f>
        <v>#REF!</v>
      </c>
      <c r="Q306" s="2" t="str">
        <f>IFERROR(__xludf.DUMMYFUNCTION("IMPORTRANGE(""https://docs.google.com/spreadsheets/d/""&amp;$A306&amp;""/edit#gid=156619080"",Q$3)"),"#REF!")</f>
        <v>#REF!</v>
      </c>
      <c r="R306" s="2" t="str">
        <f>IFERROR(__xludf.DUMMYFUNCTION("IMPORTRANGE(""https://docs.google.com/spreadsheets/d/""&amp;$A306&amp;""/edit#gid=156619080"",R$3)"),"#REF!")</f>
        <v>#REF!</v>
      </c>
      <c r="S306" s="2" t="str">
        <f>IFERROR(__xludf.DUMMYFUNCTION("IMPORTRANGE(""https://docs.google.com/spreadsheets/d/""&amp;$A306&amp;""/edit#gid=156619080"",S$3)"),"#REF!")</f>
        <v>#REF!</v>
      </c>
      <c r="T306" s="2" t="str">
        <f>IFERROR(__xludf.DUMMYFUNCTION("IMPORTRANGE(""https://docs.google.com/spreadsheets/d/""&amp;$A306&amp;""/edit#gid=156619080"",T$3)"),"#REF!")</f>
        <v>#REF!</v>
      </c>
      <c r="U306" s="2" t="str">
        <f>IFERROR(__xludf.DUMMYFUNCTION("IMPORTRANGE(""https://docs.google.com/spreadsheets/d/""&amp;$A306&amp;""/edit#gid=156619080"",U$3)"),"#REF!")</f>
        <v>#REF!</v>
      </c>
      <c r="V306" s="2" t="str">
        <f>IFERROR(__xludf.DUMMYFUNCTION("IMPORTRANGE(""https://docs.google.com/spreadsheets/d/""&amp;$A306&amp;""/edit#gid=156619080"",V$3)"),"#REF!")</f>
        <v>#REF!</v>
      </c>
      <c r="W306" s="2" t="str">
        <f>IFERROR(__xludf.DUMMYFUNCTION("IMPORTRANGE(""https://docs.google.com/spreadsheets/d/""&amp;$A306&amp;""/edit#gid=156619080"",W$3)"),"#REF!")</f>
        <v>#REF!</v>
      </c>
      <c r="X306" s="2" t="str">
        <f>IFERROR(__xludf.DUMMYFUNCTION("IMPORTRANGE(""https://docs.google.com/spreadsheets/d/""&amp;$A306&amp;""/edit#gid=156619080"",X$3)"),"#REF!")</f>
        <v>#REF!</v>
      </c>
      <c r="Y306" s="2" t="str">
        <f>IFERROR(__xludf.DUMMYFUNCTION("IMPORTRANGE(""https://docs.google.com/spreadsheets/d/""&amp;$A306&amp;""/edit#gid=156619080"",Y$3)"),"#REF!")</f>
        <v>#REF!</v>
      </c>
      <c r="Z306" s="2" t="str">
        <f>IFERROR(__xludf.DUMMYFUNCTION("IMPORTRANGE(""https://docs.google.com/spreadsheets/d/""&amp;$A306&amp;""/edit#gid=156619080"",Z$3)"),"#REF!")</f>
        <v>#REF!</v>
      </c>
      <c r="AA306" s="2" t="str">
        <f>IFERROR(__xludf.DUMMYFUNCTION("IMPORTRANGE(""https://docs.google.com/spreadsheets/d/""&amp;$A306&amp;""/edit#gid=156619080"",AA$3)"),"#REF!")</f>
        <v>#REF!</v>
      </c>
      <c r="AB306" s="2" t="str">
        <f>IFERROR(__xludf.DUMMYFUNCTION("IMPORTRANGE(""https://docs.google.com/spreadsheets/d/""&amp;$A306&amp;""/edit#gid=156619080"",AB$3)"),"#REF!")</f>
        <v>#REF!</v>
      </c>
      <c r="AC306" s="2" t="str">
        <f>IFERROR(__xludf.DUMMYFUNCTION("IMPORTRANGE(""https://docs.google.com/spreadsheets/d/""&amp;$A306&amp;""/edit#gid=156619080"",AC$3)"),"#REF!")</f>
        <v>#REF!</v>
      </c>
      <c r="AD306" s="2" t="str">
        <f>IFERROR(__xludf.DUMMYFUNCTION("IMPORTRANGE(""https://docs.google.com/spreadsheets/d/""&amp;$A306&amp;""/edit#gid=156619080"",AD$3)"),"#REF!")</f>
        <v>#REF!</v>
      </c>
      <c r="AE306" s="2" t="str">
        <f>IFERROR(__xludf.DUMMYFUNCTION("IMPORTRANGE(""https://docs.google.com/spreadsheets/d/""&amp;$A306&amp;""/edit#gid=156619080"",AE$3)"),"#REF!")</f>
        <v>#REF!</v>
      </c>
      <c r="AF306" s="2" t="str">
        <f>IFERROR(__xludf.DUMMYFUNCTION("IMPORTRANGE(""https://docs.google.com/spreadsheets/d/""&amp;$A306&amp;""/edit#gid=156619080"",AF$3)"),"#REF!")</f>
        <v>#REF!</v>
      </c>
      <c r="AG306" s="2" t="str">
        <f>IFERROR(__xludf.DUMMYFUNCTION("IMPORTRANGE(""https://docs.google.com/spreadsheets/d/""&amp;$A306&amp;""/edit#gid=156619080"",AG$3)"),"#REF!")</f>
        <v>#REF!</v>
      </c>
      <c r="AH306" s="2" t="str">
        <f>IFERROR(__xludf.DUMMYFUNCTION("IMPORTRANGE(""https://docs.google.com/spreadsheets/d/""&amp;$A306&amp;""/edit#gid=156619080"",AH$3)"),"#REF!")</f>
        <v>#REF!</v>
      </c>
      <c r="AI306" s="2" t="str">
        <f>IFERROR(__xludf.DUMMYFUNCTION("IMPORTRANGE(""https://docs.google.com/spreadsheets/d/""&amp;$A306&amp;""/edit#gid=156619080"",AI$3)"),"#REF!")</f>
        <v>#REF!</v>
      </c>
      <c r="AJ306" s="2" t="str">
        <f>IFERROR(__xludf.DUMMYFUNCTION("IMPORTRANGE(""https://docs.google.com/spreadsheets/d/""&amp;$A306&amp;""/edit#gid=156619080"",AJ$3)"),"#REF!")</f>
        <v>#REF!</v>
      </c>
      <c r="AK306" s="2" t="str">
        <f>IFERROR(__xludf.DUMMYFUNCTION("IMPORTRANGE(""https://docs.google.com/spreadsheets/d/""&amp;$A306&amp;""/edit#gid=156619080"",AK$3)"),"#REF!")</f>
        <v>#REF!</v>
      </c>
      <c r="AL306" s="2" t="str">
        <f>IFERROR(__xludf.DUMMYFUNCTION("IMPORTRANGE(""https://docs.google.com/spreadsheets/d/""&amp;$A306&amp;""/edit#gid=156619080"",AL$3)"),"#REF!")</f>
        <v>#REF!</v>
      </c>
      <c r="AM306" s="2" t="str">
        <f>IFERROR(__xludf.DUMMYFUNCTION("IMPORTRANGE(""https://docs.google.com/spreadsheets/d/""&amp;$A306&amp;""/edit#gid=156619080"",AM$3)"),"#REF!")</f>
        <v>#REF!</v>
      </c>
      <c r="AN306" s="2" t="str">
        <f>IFERROR(__xludf.DUMMYFUNCTION("IMPORTRANGE(""https://docs.google.com/spreadsheets/d/""&amp;$A306&amp;""/edit#gid=156619080"",AN$3)"),"#REF!")</f>
        <v>#REF!</v>
      </c>
      <c r="AO306" s="2" t="str">
        <f>IFERROR(__xludf.DUMMYFUNCTION("IMPORTRANGE(""https://docs.google.com/spreadsheets/d/""&amp;$A306&amp;""/edit#gid=156619080"",AO$3)"),"#REF!")</f>
        <v>#REF!</v>
      </c>
      <c r="AP306" s="2" t="str">
        <f>IFERROR(__xludf.DUMMYFUNCTION("IMPORTRANGE(""https://docs.google.com/spreadsheets/d/""&amp;$A306&amp;""/edit#gid=156619080"",AP$3)"),"#REF!")</f>
        <v>#REF!</v>
      </c>
      <c r="AQ306" s="2" t="str">
        <f>IFERROR(__xludf.DUMMYFUNCTION("IMPORTRANGE(""https://docs.google.com/spreadsheets/d/""&amp;$A306&amp;""/edit#gid=156619080"",AQ$3)"),"#REF!")</f>
        <v>#REF!</v>
      </c>
      <c r="AR306" s="2" t="str">
        <f>IFERROR(__xludf.DUMMYFUNCTION("IMPORTRANGE(""https://docs.google.com/spreadsheets/d/""&amp;$A306&amp;""/edit#gid=156619080"",AR$3)"),"#REF!")</f>
        <v>#REF!</v>
      </c>
      <c r="AS306" s="19" t="str">
        <f>IFERROR(__xludf.DUMMYFUNCTION("IMPORTRANGE(""https://docs.google.com/spreadsheets/d/""&amp;$A306&amp;""/edit#gid=156619080"",AS$3)"),"#REF!")</f>
        <v>#REF!</v>
      </c>
      <c r="AT306" s="2" t="str">
        <f>IFERROR(__xludf.DUMMYFUNCTION("IMPORTRANGE(""https://docs.google.com/spreadsheets/d/""&amp;$A306&amp;""/edit#gid=156619080"",AT$3)"),"#REF!")</f>
        <v>#REF!</v>
      </c>
      <c r="AU306" s="3" t="str">
        <f>IFERROR(__xludf.DUMMYFUNCTION("IMPORTRANGE(""https://docs.google.com/spreadsheets/d/""&amp;$A306&amp;""/edit#gid=156619080"",AU$3)"),"#REF!")</f>
        <v>#REF!</v>
      </c>
      <c r="AV306" s="2" t="str">
        <f>IFERROR(__xludf.DUMMYFUNCTION("IMPORTRANGE(""https://docs.google.com/spreadsheets/d/""&amp;$A306&amp;""/edit#gid=156619080"",AV$3)"),"#REF!")</f>
        <v>#REF!</v>
      </c>
      <c r="AW306" s="19" t="str">
        <f>IFERROR(__xludf.DUMMYFUNCTION("IMPORTRANGE(""https://docs.google.com/spreadsheets/d/""&amp;$A306&amp;""/edit#gid=156619080"",AW$3)"),"#REF!")</f>
        <v>#REF!</v>
      </c>
      <c r="AX306" s="2" t="str">
        <f>IFERROR(__xludf.DUMMYFUNCTION("IMPORTRANGE(""https://docs.google.com/spreadsheets/d/""&amp;$A306&amp;""/edit#gid=156619080"",AX$3)"),"#REF!")</f>
        <v>#REF!</v>
      </c>
      <c r="AY306" s="2" t="str">
        <f>IFERROR(__xludf.DUMMYFUNCTION("IMPORTRANGE(""https://docs.google.com/spreadsheets/d/""&amp;$A306&amp;""/edit#gid=156619080"",AY$3)"),"#REF!")</f>
        <v>#REF!</v>
      </c>
      <c r="AZ306" s="2" t="str">
        <f>IFERROR(__xludf.DUMMYFUNCTION("IMPORTRANGE(""https://docs.google.com/spreadsheets/d/""&amp;$A306&amp;""/edit#gid=156619080"",AZ$3)"),"#REF!")</f>
        <v>#REF!</v>
      </c>
      <c r="BA306" s="2" t="str">
        <f>IFERROR(__xludf.DUMMYFUNCTION("IMPORTRANGE(""https://docs.google.com/spreadsheets/d/""&amp;$A306&amp;""/edit#gid=156619080"",BA$3)"),"#REF!")</f>
        <v>#REF!</v>
      </c>
      <c r="BB306" s="2" t="str">
        <f>IFERROR(__xludf.DUMMYFUNCTION("IMPORTRANGE(""https://docs.google.com/spreadsheets/d/""&amp;$A306&amp;""/edit#gid=156619080"",BB$3)"),"#REF!")</f>
        <v>#REF!</v>
      </c>
      <c r="BC306" s="2" t="str">
        <f>IFERROR(__xludf.DUMMYFUNCTION("IMPORTRANGE(""https://docs.google.com/spreadsheets/d/""&amp;$A306&amp;""/edit#gid=156619080"",BC$3)"),"#REF!")</f>
        <v>#REF!</v>
      </c>
    </row>
    <row r="307" ht="51.0" customHeight="1">
      <c r="A307" s="7" t="str">
        <f t="shared" si="5"/>
        <v>1JinAyv64qg0gA1G8dky4uH6EKpmxOmkWngH71oQmMLc</v>
      </c>
      <c r="B307" s="1" t="s">
        <v>334</v>
      </c>
      <c r="C307" s="2" t="str">
        <f>IFERROR(__xludf.DUMMYFUNCTION("IMPORTRANGE(""https://docs.google.com/spreadsheets/d/""&amp;$A307&amp;""/edit#gid=156619080"",C$3)"),"#REF!")</f>
        <v>#REF!</v>
      </c>
      <c r="D307" s="2" t="str">
        <f>IFERROR(__xludf.DUMMYFUNCTION("IMPORTRANGE(""https://docs.google.com/spreadsheets/d/""&amp;$A307&amp;""/edit#gid=156619080"",D$3)"),"#REF!")</f>
        <v>#REF!</v>
      </c>
      <c r="E307" s="2" t="str">
        <f>IFERROR(__xludf.DUMMYFUNCTION("IMPORTRANGE(""https://docs.google.com/spreadsheets/d/""&amp;$A307&amp;""/edit#gid=156619080"",E$3)"),"#REF!")</f>
        <v>#REF!</v>
      </c>
      <c r="F307" s="2" t="str">
        <f>IFERROR(__xludf.DUMMYFUNCTION("IMPORTRANGE(""https://docs.google.com/spreadsheets/d/""&amp;$A307&amp;""/edit#gid=156619080"",F$3)"),"#REF!")</f>
        <v>#REF!</v>
      </c>
      <c r="G307" s="2" t="str">
        <f>IFERROR(__xludf.DUMMYFUNCTION("IMPORTRANGE(""https://docs.google.com/spreadsheets/d/""&amp;$A307&amp;""/edit#gid=156619080"",G$3)"),"#REF!")</f>
        <v>#REF!</v>
      </c>
      <c r="H307" s="2" t="str">
        <f>IFERROR(__xludf.DUMMYFUNCTION("IMPORTRANGE(""https://docs.google.com/spreadsheets/d/""&amp;$A307&amp;""/edit#gid=156619080"",H$3)"),"#REF!")</f>
        <v>#REF!</v>
      </c>
      <c r="I307" s="2" t="str">
        <f>IFERROR(__xludf.DUMMYFUNCTION("IMPORTRANGE(""https://docs.google.com/spreadsheets/d/""&amp;$A307&amp;""/edit#gid=156619080"",I$3)"),"#REF!")</f>
        <v>#REF!</v>
      </c>
      <c r="J307" s="2" t="str">
        <f>IFERROR(__xludf.DUMMYFUNCTION("IMPORTRANGE(""https://docs.google.com/spreadsheets/d/""&amp;$A307&amp;""/edit#gid=156619080"",J$3)"),"#REF!")</f>
        <v>#REF!</v>
      </c>
      <c r="K307" s="2" t="str">
        <f>IFERROR(__xludf.DUMMYFUNCTION("IMPORTRANGE(""https://docs.google.com/spreadsheets/d/""&amp;$A307&amp;""/edit#gid=156619080"",K$3)"),"#REF!")</f>
        <v>#REF!</v>
      </c>
      <c r="L307" s="2" t="str">
        <f>IFERROR(__xludf.DUMMYFUNCTION("IMPORTRANGE(""https://docs.google.com/spreadsheets/d/""&amp;$A307&amp;""/edit#gid=156619080"",L$3)"),"#REF!")</f>
        <v>#REF!</v>
      </c>
      <c r="M307" s="2" t="str">
        <f>IFERROR(__xludf.DUMMYFUNCTION("IMPORTRANGE(""https://docs.google.com/spreadsheets/d/""&amp;$A307&amp;""/edit#gid=156619080"",M$3)"),"#REF!")</f>
        <v>#REF!</v>
      </c>
      <c r="N307" s="2" t="str">
        <f>IFERROR(__xludf.DUMMYFUNCTION("IMPORTRANGE(""https://docs.google.com/spreadsheets/d/""&amp;$A307&amp;""/edit#gid=156619080"",N$3)"),"#REF!")</f>
        <v>#REF!</v>
      </c>
      <c r="O307" s="2" t="str">
        <f>IFERROR(__xludf.DUMMYFUNCTION("IMPORTRANGE(""https://docs.google.com/spreadsheets/d/""&amp;$A307&amp;""/edit#gid=156619080"",O$3)"),"#REF!")</f>
        <v>#REF!</v>
      </c>
      <c r="P307" s="2" t="str">
        <f>IFERROR(__xludf.DUMMYFUNCTION("IMPORTRANGE(""https://docs.google.com/spreadsheets/d/""&amp;$A307&amp;""/edit#gid=156619080"",P$3)"),"#REF!")</f>
        <v>#REF!</v>
      </c>
      <c r="Q307" s="2" t="str">
        <f>IFERROR(__xludf.DUMMYFUNCTION("IMPORTRANGE(""https://docs.google.com/spreadsheets/d/""&amp;$A307&amp;""/edit#gid=156619080"",Q$3)"),"#REF!")</f>
        <v>#REF!</v>
      </c>
      <c r="R307" s="2" t="str">
        <f>IFERROR(__xludf.DUMMYFUNCTION("IMPORTRANGE(""https://docs.google.com/spreadsheets/d/""&amp;$A307&amp;""/edit#gid=156619080"",R$3)"),"#REF!")</f>
        <v>#REF!</v>
      </c>
      <c r="S307" s="2" t="str">
        <f>IFERROR(__xludf.DUMMYFUNCTION("IMPORTRANGE(""https://docs.google.com/spreadsheets/d/""&amp;$A307&amp;""/edit#gid=156619080"",S$3)"),"#REF!")</f>
        <v>#REF!</v>
      </c>
      <c r="T307" s="2" t="str">
        <f>IFERROR(__xludf.DUMMYFUNCTION("IMPORTRANGE(""https://docs.google.com/spreadsheets/d/""&amp;$A307&amp;""/edit#gid=156619080"",T$3)"),"#REF!")</f>
        <v>#REF!</v>
      </c>
      <c r="U307" s="2" t="str">
        <f>IFERROR(__xludf.DUMMYFUNCTION("IMPORTRANGE(""https://docs.google.com/spreadsheets/d/""&amp;$A307&amp;""/edit#gid=156619080"",U$3)"),"#REF!")</f>
        <v>#REF!</v>
      </c>
      <c r="V307" s="2" t="str">
        <f>IFERROR(__xludf.DUMMYFUNCTION("IMPORTRANGE(""https://docs.google.com/spreadsheets/d/""&amp;$A307&amp;""/edit#gid=156619080"",V$3)"),"#REF!")</f>
        <v>#REF!</v>
      </c>
      <c r="W307" s="2" t="str">
        <f>IFERROR(__xludf.DUMMYFUNCTION("IMPORTRANGE(""https://docs.google.com/spreadsheets/d/""&amp;$A307&amp;""/edit#gid=156619080"",W$3)"),"#REF!")</f>
        <v>#REF!</v>
      </c>
      <c r="X307" s="2" t="str">
        <f>IFERROR(__xludf.DUMMYFUNCTION("IMPORTRANGE(""https://docs.google.com/spreadsheets/d/""&amp;$A307&amp;""/edit#gid=156619080"",X$3)"),"#REF!")</f>
        <v>#REF!</v>
      </c>
      <c r="Y307" s="2" t="str">
        <f>IFERROR(__xludf.DUMMYFUNCTION("IMPORTRANGE(""https://docs.google.com/spreadsheets/d/""&amp;$A307&amp;""/edit#gid=156619080"",Y$3)"),"#REF!")</f>
        <v>#REF!</v>
      </c>
      <c r="Z307" s="2" t="str">
        <f>IFERROR(__xludf.DUMMYFUNCTION("IMPORTRANGE(""https://docs.google.com/spreadsheets/d/""&amp;$A307&amp;""/edit#gid=156619080"",Z$3)"),"#REF!")</f>
        <v>#REF!</v>
      </c>
      <c r="AA307" s="2" t="str">
        <f>IFERROR(__xludf.DUMMYFUNCTION("IMPORTRANGE(""https://docs.google.com/spreadsheets/d/""&amp;$A307&amp;""/edit#gid=156619080"",AA$3)"),"#REF!")</f>
        <v>#REF!</v>
      </c>
      <c r="AB307" s="2" t="str">
        <f>IFERROR(__xludf.DUMMYFUNCTION("IMPORTRANGE(""https://docs.google.com/spreadsheets/d/""&amp;$A307&amp;""/edit#gid=156619080"",AB$3)"),"#REF!")</f>
        <v>#REF!</v>
      </c>
      <c r="AC307" s="2" t="str">
        <f>IFERROR(__xludf.DUMMYFUNCTION("IMPORTRANGE(""https://docs.google.com/spreadsheets/d/""&amp;$A307&amp;""/edit#gid=156619080"",AC$3)"),"#REF!")</f>
        <v>#REF!</v>
      </c>
      <c r="AD307" s="2" t="str">
        <f>IFERROR(__xludf.DUMMYFUNCTION("IMPORTRANGE(""https://docs.google.com/spreadsheets/d/""&amp;$A307&amp;""/edit#gid=156619080"",AD$3)"),"#REF!")</f>
        <v>#REF!</v>
      </c>
      <c r="AE307" s="2" t="str">
        <f>IFERROR(__xludf.DUMMYFUNCTION("IMPORTRANGE(""https://docs.google.com/spreadsheets/d/""&amp;$A307&amp;""/edit#gid=156619080"",AE$3)"),"#REF!")</f>
        <v>#REF!</v>
      </c>
      <c r="AF307" s="2" t="str">
        <f>IFERROR(__xludf.DUMMYFUNCTION("IMPORTRANGE(""https://docs.google.com/spreadsheets/d/""&amp;$A307&amp;""/edit#gid=156619080"",AF$3)"),"#REF!")</f>
        <v>#REF!</v>
      </c>
      <c r="AG307" s="2" t="str">
        <f>IFERROR(__xludf.DUMMYFUNCTION("IMPORTRANGE(""https://docs.google.com/spreadsheets/d/""&amp;$A307&amp;""/edit#gid=156619080"",AG$3)"),"#REF!")</f>
        <v>#REF!</v>
      </c>
      <c r="AH307" s="2" t="str">
        <f>IFERROR(__xludf.DUMMYFUNCTION("IMPORTRANGE(""https://docs.google.com/spreadsheets/d/""&amp;$A307&amp;""/edit#gid=156619080"",AH$3)"),"#REF!")</f>
        <v>#REF!</v>
      </c>
      <c r="AI307" s="2" t="str">
        <f>IFERROR(__xludf.DUMMYFUNCTION("IMPORTRANGE(""https://docs.google.com/spreadsheets/d/""&amp;$A307&amp;""/edit#gid=156619080"",AI$3)"),"#REF!")</f>
        <v>#REF!</v>
      </c>
      <c r="AJ307" s="2" t="str">
        <f>IFERROR(__xludf.DUMMYFUNCTION("IMPORTRANGE(""https://docs.google.com/spreadsheets/d/""&amp;$A307&amp;""/edit#gid=156619080"",AJ$3)"),"#REF!")</f>
        <v>#REF!</v>
      </c>
      <c r="AK307" s="2" t="str">
        <f>IFERROR(__xludf.DUMMYFUNCTION("IMPORTRANGE(""https://docs.google.com/spreadsheets/d/""&amp;$A307&amp;""/edit#gid=156619080"",AK$3)"),"#REF!")</f>
        <v>#REF!</v>
      </c>
      <c r="AL307" s="2" t="str">
        <f>IFERROR(__xludf.DUMMYFUNCTION("IMPORTRANGE(""https://docs.google.com/spreadsheets/d/""&amp;$A307&amp;""/edit#gid=156619080"",AL$3)"),"#REF!")</f>
        <v>#REF!</v>
      </c>
      <c r="AM307" s="2" t="str">
        <f>IFERROR(__xludf.DUMMYFUNCTION("IMPORTRANGE(""https://docs.google.com/spreadsheets/d/""&amp;$A307&amp;""/edit#gid=156619080"",AM$3)"),"#REF!")</f>
        <v>#REF!</v>
      </c>
      <c r="AN307" s="2" t="str">
        <f>IFERROR(__xludf.DUMMYFUNCTION("IMPORTRANGE(""https://docs.google.com/spreadsheets/d/""&amp;$A307&amp;""/edit#gid=156619080"",AN$3)"),"#REF!")</f>
        <v>#REF!</v>
      </c>
      <c r="AO307" s="2" t="str">
        <f>IFERROR(__xludf.DUMMYFUNCTION("IMPORTRANGE(""https://docs.google.com/spreadsheets/d/""&amp;$A307&amp;""/edit#gid=156619080"",AO$3)"),"#REF!")</f>
        <v>#REF!</v>
      </c>
      <c r="AP307" s="2" t="str">
        <f>IFERROR(__xludf.DUMMYFUNCTION("IMPORTRANGE(""https://docs.google.com/spreadsheets/d/""&amp;$A307&amp;""/edit#gid=156619080"",AP$3)"),"#REF!")</f>
        <v>#REF!</v>
      </c>
      <c r="AQ307" s="2" t="str">
        <f>IFERROR(__xludf.DUMMYFUNCTION("IMPORTRANGE(""https://docs.google.com/spreadsheets/d/""&amp;$A307&amp;""/edit#gid=156619080"",AQ$3)"),"#REF!")</f>
        <v>#REF!</v>
      </c>
      <c r="AR307" s="2" t="str">
        <f>IFERROR(__xludf.DUMMYFUNCTION("IMPORTRANGE(""https://docs.google.com/spreadsheets/d/""&amp;$A307&amp;""/edit#gid=156619080"",AR$3)"),"#REF!")</f>
        <v>#REF!</v>
      </c>
      <c r="AS307" s="19" t="str">
        <f>IFERROR(__xludf.DUMMYFUNCTION("IMPORTRANGE(""https://docs.google.com/spreadsheets/d/""&amp;$A307&amp;""/edit#gid=156619080"",AS$3)"),"#REF!")</f>
        <v>#REF!</v>
      </c>
      <c r="AT307" s="2" t="str">
        <f>IFERROR(__xludf.DUMMYFUNCTION("IMPORTRANGE(""https://docs.google.com/spreadsheets/d/""&amp;$A307&amp;""/edit#gid=156619080"",AT$3)"),"#REF!")</f>
        <v>#REF!</v>
      </c>
      <c r="AU307" s="3" t="str">
        <f>IFERROR(__xludf.DUMMYFUNCTION("IMPORTRANGE(""https://docs.google.com/spreadsheets/d/""&amp;$A307&amp;""/edit#gid=156619080"",AU$3)"),"#REF!")</f>
        <v>#REF!</v>
      </c>
      <c r="AV307" s="2" t="str">
        <f>IFERROR(__xludf.DUMMYFUNCTION("IMPORTRANGE(""https://docs.google.com/spreadsheets/d/""&amp;$A307&amp;""/edit#gid=156619080"",AV$3)"),"#REF!")</f>
        <v>#REF!</v>
      </c>
      <c r="AW307" s="19" t="str">
        <f>IFERROR(__xludf.DUMMYFUNCTION("IMPORTRANGE(""https://docs.google.com/spreadsheets/d/""&amp;$A307&amp;""/edit#gid=156619080"",AW$3)"),"#REF!")</f>
        <v>#REF!</v>
      </c>
      <c r="AX307" s="2" t="str">
        <f>IFERROR(__xludf.DUMMYFUNCTION("IMPORTRANGE(""https://docs.google.com/spreadsheets/d/""&amp;$A307&amp;""/edit#gid=156619080"",AX$3)"),"#REF!")</f>
        <v>#REF!</v>
      </c>
      <c r="AY307" s="2" t="str">
        <f>IFERROR(__xludf.DUMMYFUNCTION("IMPORTRANGE(""https://docs.google.com/spreadsheets/d/""&amp;$A307&amp;""/edit#gid=156619080"",AY$3)"),"#REF!")</f>
        <v>#REF!</v>
      </c>
      <c r="AZ307" s="2" t="str">
        <f>IFERROR(__xludf.DUMMYFUNCTION("IMPORTRANGE(""https://docs.google.com/spreadsheets/d/""&amp;$A307&amp;""/edit#gid=156619080"",AZ$3)"),"#REF!")</f>
        <v>#REF!</v>
      </c>
      <c r="BA307" s="2" t="str">
        <f>IFERROR(__xludf.DUMMYFUNCTION("IMPORTRANGE(""https://docs.google.com/spreadsheets/d/""&amp;$A307&amp;""/edit#gid=156619080"",BA$3)"),"#REF!")</f>
        <v>#REF!</v>
      </c>
      <c r="BB307" s="2" t="str">
        <f>IFERROR(__xludf.DUMMYFUNCTION("IMPORTRANGE(""https://docs.google.com/spreadsheets/d/""&amp;$A307&amp;""/edit#gid=156619080"",BB$3)"),"#REF!")</f>
        <v>#REF!</v>
      </c>
      <c r="BC307" s="2" t="str">
        <f>IFERROR(__xludf.DUMMYFUNCTION("IMPORTRANGE(""https://docs.google.com/spreadsheets/d/""&amp;$A307&amp;""/edit#gid=156619080"",BC$3)"),"#REF!")</f>
        <v>#REF!</v>
      </c>
    </row>
    <row r="308" ht="51.0" customHeight="1">
      <c r="A308" s="7" t="str">
        <f t="shared" si="5"/>
        <v>1hePzVVjDfdrvMvq7en0Vq9FrAeeCoKf85RDpjN-5Ogs</v>
      </c>
      <c r="B308" s="1" t="s">
        <v>335</v>
      </c>
      <c r="C308" s="2" t="str">
        <f>IFERROR(__xludf.DUMMYFUNCTION("IMPORTRANGE(""https://docs.google.com/spreadsheets/d/""&amp;$A308&amp;""/edit#gid=156619080"",C$3)"),"#REF!")</f>
        <v>#REF!</v>
      </c>
      <c r="D308" s="2" t="str">
        <f>IFERROR(__xludf.DUMMYFUNCTION("IMPORTRANGE(""https://docs.google.com/spreadsheets/d/""&amp;$A308&amp;""/edit#gid=156619080"",D$3)"),"#REF!")</f>
        <v>#REF!</v>
      </c>
      <c r="E308" s="2" t="str">
        <f>IFERROR(__xludf.DUMMYFUNCTION("IMPORTRANGE(""https://docs.google.com/spreadsheets/d/""&amp;$A308&amp;""/edit#gid=156619080"",E$3)"),"#REF!")</f>
        <v>#REF!</v>
      </c>
      <c r="F308" s="2" t="str">
        <f>IFERROR(__xludf.DUMMYFUNCTION("IMPORTRANGE(""https://docs.google.com/spreadsheets/d/""&amp;$A308&amp;""/edit#gid=156619080"",F$3)"),"#REF!")</f>
        <v>#REF!</v>
      </c>
      <c r="G308" s="2" t="str">
        <f>IFERROR(__xludf.DUMMYFUNCTION("IMPORTRANGE(""https://docs.google.com/spreadsheets/d/""&amp;$A308&amp;""/edit#gid=156619080"",G$3)"),"#REF!")</f>
        <v>#REF!</v>
      </c>
      <c r="H308" s="2" t="str">
        <f>IFERROR(__xludf.DUMMYFUNCTION("IMPORTRANGE(""https://docs.google.com/spreadsheets/d/""&amp;$A308&amp;""/edit#gid=156619080"",H$3)"),"#REF!")</f>
        <v>#REF!</v>
      </c>
      <c r="I308" s="2" t="str">
        <f>IFERROR(__xludf.DUMMYFUNCTION("IMPORTRANGE(""https://docs.google.com/spreadsheets/d/""&amp;$A308&amp;""/edit#gid=156619080"",I$3)"),"#REF!")</f>
        <v>#REF!</v>
      </c>
      <c r="J308" s="2" t="str">
        <f>IFERROR(__xludf.DUMMYFUNCTION("IMPORTRANGE(""https://docs.google.com/spreadsheets/d/""&amp;$A308&amp;""/edit#gid=156619080"",J$3)"),"#REF!")</f>
        <v>#REF!</v>
      </c>
      <c r="K308" s="2" t="str">
        <f>IFERROR(__xludf.DUMMYFUNCTION("IMPORTRANGE(""https://docs.google.com/spreadsheets/d/""&amp;$A308&amp;""/edit#gid=156619080"",K$3)"),"#REF!")</f>
        <v>#REF!</v>
      </c>
      <c r="L308" s="2" t="str">
        <f>IFERROR(__xludf.DUMMYFUNCTION("IMPORTRANGE(""https://docs.google.com/spreadsheets/d/""&amp;$A308&amp;""/edit#gid=156619080"",L$3)"),"#REF!")</f>
        <v>#REF!</v>
      </c>
      <c r="M308" s="2" t="str">
        <f>IFERROR(__xludf.DUMMYFUNCTION("IMPORTRANGE(""https://docs.google.com/spreadsheets/d/""&amp;$A308&amp;""/edit#gid=156619080"",M$3)"),"#REF!")</f>
        <v>#REF!</v>
      </c>
      <c r="N308" s="2" t="str">
        <f>IFERROR(__xludf.DUMMYFUNCTION("IMPORTRANGE(""https://docs.google.com/spreadsheets/d/""&amp;$A308&amp;""/edit#gid=156619080"",N$3)"),"#REF!")</f>
        <v>#REF!</v>
      </c>
      <c r="O308" s="2" t="str">
        <f>IFERROR(__xludf.DUMMYFUNCTION("IMPORTRANGE(""https://docs.google.com/spreadsheets/d/""&amp;$A308&amp;""/edit#gid=156619080"",O$3)"),"#REF!")</f>
        <v>#REF!</v>
      </c>
      <c r="P308" s="2" t="str">
        <f>IFERROR(__xludf.DUMMYFUNCTION("IMPORTRANGE(""https://docs.google.com/spreadsheets/d/""&amp;$A308&amp;""/edit#gid=156619080"",P$3)"),"#REF!")</f>
        <v>#REF!</v>
      </c>
      <c r="Q308" s="2" t="str">
        <f>IFERROR(__xludf.DUMMYFUNCTION("IMPORTRANGE(""https://docs.google.com/spreadsheets/d/""&amp;$A308&amp;""/edit#gid=156619080"",Q$3)"),"#REF!")</f>
        <v>#REF!</v>
      </c>
      <c r="R308" s="2" t="str">
        <f>IFERROR(__xludf.DUMMYFUNCTION("IMPORTRANGE(""https://docs.google.com/spreadsheets/d/""&amp;$A308&amp;""/edit#gid=156619080"",R$3)"),"#REF!")</f>
        <v>#REF!</v>
      </c>
      <c r="S308" s="2" t="str">
        <f>IFERROR(__xludf.DUMMYFUNCTION("IMPORTRANGE(""https://docs.google.com/spreadsheets/d/""&amp;$A308&amp;""/edit#gid=156619080"",S$3)"),"#REF!")</f>
        <v>#REF!</v>
      </c>
      <c r="T308" s="2" t="str">
        <f>IFERROR(__xludf.DUMMYFUNCTION("IMPORTRANGE(""https://docs.google.com/spreadsheets/d/""&amp;$A308&amp;""/edit#gid=156619080"",T$3)"),"#REF!")</f>
        <v>#REF!</v>
      </c>
      <c r="U308" s="2" t="str">
        <f>IFERROR(__xludf.DUMMYFUNCTION("IMPORTRANGE(""https://docs.google.com/spreadsheets/d/""&amp;$A308&amp;""/edit#gid=156619080"",U$3)"),"#REF!")</f>
        <v>#REF!</v>
      </c>
      <c r="V308" s="2" t="str">
        <f>IFERROR(__xludf.DUMMYFUNCTION("IMPORTRANGE(""https://docs.google.com/spreadsheets/d/""&amp;$A308&amp;""/edit#gid=156619080"",V$3)"),"#REF!")</f>
        <v>#REF!</v>
      </c>
      <c r="W308" s="2" t="str">
        <f>IFERROR(__xludf.DUMMYFUNCTION("IMPORTRANGE(""https://docs.google.com/spreadsheets/d/""&amp;$A308&amp;""/edit#gid=156619080"",W$3)"),"#REF!")</f>
        <v>#REF!</v>
      </c>
      <c r="X308" s="2" t="str">
        <f>IFERROR(__xludf.DUMMYFUNCTION("IMPORTRANGE(""https://docs.google.com/spreadsheets/d/""&amp;$A308&amp;""/edit#gid=156619080"",X$3)"),"#REF!")</f>
        <v>#REF!</v>
      </c>
      <c r="Y308" s="2" t="str">
        <f>IFERROR(__xludf.DUMMYFUNCTION("IMPORTRANGE(""https://docs.google.com/spreadsheets/d/""&amp;$A308&amp;""/edit#gid=156619080"",Y$3)"),"#REF!")</f>
        <v>#REF!</v>
      </c>
      <c r="Z308" s="2" t="str">
        <f>IFERROR(__xludf.DUMMYFUNCTION("IMPORTRANGE(""https://docs.google.com/spreadsheets/d/""&amp;$A308&amp;""/edit#gid=156619080"",Z$3)"),"#REF!")</f>
        <v>#REF!</v>
      </c>
      <c r="AA308" s="2" t="str">
        <f>IFERROR(__xludf.DUMMYFUNCTION("IMPORTRANGE(""https://docs.google.com/spreadsheets/d/""&amp;$A308&amp;""/edit#gid=156619080"",AA$3)"),"#REF!")</f>
        <v>#REF!</v>
      </c>
      <c r="AB308" s="2" t="str">
        <f>IFERROR(__xludf.DUMMYFUNCTION("IMPORTRANGE(""https://docs.google.com/spreadsheets/d/""&amp;$A308&amp;""/edit#gid=156619080"",AB$3)"),"#REF!")</f>
        <v>#REF!</v>
      </c>
      <c r="AC308" s="2" t="str">
        <f>IFERROR(__xludf.DUMMYFUNCTION("IMPORTRANGE(""https://docs.google.com/spreadsheets/d/""&amp;$A308&amp;""/edit#gid=156619080"",AC$3)"),"#REF!")</f>
        <v>#REF!</v>
      </c>
      <c r="AD308" s="2" t="str">
        <f>IFERROR(__xludf.DUMMYFUNCTION("IMPORTRANGE(""https://docs.google.com/spreadsheets/d/""&amp;$A308&amp;""/edit#gid=156619080"",AD$3)"),"#REF!")</f>
        <v>#REF!</v>
      </c>
      <c r="AE308" s="2" t="str">
        <f>IFERROR(__xludf.DUMMYFUNCTION("IMPORTRANGE(""https://docs.google.com/spreadsheets/d/""&amp;$A308&amp;""/edit#gid=156619080"",AE$3)"),"#REF!")</f>
        <v>#REF!</v>
      </c>
      <c r="AF308" s="2" t="str">
        <f>IFERROR(__xludf.DUMMYFUNCTION("IMPORTRANGE(""https://docs.google.com/spreadsheets/d/""&amp;$A308&amp;""/edit#gid=156619080"",AF$3)"),"#REF!")</f>
        <v>#REF!</v>
      </c>
      <c r="AG308" s="2" t="str">
        <f>IFERROR(__xludf.DUMMYFUNCTION("IMPORTRANGE(""https://docs.google.com/spreadsheets/d/""&amp;$A308&amp;""/edit#gid=156619080"",AG$3)"),"#REF!")</f>
        <v>#REF!</v>
      </c>
      <c r="AH308" s="2" t="str">
        <f>IFERROR(__xludf.DUMMYFUNCTION("IMPORTRANGE(""https://docs.google.com/spreadsheets/d/""&amp;$A308&amp;""/edit#gid=156619080"",AH$3)"),"#REF!")</f>
        <v>#REF!</v>
      </c>
      <c r="AI308" s="2" t="str">
        <f>IFERROR(__xludf.DUMMYFUNCTION("IMPORTRANGE(""https://docs.google.com/spreadsheets/d/""&amp;$A308&amp;""/edit#gid=156619080"",AI$3)"),"#REF!")</f>
        <v>#REF!</v>
      </c>
      <c r="AJ308" s="2" t="str">
        <f>IFERROR(__xludf.DUMMYFUNCTION("IMPORTRANGE(""https://docs.google.com/spreadsheets/d/""&amp;$A308&amp;""/edit#gid=156619080"",AJ$3)"),"#REF!")</f>
        <v>#REF!</v>
      </c>
      <c r="AK308" s="2" t="str">
        <f>IFERROR(__xludf.DUMMYFUNCTION("IMPORTRANGE(""https://docs.google.com/spreadsheets/d/""&amp;$A308&amp;""/edit#gid=156619080"",AK$3)"),"#REF!")</f>
        <v>#REF!</v>
      </c>
      <c r="AL308" s="2" t="str">
        <f>IFERROR(__xludf.DUMMYFUNCTION("IMPORTRANGE(""https://docs.google.com/spreadsheets/d/""&amp;$A308&amp;""/edit#gid=156619080"",AL$3)"),"#REF!")</f>
        <v>#REF!</v>
      </c>
      <c r="AM308" s="2" t="str">
        <f>IFERROR(__xludf.DUMMYFUNCTION("IMPORTRANGE(""https://docs.google.com/spreadsheets/d/""&amp;$A308&amp;""/edit#gid=156619080"",AM$3)"),"#REF!")</f>
        <v>#REF!</v>
      </c>
      <c r="AN308" s="2" t="str">
        <f>IFERROR(__xludf.DUMMYFUNCTION("IMPORTRANGE(""https://docs.google.com/spreadsheets/d/""&amp;$A308&amp;""/edit#gid=156619080"",AN$3)"),"#REF!")</f>
        <v>#REF!</v>
      </c>
      <c r="AO308" s="2" t="str">
        <f>IFERROR(__xludf.DUMMYFUNCTION("IMPORTRANGE(""https://docs.google.com/spreadsheets/d/""&amp;$A308&amp;""/edit#gid=156619080"",AO$3)"),"#REF!")</f>
        <v>#REF!</v>
      </c>
      <c r="AP308" s="2" t="str">
        <f>IFERROR(__xludf.DUMMYFUNCTION("IMPORTRANGE(""https://docs.google.com/spreadsheets/d/""&amp;$A308&amp;""/edit#gid=156619080"",AP$3)"),"#REF!")</f>
        <v>#REF!</v>
      </c>
      <c r="AQ308" s="2" t="str">
        <f>IFERROR(__xludf.DUMMYFUNCTION("IMPORTRANGE(""https://docs.google.com/spreadsheets/d/""&amp;$A308&amp;""/edit#gid=156619080"",AQ$3)"),"#REF!")</f>
        <v>#REF!</v>
      </c>
      <c r="AR308" s="2" t="str">
        <f>IFERROR(__xludf.DUMMYFUNCTION("IMPORTRANGE(""https://docs.google.com/spreadsheets/d/""&amp;$A308&amp;""/edit#gid=156619080"",AR$3)"),"#REF!")</f>
        <v>#REF!</v>
      </c>
      <c r="AS308" s="19" t="str">
        <f>IFERROR(__xludf.DUMMYFUNCTION("IMPORTRANGE(""https://docs.google.com/spreadsheets/d/""&amp;$A308&amp;""/edit#gid=156619080"",AS$3)"),"#REF!")</f>
        <v>#REF!</v>
      </c>
      <c r="AT308" s="2" t="str">
        <f>IFERROR(__xludf.DUMMYFUNCTION("IMPORTRANGE(""https://docs.google.com/spreadsheets/d/""&amp;$A308&amp;""/edit#gid=156619080"",AT$3)"),"#REF!")</f>
        <v>#REF!</v>
      </c>
      <c r="AU308" s="3" t="str">
        <f>IFERROR(__xludf.DUMMYFUNCTION("IMPORTRANGE(""https://docs.google.com/spreadsheets/d/""&amp;$A308&amp;""/edit#gid=156619080"",AU$3)"),"#REF!")</f>
        <v>#REF!</v>
      </c>
      <c r="AV308" s="2" t="str">
        <f>IFERROR(__xludf.DUMMYFUNCTION("IMPORTRANGE(""https://docs.google.com/spreadsheets/d/""&amp;$A308&amp;""/edit#gid=156619080"",AV$3)"),"#REF!")</f>
        <v>#REF!</v>
      </c>
      <c r="AW308" s="19" t="str">
        <f>IFERROR(__xludf.DUMMYFUNCTION("IMPORTRANGE(""https://docs.google.com/spreadsheets/d/""&amp;$A308&amp;""/edit#gid=156619080"",AW$3)"),"#REF!")</f>
        <v>#REF!</v>
      </c>
      <c r="AX308" s="2" t="str">
        <f>IFERROR(__xludf.DUMMYFUNCTION("IMPORTRANGE(""https://docs.google.com/spreadsheets/d/""&amp;$A308&amp;""/edit#gid=156619080"",AX$3)"),"#REF!")</f>
        <v>#REF!</v>
      </c>
      <c r="AY308" s="2" t="str">
        <f>IFERROR(__xludf.DUMMYFUNCTION("IMPORTRANGE(""https://docs.google.com/spreadsheets/d/""&amp;$A308&amp;""/edit#gid=156619080"",AY$3)"),"#REF!")</f>
        <v>#REF!</v>
      </c>
      <c r="AZ308" s="2" t="str">
        <f>IFERROR(__xludf.DUMMYFUNCTION("IMPORTRANGE(""https://docs.google.com/spreadsheets/d/""&amp;$A308&amp;""/edit#gid=156619080"",AZ$3)"),"#REF!")</f>
        <v>#REF!</v>
      </c>
      <c r="BA308" s="2" t="str">
        <f>IFERROR(__xludf.DUMMYFUNCTION("IMPORTRANGE(""https://docs.google.com/spreadsheets/d/""&amp;$A308&amp;""/edit#gid=156619080"",BA$3)"),"#REF!")</f>
        <v>#REF!</v>
      </c>
      <c r="BB308" s="2" t="str">
        <f>IFERROR(__xludf.DUMMYFUNCTION("IMPORTRANGE(""https://docs.google.com/spreadsheets/d/""&amp;$A308&amp;""/edit#gid=156619080"",BB$3)"),"#REF!")</f>
        <v>#REF!</v>
      </c>
      <c r="BC308" s="2" t="str">
        <f>IFERROR(__xludf.DUMMYFUNCTION("IMPORTRANGE(""https://docs.google.com/spreadsheets/d/""&amp;$A308&amp;""/edit#gid=156619080"",BC$3)"),"#REF!")</f>
        <v>#REF!</v>
      </c>
    </row>
    <row r="309" ht="51.0" customHeight="1">
      <c r="A309" s="7" t="str">
        <f t="shared" si="5"/>
        <v>16yuQ5xbc9jyluWr9m5n_50M7fPhTFkHDJ-EthJPdvaw</v>
      </c>
      <c r="B309" s="1" t="s">
        <v>336</v>
      </c>
      <c r="C309" s="2" t="str">
        <f>IFERROR(__xludf.DUMMYFUNCTION("IMPORTRANGE(""https://docs.google.com/spreadsheets/d/""&amp;$A309&amp;""/edit#gid=156619080"",C$3)"),"#REF!")</f>
        <v>#REF!</v>
      </c>
      <c r="D309" s="2" t="str">
        <f>IFERROR(__xludf.DUMMYFUNCTION("IMPORTRANGE(""https://docs.google.com/spreadsheets/d/""&amp;$A309&amp;""/edit#gid=156619080"",D$3)"),"#REF!")</f>
        <v>#REF!</v>
      </c>
      <c r="E309" s="2" t="str">
        <f>IFERROR(__xludf.DUMMYFUNCTION("IMPORTRANGE(""https://docs.google.com/spreadsheets/d/""&amp;$A309&amp;""/edit#gid=156619080"",E$3)"),"#REF!")</f>
        <v>#REF!</v>
      </c>
      <c r="F309" s="2" t="str">
        <f>IFERROR(__xludf.DUMMYFUNCTION("IMPORTRANGE(""https://docs.google.com/spreadsheets/d/""&amp;$A309&amp;""/edit#gid=156619080"",F$3)"),"#REF!")</f>
        <v>#REF!</v>
      </c>
      <c r="G309" s="2" t="str">
        <f>IFERROR(__xludf.DUMMYFUNCTION("IMPORTRANGE(""https://docs.google.com/spreadsheets/d/""&amp;$A309&amp;""/edit#gid=156619080"",G$3)"),"#REF!")</f>
        <v>#REF!</v>
      </c>
      <c r="H309" s="2" t="str">
        <f>IFERROR(__xludf.DUMMYFUNCTION("IMPORTRANGE(""https://docs.google.com/spreadsheets/d/""&amp;$A309&amp;""/edit#gid=156619080"",H$3)"),"#REF!")</f>
        <v>#REF!</v>
      </c>
      <c r="I309" s="2" t="str">
        <f>IFERROR(__xludf.DUMMYFUNCTION("IMPORTRANGE(""https://docs.google.com/spreadsheets/d/""&amp;$A309&amp;""/edit#gid=156619080"",I$3)"),"#REF!")</f>
        <v>#REF!</v>
      </c>
      <c r="J309" s="2" t="str">
        <f>IFERROR(__xludf.DUMMYFUNCTION("IMPORTRANGE(""https://docs.google.com/spreadsheets/d/""&amp;$A309&amp;""/edit#gid=156619080"",J$3)"),"#REF!")</f>
        <v>#REF!</v>
      </c>
      <c r="K309" s="2" t="str">
        <f>IFERROR(__xludf.DUMMYFUNCTION("IMPORTRANGE(""https://docs.google.com/spreadsheets/d/""&amp;$A309&amp;""/edit#gid=156619080"",K$3)"),"#REF!")</f>
        <v>#REF!</v>
      </c>
      <c r="L309" s="2" t="str">
        <f>IFERROR(__xludf.DUMMYFUNCTION("IMPORTRANGE(""https://docs.google.com/spreadsheets/d/""&amp;$A309&amp;""/edit#gid=156619080"",L$3)"),"#REF!")</f>
        <v>#REF!</v>
      </c>
      <c r="M309" s="2" t="str">
        <f>IFERROR(__xludf.DUMMYFUNCTION("IMPORTRANGE(""https://docs.google.com/spreadsheets/d/""&amp;$A309&amp;""/edit#gid=156619080"",M$3)"),"#REF!")</f>
        <v>#REF!</v>
      </c>
      <c r="N309" s="2" t="str">
        <f>IFERROR(__xludf.DUMMYFUNCTION("IMPORTRANGE(""https://docs.google.com/spreadsheets/d/""&amp;$A309&amp;""/edit#gid=156619080"",N$3)"),"#REF!")</f>
        <v>#REF!</v>
      </c>
      <c r="O309" s="2" t="str">
        <f>IFERROR(__xludf.DUMMYFUNCTION("IMPORTRANGE(""https://docs.google.com/spreadsheets/d/""&amp;$A309&amp;""/edit#gid=156619080"",O$3)"),"#REF!")</f>
        <v>#REF!</v>
      </c>
      <c r="P309" s="2" t="str">
        <f>IFERROR(__xludf.DUMMYFUNCTION("IMPORTRANGE(""https://docs.google.com/spreadsheets/d/""&amp;$A309&amp;""/edit#gid=156619080"",P$3)"),"#REF!")</f>
        <v>#REF!</v>
      </c>
      <c r="Q309" s="2" t="str">
        <f>IFERROR(__xludf.DUMMYFUNCTION("IMPORTRANGE(""https://docs.google.com/spreadsheets/d/""&amp;$A309&amp;""/edit#gid=156619080"",Q$3)"),"#REF!")</f>
        <v>#REF!</v>
      </c>
      <c r="R309" s="2" t="str">
        <f>IFERROR(__xludf.DUMMYFUNCTION("IMPORTRANGE(""https://docs.google.com/spreadsheets/d/""&amp;$A309&amp;""/edit#gid=156619080"",R$3)"),"#REF!")</f>
        <v>#REF!</v>
      </c>
      <c r="S309" s="2" t="str">
        <f>IFERROR(__xludf.DUMMYFUNCTION("IMPORTRANGE(""https://docs.google.com/spreadsheets/d/""&amp;$A309&amp;""/edit#gid=156619080"",S$3)"),"#REF!")</f>
        <v>#REF!</v>
      </c>
      <c r="T309" s="2" t="str">
        <f>IFERROR(__xludf.DUMMYFUNCTION("IMPORTRANGE(""https://docs.google.com/spreadsheets/d/""&amp;$A309&amp;""/edit#gid=156619080"",T$3)"),"#REF!")</f>
        <v>#REF!</v>
      </c>
      <c r="U309" s="2" t="str">
        <f>IFERROR(__xludf.DUMMYFUNCTION("IMPORTRANGE(""https://docs.google.com/spreadsheets/d/""&amp;$A309&amp;""/edit#gid=156619080"",U$3)"),"#REF!")</f>
        <v>#REF!</v>
      </c>
      <c r="V309" s="2" t="str">
        <f>IFERROR(__xludf.DUMMYFUNCTION("IMPORTRANGE(""https://docs.google.com/spreadsheets/d/""&amp;$A309&amp;""/edit#gid=156619080"",V$3)"),"#REF!")</f>
        <v>#REF!</v>
      </c>
      <c r="W309" s="2" t="str">
        <f>IFERROR(__xludf.DUMMYFUNCTION("IMPORTRANGE(""https://docs.google.com/spreadsheets/d/""&amp;$A309&amp;""/edit#gid=156619080"",W$3)"),"#REF!")</f>
        <v>#REF!</v>
      </c>
      <c r="X309" s="2" t="str">
        <f>IFERROR(__xludf.DUMMYFUNCTION("IMPORTRANGE(""https://docs.google.com/spreadsheets/d/""&amp;$A309&amp;""/edit#gid=156619080"",X$3)"),"#REF!")</f>
        <v>#REF!</v>
      </c>
      <c r="Y309" s="2" t="str">
        <f>IFERROR(__xludf.DUMMYFUNCTION("IMPORTRANGE(""https://docs.google.com/spreadsheets/d/""&amp;$A309&amp;""/edit#gid=156619080"",Y$3)"),"#REF!")</f>
        <v>#REF!</v>
      </c>
      <c r="Z309" s="2" t="str">
        <f>IFERROR(__xludf.DUMMYFUNCTION("IMPORTRANGE(""https://docs.google.com/spreadsheets/d/""&amp;$A309&amp;""/edit#gid=156619080"",Z$3)"),"#REF!")</f>
        <v>#REF!</v>
      </c>
      <c r="AA309" s="2" t="str">
        <f>IFERROR(__xludf.DUMMYFUNCTION("IMPORTRANGE(""https://docs.google.com/spreadsheets/d/""&amp;$A309&amp;""/edit#gid=156619080"",AA$3)"),"#REF!")</f>
        <v>#REF!</v>
      </c>
      <c r="AB309" s="2" t="str">
        <f>IFERROR(__xludf.DUMMYFUNCTION("IMPORTRANGE(""https://docs.google.com/spreadsheets/d/""&amp;$A309&amp;""/edit#gid=156619080"",AB$3)"),"#REF!")</f>
        <v>#REF!</v>
      </c>
      <c r="AC309" s="2" t="str">
        <f>IFERROR(__xludf.DUMMYFUNCTION("IMPORTRANGE(""https://docs.google.com/spreadsheets/d/""&amp;$A309&amp;""/edit#gid=156619080"",AC$3)"),"#REF!")</f>
        <v>#REF!</v>
      </c>
      <c r="AD309" s="2" t="str">
        <f>IFERROR(__xludf.DUMMYFUNCTION("IMPORTRANGE(""https://docs.google.com/spreadsheets/d/""&amp;$A309&amp;""/edit#gid=156619080"",AD$3)"),"#REF!")</f>
        <v>#REF!</v>
      </c>
      <c r="AE309" s="2" t="str">
        <f>IFERROR(__xludf.DUMMYFUNCTION("IMPORTRANGE(""https://docs.google.com/spreadsheets/d/""&amp;$A309&amp;""/edit#gid=156619080"",AE$3)"),"#REF!")</f>
        <v>#REF!</v>
      </c>
      <c r="AF309" s="2" t="str">
        <f>IFERROR(__xludf.DUMMYFUNCTION("IMPORTRANGE(""https://docs.google.com/spreadsheets/d/""&amp;$A309&amp;""/edit#gid=156619080"",AF$3)"),"#REF!")</f>
        <v>#REF!</v>
      </c>
      <c r="AG309" s="2" t="str">
        <f>IFERROR(__xludf.DUMMYFUNCTION("IMPORTRANGE(""https://docs.google.com/spreadsheets/d/""&amp;$A309&amp;""/edit#gid=156619080"",AG$3)"),"#REF!")</f>
        <v>#REF!</v>
      </c>
      <c r="AH309" s="2" t="str">
        <f>IFERROR(__xludf.DUMMYFUNCTION("IMPORTRANGE(""https://docs.google.com/spreadsheets/d/""&amp;$A309&amp;""/edit#gid=156619080"",AH$3)"),"#REF!")</f>
        <v>#REF!</v>
      </c>
      <c r="AI309" s="2" t="str">
        <f>IFERROR(__xludf.DUMMYFUNCTION("IMPORTRANGE(""https://docs.google.com/spreadsheets/d/""&amp;$A309&amp;""/edit#gid=156619080"",AI$3)"),"#REF!")</f>
        <v>#REF!</v>
      </c>
      <c r="AJ309" s="2" t="str">
        <f>IFERROR(__xludf.DUMMYFUNCTION("IMPORTRANGE(""https://docs.google.com/spreadsheets/d/""&amp;$A309&amp;""/edit#gid=156619080"",AJ$3)"),"#REF!")</f>
        <v>#REF!</v>
      </c>
      <c r="AK309" s="2" t="str">
        <f>IFERROR(__xludf.DUMMYFUNCTION("IMPORTRANGE(""https://docs.google.com/spreadsheets/d/""&amp;$A309&amp;""/edit#gid=156619080"",AK$3)"),"#REF!")</f>
        <v>#REF!</v>
      </c>
      <c r="AL309" s="2" t="str">
        <f>IFERROR(__xludf.DUMMYFUNCTION("IMPORTRANGE(""https://docs.google.com/spreadsheets/d/""&amp;$A309&amp;""/edit#gid=156619080"",AL$3)"),"#REF!")</f>
        <v>#REF!</v>
      </c>
      <c r="AM309" s="2" t="str">
        <f>IFERROR(__xludf.DUMMYFUNCTION("IMPORTRANGE(""https://docs.google.com/spreadsheets/d/""&amp;$A309&amp;""/edit#gid=156619080"",AM$3)"),"#REF!")</f>
        <v>#REF!</v>
      </c>
      <c r="AN309" s="2" t="str">
        <f>IFERROR(__xludf.DUMMYFUNCTION("IMPORTRANGE(""https://docs.google.com/spreadsheets/d/""&amp;$A309&amp;""/edit#gid=156619080"",AN$3)"),"#REF!")</f>
        <v>#REF!</v>
      </c>
      <c r="AO309" s="2" t="str">
        <f>IFERROR(__xludf.DUMMYFUNCTION("IMPORTRANGE(""https://docs.google.com/spreadsheets/d/""&amp;$A309&amp;""/edit#gid=156619080"",AO$3)"),"#REF!")</f>
        <v>#REF!</v>
      </c>
      <c r="AP309" s="2" t="str">
        <f>IFERROR(__xludf.DUMMYFUNCTION("IMPORTRANGE(""https://docs.google.com/spreadsheets/d/""&amp;$A309&amp;""/edit#gid=156619080"",AP$3)"),"#REF!")</f>
        <v>#REF!</v>
      </c>
      <c r="AQ309" s="2" t="str">
        <f>IFERROR(__xludf.DUMMYFUNCTION("IMPORTRANGE(""https://docs.google.com/spreadsheets/d/""&amp;$A309&amp;""/edit#gid=156619080"",AQ$3)"),"#REF!")</f>
        <v>#REF!</v>
      </c>
      <c r="AR309" s="2" t="str">
        <f>IFERROR(__xludf.DUMMYFUNCTION("IMPORTRANGE(""https://docs.google.com/spreadsheets/d/""&amp;$A309&amp;""/edit#gid=156619080"",AR$3)"),"#REF!")</f>
        <v>#REF!</v>
      </c>
      <c r="AS309" s="19" t="str">
        <f>IFERROR(__xludf.DUMMYFUNCTION("IMPORTRANGE(""https://docs.google.com/spreadsheets/d/""&amp;$A309&amp;""/edit#gid=156619080"",AS$3)"),"#REF!")</f>
        <v>#REF!</v>
      </c>
      <c r="AT309" s="2" t="str">
        <f>IFERROR(__xludf.DUMMYFUNCTION("IMPORTRANGE(""https://docs.google.com/spreadsheets/d/""&amp;$A309&amp;""/edit#gid=156619080"",AT$3)"),"#REF!")</f>
        <v>#REF!</v>
      </c>
      <c r="AU309" s="3" t="str">
        <f>IFERROR(__xludf.DUMMYFUNCTION("IMPORTRANGE(""https://docs.google.com/spreadsheets/d/""&amp;$A309&amp;""/edit#gid=156619080"",AU$3)"),"#REF!")</f>
        <v>#REF!</v>
      </c>
      <c r="AV309" s="2" t="str">
        <f>IFERROR(__xludf.DUMMYFUNCTION("IMPORTRANGE(""https://docs.google.com/spreadsheets/d/""&amp;$A309&amp;""/edit#gid=156619080"",AV$3)"),"#REF!")</f>
        <v>#REF!</v>
      </c>
      <c r="AW309" s="19" t="str">
        <f>IFERROR(__xludf.DUMMYFUNCTION("IMPORTRANGE(""https://docs.google.com/spreadsheets/d/""&amp;$A309&amp;""/edit#gid=156619080"",AW$3)"),"#REF!")</f>
        <v>#REF!</v>
      </c>
      <c r="AX309" s="2" t="str">
        <f>IFERROR(__xludf.DUMMYFUNCTION("IMPORTRANGE(""https://docs.google.com/spreadsheets/d/""&amp;$A309&amp;""/edit#gid=156619080"",AX$3)"),"#REF!")</f>
        <v>#REF!</v>
      </c>
      <c r="AY309" s="2" t="str">
        <f>IFERROR(__xludf.DUMMYFUNCTION("IMPORTRANGE(""https://docs.google.com/spreadsheets/d/""&amp;$A309&amp;""/edit#gid=156619080"",AY$3)"),"#REF!")</f>
        <v>#REF!</v>
      </c>
      <c r="AZ309" s="2" t="str">
        <f>IFERROR(__xludf.DUMMYFUNCTION("IMPORTRANGE(""https://docs.google.com/spreadsheets/d/""&amp;$A309&amp;""/edit#gid=156619080"",AZ$3)"),"#REF!")</f>
        <v>#REF!</v>
      </c>
      <c r="BA309" s="2" t="str">
        <f>IFERROR(__xludf.DUMMYFUNCTION("IMPORTRANGE(""https://docs.google.com/spreadsheets/d/""&amp;$A309&amp;""/edit#gid=156619080"",BA$3)"),"#REF!")</f>
        <v>#REF!</v>
      </c>
      <c r="BB309" s="2" t="str">
        <f>IFERROR(__xludf.DUMMYFUNCTION("IMPORTRANGE(""https://docs.google.com/spreadsheets/d/""&amp;$A309&amp;""/edit#gid=156619080"",BB$3)"),"#REF!")</f>
        <v>#REF!</v>
      </c>
      <c r="BC309" s="2" t="str">
        <f>IFERROR(__xludf.DUMMYFUNCTION("IMPORTRANGE(""https://docs.google.com/spreadsheets/d/""&amp;$A309&amp;""/edit#gid=156619080"",BC$3)"),"#REF!")</f>
        <v>#REF!</v>
      </c>
    </row>
    <row r="310" ht="51.0" customHeight="1">
      <c r="A310" s="7" t="str">
        <f t="shared" si="5"/>
        <v>19KveAdBLEhbX7gdQflfDo6o7f44vXxjVb7mjngYyvAE</v>
      </c>
      <c r="B310" s="1" t="s">
        <v>337</v>
      </c>
      <c r="C310" s="2" t="str">
        <f>IFERROR(__xludf.DUMMYFUNCTION("IMPORTRANGE(""https://docs.google.com/spreadsheets/d/""&amp;$A310&amp;""/edit#gid=156619080"",C$3)"),"#REF!")</f>
        <v>#REF!</v>
      </c>
      <c r="D310" s="2" t="str">
        <f>IFERROR(__xludf.DUMMYFUNCTION("IMPORTRANGE(""https://docs.google.com/spreadsheets/d/""&amp;$A310&amp;""/edit#gid=156619080"",D$3)"),"#REF!")</f>
        <v>#REF!</v>
      </c>
      <c r="E310" s="2" t="str">
        <f>IFERROR(__xludf.DUMMYFUNCTION("IMPORTRANGE(""https://docs.google.com/spreadsheets/d/""&amp;$A310&amp;""/edit#gid=156619080"",E$3)"),"#REF!")</f>
        <v>#REF!</v>
      </c>
      <c r="F310" s="2" t="str">
        <f>IFERROR(__xludf.DUMMYFUNCTION("IMPORTRANGE(""https://docs.google.com/spreadsheets/d/""&amp;$A310&amp;""/edit#gid=156619080"",F$3)"),"#REF!")</f>
        <v>#REF!</v>
      </c>
      <c r="G310" s="2" t="str">
        <f>IFERROR(__xludf.DUMMYFUNCTION("IMPORTRANGE(""https://docs.google.com/spreadsheets/d/""&amp;$A310&amp;""/edit#gid=156619080"",G$3)"),"#REF!")</f>
        <v>#REF!</v>
      </c>
      <c r="H310" s="2" t="str">
        <f>IFERROR(__xludf.DUMMYFUNCTION("IMPORTRANGE(""https://docs.google.com/spreadsheets/d/""&amp;$A310&amp;""/edit#gid=156619080"",H$3)"),"#REF!")</f>
        <v>#REF!</v>
      </c>
      <c r="I310" s="2" t="str">
        <f>IFERROR(__xludf.DUMMYFUNCTION("IMPORTRANGE(""https://docs.google.com/spreadsheets/d/""&amp;$A310&amp;""/edit#gid=156619080"",I$3)"),"#REF!")</f>
        <v>#REF!</v>
      </c>
      <c r="J310" s="2" t="str">
        <f>IFERROR(__xludf.DUMMYFUNCTION("IMPORTRANGE(""https://docs.google.com/spreadsheets/d/""&amp;$A310&amp;""/edit#gid=156619080"",J$3)"),"#REF!")</f>
        <v>#REF!</v>
      </c>
      <c r="K310" s="2" t="str">
        <f>IFERROR(__xludf.DUMMYFUNCTION("IMPORTRANGE(""https://docs.google.com/spreadsheets/d/""&amp;$A310&amp;""/edit#gid=156619080"",K$3)"),"#REF!")</f>
        <v>#REF!</v>
      </c>
      <c r="L310" s="2" t="str">
        <f>IFERROR(__xludf.DUMMYFUNCTION("IMPORTRANGE(""https://docs.google.com/spreadsheets/d/""&amp;$A310&amp;""/edit#gid=156619080"",L$3)"),"#REF!")</f>
        <v>#REF!</v>
      </c>
      <c r="M310" s="2" t="str">
        <f>IFERROR(__xludf.DUMMYFUNCTION("IMPORTRANGE(""https://docs.google.com/spreadsheets/d/""&amp;$A310&amp;""/edit#gid=156619080"",M$3)"),"#REF!")</f>
        <v>#REF!</v>
      </c>
      <c r="N310" s="2" t="str">
        <f>IFERROR(__xludf.DUMMYFUNCTION("IMPORTRANGE(""https://docs.google.com/spreadsheets/d/""&amp;$A310&amp;""/edit#gid=156619080"",N$3)"),"#REF!")</f>
        <v>#REF!</v>
      </c>
      <c r="O310" s="2" t="str">
        <f>IFERROR(__xludf.DUMMYFUNCTION("IMPORTRANGE(""https://docs.google.com/spreadsheets/d/""&amp;$A310&amp;""/edit#gid=156619080"",O$3)"),"#REF!")</f>
        <v>#REF!</v>
      </c>
      <c r="P310" s="2" t="str">
        <f>IFERROR(__xludf.DUMMYFUNCTION("IMPORTRANGE(""https://docs.google.com/spreadsheets/d/""&amp;$A310&amp;""/edit#gid=156619080"",P$3)"),"#REF!")</f>
        <v>#REF!</v>
      </c>
      <c r="Q310" s="2" t="str">
        <f>IFERROR(__xludf.DUMMYFUNCTION("IMPORTRANGE(""https://docs.google.com/spreadsheets/d/""&amp;$A310&amp;""/edit#gid=156619080"",Q$3)"),"#REF!")</f>
        <v>#REF!</v>
      </c>
      <c r="R310" s="2" t="str">
        <f>IFERROR(__xludf.DUMMYFUNCTION("IMPORTRANGE(""https://docs.google.com/spreadsheets/d/""&amp;$A310&amp;""/edit#gid=156619080"",R$3)"),"#REF!")</f>
        <v>#REF!</v>
      </c>
      <c r="S310" s="2" t="str">
        <f>IFERROR(__xludf.DUMMYFUNCTION("IMPORTRANGE(""https://docs.google.com/spreadsheets/d/""&amp;$A310&amp;""/edit#gid=156619080"",S$3)"),"#REF!")</f>
        <v>#REF!</v>
      </c>
      <c r="T310" s="2" t="str">
        <f>IFERROR(__xludf.DUMMYFUNCTION("IMPORTRANGE(""https://docs.google.com/spreadsheets/d/""&amp;$A310&amp;""/edit#gid=156619080"",T$3)"),"#REF!")</f>
        <v>#REF!</v>
      </c>
      <c r="U310" s="2" t="str">
        <f>IFERROR(__xludf.DUMMYFUNCTION("IMPORTRANGE(""https://docs.google.com/spreadsheets/d/""&amp;$A310&amp;""/edit#gid=156619080"",U$3)"),"#REF!")</f>
        <v>#REF!</v>
      </c>
      <c r="V310" s="2" t="str">
        <f>IFERROR(__xludf.DUMMYFUNCTION("IMPORTRANGE(""https://docs.google.com/spreadsheets/d/""&amp;$A310&amp;""/edit#gid=156619080"",V$3)"),"#REF!")</f>
        <v>#REF!</v>
      </c>
      <c r="W310" s="2" t="str">
        <f>IFERROR(__xludf.DUMMYFUNCTION("IMPORTRANGE(""https://docs.google.com/spreadsheets/d/""&amp;$A310&amp;""/edit#gid=156619080"",W$3)"),"#REF!")</f>
        <v>#REF!</v>
      </c>
      <c r="X310" s="2" t="str">
        <f>IFERROR(__xludf.DUMMYFUNCTION("IMPORTRANGE(""https://docs.google.com/spreadsheets/d/""&amp;$A310&amp;""/edit#gid=156619080"",X$3)"),"#REF!")</f>
        <v>#REF!</v>
      </c>
      <c r="Y310" s="2" t="str">
        <f>IFERROR(__xludf.DUMMYFUNCTION("IMPORTRANGE(""https://docs.google.com/spreadsheets/d/""&amp;$A310&amp;""/edit#gid=156619080"",Y$3)"),"#REF!")</f>
        <v>#REF!</v>
      </c>
      <c r="Z310" s="2" t="str">
        <f>IFERROR(__xludf.DUMMYFUNCTION("IMPORTRANGE(""https://docs.google.com/spreadsheets/d/""&amp;$A310&amp;""/edit#gid=156619080"",Z$3)"),"#REF!")</f>
        <v>#REF!</v>
      </c>
      <c r="AA310" s="2" t="str">
        <f>IFERROR(__xludf.DUMMYFUNCTION("IMPORTRANGE(""https://docs.google.com/spreadsheets/d/""&amp;$A310&amp;""/edit#gid=156619080"",AA$3)"),"#REF!")</f>
        <v>#REF!</v>
      </c>
      <c r="AB310" s="2" t="str">
        <f>IFERROR(__xludf.DUMMYFUNCTION("IMPORTRANGE(""https://docs.google.com/spreadsheets/d/""&amp;$A310&amp;""/edit#gid=156619080"",AB$3)"),"#REF!")</f>
        <v>#REF!</v>
      </c>
      <c r="AC310" s="2" t="str">
        <f>IFERROR(__xludf.DUMMYFUNCTION("IMPORTRANGE(""https://docs.google.com/spreadsheets/d/""&amp;$A310&amp;""/edit#gid=156619080"",AC$3)"),"#REF!")</f>
        <v>#REF!</v>
      </c>
      <c r="AD310" s="2" t="str">
        <f>IFERROR(__xludf.DUMMYFUNCTION("IMPORTRANGE(""https://docs.google.com/spreadsheets/d/""&amp;$A310&amp;""/edit#gid=156619080"",AD$3)"),"#REF!")</f>
        <v>#REF!</v>
      </c>
      <c r="AE310" s="2" t="str">
        <f>IFERROR(__xludf.DUMMYFUNCTION("IMPORTRANGE(""https://docs.google.com/spreadsheets/d/""&amp;$A310&amp;""/edit#gid=156619080"",AE$3)"),"#REF!")</f>
        <v>#REF!</v>
      </c>
      <c r="AF310" s="2" t="str">
        <f>IFERROR(__xludf.DUMMYFUNCTION("IMPORTRANGE(""https://docs.google.com/spreadsheets/d/""&amp;$A310&amp;""/edit#gid=156619080"",AF$3)"),"#REF!")</f>
        <v>#REF!</v>
      </c>
      <c r="AG310" s="2" t="str">
        <f>IFERROR(__xludf.DUMMYFUNCTION("IMPORTRANGE(""https://docs.google.com/spreadsheets/d/""&amp;$A310&amp;""/edit#gid=156619080"",AG$3)"),"#REF!")</f>
        <v>#REF!</v>
      </c>
      <c r="AH310" s="2" t="str">
        <f>IFERROR(__xludf.DUMMYFUNCTION("IMPORTRANGE(""https://docs.google.com/spreadsheets/d/""&amp;$A310&amp;""/edit#gid=156619080"",AH$3)"),"#REF!")</f>
        <v>#REF!</v>
      </c>
      <c r="AI310" s="2" t="str">
        <f>IFERROR(__xludf.DUMMYFUNCTION("IMPORTRANGE(""https://docs.google.com/spreadsheets/d/""&amp;$A310&amp;""/edit#gid=156619080"",AI$3)"),"#REF!")</f>
        <v>#REF!</v>
      </c>
      <c r="AJ310" s="2" t="str">
        <f>IFERROR(__xludf.DUMMYFUNCTION("IMPORTRANGE(""https://docs.google.com/spreadsheets/d/""&amp;$A310&amp;""/edit#gid=156619080"",AJ$3)"),"#REF!")</f>
        <v>#REF!</v>
      </c>
      <c r="AK310" s="2" t="str">
        <f>IFERROR(__xludf.DUMMYFUNCTION("IMPORTRANGE(""https://docs.google.com/spreadsheets/d/""&amp;$A310&amp;""/edit#gid=156619080"",AK$3)"),"#REF!")</f>
        <v>#REF!</v>
      </c>
      <c r="AL310" s="2" t="str">
        <f>IFERROR(__xludf.DUMMYFUNCTION("IMPORTRANGE(""https://docs.google.com/spreadsheets/d/""&amp;$A310&amp;""/edit#gid=156619080"",AL$3)"),"#REF!")</f>
        <v>#REF!</v>
      </c>
      <c r="AM310" s="2" t="str">
        <f>IFERROR(__xludf.DUMMYFUNCTION("IMPORTRANGE(""https://docs.google.com/spreadsheets/d/""&amp;$A310&amp;""/edit#gid=156619080"",AM$3)"),"#REF!")</f>
        <v>#REF!</v>
      </c>
      <c r="AN310" s="2" t="str">
        <f>IFERROR(__xludf.DUMMYFUNCTION("IMPORTRANGE(""https://docs.google.com/spreadsheets/d/""&amp;$A310&amp;""/edit#gid=156619080"",AN$3)"),"#REF!")</f>
        <v>#REF!</v>
      </c>
      <c r="AO310" s="2" t="str">
        <f>IFERROR(__xludf.DUMMYFUNCTION("IMPORTRANGE(""https://docs.google.com/spreadsheets/d/""&amp;$A310&amp;""/edit#gid=156619080"",AO$3)"),"#REF!")</f>
        <v>#REF!</v>
      </c>
      <c r="AP310" s="2" t="str">
        <f>IFERROR(__xludf.DUMMYFUNCTION("IMPORTRANGE(""https://docs.google.com/spreadsheets/d/""&amp;$A310&amp;""/edit#gid=156619080"",AP$3)"),"#REF!")</f>
        <v>#REF!</v>
      </c>
      <c r="AQ310" s="2" t="str">
        <f>IFERROR(__xludf.DUMMYFUNCTION("IMPORTRANGE(""https://docs.google.com/spreadsheets/d/""&amp;$A310&amp;""/edit#gid=156619080"",AQ$3)"),"#REF!")</f>
        <v>#REF!</v>
      </c>
      <c r="AR310" s="2" t="str">
        <f>IFERROR(__xludf.DUMMYFUNCTION("IMPORTRANGE(""https://docs.google.com/spreadsheets/d/""&amp;$A310&amp;""/edit#gid=156619080"",AR$3)"),"#REF!")</f>
        <v>#REF!</v>
      </c>
      <c r="AS310" s="19" t="str">
        <f>IFERROR(__xludf.DUMMYFUNCTION("IMPORTRANGE(""https://docs.google.com/spreadsheets/d/""&amp;$A310&amp;""/edit#gid=156619080"",AS$3)"),"#REF!")</f>
        <v>#REF!</v>
      </c>
      <c r="AT310" s="2" t="str">
        <f>IFERROR(__xludf.DUMMYFUNCTION("IMPORTRANGE(""https://docs.google.com/spreadsheets/d/""&amp;$A310&amp;""/edit#gid=156619080"",AT$3)"),"#REF!")</f>
        <v>#REF!</v>
      </c>
      <c r="AU310" s="3" t="str">
        <f>IFERROR(__xludf.DUMMYFUNCTION("IMPORTRANGE(""https://docs.google.com/spreadsheets/d/""&amp;$A310&amp;""/edit#gid=156619080"",AU$3)"),"#REF!")</f>
        <v>#REF!</v>
      </c>
      <c r="AV310" s="2" t="str">
        <f>IFERROR(__xludf.DUMMYFUNCTION("IMPORTRANGE(""https://docs.google.com/spreadsheets/d/""&amp;$A310&amp;""/edit#gid=156619080"",AV$3)"),"#REF!")</f>
        <v>#REF!</v>
      </c>
      <c r="AW310" s="19" t="str">
        <f>IFERROR(__xludf.DUMMYFUNCTION("IMPORTRANGE(""https://docs.google.com/spreadsheets/d/""&amp;$A310&amp;""/edit#gid=156619080"",AW$3)"),"#REF!")</f>
        <v>#REF!</v>
      </c>
      <c r="AX310" s="2" t="str">
        <f>IFERROR(__xludf.DUMMYFUNCTION("IMPORTRANGE(""https://docs.google.com/spreadsheets/d/""&amp;$A310&amp;""/edit#gid=156619080"",AX$3)"),"#REF!")</f>
        <v>#REF!</v>
      </c>
      <c r="AY310" s="2" t="str">
        <f>IFERROR(__xludf.DUMMYFUNCTION("IMPORTRANGE(""https://docs.google.com/spreadsheets/d/""&amp;$A310&amp;""/edit#gid=156619080"",AY$3)"),"#REF!")</f>
        <v>#REF!</v>
      </c>
      <c r="AZ310" s="2" t="str">
        <f>IFERROR(__xludf.DUMMYFUNCTION("IMPORTRANGE(""https://docs.google.com/spreadsheets/d/""&amp;$A310&amp;""/edit#gid=156619080"",AZ$3)"),"#REF!")</f>
        <v>#REF!</v>
      </c>
      <c r="BA310" s="2" t="str">
        <f>IFERROR(__xludf.DUMMYFUNCTION("IMPORTRANGE(""https://docs.google.com/spreadsheets/d/""&amp;$A310&amp;""/edit#gid=156619080"",BA$3)"),"#REF!")</f>
        <v>#REF!</v>
      </c>
      <c r="BB310" s="2" t="str">
        <f>IFERROR(__xludf.DUMMYFUNCTION("IMPORTRANGE(""https://docs.google.com/spreadsheets/d/""&amp;$A310&amp;""/edit#gid=156619080"",BB$3)"),"#REF!")</f>
        <v>#REF!</v>
      </c>
      <c r="BC310" s="2" t="str">
        <f>IFERROR(__xludf.DUMMYFUNCTION("IMPORTRANGE(""https://docs.google.com/spreadsheets/d/""&amp;$A310&amp;""/edit#gid=156619080"",BC$3)"),"#REF!")</f>
        <v>#REF!</v>
      </c>
    </row>
    <row r="311" ht="51.0" customHeight="1">
      <c r="A311" s="7" t="str">
        <f t="shared" si="5"/>
        <v>1Fp6a1JcmP8JHrMHWulPUqjsCBb-5G2i7sz1SnkgIFmc</v>
      </c>
      <c r="B311" s="1" t="s">
        <v>338</v>
      </c>
      <c r="C311" s="2" t="str">
        <f>IFERROR(__xludf.DUMMYFUNCTION("IMPORTRANGE(""https://docs.google.com/spreadsheets/d/""&amp;$A311&amp;""/edit#gid=156619080"",C$3)"),"#REF!")</f>
        <v>#REF!</v>
      </c>
      <c r="D311" s="2" t="str">
        <f>IFERROR(__xludf.DUMMYFUNCTION("IMPORTRANGE(""https://docs.google.com/spreadsheets/d/""&amp;$A311&amp;""/edit#gid=156619080"",D$3)"),"#REF!")</f>
        <v>#REF!</v>
      </c>
      <c r="E311" s="2" t="str">
        <f>IFERROR(__xludf.DUMMYFUNCTION("IMPORTRANGE(""https://docs.google.com/spreadsheets/d/""&amp;$A311&amp;""/edit#gid=156619080"",E$3)"),"#REF!")</f>
        <v>#REF!</v>
      </c>
      <c r="F311" s="2" t="str">
        <f>IFERROR(__xludf.DUMMYFUNCTION("IMPORTRANGE(""https://docs.google.com/spreadsheets/d/""&amp;$A311&amp;""/edit#gid=156619080"",F$3)"),"#REF!")</f>
        <v>#REF!</v>
      </c>
      <c r="G311" s="2" t="str">
        <f>IFERROR(__xludf.DUMMYFUNCTION("IMPORTRANGE(""https://docs.google.com/spreadsheets/d/""&amp;$A311&amp;""/edit#gid=156619080"",G$3)"),"#REF!")</f>
        <v>#REF!</v>
      </c>
      <c r="H311" s="2" t="str">
        <f>IFERROR(__xludf.DUMMYFUNCTION("IMPORTRANGE(""https://docs.google.com/spreadsheets/d/""&amp;$A311&amp;""/edit#gid=156619080"",H$3)"),"#REF!")</f>
        <v>#REF!</v>
      </c>
      <c r="I311" s="2" t="str">
        <f>IFERROR(__xludf.DUMMYFUNCTION("IMPORTRANGE(""https://docs.google.com/spreadsheets/d/""&amp;$A311&amp;""/edit#gid=156619080"",I$3)"),"#REF!")</f>
        <v>#REF!</v>
      </c>
      <c r="J311" s="2" t="str">
        <f>IFERROR(__xludf.DUMMYFUNCTION("IMPORTRANGE(""https://docs.google.com/spreadsheets/d/""&amp;$A311&amp;""/edit#gid=156619080"",J$3)"),"#REF!")</f>
        <v>#REF!</v>
      </c>
      <c r="K311" s="2" t="str">
        <f>IFERROR(__xludf.DUMMYFUNCTION("IMPORTRANGE(""https://docs.google.com/spreadsheets/d/""&amp;$A311&amp;""/edit#gid=156619080"",K$3)"),"#REF!")</f>
        <v>#REF!</v>
      </c>
      <c r="L311" s="2" t="str">
        <f>IFERROR(__xludf.DUMMYFUNCTION("IMPORTRANGE(""https://docs.google.com/spreadsheets/d/""&amp;$A311&amp;""/edit#gid=156619080"",L$3)"),"#REF!")</f>
        <v>#REF!</v>
      </c>
      <c r="M311" s="2" t="str">
        <f>IFERROR(__xludf.DUMMYFUNCTION("IMPORTRANGE(""https://docs.google.com/spreadsheets/d/""&amp;$A311&amp;""/edit#gid=156619080"",M$3)"),"#REF!")</f>
        <v>#REF!</v>
      </c>
      <c r="N311" s="2" t="str">
        <f>IFERROR(__xludf.DUMMYFUNCTION("IMPORTRANGE(""https://docs.google.com/spreadsheets/d/""&amp;$A311&amp;""/edit#gid=156619080"",N$3)"),"#REF!")</f>
        <v>#REF!</v>
      </c>
      <c r="O311" s="2" t="str">
        <f>IFERROR(__xludf.DUMMYFUNCTION("IMPORTRANGE(""https://docs.google.com/spreadsheets/d/""&amp;$A311&amp;""/edit#gid=156619080"",O$3)"),"#REF!")</f>
        <v>#REF!</v>
      </c>
      <c r="P311" s="2" t="str">
        <f>IFERROR(__xludf.DUMMYFUNCTION("IMPORTRANGE(""https://docs.google.com/spreadsheets/d/""&amp;$A311&amp;""/edit#gid=156619080"",P$3)"),"#REF!")</f>
        <v>#REF!</v>
      </c>
      <c r="Q311" s="2" t="str">
        <f>IFERROR(__xludf.DUMMYFUNCTION("IMPORTRANGE(""https://docs.google.com/spreadsheets/d/""&amp;$A311&amp;""/edit#gid=156619080"",Q$3)"),"#REF!")</f>
        <v>#REF!</v>
      </c>
      <c r="R311" s="2" t="str">
        <f>IFERROR(__xludf.DUMMYFUNCTION("IMPORTRANGE(""https://docs.google.com/spreadsheets/d/""&amp;$A311&amp;""/edit#gid=156619080"",R$3)"),"#REF!")</f>
        <v>#REF!</v>
      </c>
      <c r="S311" s="2" t="str">
        <f>IFERROR(__xludf.DUMMYFUNCTION("IMPORTRANGE(""https://docs.google.com/spreadsheets/d/""&amp;$A311&amp;""/edit#gid=156619080"",S$3)"),"#REF!")</f>
        <v>#REF!</v>
      </c>
      <c r="T311" s="2" t="str">
        <f>IFERROR(__xludf.DUMMYFUNCTION("IMPORTRANGE(""https://docs.google.com/spreadsheets/d/""&amp;$A311&amp;""/edit#gid=156619080"",T$3)"),"#REF!")</f>
        <v>#REF!</v>
      </c>
      <c r="U311" s="2" t="str">
        <f>IFERROR(__xludf.DUMMYFUNCTION("IMPORTRANGE(""https://docs.google.com/spreadsheets/d/""&amp;$A311&amp;""/edit#gid=156619080"",U$3)"),"#REF!")</f>
        <v>#REF!</v>
      </c>
      <c r="V311" s="2" t="str">
        <f>IFERROR(__xludf.DUMMYFUNCTION("IMPORTRANGE(""https://docs.google.com/spreadsheets/d/""&amp;$A311&amp;""/edit#gid=156619080"",V$3)"),"#REF!")</f>
        <v>#REF!</v>
      </c>
      <c r="W311" s="2" t="str">
        <f>IFERROR(__xludf.DUMMYFUNCTION("IMPORTRANGE(""https://docs.google.com/spreadsheets/d/""&amp;$A311&amp;""/edit#gid=156619080"",W$3)"),"#REF!")</f>
        <v>#REF!</v>
      </c>
      <c r="X311" s="2" t="str">
        <f>IFERROR(__xludf.DUMMYFUNCTION("IMPORTRANGE(""https://docs.google.com/spreadsheets/d/""&amp;$A311&amp;""/edit#gid=156619080"",X$3)"),"#REF!")</f>
        <v>#REF!</v>
      </c>
      <c r="Y311" s="2" t="str">
        <f>IFERROR(__xludf.DUMMYFUNCTION("IMPORTRANGE(""https://docs.google.com/spreadsheets/d/""&amp;$A311&amp;""/edit#gid=156619080"",Y$3)"),"#REF!")</f>
        <v>#REF!</v>
      </c>
      <c r="Z311" s="2" t="str">
        <f>IFERROR(__xludf.DUMMYFUNCTION("IMPORTRANGE(""https://docs.google.com/spreadsheets/d/""&amp;$A311&amp;""/edit#gid=156619080"",Z$3)"),"#REF!")</f>
        <v>#REF!</v>
      </c>
      <c r="AA311" s="2" t="str">
        <f>IFERROR(__xludf.DUMMYFUNCTION("IMPORTRANGE(""https://docs.google.com/spreadsheets/d/""&amp;$A311&amp;""/edit#gid=156619080"",AA$3)"),"#REF!")</f>
        <v>#REF!</v>
      </c>
      <c r="AB311" s="2" t="str">
        <f>IFERROR(__xludf.DUMMYFUNCTION("IMPORTRANGE(""https://docs.google.com/spreadsheets/d/""&amp;$A311&amp;""/edit#gid=156619080"",AB$3)"),"#REF!")</f>
        <v>#REF!</v>
      </c>
      <c r="AC311" s="2" t="str">
        <f>IFERROR(__xludf.DUMMYFUNCTION("IMPORTRANGE(""https://docs.google.com/spreadsheets/d/""&amp;$A311&amp;""/edit#gid=156619080"",AC$3)"),"#REF!")</f>
        <v>#REF!</v>
      </c>
      <c r="AD311" s="2" t="str">
        <f>IFERROR(__xludf.DUMMYFUNCTION("IMPORTRANGE(""https://docs.google.com/spreadsheets/d/""&amp;$A311&amp;""/edit#gid=156619080"",AD$3)"),"#REF!")</f>
        <v>#REF!</v>
      </c>
      <c r="AE311" s="2" t="str">
        <f>IFERROR(__xludf.DUMMYFUNCTION("IMPORTRANGE(""https://docs.google.com/spreadsheets/d/""&amp;$A311&amp;""/edit#gid=156619080"",AE$3)"),"#REF!")</f>
        <v>#REF!</v>
      </c>
      <c r="AF311" s="2" t="str">
        <f>IFERROR(__xludf.DUMMYFUNCTION("IMPORTRANGE(""https://docs.google.com/spreadsheets/d/""&amp;$A311&amp;""/edit#gid=156619080"",AF$3)"),"#REF!")</f>
        <v>#REF!</v>
      </c>
      <c r="AG311" s="2" t="str">
        <f>IFERROR(__xludf.DUMMYFUNCTION("IMPORTRANGE(""https://docs.google.com/spreadsheets/d/""&amp;$A311&amp;""/edit#gid=156619080"",AG$3)"),"#REF!")</f>
        <v>#REF!</v>
      </c>
      <c r="AH311" s="2" t="str">
        <f>IFERROR(__xludf.DUMMYFUNCTION("IMPORTRANGE(""https://docs.google.com/spreadsheets/d/""&amp;$A311&amp;""/edit#gid=156619080"",AH$3)"),"#REF!")</f>
        <v>#REF!</v>
      </c>
      <c r="AI311" s="2" t="str">
        <f>IFERROR(__xludf.DUMMYFUNCTION("IMPORTRANGE(""https://docs.google.com/spreadsheets/d/""&amp;$A311&amp;""/edit#gid=156619080"",AI$3)"),"#REF!")</f>
        <v>#REF!</v>
      </c>
      <c r="AJ311" s="2" t="str">
        <f>IFERROR(__xludf.DUMMYFUNCTION("IMPORTRANGE(""https://docs.google.com/spreadsheets/d/""&amp;$A311&amp;""/edit#gid=156619080"",AJ$3)"),"#REF!")</f>
        <v>#REF!</v>
      </c>
      <c r="AK311" s="2" t="str">
        <f>IFERROR(__xludf.DUMMYFUNCTION("IMPORTRANGE(""https://docs.google.com/spreadsheets/d/""&amp;$A311&amp;""/edit#gid=156619080"",AK$3)"),"#REF!")</f>
        <v>#REF!</v>
      </c>
      <c r="AL311" s="2" t="str">
        <f>IFERROR(__xludf.DUMMYFUNCTION("IMPORTRANGE(""https://docs.google.com/spreadsheets/d/""&amp;$A311&amp;""/edit#gid=156619080"",AL$3)"),"#REF!")</f>
        <v>#REF!</v>
      </c>
      <c r="AM311" s="2" t="str">
        <f>IFERROR(__xludf.DUMMYFUNCTION("IMPORTRANGE(""https://docs.google.com/spreadsheets/d/""&amp;$A311&amp;""/edit#gid=156619080"",AM$3)"),"#REF!")</f>
        <v>#REF!</v>
      </c>
      <c r="AN311" s="2" t="str">
        <f>IFERROR(__xludf.DUMMYFUNCTION("IMPORTRANGE(""https://docs.google.com/spreadsheets/d/""&amp;$A311&amp;""/edit#gid=156619080"",AN$3)"),"#REF!")</f>
        <v>#REF!</v>
      </c>
      <c r="AO311" s="2" t="str">
        <f>IFERROR(__xludf.DUMMYFUNCTION("IMPORTRANGE(""https://docs.google.com/spreadsheets/d/""&amp;$A311&amp;""/edit#gid=156619080"",AO$3)"),"#REF!")</f>
        <v>#REF!</v>
      </c>
      <c r="AP311" s="2" t="str">
        <f>IFERROR(__xludf.DUMMYFUNCTION("IMPORTRANGE(""https://docs.google.com/spreadsheets/d/""&amp;$A311&amp;""/edit#gid=156619080"",AP$3)"),"#REF!")</f>
        <v>#REF!</v>
      </c>
      <c r="AQ311" s="2" t="str">
        <f>IFERROR(__xludf.DUMMYFUNCTION("IMPORTRANGE(""https://docs.google.com/spreadsheets/d/""&amp;$A311&amp;""/edit#gid=156619080"",AQ$3)"),"#REF!")</f>
        <v>#REF!</v>
      </c>
      <c r="AR311" s="2" t="str">
        <f>IFERROR(__xludf.DUMMYFUNCTION("IMPORTRANGE(""https://docs.google.com/spreadsheets/d/""&amp;$A311&amp;""/edit#gid=156619080"",AR$3)"),"#REF!")</f>
        <v>#REF!</v>
      </c>
      <c r="AS311" s="19" t="str">
        <f>IFERROR(__xludf.DUMMYFUNCTION("IMPORTRANGE(""https://docs.google.com/spreadsheets/d/""&amp;$A311&amp;""/edit#gid=156619080"",AS$3)"),"#REF!")</f>
        <v>#REF!</v>
      </c>
      <c r="AT311" s="2" t="str">
        <f>IFERROR(__xludf.DUMMYFUNCTION("IMPORTRANGE(""https://docs.google.com/spreadsheets/d/""&amp;$A311&amp;""/edit#gid=156619080"",AT$3)"),"#REF!")</f>
        <v>#REF!</v>
      </c>
      <c r="AU311" s="3" t="str">
        <f>IFERROR(__xludf.DUMMYFUNCTION("IMPORTRANGE(""https://docs.google.com/spreadsheets/d/""&amp;$A311&amp;""/edit#gid=156619080"",AU$3)"),"#REF!")</f>
        <v>#REF!</v>
      </c>
      <c r="AV311" s="2" t="str">
        <f>IFERROR(__xludf.DUMMYFUNCTION("IMPORTRANGE(""https://docs.google.com/spreadsheets/d/""&amp;$A311&amp;""/edit#gid=156619080"",AV$3)"),"#REF!")</f>
        <v>#REF!</v>
      </c>
      <c r="AW311" s="19" t="str">
        <f>IFERROR(__xludf.DUMMYFUNCTION("IMPORTRANGE(""https://docs.google.com/spreadsheets/d/""&amp;$A311&amp;""/edit#gid=156619080"",AW$3)"),"#REF!")</f>
        <v>#REF!</v>
      </c>
      <c r="AX311" s="2" t="str">
        <f>IFERROR(__xludf.DUMMYFUNCTION("IMPORTRANGE(""https://docs.google.com/spreadsheets/d/""&amp;$A311&amp;""/edit#gid=156619080"",AX$3)"),"#REF!")</f>
        <v>#REF!</v>
      </c>
      <c r="AY311" s="2" t="str">
        <f>IFERROR(__xludf.DUMMYFUNCTION("IMPORTRANGE(""https://docs.google.com/spreadsheets/d/""&amp;$A311&amp;""/edit#gid=156619080"",AY$3)"),"#REF!")</f>
        <v>#REF!</v>
      </c>
      <c r="AZ311" s="2" t="str">
        <f>IFERROR(__xludf.DUMMYFUNCTION("IMPORTRANGE(""https://docs.google.com/spreadsheets/d/""&amp;$A311&amp;""/edit#gid=156619080"",AZ$3)"),"#REF!")</f>
        <v>#REF!</v>
      </c>
      <c r="BA311" s="2" t="str">
        <f>IFERROR(__xludf.DUMMYFUNCTION("IMPORTRANGE(""https://docs.google.com/spreadsheets/d/""&amp;$A311&amp;""/edit#gid=156619080"",BA$3)"),"#REF!")</f>
        <v>#REF!</v>
      </c>
      <c r="BB311" s="2" t="str">
        <f>IFERROR(__xludf.DUMMYFUNCTION("IMPORTRANGE(""https://docs.google.com/spreadsheets/d/""&amp;$A311&amp;""/edit#gid=156619080"",BB$3)"),"#REF!")</f>
        <v>#REF!</v>
      </c>
      <c r="BC311" s="2" t="str">
        <f>IFERROR(__xludf.DUMMYFUNCTION("IMPORTRANGE(""https://docs.google.com/spreadsheets/d/""&amp;$A311&amp;""/edit#gid=156619080"",BC$3)"),"#REF!")</f>
        <v>#REF!</v>
      </c>
    </row>
    <row r="312" ht="51.0" customHeight="1">
      <c r="A312" s="7" t="str">
        <f t="shared" si="5"/>
        <v>1VV48GbbXcPO07acaK__5ppxLnLzw3W8hMyB0pocR70Y</v>
      </c>
      <c r="B312" s="1" t="s">
        <v>339</v>
      </c>
      <c r="C312" s="2" t="str">
        <f>IFERROR(__xludf.DUMMYFUNCTION("IMPORTRANGE(""https://docs.google.com/spreadsheets/d/""&amp;$A312&amp;""/edit#gid=156619080"",C$3)"),"#REF!")</f>
        <v>#REF!</v>
      </c>
      <c r="D312" s="2" t="str">
        <f>IFERROR(__xludf.DUMMYFUNCTION("IMPORTRANGE(""https://docs.google.com/spreadsheets/d/""&amp;$A312&amp;""/edit#gid=156619080"",D$3)"),"#REF!")</f>
        <v>#REF!</v>
      </c>
      <c r="E312" s="2" t="str">
        <f>IFERROR(__xludf.DUMMYFUNCTION("IMPORTRANGE(""https://docs.google.com/spreadsheets/d/""&amp;$A312&amp;""/edit#gid=156619080"",E$3)"),"#REF!")</f>
        <v>#REF!</v>
      </c>
      <c r="F312" s="2" t="str">
        <f>IFERROR(__xludf.DUMMYFUNCTION("IMPORTRANGE(""https://docs.google.com/spreadsheets/d/""&amp;$A312&amp;""/edit#gid=156619080"",F$3)"),"#REF!")</f>
        <v>#REF!</v>
      </c>
      <c r="G312" s="2" t="str">
        <f>IFERROR(__xludf.DUMMYFUNCTION("IMPORTRANGE(""https://docs.google.com/spreadsheets/d/""&amp;$A312&amp;""/edit#gid=156619080"",G$3)"),"#REF!")</f>
        <v>#REF!</v>
      </c>
      <c r="H312" s="2" t="str">
        <f>IFERROR(__xludf.DUMMYFUNCTION("IMPORTRANGE(""https://docs.google.com/spreadsheets/d/""&amp;$A312&amp;""/edit#gid=156619080"",H$3)"),"#REF!")</f>
        <v>#REF!</v>
      </c>
      <c r="I312" s="2" t="str">
        <f>IFERROR(__xludf.DUMMYFUNCTION("IMPORTRANGE(""https://docs.google.com/spreadsheets/d/""&amp;$A312&amp;""/edit#gid=156619080"",I$3)"),"#REF!")</f>
        <v>#REF!</v>
      </c>
      <c r="J312" s="2" t="str">
        <f>IFERROR(__xludf.DUMMYFUNCTION("IMPORTRANGE(""https://docs.google.com/spreadsheets/d/""&amp;$A312&amp;""/edit#gid=156619080"",J$3)"),"#REF!")</f>
        <v>#REF!</v>
      </c>
      <c r="K312" s="2" t="str">
        <f>IFERROR(__xludf.DUMMYFUNCTION("IMPORTRANGE(""https://docs.google.com/spreadsheets/d/""&amp;$A312&amp;""/edit#gid=156619080"",K$3)"),"#REF!")</f>
        <v>#REF!</v>
      </c>
      <c r="L312" s="2" t="str">
        <f>IFERROR(__xludf.DUMMYFUNCTION("IMPORTRANGE(""https://docs.google.com/spreadsheets/d/""&amp;$A312&amp;""/edit#gid=156619080"",L$3)"),"#REF!")</f>
        <v>#REF!</v>
      </c>
      <c r="M312" s="2" t="str">
        <f>IFERROR(__xludf.DUMMYFUNCTION("IMPORTRANGE(""https://docs.google.com/spreadsheets/d/""&amp;$A312&amp;""/edit#gid=156619080"",M$3)"),"#REF!")</f>
        <v>#REF!</v>
      </c>
      <c r="N312" s="2" t="str">
        <f>IFERROR(__xludf.DUMMYFUNCTION("IMPORTRANGE(""https://docs.google.com/spreadsheets/d/""&amp;$A312&amp;""/edit#gid=156619080"",N$3)"),"#REF!")</f>
        <v>#REF!</v>
      </c>
      <c r="O312" s="2" t="str">
        <f>IFERROR(__xludf.DUMMYFUNCTION("IMPORTRANGE(""https://docs.google.com/spreadsheets/d/""&amp;$A312&amp;""/edit#gid=156619080"",O$3)"),"#REF!")</f>
        <v>#REF!</v>
      </c>
      <c r="P312" s="2" t="str">
        <f>IFERROR(__xludf.DUMMYFUNCTION("IMPORTRANGE(""https://docs.google.com/spreadsheets/d/""&amp;$A312&amp;""/edit#gid=156619080"",P$3)"),"#REF!")</f>
        <v>#REF!</v>
      </c>
      <c r="Q312" s="2" t="str">
        <f>IFERROR(__xludf.DUMMYFUNCTION("IMPORTRANGE(""https://docs.google.com/spreadsheets/d/""&amp;$A312&amp;""/edit#gid=156619080"",Q$3)"),"#REF!")</f>
        <v>#REF!</v>
      </c>
      <c r="R312" s="2" t="str">
        <f>IFERROR(__xludf.DUMMYFUNCTION("IMPORTRANGE(""https://docs.google.com/spreadsheets/d/""&amp;$A312&amp;""/edit#gid=156619080"",R$3)"),"#REF!")</f>
        <v>#REF!</v>
      </c>
      <c r="S312" s="2" t="str">
        <f>IFERROR(__xludf.DUMMYFUNCTION("IMPORTRANGE(""https://docs.google.com/spreadsheets/d/""&amp;$A312&amp;""/edit#gid=156619080"",S$3)"),"#REF!")</f>
        <v>#REF!</v>
      </c>
      <c r="T312" s="2" t="str">
        <f>IFERROR(__xludf.DUMMYFUNCTION("IMPORTRANGE(""https://docs.google.com/spreadsheets/d/""&amp;$A312&amp;""/edit#gid=156619080"",T$3)"),"#REF!")</f>
        <v>#REF!</v>
      </c>
      <c r="U312" s="2" t="str">
        <f>IFERROR(__xludf.DUMMYFUNCTION("IMPORTRANGE(""https://docs.google.com/spreadsheets/d/""&amp;$A312&amp;""/edit#gid=156619080"",U$3)"),"#REF!")</f>
        <v>#REF!</v>
      </c>
      <c r="V312" s="2" t="str">
        <f>IFERROR(__xludf.DUMMYFUNCTION("IMPORTRANGE(""https://docs.google.com/spreadsheets/d/""&amp;$A312&amp;""/edit#gid=156619080"",V$3)"),"#REF!")</f>
        <v>#REF!</v>
      </c>
      <c r="W312" s="2" t="str">
        <f>IFERROR(__xludf.DUMMYFUNCTION("IMPORTRANGE(""https://docs.google.com/spreadsheets/d/""&amp;$A312&amp;""/edit#gid=156619080"",W$3)"),"#REF!")</f>
        <v>#REF!</v>
      </c>
      <c r="X312" s="2" t="str">
        <f>IFERROR(__xludf.DUMMYFUNCTION("IMPORTRANGE(""https://docs.google.com/spreadsheets/d/""&amp;$A312&amp;""/edit#gid=156619080"",X$3)"),"#REF!")</f>
        <v>#REF!</v>
      </c>
      <c r="Y312" s="2" t="str">
        <f>IFERROR(__xludf.DUMMYFUNCTION("IMPORTRANGE(""https://docs.google.com/spreadsheets/d/""&amp;$A312&amp;""/edit#gid=156619080"",Y$3)"),"#REF!")</f>
        <v>#REF!</v>
      </c>
      <c r="Z312" s="2" t="str">
        <f>IFERROR(__xludf.DUMMYFUNCTION("IMPORTRANGE(""https://docs.google.com/spreadsheets/d/""&amp;$A312&amp;""/edit#gid=156619080"",Z$3)"),"#REF!")</f>
        <v>#REF!</v>
      </c>
      <c r="AA312" s="2" t="str">
        <f>IFERROR(__xludf.DUMMYFUNCTION("IMPORTRANGE(""https://docs.google.com/spreadsheets/d/""&amp;$A312&amp;""/edit#gid=156619080"",AA$3)"),"#REF!")</f>
        <v>#REF!</v>
      </c>
      <c r="AB312" s="2" t="str">
        <f>IFERROR(__xludf.DUMMYFUNCTION("IMPORTRANGE(""https://docs.google.com/spreadsheets/d/""&amp;$A312&amp;""/edit#gid=156619080"",AB$3)"),"#REF!")</f>
        <v>#REF!</v>
      </c>
      <c r="AC312" s="2" t="str">
        <f>IFERROR(__xludf.DUMMYFUNCTION("IMPORTRANGE(""https://docs.google.com/spreadsheets/d/""&amp;$A312&amp;""/edit#gid=156619080"",AC$3)"),"#REF!")</f>
        <v>#REF!</v>
      </c>
      <c r="AD312" s="2" t="str">
        <f>IFERROR(__xludf.DUMMYFUNCTION("IMPORTRANGE(""https://docs.google.com/spreadsheets/d/""&amp;$A312&amp;""/edit#gid=156619080"",AD$3)"),"#REF!")</f>
        <v>#REF!</v>
      </c>
      <c r="AE312" s="2" t="str">
        <f>IFERROR(__xludf.DUMMYFUNCTION("IMPORTRANGE(""https://docs.google.com/spreadsheets/d/""&amp;$A312&amp;""/edit#gid=156619080"",AE$3)"),"#REF!")</f>
        <v>#REF!</v>
      </c>
      <c r="AF312" s="2" t="str">
        <f>IFERROR(__xludf.DUMMYFUNCTION("IMPORTRANGE(""https://docs.google.com/spreadsheets/d/""&amp;$A312&amp;""/edit#gid=156619080"",AF$3)"),"#REF!")</f>
        <v>#REF!</v>
      </c>
      <c r="AG312" s="2" t="str">
        <f>IFERROR(__xludf.DUMMYFUNCTION("IMPORTRANGE(""https://docs.google.com/spreadsheets/d/""&amp;$A312&amp;""/edit#gid=156619080"",AG$3)"),"#REF!")</f>
        <v>#REF!</v>
      </c>
      <c r="AH312" s="2" t="str">
        <f>IFERROR(__xludf.DUMMYFUNCTION("IMPORTRANGE(""https://docs.google.com/spreadsheets/d/""&amp;$A312&amp;""/edit#gid=156619080"",AH$3)"),"#REF!")</f>
        <v>#REF!</v>
      </c>
      <c r="AI312" s="2" t="str">
        <f>IFERROR(__xludf.DUMMYFUNCTION("IMPORTRANGE(""https://docs.google.com/spreadsheets/d/""&amp;$A312&amp;""/edit#gid=156619080"",AI$3)"),"#REF!")</f>
        <v>#REF!</v>
      </c>
      <c r="AJ312" s="2" t="str">
        <f>IFERROR(__xludf.DUMMYFUNCTION("IMPORTRANGE(""https://docs.google.com/spreadsheets/d/""&amp;$A312&amp;""/edit#gid=156619080"",AJ$3)"),"#REF!")</f>
        <v>#REF!</v>
      </c>
      <c r="AK312" s="2" t="str">
        <f>IFERROR(__xludf.DUMMYFUNCTION("IMPORTRANGE(""https://docs.google.com/spreadsheets/d/""&amp;$A312&amp;""/edit#gid=156619080"",AK$3)"),"#REF!")</f>
        <v>#REF!</v>
      </c>
      <c r="AL312" s="2" t="str">
        <f>IFERROR(__xludf.DUMMYFUNCTION("IMPORTRANGE(""https://docs.google.com/spreadsheets/d/""&amp;$A312&amp;""/edit#gid=156619080"",AL$3)"),"#REF!")</f>
        <v>#REF!</v>
      </c>
      <c r="AM312" s="2" t="str">
        <f>IFERROR(__xludf.DUMMYFUNCTION("IMPORTRANGE(""https://docs.google.com/spreadsheets/d/""&amp;$A312&amp;""/edit#gid=156619080"",AM$3)"),"#REF!")</f>
        <v>#REF!</v>
      </c>
      <c r="AN312" s="2" t="str">
        <f>IFERROR(__xludf.DUMMYFUNCTION("IMPORTRANGE(""https://docs.google.com/spreadsheets/d/""&amp;$A312&amp;""/edit#gid=156619080"",AN$3)"),"#REF!")</f>
        <v>#REF!</v>
      </c>
      <c r="AO312" s="2" t="str">
        <f>IFERROR(__xludf.DUMMYFUNCTION("IMPORTRANGE(""https://docs.google.com/spreadsheets/d/""&amp;$A312&amp;""/edit#gid=156619080"",AO$3)"),"#REF!")</f>
        <v>#REF!</v>
      </c>
      <c r="AP312" s="2" t="str">
        <f>IFERROR(__xludf.DUMMYFUNCTION("IMPORTRANGE(""https://docs.google.com/spreadsheets/d/""&amp;$A312&amp;""/edit#gid=156619080"",AP$3)"),"#REF!")</f>
        <v>#REF!</v>
      </c>
      <c r="AQ312" s="2" t="str">
        <f>IFERROR(__xludf.DUMMYFUNCTION("IMPORTRANGE(""https://docs.google.com/spreadsheets/d/""&amp;$A312&amp;""/edit#gid=156619080"",AQ$3)"),"#REF!")</f>
        <v>#REF!</v>
      </c>
      <c r="AR312" s="2" t="str">
        <f>IFERROR(__xludf.DUMMYFUNCTION("IMPORTRANGE(""https://docs.google.com/spreadsheets/d/""&amp;$A312&amp;""/edit#gid=156619080"",AR$3)"),"#REF!")</f>
        <v>#REF!</v>
      </c>
      <c r="AS312" s="19" t="str">
        <f>IFERROR(__xludf.DUMMYFUNCTION("IMPORTRANGE(""https://docs.google.com/spreadsheets/d/""&amp;$A312&amp;""/edit#gid=156619080"",AS$3)"),"#REF!")</f>
        <v>#REF!</v>
      </c>
      <c r="AT312" s="2" t="str">
        <f>IFERROR(__xludf.DUMMYFUNCTION("IMPORTRANGE(""https://docs.google.com/spreadsheets/d/""&amp;$A312&amp;""/edit#gid=156619080"",AT$3)"),"#REF!")</f>
        <v>#REF!</v>
      </c>
      <c r="AU312" s="3" t="str">
        <f>IFERROR(__xludf.DUMMYFUNCTION("IMPORTRANGE(""https://docs.google.com/spreadsheets/d/""&amp;$A312&amp;""/edit#gid=156619080"",AU$3)"),"#REF!")</f>
        <v>#REF!</v>
      </c>
      <c r="AV312" s="2" t="str">
        <f>IFERROR(__xludf.DUMMYFUNCTION("IMPORTRANGE(""https://docs.google.com/spreadsheets/d/""&amp;$A312&amp;""/edit#gid=156619080"",AV$3)"),"#REF!")</f>
        <v>#REF!</v>
      </c>
      <c r="AW312" s="19" t="str">
        <f>IFERROR(__xludf.DUMMYFUNCTION("IMPORTRANGE(""https://docs.google.com/spreadsheets/d/""&amp;$A312&amp;""/edit#gid=156619080"",AW$3)"),"#REF!")</f>
        <v>#REF!</v>
      </c>
      <c r="AX312" s="2" t="str">
        <f>IFERROR(__xludf.DUMMYFUNCTION("IMPORTRANGE(""https://docs.google.com/spreadsheets/d/""&amp;$A312&amp;""/edit#gid=156619080"",AX$3)"),"#REF!")</f>
        <v>#REF!</v>
      </c>
      <c r="AY312" s="2" t="str">
        <f>IFERROR(__xludf.DUMMYFUNCTION("IMPORTRANGE(""https://docs.google.com/spreadsheets/d/""&amp;$A312&amp;""/edit#gid=156619080"",AY$3)"),"#REF!")</f>
        <v>#REF!</v>
      </c>
      <c r="AZ312" s="2" t="str">
        <f>IFERROR(__xludf.DUMMYFUNCTION("IMPORTRANGE(""https://docs.google.com/spreadsheets/d/""&amp;$A312&amp;""/edit#gid=156619080"",AZ$3)"),"#REF!")</f>
        <v>#REF!</v>
      </c>
      <c r="BA312" s="2" t="str">
        <f>IFERROR(__xludf.DUMMYFUNCTION("IMPORTRANGE(""https://docs.google.com/spreadsheets/d/""&amp;$A312&amp;""/edit#gid=156619080"",BA$3)"),"#REF!")</f>
        <v>#REF!</v>
      </c>
      <c r="BB312" s="2" t="str">
        <f>IFERROR(__xludf.DUMMYFUNCTION("IMPORTRANGE(""https://docs.google.com/spreadsheets/d/""&amp;$A312&amp;""/edit#gid=156619080"",BB$3)"),"#REF!")</f>
        <v>#REF!</v>
      </c>
      <c r="BC312" s="2" t="str">
        <f>IFERROR(__xludf.DUMMYFUNCTION("IMPORTRANGE(""https://docs.google.com/spreadsheets/d/""&amp;$A312&amp;""/edit#gid=156619080"",BC$3)"),"#REF!")</f>
        <v>#REF!</v>
      </c>
    </row>
    <row r="313" ht="51.0" customHeight="1">
      <c r="A313" s="7" t="str">
        <f t="shared" si="5"/>
        <v>17CMFvdFCxQY2vkwQgkCQ92g1c3_DkTiVnC3fJy0dP6M</v>
      </c>
      <c r="B313" s="1" t="s">
        <v>340</v>
      </c>
      <c r="C313" s="2" t="str">
        <f>IFERROR(__xludf.DUMMYFUNCTION("IMPORTRANGE(""https://docs.google.com/spreadsheets/d/""&amp;$A313&amp;""/edit#gid=156619080"",C$3)"),"#REF!")</f>
        <v>#REF!</v>
      </c>
      <c r="D313" s="2" t="str">
        <f>IFERROR(__xludf.DUMMYFUNCTION("IMPORTRANGE(""https://docs.google.com/spreadsheets/d/""&amp;$A313&amp;""/edit#gid=156619080"",D$3)"),"#REF!")</f>
        <v>#REF!</v>
      </c>
      <c r="E313" s="2" t="str">
        <f>IFERROR(__xludf.DUMMYFUNCTION("IMPORTRANGE(""https://docs.google.com/spreadsheets/d/""&amp;$A313&amp;""/edit#gid=156619080"",E$3)"),"#REF!")</f>
        <v>#REF!</v>
      </c>
      <c r="F313" s="2" t="str">
        <f>IFERROR(__xludf.DUMMYFUNCTION("IMPORTRANGE(""https://docs.google.com/spreadsheets/d/""&amp;$A313&amp;""/edit#gid=156619080"",F$3)"),"#REF!")</f>
        <v>#REF!</v>
      </c>
      <c r="G313" s="2" t="str">
        <f>IFERROR(__xludf.DUMMYFUNCTION("IMPORTRANGE(""https://docs.google.com/spreadsheets/d/""&amp;$A313&amp;""/edit#gid=156619080"",G$3)"),"#REF!")</f>
        <v>#REF!</v>
      </c>
      <c r="H313" s="2" t="str">
        <f>IFERROR(__xludf.DUMMYFUNCTION("IMPORTRANGE(""https://docs.google.com/spreadsheets/d/""&amp;$A313&amp;""/edit#gid=156619080"",H$3)"),"#REF!")</f>
        <v>#REF!</v>
      </c>
      <c r="I313" s="2" t="str">
        <f>IFERROR(__xludf.DUMMYFUNCTION("IMPORTRANGE(""https://docs.google.com/spreadsheets/d/""&amp;$A313&amp;""/edit#gid=156619080"",I$3)"),"#REF!")</f>
        <v>#REF!</v>
      </c>
      <c r="J313" s="2" t="str">
        <f>IFERROR(__xludf.DUMMYFUNCTION("IMPORTRANGE(""https://docs.google.com/spreadsheets/d/""&amp;$A313&amp;""/edit#gid=156619080"",J$3)"),"#REF!")</f>
        <v>#REF!</v>
      </c>
      <c r="K313" s="2" t="str">
        <f>IFERROR(__xludf.DUMMYFUNCTION("IMPORTRANGE(""https://docs.google.com/spreadsheets/d/""&amp;$A313&amp;""/edit#gid=156619080"",K$3)"),"#REF!")</f>
        <v>#REF!</v>
      </c>
      <c r="L313" s="2" t="str">
        <f>IFERROR(__xludf.DUMMYFUNCTION("IMPORTRANGE(""https://docs.google.com/spreadsheets/d/""&amp;$A313&amp;""/edit#gid=156619080"",L$3)"),"#REF!")</f>
        <v>#REF!</v>
      </c>
      <c r="M313" s="2" t="str">
        <f>IFERROR(__xludf.DUMMYFUNCTION("IMPORTRANGE(""https://docs.google.com/spreadsheets/d/""&amp;$A313&amp;""/edit#gid=156619080"",M$3)"),"#REF!")</f>
        <v>#REF!</v>
      </c>
      <c r="N313" s="2" t="str">
        <f>IFERROR(__xludf.DUMMYFUNCTION("IMPORTRANGE(""https://docs.google.com/spreadsheets/d/""&amp;$A313&amp;""/edit#gid=156619080"",N$3)"),"#REF!")</f>
        <v>#REF!</v>
      </c>
      <c r="O313" s="2" t="str">
        <f>IFERROR(__xludf.DUMMYFUNCTION("IMPORTRANGE(""https://docs.google.com/spreadsheets/d/""&amp;$A313&amp;""/edit#gid=156619080"",O$3)"),"#REF!")</f>
        <v>#REF!</v>
      </c>
      <c r="P313" s="2" t="str">
        <f>IFERROR(__xludf.DUMMYFUNCTION("IMPORTRANGE(""https://docs.google.com/spreadsheets/d/""&amp;$A313&amp;""/edit#gid=156619080"",P$3)"),"#REF!")</f>
        <v>#REF!</v>
      </c>
      <c r="Q313" s="2" t="str">
        <f>IFERROR(__xludf.DUMMYFUNCTION("IMPORTRANGE(""https://docs.google.com/spreadsheets/d/""&amp;$A313&amp;""/edit#gid=156619080"",Q$3)"),"#REF!")</f>
        <v>#REF!</v>
      </c>
      <c r="R313" s="2" t="str">
        <f>IFERROR(__xludf.DUMMYFUNCTION("IMPORTRANGE(""https://docs.google.com/spreadsheets/d/""&amp;$A313&amp;""/edit#gid=156619080"",R$3)"),"#REF!")</f>
        <v>#REF!</v>
      </c>
      <c r="S313" s="2" t="str">
        <f>IFERROR(__xludf.DUMMYFUNCTION("IMPORTRANGE(""https://docs.google.com/spreadsheets/d/""&amp;$A313&amp;""/edit#gid=156619080"",S$3)"),"#REF!")</f>
        <v>#REF!</v>
      </c>
      <c r="T313" s="2" t="str">
        <f>IFERROR(__xludf.DUMMYFUNCTION("IMPORTRANGE(""https://docs.google.com/spreadsheets/d/""&amp;$A313&amp;""/edit#gid=156619080"",T$3)"),"#REF!")</f>
        <v>#REF!</v>
      </c>
      <c r="U313" s="2" t="str">
        <f>IFERROR(__xludf.DUMMYFUNCTION("IMPORTRANGE(""https://docs.google.com/spreadsheets/d/""&amp;$A313&amp;""/edit#gid=156619080"",U$3)"),"#REF!")</f>
        <v>#REF!</v>
      </c>
      <c r="V313" s="2" t="str">
        <f>IFERROR(__xludf.DUMMYFUNCTION("IMPORTRANGE(""https://docs.google.com/spreadsheets/d/""&amp;$A313&amp;""/edit#gid=156619080"",V$3)"),"#REF!")</f>
        <v>#REF!</v>
      </c>
      <c r="W313" s="2" t="str">
        <f>IFERROR(__xludf.DUMMYFUNCTION("IMPORTRANGE(""https://docs.google.com/spreadsheets/d/""&amp;$A313&amp;""/edit#gid=156619080"",W$3)"),"#REF!")</f>
        <v>#REF!</v>
      </c>
      <c r="X313" s="2" t="str">
        <f>IFERROR(__xludf.DUMMYFUNCTION("IMPORTRANGE(""https://docs.google.com/spreadsheets/d/""&amp;$A313&amp;""/edit#gid=156619080"",X$3)"),"#REF!")</f>
        <v>#REF!</v>
      </c>
      <c r="Y313" s="2" t="str">
        <f>IFERROR(__xludf.DUMMYFUNCTION("IMPORTRANGE(""https://docs.google.com/spreadsheets/d/""&amp;$A313&amp;""/edit#gid=156619080"",Y$3)"),"#REF!")</f>
        <v>#REF!</v>
      </c>
      <c r="Z313" s="2" t="str">
        <f>IFERROR(__xludf.DUMMYFUNCTION("IMPORTRANGE(""https://docs.google.com/spreadsheets/d/""&amp;$A313&amp;""/edit#gid=156619080"",Z$3)"),"#REF!")</f>
        <v>#REF!</v>
      </c>
      <c r="AA313" s="2" t="str">
        <f>IFERROR(__xludf.DUMMYFUNCTION("IMPORTRANGE(""https://docs.google.com/spreadsheets/d/""&amp;$A313&amp;""/edit#gid=156619080"",AA$3)"),"#REF!")</f>
        <v>#REF!</v>
      </c>
      <c r="AB313" s="2" t="str">
        <f>IFERROR(__xludf.DUMMYFUNCTION("IMPORTRANGE(""https://docs.google.com/spreadsheets/d/""&amp;$A313&amp;""/edit#gid=156619080"",AB$3)"),"#REF!")</f>
        <v>#REF!</v>
      </c>
      <c r="AC313" s="2" t="str">
        <f>IFERROR(__xludf.DUMMYFUNCTION("IMPORTRANGE(""https://docs.google.com/spreadsheets/d/""&amp;$A313&amp;""/edit#gid=156619080"",AC$3)"),"#REF!")</f>
        <v>#REF!</v>
      </c>
      <c r="AD313" s="2" t="str">
        <f>IFERROR(__xludf.DUMMYFUNCTION("IMPORTRANGE(""https://docs.google.com/spreadsheets/d/""&amp;$A313&amp;""/edit#gid=156619080"",AD$3)"),"#REF!")</f>
        <v>#REF!</v>
      </c>
      <c r="AE313" s="2" t="str">
        <f>IFERROR(__xludf.DUMMYFUNCTION("IMPORTRANGE(""https://docs.google.com/spreadsheets/d/""&amp;$A313&amp;""/edit#gid=156619080"",AE$3)"),"#REF!")</f>
        <v>#REF!</v>
      </c>
      <c r="AF313" s="2" t="str">
        <f>IFERROR(__xludf.DUMMYFUNCTION("IMPORTRANGE(""https://docs.google.com/spreadsheets/d/""&amp;$A313&amp;""/edit#gid=156619080"",AF$3)"),"#REF!")</f>
        <v>#REF!</v>
      </c>
      <c r="AG313" s="2" t="str">
        <f>IFERROR(__xludf.DUMMYFUNCTION("IMPORTRANGE(""https://docs.google.com/spreadsheets/d/""&amp;$A313&amp;""/edit#gid=156619080"",AG$3)"),"#REF!")</f>
        <v>#REF!</v>
      </c>
      <c r="AH313" s="2" t="str">
        <f>IFERROR(__xludf.DUMMYFUNCTION("IMPORTRANGE(""https://docs.google.com/spreadsheets/d/""&amp;$A313&amp;""/edit#gid=156619080"",AH$3)"),"#REF!")</f>
        <v>#REF!</v>
      </c>
      <c r="AI313" s="2" t="str">
        <f>IFERROR(__xludf.DUMMYFUNCTION("IMPORTRANGE(""https://docs.google.com/spreadsheets/d/""&amp;$A313&amp;""/edit#gid=156619080"",AI$3)"),"#REF!")</f>
        <v>#REF!</v>
      </c>
      <c r="AJ313" s="2" t="str">
        <f>IFERROR(__xludf.DUMMYFUNCTION("IMPORTRANGE(""https://docs.google.com/spreadsheets/d/""&amp;$A313&amp;""/edit#gid=156619080"",AJ$3)"),"#REF!")</f>
        <v>#REF!</v>
      </c>
      <c r="AK313" s="2" t="str">
        <f>IFERROR(__xludf.DUMMYFUNCTION("IMPORTRANGE(""https://docs.google.com/spreadsheets/d/""&amp;$A313&amp;""/edit#gid=156619080"",AK$3)"),"#REF!")</f>
        <v>#REF!</v>
      </c>
      <c r="AL313" s="2" t="str">
        <f>IFERROR(__xludf.DUMMYFUNCTION("IMPORTRANGE(""https://docs.google.com/spreadsheets/d/""&amp;$A313&amp;""/edit#gid=156619080"",AL$3)"),"#REF!")</f>
        <v>#REF!</v>
      </c>
      <c r="AM313" s="2" t="str">
        <f>IFERROR(__xludf.DUMMYFUNCTION("IMPORTRANGE(""https://docs.google.com/spreadsheets/d/""&amp;$A313&amp;""/edit#gid=156619080"",AM$3)"),"#REF!")</f>
        <v>#REF!</v>
      </c>
      <c r="AN313" s="2" t="str">
        <f>IFERROR(__xludf.DUMMYFUNCTION("IMPORTRANGE(""https://docs.google.com/spreadsheets/d/""&amp;$A313&amp;""/edit#gid=156619080"",AN$3)"),"#REF!")</f>
        <v>#REF!</v>
      </c>
      <c r="AO313" s="2" t="str">
        <f>IFERROR(__xludf.DUMMYFUNCTION("IMPORTRANGE(""https://docs.google.com/spreadsheets/d/""&amp;$A313&amp;""/edit#gid=156619080"",AO$3)"),"#REF!")</f>
        <v>#REF!</v>
      </c>
      <c r="AP313" s="2" t="str">
        <f>IFERROR(__xludf.DUMMYFUNCTION("IMPORTRANGE(""https://docs.google.com/spreadsheets/d/""&amp;$A313&amp;""/edit#gid=156619080"",AP$3)"),"#REF!")</f>
        <v>#REF!</v>
      </c>
      <c r="AQ313" s="2" t="str">
        <f>IFERROR(__xludf.DUMMYFUNCTION("IMPORTRANGE(""https://docs.google.com/spreadsheets/d/""&amp;$A313&amp;""/edit#gid=156619080"",AQ$3)"),"#REF!")</f>
        <v>#REF!</v>
      </c>
      <c r="AR313" s="2" t="str">
        <f>IFERROR(__xludf.DUMMYFUNCTION("IMPORTRANGE(""https://docs.google.com/spreadsheets/d/""&amp;$A313&amp;""/edit#gid=156619080"",AR$3)"),"#REF!")</f>
        <v>#REF!</v>
      </c>
      <c r="AS313" s="19" t="str">
        <f>IFERROR(__xludf.DUMMYFUNCTION("IMPORTRANGE(""https://docs.google.com/spreadsheets/d/""&amp;$A313&amp;""/edit#gid=156619080"",AS$3)"),"#REF!")</f>
        <v>#REF!</v>
      </c>
      <c r="AT313" s="2" t="str">
        <f>IFERROR(__xludf.DUMMYFUNCTION("IMPORTRANGE(""https://docs.google.com/spreadsheets/d/""&amp;$A313&amp;""/edit#gid=156619080"",AT$3)"),"#REF!")</f>
        <v>#REF!</v>
      </c>
      <c r="AU313" s="3" t="str">
        <f>IFERROR(__xludf.DUMMYFUNCTION("IMPORTRANGE(""https://docs.google.com/spreadsheets/d/""&amp;$A313&amp;""/edit#gid=156619080"",AU$3)"),"#REF!")</f>
        <v>#REF!</v>
      </c>
      <c r="AV313" s="2" t="str">
        <f>IFERROR(__xludf.DUMMYFUNCTION("IMPORTRANGE(""https://docs.google.com/spreadsheets/d/""&amp;$A313&amp;""/edit#gid=156619080"",AV$3)"),"#REF!")</f>
        <v>#REF!</v>
      </c>
      <c r="AW313" s="19" t="str">
        <f>IFERROR(__xludf.DUMMYFUNCTION("IMPORTRANGE(""https://docs.google.com/spreadsheets/d/""&amp;$A313&amp;""/edit#gid=156619080"",AW$3)"),"#REF!")</f>
        <v>#REF!</v>
      </c>
      <c r="AX313" s="2" t="str">
        <f>IFERROR(__xludf.DUMMYFUNCTION("IMPORTRANGE(""https://docs.google.com/spreadsheets/d/""&amp;$A313&amp;""/edit#gid=156619080"",AX$3)"),"#REF!")</f>
        <v>#REF!</v>
      </c>
      <c r="AY313" s="2" t="str">
        <f>IFERROR(__xludf.DUMMYFUNCTION("IMPORTRANGE(""https://docs.google.com/spreadsheets/d/""&amp;$A313&amp;""/edit#gid=156619080"",AY$3)"),"#REF!")</f>
        <v>#REF!</v>
      </c>
      <c r="AZ313" s="2" t="str">
        <f>IFERROR(__xludf.DUMMYFUNCTION("IMPORTRANGE(""https://docs.google.com/spreadsheets/d/""&amp;$A313&amp;""/edit#gid=156619080"",AZ$3)"),"#REF!")</f>
        <v>#REF!</v>
      </c>
      <c r="BA313" s="2" t="str">
        <f>IFERROR(__xludf.DUMMYFUNCTION("IMPORTRANGE(""https://docs.google.com/spreadsheets/d/""&amp;$A313&amp;""/edit#gid=156619080"",BA$3)"),"#REF!")</f>
        <v>#REF!</v>
      </c>
      <c r="BB313" s="2" t="str">
        <f>IFERROR(__xludf.DUMMYFUNCTION("IMPORTRANGE(""https://docs.google.com/spreadsheets/d/""&amp;$A313&amp;""/edit#gid=156619080"",BB$3)"),"#REF!")</f>
        <v>#REF!</v>
      </c>
      <c r="BC313" s="2" t="str">
        <f>IFERROR(__xludf.DUMMYFUNCTION("IMPORTRANGE(""https://docs.google.com/spreadsheets/d/""&amp;$A313&amp;""/edit#gid=156619080"",BC$3)"),"#REF!")</f>
        <v>#REF!</v>
      </c>
    </row>
    <row r="314" ht="51.0" customHeight="1">
      <c r="A314" s="7" t="str">
        <f t="shared" si="5"/>
        <v>1_qawUnV4twCIyViltl7QOLvCxNwSaQxB6CLY7CPeVYg</v>
      </c>
      <c r="B314" s="1" t="s">
        <v>341</v>
      </c>
      <c r="C314" s="2" t="str">
        <f>IFERROR(__xludf.DUMMYFUNCTION("IMPORTRANGE(""https://docs.google.com/spreadsheets/d/""&amp;$A314&amp;""/edit#gid=156619080"",C$3)"),"#REF!")</f>
        <v>#REF!</v>
      </c>
      <c r="D314" s="2" t="str">
        <f>IFERROR(__xludf.DUMMYFUNCTION("IMPORTRANGE(""https://docs.google.com/spreadsheets/d/""&amp;$A314&amp;""/edit#gid=156619080"",D$3)"),"#REF!")</f>
        <v>#REF!</v>
      </c>
      <c r="E314" s="2" t="str">
        <f>IFERROR(__xludf.DUMMYFUNCTION("IMPORTRANGE(""https://docs.google.com/spreadsheets/d/""&amp;$A314&amp;""/edit#gid=156619080"",E$3)"),"#REF!")</f>
        <v>#REF!</v>
      </c>
      <c r="F314" s="2" t="str">
        <f>IFERROR(__xludf.DUMMYFUNCTION("IMPORTRANGE(""https://docs.google.com/spreadsheets/d/""&amp;$A314&amp;""/edit#gid=156619080"",F$3)"),"#REF!")</f>
        <v>#REF!</v>
      </c>
      <c r="G314" s="2" t="str">
        <f>IFERROR(__xludf.DUMMYFUNCTION("IMPORTRANGE(""https://docs.google.com/spreadsheets/d/""&amp;$A314&amp;""/edit#gid=156619080"",G$3)"),"#REF!")</f>
        <v>#REF!</v>
      </c>
      <c r="H314" s="2" t="str">
        <f>IFERROR(__xludf.DUMMYFUNCTION("IMPORTRANGE(""https://docs.google.com/spreadsheets/d/""&amp;$A314&amp;""/edit#gid=156619080"",H$3)"),"#REF!")</f>
        <v>#REF!</v>
      </c>
      <c r="I314" s="2" t="str">
        <f>IFERROR(__xludf.DUMMYFUNCTION("IMPORTRANGE(""https://docs.google.com/spreadsheets/d/""&amp;$A314&amp;""/edit#gid=156619080"",I$3)"),"#REF!")</f>
        <v>#REF!</v>
      </c>
      <c r="J314" s="2" t="str">
        <f>IFERROR(__xludf.DUMMYFUNCTION("IMPORTRANGE(""https://docs.google.com/spreadsheets/d/""&amp;$A314&amp;""/edit#gid=156619080"",J$3)"),"#REF!")</f>
        <v>#REF!</v>
      </c>
      <c r="K314" s="2" t="str">
        <f>IFERROR(__xludf.DUMMYFUNCTION("IMPORTRANGE(""https://docs.google.com/spreadsheets/d/""&amp;$A314&amp;""/edit#gid=156619080"",K$3)"),"#REF!")</f>
        <v>#REF!</v>
      </c>
      <c r="L314" s="2" t="str">
        <f>IFERROR(__xludf.DUMMYFUNCTION("IMPORTRANGE(""https://docs.google.com/spreadsheets/d/""&amp;$A314&amp;""/edit#gid=156619080"",L$3)"),"#REF!")</f>
        <v>#REF!</v>
      </c>
      <c r="M314" s="2" t="str">
        <f>IFERROR(__xludf.DUMMYFUNCTION("IMPORTRANGE(""https://docs.google.com/spreadsheets/d/""&amp;$A314&amp;""/edit#gid=156619080"",M$3)"),"#REF!")</f>
        <v>#REF!</v>
      </c>
      <c r="N314" s="2" t="str">
        <f>IFERROR(__xludf.DUMMYFUNCTION("IMPORTRANGE(""https://docs.google.com/spreadsheets/d/""&amp;$A314&amp;""/edit#gid=156619080"",N$3)"),"#REF!")</f>
        <v>#REF!</v>
      </c>
      <c r="O314" s="2" t="str">
        <f>IFERROR(__xludf.DUMMYFUNCTION("IMPORTRANGE(""https://docs.google.com/spreadsheets/d/""&amp;$A314&amp;""/edit#gid=156619080"",O$3)"),"#REF!")</f>
        <v>#REF!</v>
      </c>
      <c r="P314" s="2" t="str">
        <f>IFERROR(__xludf.DUMMYFUNCTION("IMPORTRANGE(""https://docs.google.com/spreadsheets/d/""&amp;$A314&amp;""/edit#gid=156619080"",P$3)"),"#REF!")</f>
        <v>#REF!</v>
      </c>
      <c r="Q314" s="2" t="str">
        <f>IFERROR(__xludf.DUMMYFUNCTION("IMPORTRANGE(""https://docs.google.com/spreadsheets/d/""&amp;$A314&amp;""/edit#gid=156619080"",Q$3)"),"#REF!")</f>
        <v>#REF!</v>
      </c>
      <c r="R314" s="2" t="str">
        <f>IFERROR(__xludf.DUMMYFUNCTION("IMPORTRANGE(""https://docs.google.com/spreadsheets/d/""&amp;$A314&amp;""/edit#gid=156619080"",R$3)"),"#REF!")</f>
        <v>#REF!</v>
      </c>
      <c r="S314" s="2" t="str">
        <f>IFERROR(__xludf.DUMMYFUNCTION("IMPORTRANGE(""https://docs.google.com/spreadsheets/d/""&amp;$A314&amp;""/edit#gid=156619080"",S$3)"),"#REF!")</f>
        <v>#REF!</v>
      </c>
      <c r="T314" s="2" t="str">
        <f>IFERROR(__xludf.DUMMYFUNCTION("IMPORTRANGE(""https://docs.google.com/spreadsheets/d/""&amp;$A314&amp;""/edit#gid=156619080"",T$3)"),"#REF!")</f>
        <v>#REF!</v>
      </c>
      <c r="U314" s="2" t="str">
        <f>IFERROR(__xludf.DUMMYFUNCTION("IMPORTRANGE(""https://docs.google.com/spreadsheets/d/""&amp;$A314&amp;""/edit#gid=156619080"",U$3)"),"#REF!")</f>
        <v>#REF!</v>
      </c>
      <c r="V314" s="2" t="str">
        <f>IFERROR(__xludf.DUMMYFUNCTION("IMPORTRANGE(""https://docs.google.com/spreadsheets/d/""&amp;$A314&amp;""/edit#gid=156619080"",V$3)"),"#REF!")</f>
        <v>#REF!</v>
      </c>
      <c r="W314" s="2" t="str">
        <f>IFERROR(__xludf.DUMMYFUNCTION("IMPORTRANGE(""https://docs.google.com/spreadsheets/d/""&amp;$A314&amp;""/edit#gid=156619080"",W$3)"),"#REF!")</f>
        <v>#REF!</v>
      </c>
      <c r="X314" s="2" t="str">
        <f>IFERROR(__xludf.DUMMYFUNCTION("IMPORTRANGE(""https://docs.google.com/spreadsheets/d/""&amp;$A314&amp;""/edit#gid=156619080"",X$3)"),"#REF!")</f>
        <v>#REF!</v>
      </c>
      <c r="Y314" s="2" t="str">
        <f>IFERROR(__xludf.DUMMYFUNCTION("IMPORTRANGE(""https://docs.google.com/spreadsheets/d/""&amp;$A314&amp;""/edit#gid=156619080"",Y$3)"),"#REF!")</f>
        <v>#REF!</v>
      </c>
      <c r="Z314" s="2" t="str">
        <f>IFERROR(__xludf.DUMMYFUNCTION("IMPORTRANGE(""https://docs.google.com/spreadsheets/d/""&amp;$A314&amp;""/edit#gid=156619080"",Z$3)"),"#REF!")</f>
        <v>#REF!</v>
      </c>
      <c r="AA314" s="2" t="str">
        <f>IFERROR(__xludf.DUMMYFUNCTION("IMPORTRANGE(""https://docs.google.com/spreadsheets/d/""&amp;$A314&amp;""/edit#gid=156619080"",AA$3)"),"#REF!")</f>
        <v>#REF!</v>
      </c>
      <c r="AB314" s="2" t="str">
        <f>IFERROR(__xludf.DUMMYFUNCTION("IMPORTRANGE(""https://docs.google.com/spreadsheets/d/""&amp;$A314&amp;""/edit#gid=156619080"",AB$3)"),"#REF!")</f>
        <v>#REF!</v>
      </c>
      <c r="AC314" s="2" t="str">
        <f>IFERROR(__xludf.DUMMYFUNCTION("IMPORTRANGE(""https://docs.google.com/spreadsheets/d/""&amp;$A314&amp;""/edit#gid=156619080"",AC$3)"),"#REF!")</f>
        <v>#REF!</v>
      </c>
      <c r="AD314" s="2" t="str">
        <f>IFERROR(__xludf.DUMMYFUNCTION("IMPORTRANGE(""https://docs.google.com/spreadsheets/d/""&amp;$A314&amp;""/edit#gid=156619080"",AD$3)"),"#REF!")</f>
        <v>#REF!</v>
      </c>
      <c r="AE314" s="2" t="str">
        <f>IFERROR(__xludf.DUMMYFUNCTION("IMPORTRANGE(""https://docs.google.com/spreadsheets/d/""&amp;$A314&amp;""/edit#gid=156619080"",AE$3)"),"#REF!")</f>
        <v>#REF!</v>
      </c>
      <c r="AF314" s="2" t="str">
        <f>IFERROR(__xludf.DUMMYFUNCTION("IMPORTRANGE(""https://docs.google.com/spreadsheets/d/""&amp;$A314&amp;""/edit#gid=156619080"",AF$3)"),"#REF!")</f>
        <v>#REF!</v>
      </c>
      <c r="AG314" s="2" t="str">
        <f>IFERROR(__xludf.DUMMYFUNCTION("IMPORTRANGE(""https://docs.google.com/spreadsheets/d/""&amp;$A314&amp;""/edit#gid=156619080"",AG$3)"),"#REF!")</f>
        <v>#REF!</v>
      </c>
      <c r="AH314" s="2" t="str">
        <f>IFERROR(__xludf.DUMMYFUNCTION("IMPORTRANGE(""https://docs.google.com/spreadsheets/d/""&amp;$A314&amp;""/edit#gid=156619080"",AH$3)"),"#REF!")</f>
        <v>#REF!</v>
      </c>
      <c r="AI314" s="2" t="str">
        <f>IFERROR(__xludf.DUMMYFUNCTION("IMPORTRANGE(""https://docs.google.com/spreadsheets/d/""&amp;$A314&amp;""/edit#gid=156619080"",AI$3)"),"#REF!")</f>
        <v>#REF!</v>
      </c>
      <c r="AJ314" s="2" t="str">
        <f>IFERROR(__xludf.DUMMYFUNCTION("IMPORTRANGE(""https://docs.google.com/spreadsheets/d/""&amp;$A314&amp;""/edit#gid=156619080"",AJ$3)"),"#REF!")</f>
        <v>#REF!</v>
      </c>
      <c r="AK314" s="2" t="str">
        <f>IFERROR(__xludf.DUMMYFUNCTION("IMPORTRANGE(""https://docs.google.com/spreadsheets/d/""&amp;$A314&amp;""/edit#gid=156619080"",AK$3)"),"#REF!")</f>
        <v>#REF!</v>
      </c>
      <c r="AL314" s="2" t="str">
        <f>IFERROR(__xludf.DUMMYFUNCTION("IMPORTRANGE(""https://docs.google.com/spreadsheets/d/""&amp;$A314&amp;""/edit#gid=156619080"",AL$3)"),"#REF!")</f>
        <v>#REF!</v>
      </c>
      <c r="AM314" s="2" t="str">
        <f>IFERROR(__xludf.DUMMYFUNCTION("IMPORTRANGE(""https://docs.google.com/spreadsheets/d/""&amp;$A314&amp;""/edit#gid=156619080"",AM$3)"),"#REF!")</f>
        <v>#REF!</v>
      </c>
      <c r="AN314" s="2" t="str">
        <f>IFERROR(__xludf.DUMMYFUNCTION("IMPORTRANGE(""https://docs.google.com/spreadsheets/d/""&amp;$A314&amp;""/edit#gid=156619080"",AN$3)"),"#REF!")</f>
        <v>#REF!</v>
      </c>
      <c r="AO314" s="2" t="str">
        <f>IFERROR(__xludf.DUMMYFUNCTION("IMPORTRANGE(""https://docs.google.com/spreadsheets/d/""&amp;$A314&amp;""/edit#gid=156619080"",AO$3)"),"#REF!")</f>
        <v>#REF!</v>
      </c>
      <c r="AP314" s="2" t="str">
        <f>IFERROR(__xludf.DUMMYFUNCTION("IMPORTRANGE(""https://docs.google.com/spreadsheets/d/""&amp;$A314&amp;""/edit#gid=156619080"",AP$3)"),"#REF!")</f>
        <v>#REF!</v>
      </c>
      <c r="AQ314" s="2" t="str">
        <f>IFERROR(__xludf.DUMMYFUNCTION("IMPORTRANGE(""https://docs.google.com/spreadsheets/d/""&amp;$A314&amp;""/edit#gid=156619080"",AQ$3)"),"#REF!")</f>
        <v>#REF!</v>
      </c>
      <c r="AR314" s="2" t="str">
        <f>IFERROR(__xludf.DUMMYFUNCTION("IMPORTRANGE(""https://docs.google.com/spreadsheets/d/""&amp;$A314&amp;""/edit#gid=156619080"",AR$3)"),"#REF!")</f>
        <v>#REF!</v>
      </c>
      <c r="AS314" s="19" t="str">
        <f>IFERROR(__xludf.DUMMYFUNCTION("IMPORTRANGE(""https://docs.google.com/spreadsheets/d/""&amp;$A314&amp;""/edit#gid=156619080"",AS$3)"),"#REF!")</f>
        <v>#REF!</v>
      </c>
      <c r="AT314" s="2" t="str">
        <f>IFERROR(__xludf.DUMMYFUNCTION("IMPORTRANGE(""https://docs.google.com/spreadsheets/d/""&amp;$A314&amp;""/edit#gid=156619080"",AT$3)"),"#REF!")</f>
        <v>#REF!</v>
      </c>
      <c r="AU314" s="3" t="str">
        <f>IFERROR(__xludf.DUMMYFUNCTION("IMPORTRANGE(""https://docs.google.com/spreadsheets/d/""&amp;$A314&amp;""/edit#gid=156619080"",AU$3)"),"#REF!")</f>
        <v>#REF!</v>
      </c>
      <c r="AV314" s="2" t="str">
        <f>IFERROR(__xludf.DUMMYFUNCTION("IMPORTRANGE(""https://docs.google.com/spreadsheets/d/""&amp;$A314&amp;""/edit#gid=156619080"",AV$3)"),"#REF!")</f>
        <v>#REF!</v>
      </c>
      <c r="AW314" s="19" t="str">
        <f>IFERROR(__xludf.DUMMYFUNCTION("IMPORTRANGE(""https://docs.google.com/spreadsheets/d/""&amp;$A314&amp;""/edit#gid=156619080"",AW$3)"),"#REF!")</f>
        <v>#REF!</v>
      </c>
      <c r="AX314" s="2" t="str">
        <f>IFERROR(__xludf.DUMMYFUNCTION("IMPORTRANGE(""https://docs.google.com/spreadsheets/d/""&amp;$A314&amp;""/edit#gid=156619080"",AX$3)"),"#REF!")</f>
        <v>#REF!</v>
      </c>
      <c r="AY314" s="2" t="str">
        <f>IFERROR(__xludf.DUMMYFUNCTION("IMPORTRANGE(""https://docs.google.com/spreadsheets/d/""&amp;$A314&amp;""/edit#gid=156619080"",AY$3)"),"#REF!")</f>
        <v>#REF!</v>
      </c>
      <c r="AZ314" s="2" t="str">
        <f>IFERROR(__xludf.DUMMYFUNCTION("IMPORTRANGE(""https://docs.google.com/spreadsheets/d/""&amp;$A314&amp;""/edit#gid=156619080"",AZ$3)"),"#REF!")</f>
        <v>#REF!</v>
      </c>
      <c r="BA314" s="2" t="str">
        <f>IFERROR(__xludf.DUMMYFUNCTION("IMPORTRANGE(""https://docs.google.com/spreadsheets/d/""&amp;$A314&amp;""/edit#gid=156619080"",BA$3)"),"#REF!")</f>
        <v>#REF!</v>
      </c>
      <c r="BB314" s="2" t="str">
        <f>IFERROR(__xludf.DUMMYFUNCTION("IMPORTRANGE(""https://docs.google.com/spreadsheets/d/""&amp;$A314&amp;""/edit#gid=156619080"",BB$3)"),"#REF!")</f>
        <v>#REF!</v>
      </c>
      <c r="BC314" s="2" t="str">
        <f>IFERROR(__xludf.DUMMYFUNCTION("IMPORTRANGE(""https://docs.google.com/spreadsheets/d/""&amp;$A314&amp;""/edit#gid=156619080"",BC$3)"),"#REF!")</f>
        <v>#REF!</v>
      </c>
    </row>
    <row r="315" ht="51.0" customHeight="1">
      <c r="A315" s="7" t="str">
        <f t="shared" si="5"/>
        <v>1_heY2AqDwylKZkc4CaMxtvFoBbXnoaLTeR-pKgVWNu8</v>
      </c>
      <c r="B315" s="1" t="s">
        <v>342</v>
      </c>
      <c r="C315" s="2" t="str">
        <f>IFERROR(__xludf.DUMMYFUNCTION("IMPORTRANGE(""https://docs.google.com/spreadsheets/d/""&amp;$A315&amp;""/edit#gid=156619080"",C$3)"),"#REF!")</f>
        <v>#REF!</v>
      </c>
      <c r="D315" s="2" t="str">
        <f>IFERROR(__xludf.DUMMYFUNCTION("IMPORTRANGE(""https://docs.google.com/spreadsheets/d/""&amp;$A315&amp;""/edit#gid=156619080"",D$3)"),"#REF!")</f>
        <v>#REF!</v>
      </c>
      <c r="E315" s="2" t="str">
        <f>IFERROR(__xludf.DUMMYFUNCTION("IMPORTRANGE(""https://docs.google.com/spreadsheets/d/""&amp;$A315&amp;""/edit#gid=156619080"",E$3)"),"#REF!")</f>
        <v>#REF!</v>
      </c>
      <c r="F315" s="2" t="str">
        <f>IFERROR(__xludf.DUMMYFUNCTION("IMPORTRANGE(""https://docs.google.com/spreadsheets/d/""&amp;$A315&amp;""/edit#gid=156619080"",F$3)"),"#REF!")</f>
        <v>#REF!</v>
      </c>
      <c r="G315" s="2" t="str">
        <f>IFERROR(__xludf.DUMMYFUNCTION("IMPORTRANGE(""https://docs.google.com/spreadsheets/d/""&amp;$A315&amp;""/edit#gid=156619080"",G$3)"),"#REF!")</f>
        <v>#REF!</v>
      </c>
      <c r="H315" s="2" t="str">
        <f>IFERROR(__xludf.DUMMYFUNCTION("IMPORTRANGE(""https://docs.google.com/spreadsheets/d/""&amp;$A315&amp;""/edit#gid=156619080"",H$3)"),"#REF!")</f>
        <v>#REF!</v>
      </c>
      <c r="I315" s="2" t="str">
        <f>IFERROR(__xludf.DUMMYFUNCTION("IMPORTRANGE(""https://docs.google.com/spreadsheets/d/""&amp;$A315&amp;""/edit#gid=156619080"",I$3)"),"#REF!")</f>
        <v>#REF!</v>
      </c>
      <c r="J315" s="2" t="str">
        <f>IFERROR(__xludf.DUMMYFUNCTION("IMPORTRANGE(""https://docs.google.com/spreadsheets/d/""&amp;$A315&amp;""/edit#gid=156619080"",J$3)"),"#REF!")</f>
        <v>#REF!</v>
      </c>
      <c r="K315" s="2" t="str">
        <f>IFERROR(__xludf.DUMMYFUNCTION("IMPORTRANGE(""https://docs.google.com/spreadsheets/d/""&amp;$A315&amp;""/edit#gid=156619080"",K$3)"),"#REF!")</f>
        <v>#REF!</v>
      </c>
      <c r="L315" s="2" t="str">
        <f>IFERROR(__xludf.DUMMYFUNCTION("IMPORTRANGE(""https://docs.google.com/spreadsheets/d/""&amp;$A315&amp;""/edit#gid=156619080"",L$3)"),"#REF!")</f>
        <v>#REF!</v>
      </c>
      <c r="M315" s="2" t="str">
        <f>IFERROR(__xludf.DUMMYFUNCTION("IMPORTRANGE(""https://docs.google.com/spreadsheets/d/""&amp;$A315&amp;""/edit#gid=156619080"",M$3)"),"#REF!")</f>
        <v>#REF!</v>
      </c>
      <c r="N315" s="2" t="str">
        <f>IFERROR(__xludf.DUMMYFUNCTION("IMPORTRANGE(""https://docs.google.com/spreadsheets/d/""&amp;$A315&amp;""/edit#gid=156619080"",N$3)"),"#REF!")</f>
        <v>#REF!</v>
      </c>
      <c r="O315" s="2" t="str">
        <f>IFERROR(__xludf.DUMMYFUNCTION("IMPORTRANGE(""https://docs.google.com/spreadsheets/d/""&amp;$A315&amp;""/edit#gid=156619080"",O$3)"),"#REF!")</f>
        <v>#REF!</v>
      </c>
      <c r="P315" s="2" t="str">
        <f>IFERROR(__xludf.DUMMYFUNCTION("IMPORTRANGE(""https://docs.google.com/spreadsheets/d/""&amp;$A315&amp;""/edit#gid=156619080"",P$3)"),"#REF!")</f>
        <v>#REF!</v>
      </c>
      <c r="Q315" s="2" t="str">
        <f>IFERROR(__xludf.DUMMYFUNCTION("IMPORTRANGE(""https://docs.google.com/spreadsheets/d/""&amp;$A315&amp;""/edit#gid=156619080"",Q$3)"),"#REF!")</f>
        <v>#REF!</v>
      </c>
      <c r="R315" s="2" t="str">
        <f>IFERROR(__xludf.DUMMYFUNCTION("IMPORTRANGE(""https://docs.google.com/spreadsheets/d/""&amp;$A315&amp;""/edit#gid=156619080"",R$3)"),"#REF!")</f>
        <v>#REF!</v>
      </c>
      <c r="S315" s="2" t="str">
        <f>IFERROR(__xludf.DUMMYFUNCTION("IMPORTRANGE(""https://docs.google.com/spreadsheets/d/""&amp;$A315&amp;""/edit#gid=156619080"",S$3)"),"#REF!")</f>
        <v>#REF!</v>
      </c>
      <c r="T315" s="2" t="str">
        <f>IFERROR(__xludf.DUMMYFUNCTION("IMPORTRANGE(""https://docs.google.com/spreadsheets/d/""&amp;$A315&amp;""/edit#gid=156619080"",T$3)"),"#REF!")</f>
        <v>#REF!</v>
      </c>
      <c r="U315" s="2" t="str">
        <f>IFERROR(__xludf.DUMMYFUNCTION("IMPORTRANGE(""https://docs.google.com/spreadsheets/d/""&amp;$A315&amp;""/edit#gid=156619080"",U$3)"),"#REF!")</f>
        <v>#REF!</v>
      </c>
      <c r="V315" s="2" t="str">
        <f>IFERROR(__xludf.DUMMYFUNCTION("IMPORTRANGE(""https://docs.google.com/spreadsheets/d/""&amp;$A315&amp;""/edit#gid=156619080"",V$3)"),"#REF!")</f>
        <v>#REF!</v>
      </c>
      <c r="W315" s="2" t="str">
        <f>IFERROR(__xludf.DUMMYFUNCTION("IMPORTRANGE(""https://docs.google.com/spreadsheets/d/""&amp;$A315&amp;""/edit#gid=156619080"",W$3)"),"#REF!")</f>
        <v>#REF!</v>
      </c>
      <c r="X315" s="2" t="str">
        <f>IFERROR(__xludf.DUMMYFUNCTION("IMPORTRANGE(""https://docs.google.com/spreadsheets/d/""&amp;$A315&amp;""/edit#gid=156619080"",X$3)"),"#REF!")</f>
        <v>#REF!</v>
      </c>
      <c r="Y315" s="2" t="str">
        <f>IFERROR(__xludf.DUMMYFUNCTION("IMPORTRANGE(""https://docs.google.com/spreadsheets/d/""&amp;$A315&amp;""/edit#gid=156619080"",Y$3)"),"#REF!")</f>
        <v>#REF!</v>
      </c>
      <c r="Z315" s="2" t="str">
        <f>IFERROR(__xludf.DUMMYFUNCTION("IMPORTRANGE(""https://docs.google.com/spreadsheets/d/""&amp;$A315&amp;""/edit#gid=156619080"",Z$3)"),"#REF!")</f>
        <v>#REF!</v>
      </c>
      <c r="AA315" s="2" t="str">
        <f>IFERROR(__xludf.DUMMYFUNCTION("IMPORTRANGE(""https://docs.google.com/spreadsheets/d/""&amp;$A315&amp;""/edit#gid=156619080"",AA$3)"),"#REF!")</f>
        <v>#REF!</v>
      </c>
      <c r="AB315" s="2" t="str">
        <f>IFERROR(__xludf.DUMMYFUNCTION("IMPORTRANGE(""https://docs.google.com/spreadsheets/d/""&amp;$A315&amp;""/edit#gid=156619080"",AB$3)"),"#REF!")</f>
        <v>#REF!</v>
      </c>
      <c r="AC315" s="2" t="str">
        <f>IFERROR(__xludf.DUMMYFUNCTION("IMPORTRANGE(""https://docs.google.com/spreadsheets/d/""&amp;$A315&amp;""/edit#gid=156619080"",AC$3)"),"#REF!")</f>
        <v>#REF!</v>
      </c>
      <c r="AD315" s="2" t="str">
        <f>IFERROR(__xludf.DUMMYFUNCTION("IMPORTRANGE(""https://docs.google.com/spreadsheets/d/""&amp;$A315&amp;""/edit#gid=156619080"",AD$3)"),"#REF!")</f>
        <v>#REF!</v>
      </c>
      <c r="AE315" s="2" t="str">
        <f>IFERROR(__xludf.DUMMYFUNCTION("IMPORTRANGE(""https://docs.google.com/spreadsheets/d/""&amp;$A315&amp;""/edit#gid=156619080"",AE$3)"),"#REF!")</f>
        <v>#REF!</v>
      </c>
      <c r="AF315" s="2" t="str">
        <f>IFERROR(__xludf.DUMMYFUNCTION("IMPORTRANGE(""https://docs.google.com/spreadsheets/d/""&amp;$A315&amp;""/edit#gid=156619080"",AF$3)"),"#REF!")</f>
        <v>#REF!</v>
      </c>
      <c r="AG315" s="2" t="str">
        <f>IFERROR(__xludf.DUMMYFUNCTION("IMPORTRANGE(""https://docs.google.com/spreadsheets/d/""&amp;$A315&amp;""/edit#gid=156619080"",AG$3)"),"#REF!")</f>
        <v>#REF!</v>
      </c>
      <c r="AH315" s="2" t="str">
        <f>IFERROR(__xludf.DUMMYFUNCTION("IMPORTRANGE(""https://docs.google.com/spreadsheets/d/""&amp;$A315&amp;""/edit#gid=156619080"",AH$3)"),"#REF!")</f>
        <v>#REF!</v>
      </c>
      <c r="AI315" s="2" t="str">
        <f>IFERROR(__xludf.DUMMYFUNCTION("IMPORTRANGE(""https://docs.google.com/spreadsheets/d/""&amp;$A315&amp;""/edit#gid=156619080"",AI$3)"),"#REF!")</f>
        <v>#REF!</v>
      </c>
      <c r="AJ315" s="2" t="str">
        <f>IFERROR(__xludf.DUMMYFUNCTION("IMPORTRANGE(""https://docs.google.com/spreadsheets/d/""&amp;$A315&amp;""/edit#gid=156619080"",AJ$3)"),"#REF!")</f>
        <v>#REF!</v>
      </c>
      <c r="AK315" s="2" t="str">
        <f>IFERROR(__xludf.DUMMYFUNCTION("IMPORTRANGE(""https://docs.google.com/spreadsheets/d/""&amp;$A315&amp;""/edit#gid=156619080"",AK$3)"),"#REF!")</f>
        <v>#REF!</v>
      </c>
      <c r="AL315" s="2" t="str">
        <f>IFERROR(__xludf.DUMMYFUNCTION("IMPORTRANGE(""https://docs.google.com/spreadsheets/d/""&amp;$A315&amp;""/edit#gid=156619080"",AL$3)"),"#REF!")</f>
        <v>#REF!</v>
      </c>
      <c r="AM315" s="2" t="str">
        <f>IFERROR(__xludf.DUMMYFUNCTION("IMPORTRANGE(""https://docs.google.com/spreadsheets/d/""&amp;$A315&amp;""/edit#gid=156619080"",AM$3)"),"#REF!")</f>
        <v>#REF!</v>
      </c>
      <c r="AN315" s="2" t="str">
        <f>IFERROR(__xludf.DUMMYFUNCTION("IMPORTRANGE(""https://docs.google.com/spreadsheets/d/""&amp;$A315&amp;""/edit#gid=156619080"",AN$3)"),"#REF!")</f>
        <v>#REF!</v>
      </c>
      <c r="AO315" s="2" t="str">
        <f>IFERROR(__xludf.DUMMYFUNCTION("IMPORTRANGE(""https://docs.google.com/spreadsheets/d/""&amp;$A315&amp;""/edit#gid=156619080"",AO$3)"),"#REF!")</f>
        <v>#REF!</v>
      </c>
      <c r="AP315" s="2" t="str">
        <f>IFERROR(__xludf.DUMMYFUNCTION("IMPORTRANGE(""https://docs.google.com/spreadsheets/d/""&amp;$A315&amp;""/edit#gid=156619080"",AP$3)"),"#REF!")</f>
        <v>#REF!</v>
      </c>
      <c r="AQ315" s="2" t="str">
        <f>IFERROR(__xludf.DUMMYFUNCTION("IMPORTRANGE(""https://docs.google.com/spreadsheets/d/""&amp;$A315&amp;""/edit#gid=156619080"",AQ$3)"),"#REF!")</f>
        <v>#REF!</v>
      </c>
      <c r="AR315" s="2" t="str">
        <f>IFERROR(__xludf.DUMMYFUNCTION("IMPORTRANGE(""https://docs.google.com/spreadsheets/d/""&amp;$A315&amp;""/edit#gid=156619080"",AR$3)"),"#REF!")</f>
        <v>#REF!</v>
      </c>
      <c r="AS315" s="19" t="str">
        <f>IFERROR(__xludf.DUMMYFUNCTION("IMPORTRANGE(""https://docs.google.com/spreadsheets/d/""&amp;$A315&amp;""/edit#gid=156619080"",AS$3)"),"#REF!")</f>
        <v>#REF!</v>
      </c>
      <c r="AT315" s="2" t="str">
        <f>IFERROR(__xludf.DUMMYFUNCTION("IMPORTRANGE(""https://docs.google.com/spreadsheets/d/""&amp;$A315&amp;""/edit#gid=156619080"",AT$3)"),"#REF!")</f>
        <v>#REF!</v>
      </c>
      <c r="AU315" s="3" t="str">
        <f>IFERROR(__xludf.DUMMYFUNCTION("IMPORTRANGE(""https://docs.google.com/spreadsheets/d/""&amp;$A315&amp;""/edit#gid=156619080"",AU$3)"),"#REF!")</f>
        <v>#REF!</v>
      </c>
      <c r="AV315" s="2" t="str">
        <f>IFERROR(__xludf.DUMMYFUNCTION("IMPORTRANGE(""https://docs.google.com/spreadsheets/d/""&amp;$A315&amp;""/edit#gid=156619080"",AV$3)"),"#REF!")</f>
        <v>#REF!</v>
      </c>
      <c r="AW315" s="19" t="str">
        <f>IFERROR(__xludf.DUMMYFUNCTION("IMPORTRANGE(""https://docs.google.com/spreadsheets/d/""&amp;$A315&amp;""/edit#gid=156619080"",AW$3)"),"#REF!")</f>
        <v>#REF!</v>
      </c>
      <c r="AX315" s="2" t="str">
        <f>IFERROR(__xludf.DUMMYFUNCTION("IMPORTRANGE(""https://docs.google.com/spreadsheets/d/""&amp;$A315&amp;""/edit#gid=156619080"",AX$3)"),"#REF!")</f>
        <v>#REF!</v>
      </c>
      <c r="AY315" s="2" t="str">
        <f>IFERROR(__xludf.DUMMYFUNCTION("IMPORTRANGE(""https://docs.google.com/spreadsheets/d/""&amp;$A315&amp;""/edit#gid=156619080"",AY$3)"),"#REF!")</f>
        <v>#REF!</v>
      </c>
      <c r="AZ315" s="2" t="str">
        <f>IFERROR(__xludf.DUMMYFUNCTION("IMPORTRANGE(""https://docs.google.com/spreadsheets/d/""&amp;$A315&amp;""/edit#gid=156619080"",AZ$3)"),"#REF!")</f>
        <v>#REF!</v>
      </c>
      <c r="BA315" s="2" t="str">
        <f>IFERROR(__xludf.DUMMYFUNCTION("IMPORTRANGE(""https://docs.google.com/spreadsheets/d/""&amp;$A315&amp;""/edit#gid=156619080"",BA$3)"),"#REF!")</f>
        <v>#REF!</v>
      </c>
      <c r="BB315" s="2" t="str">
        <f>IFERROR(__xludf.DUMMYFUNCTION("IMPORTRANGE(""https://docs.google.com/spreadsheets/d/""&amp;$A315&amp;""/edit#gid=156619080"",BB$3)"),"#REF!")</f>
        <v>#REF!</v>
      </c>
      <c r="BC315" s="2" t="str">
        <f>IFERROR(__xludf.DUMMYFUNCTION("IMPORTRANGE(""https://docs.google.com/spreadsheets/d/""&amp;$A315&amp;""/edit#gid=156619080"",BC$3)"),"#REF!")</f>
        <v>#REF!</v>
      </c>
    </row>
    <row r="316" ht="51.0" customHeight="1">
      <c r="A316" s="7" t="str">
        <f t="shared" si="5"/>
        <v>1oWwATKoeYcS33H7gekFYNnmILrbXeHE8JmU_22yjqqo</v>
      </c>
      <c r="B316" s="1" t="s">
        <v>343</v>
      </c>
      <c r="C316" s="2" t="str">
        <f>IFERROR(__xludf.DUMMYFUNCTION("IMPORTRANGE(""https://docs.google.com/spreadsheets/d/""&amp;$A316&amp;""/edit#gid=156619080"",C$3)"),"#REF!")</f>
        <v>#REF!</v>
      </c>
      <c r="D316" s="2" t="str">
        <f>IFERROR(__xludf.DUMMYFUNCTION("IMPORTRANGE(""https://docs.google.com/spreadsheets/d/""&amp;$A316&amp;""/edit#gid=156619080"",D$3)"),"#REF!")</f>
        <v>#REF!</v>
      </c>
      <c r="E316" s="2" t="str">
        <f>IFERROR(__xludf.DUMMYFUNCTION("IMPORTRANGE(""https://docs.google.com/spreadsheets/d/""&amp;$A316&amp;""/edit#gid=156619080"",E$3)"),"#REF!")</f>
        <v>#REF!</v>
      </c>
      <c r="F316" s="2" t="str">
        <f>IFERROR(__xludf.DUMMYFUNCTION("IMPORTRANGE(""https://docs.google.com/spreadsheets/d/""&amp;$A316&amp;""/edit#gid=156619080"",F$3)"),"#REF!")</f>
        <v>#REF!</v>
      </c>
      <c r="G316" s="2" t="str">
        <f>IFERROR(__xludf.DUMMYFUNCTION("IMPORTRANGE(""https://docs.google.com/spreadsheets/d/""&amp;$A316&amp;""/edit#gid=156619080"",G$3)"),"#REF!")</f>
        <v>#REF!</v>
      </c>
      <c r="H316" s="2" t="str">
        <f>IFERROR(__xludf.DUMMYFUNCTION("IMPORTRANGE(""https://docs.google.com/spreadsheets/d/""&amp;$A316&amp;""/edit#gid=156619080"",H$3)"),"#REF!")</f>
        <v>#REF!</v>
      </c>
      <c r="I316" s="2" t="str">
        <f>IFERROR(__xludf.DUMMYFUNCTION("IMPORTRANGE(""https://docs.google.com/spreadsheets/d/""&amp;$A316&amp;""/edit#gid=156619080"",I$3)"),"#REF!")</f>
        <v>#REF!</v>
      </c>
      <c r="J316" s="2" t="str">
        <f>IFERROR(__xludf.DUMMYFUNCTION("IMPORTRANGE(""https://docs.google.com/spreadsheets/d/""&amp;$A316&amp;""/edit#gid=156619080"",J$3)"),"#REF!")</f>
        <v>#REF!</v>
      </c>
      <c r="K316" s="2" t="str">
        <f>IFERROR(__xludf.DUMMYFUNCTION("IMPORTRANGE(""https://docs.google.com/spreadsheets/d/""&amp;$A316&amp;""/edit#gid=156619080"",K$3)"),"#REF!")</f>
        <v>#REF!</v>
      </c>
      <c r="L316" s="2" t="str">
        <f>IFERROR(__xludf.DUMMYFUNCTION("IMPORTRANGE(""https://docs.google.com/spreadsheets/d/""&amp;$A316&amp;""/edit#gid=156619080"",L$3)"),"#REF!")</f>
        <v>#REF!</v>
      </c>
      <c r="M316" s="2" t="str">
        <f>IFERROR(__xludf.DUMMYFUNCTION("IMPORTRANGE(""https://docs.google.com/spreadsheets/d/""&amp;$A316&amp;""/edit#gid=156619080"",M$3)"),"#REF!")</f>
        <v>#REF!</v>
      </c>
      <c r="N316" s="2" t="str">
        <f>IFERROR(__xludf.DUMMYFUNCTION("IMPORTRANGE(""https://docs.google.com/spreadsheets/d/""&amp;$A316&amp;""/edit#gid=156619080"",N$3)"),"#REF!")</f>
        <v>#REF!</v>
      </c>
      <c r="O316" s="2" t="str">
        <f>IFERROR(__xludf.DUMMYFUNCTION("IMPORTRANGE(""https://docs.google.com/spreadsheets/d/""&amp;$A316&amp;""/edit#gid=156619080"",O$3)"),"#REF!")</f>
        <v>#REF!</v>
      </c>
      <c r="P316" s="2" t="str">
        <f>IFERROR(__xludf.DUMMYFUNCTION("IMPORTRANGE(""https://docs.google.com/spreadsheets/d/""&amp;$A316&amp;""/edit#gid=156619080"",P$3)"),"#REF!")</f>
        <v>#REF!</v>
      </c>
      <c r="Q316" s="2" t="str">
        <f>IFERROR(__xludf.DUMMYFUNCTION("IMPORTRANGE(""https://docs.google.com/spreadsheets/d/""&amp;$A316&amp;""/edit#gid=156619080"",Q$3)"),"#REF!")</f>
        <v>#REF!</v>
      </c>
      <c r="R316" s="2" t="str">
        <f>IFERROR(__xludf.DUMMYFUNCTION("IMPORTRANGE(""https://docs.google.com/spreadsheets/d/""&amp;$A316&amp;""/edit#gid=156619080"",R$3)"),"#REF!")</f>
        <v>#REF!</v>
      </c>
      <c r="S316" s="2" t="str">
        <f>IFERROR(__xludf.DUMMYFUNCTION("IMPORTRANGE(""https://docs.google.com/spreadsheets/d/""&amp;$A316&amp;""/edit#gid=156619080"",S$3)"),"#REF!")</f>
        <v>#REF!</v>
      </c>
      <c r="T316" s="2" t="str">
        <f>IFERROR(__xludf.DUMMYFUNCTION("IMPORTRANGE(""https://docs.google.com/spreadsheets/d/""&amp;$A316&amp;""/edit#gid=156619080"",T$3)"),"#REF!")</f>
        <v>#REF!</v>
      </c>
      <c r="U316" s="2" t="str">
        <f>IFERROR(__xludf.DUMMYFUNCTION("IMPORTRANGE(""https://docs.google.com/spreadsheets/d/""&amp;$A316&amp;""/edit#gid=156619080"",U$3)"),"#REF!")</f>
        <v>#REF!</v>
      </c>
      <c r="V316" s="2" t="str">
        <f>IFERROR(__xludf.DUMMYFUNCTION("IMPORTRANGE(""https://docs.google.com/spreadsheets/d/""&amp;$A316&amp;""/edit#gid=156619080"",V$3)"),"#REF!")</f>
        <v>#REF!</v>
      </c>
      <c r="W316" s="2" t="str">
        <f>IFERROR(__xludf.DUMMYFUNCTION("IMPORTRANGE(""https://docs.google.com/spreadsheets/d/""&amp;$A316&amp;""/edit#gid=156619080"",W$3)"),"#REF!")</f>
        <v>#REF!</v>
      </c>
      <c r="X316" s="2" t="str">
        <f>IFERROR(__xludf.DUMMYFUNCTION("IMPORTRANGE(""https://docs.google.com/spreadsheets/d/""&amp;$A316&amp;""/edit#gid=156619080"",X$3)"),"#REF!")</f>
        <v>#REF!</v>
      </c>
      <c r="Y316" s="2" t="str">
        <f>IFERROR(__xludf.DUMMYFUNCTION("IMPORTRANGE(""https://docs.google.com/spreadsheets/d/""&amp;$A316&amp;""/edit#gid=156619080"",Y$3)"),"#REF!")</f>
        <v>#REF!</v>
      </c>
      <c r="Z316" s="2" t="str">
        <f>IFERROR(__xludf.DUMMYFUNCTION("IMPORTRANGE(""https://docs.google.com/spreadsheets/d/""&amp;$A316&amp;""/edit#gid=156619080"",Z$3)"),"#REF!")</f>
        <v>#REF!</v>
      </c>
      <c r="AA316" s="2" t="str">
        <f>IFERROR(__xludf.DUMMYFUNCTION("IMPORTRANGE(""https://docs.google.com/spreadsheets/d/""&amp;$A316&amp;""/edit#gid=156619080"",AA$3)"),"#REF!")</f>
        <v>#REF!</v>
      </c>
      <c r="AB316" s="2" t="str">
        <f>IFERROR(__xludf.DUMMYFUNCTION("IMPORTRANGE(""https://docs.google.com/spreadsheets/d/""&amp;$A316&amp;""/edit#gid=156619080"",AB$3)"),"#REF!")</f>
        <v>#REF!</v>
      </c>
      <c r="AC316" s="2" t="str">
        <f>IFERROR(__xludf.DUMMYFUNCTION("IMPORTRANGE(""https://docs.google.com/spreadsheets/d/""&amp;$A316&amp;""/edit#gid=156619080"",AC$3)"),"#REF!")</f>
        <v>#REF!</v>
      </c>
      <c r="AD316" s="2" t="str">
        <f>IFERROR(__xludf.DUMMYFUNCTION("IMPORTRANGE(""https://docs.google.com/spreadsheets/d/""&amp;$A316&amp;""/edit#gid=156619080"",AD$3)"),"#REF!")</f>
        <v>#REF!</v>
      </c>
      <c r="AE316" s="2" t="str">
        <f>IFERROR(__xludf.DUMMYFUNCTION("IMPORTRANGE(""https://docs.google.com/spreadsheets/d/""&amp;$A316&amp;""/edit#gid=156619080"",AE$3)"),"#REF!")</f>
        <v>#REF!</v>
      </c>
      <c r="AF316" s="2" t="str">
        <f>IFERROR(__xludf.DUMMYFUNCTION("IMPORTRANGE(""https://docs.google.com/spreadsheets/d/""&amp;$A316&amp;""/edit#gid=156619080"",AF$3)"),"#REF!")</f>
        <v>#REF!</v>
      </c>
      <c r="AG316" s="2" t="str">
        <f>IFERROR(__xludf.DUMMYFUNCTION("IMPORTRANGE(""https://docs.google.com/spreadsheets/d/""&amp;$A316&amp;""/edit#gid=156619080"",AG$3)"),"#REF!")</f>
        <v>#REF!</v>
      </c>
      <c r="AH316" s="2" t="str">
        <f>IFERROR(__xludf.DUMMYFUNCTION("IMPORTRANGE(""https://docs.google.com/spreadsheets/d/""&amp;$A316&amp;""/edit#gid=156619080"",AH$3)"),"#REF!")</f>
        <v>#REF!</v>
      </c>
      <c r="AI316" s="2" t="str">
        <f>IFERROR(__xludf.DUMMYFUNCTION("IMPORTRANGE(""https://docs.google.com/spreadsheets/d/""&amp;$A316&amp;""/edit#gid=156619080"",AI$3)"),"#REF!")</f>
        <v>#REF!</v>
      </c>
      <c r="AJ316" s="2" t="str">
        <f>IFERROR(__xludf.DUMMYFUNCTION("IMPORTRANGE(""https://docs.google.com/spreadsheets/d/""&amp;$A316&amp;""/edit#gid=156619080"",AJ$3)"),"#REF!")</f>
        <v>#REF!</v>
      </c>
      <c r="AK316" s="2" t="str">
        <f>IFERROR(__xludf.DUMMYFUNCTION("IMPORTRANGE(""https://docs.google.com/spreadsheets/d/""&amp;$A316&amp;""/edit#gid=156619080"",AK$3)"),"#REF!")</f>
        <v>#REF!</v>
      </c>
      <c r="AL316" s="2" t="str">
        <f>IFERROR(__xludf.DUMMYFUNCTION("IMPORTRANGE(""https://docs.google.com/spreadsheets/d/""&amp;$A316&amp;""/edit#gid=156619080"",AL$3)"),"#REF!")</f>
        <v>#REF!</v>
      </c>
      <c r="AM316" s="2" t="str">
        <f>IFERROR(__xludf.DUMMYFUNCTION("IMPORTRANGE(""https://docs.google.com/spreadsheets/d/""&amp;$A316&amp;""/edit#gid=156619080"",AM$3)"),"#REF!")</f>
        <v>#REF!</v>
      </c>
      <c r="AN316" s="2" t="str">
        <f>IFERROR(__xludf.DUMMYFUNCTION("IMPORTRANGE(""https://docs.google.com/spreadsheets/d/""&amp;$A316&amp;""/edit#gid=156619080"",AN$3)"),"#REF!")</f>
        <v>#REF!</v>
      </c>
      <c r="AO316" s="2" t="str">
        <f>IFERROR(__xludf.DUMMYFUNCTION("IMPORTRANGE(""https://docs.google.com/spreadsheets/d/""&amp;$A316&amp;""/edit#gid=156619080"",AO$3)"),"#REF!")</f>
        <v>#REF!</v>
      </c>
      <c r="AP316" s="2" t="str">
        <f>IFERROR(__xludf.DUMMYFUNCTION("IMPORTRANGE(""https://docs.google.com/spreadsheets/d/""&amp;$A316&amp;""/edit#gid=156619080"",AP$3)"),"#REF!")</f>
        <v>#REF!</v>
      </c>
      <c r="AQ316" s="2" t="str">
        <f>IFERROR(__xludf.DUMMYFUNCTION("IMPORTRANGE(""https://docs.google.com/spreadsheets/d/""&amp;$A316&amp;""/edit#gid=156619080"",AQ$3)"),"#REF!")</f>
        <v>#REF!</v>
      </c>
      <c r="AR316" s="2" t="str">
        <f>IFERROR(__xludf.DUMMYFUNCTION("IMPORTRANGE(""https://docs.google.com/spreadsheets/d/""&amp;$A316&amp;""/edit#gid=156619080"",AR$3)"),"#REF!")</f>
        <v>#REF!</v>
      </c>
      <c r="AS316" s="19" t="str">
        <f>IFERROR(__xludf.DUMMYFUNCTION("IMPORTRANGE(""https://docs.google.com/spreadsheets/d/""&amp;$A316&amp;""/edit#gid=156619080"",AS$3)"),"#REF!")</f>
        <v>#REF!</v>
      </c>
      <c r="AT316" s="2" t="str">
        <f>IFERROR(__xludf.DUMMYFUNCTION("IMPORTRANGE(""https://docs.google.com/spreadsheets/d/""&amp;$A316&amp;""/edit#gid=156619080"",AT$3)"),"#REF!")</f>
        <v>#REF!</v>
      </c>
      <c r="AU316" s="3" t="str">
        <f>IFERROR(__xludf.DUMMYFUNCTION("IMPORTRANGE(""https://docs.google.com/spreadsheets/d/""&amp;$A316&amp;""/edit#gid=156619080"",AU$3)"),"#REF!")</f>
        <v>#REF!</v>
      </c>
      <c r="AV316" s="2" t="str">
        <f>IFERROR(__xludf.DUMMYFUNCTION("IMPORTRANGE(""https://docs.google.com/spreadsheets/d/""&amp;$A316&amp;""/edit#gid=156619080"",AV$3)"),"#REF!")</f>
        <v>#REF!</v>
      </c>
      <c r="AW316" s="19" t="str">
        <f>IFERROR(__xludf.DUMMYFUNCTION("IMPORTRANGE(""https://docs.google.com/spreadsheets/d/""&amp;$A316&amp;""/edit#gid=156619080"",AW$3)"),"#REF!")</f>
        <v>#REF!</v>
      </c>
      <c r="AX316" s="2" t="str">
        <f>IFERROR(__xludf.DUMMYFUNCTION("IMPORTRANGE(""https://docs.google.com/spreadsheets/d/""&amp;$A316&amp;""/edit#gid=156619080"",AX$3)"),"#REF!")</f>
        <v>#REF!</v>
      </c>
      <c r="AY316" s="2" t="str">
        <f>IFERROR(__xludf.DUMMYFUNCTION("IMPORTRANGE(""https://docs.google.com/spreadsheets/d/""&amp;$A316&amp;""/edit#gid=156619080"",AY$3)"),"#REF!")</f>
        <v>#REF!</v>
      </c>
      <c r="AZ316" s="2" t="str">
        <f>IFERROR(__xludf.DUMMYFUNCTION("IMPORTRANGE(""https://docs.google.com/spreadsheets/d/""&amp;$A316&amp;""/edit#gid=156619080"",AZ$3)"),"#REF!")</f>
        <v>#REF!</v>
      </c>
      <c r="BA316" s="2" t="str">
        <f>IFERROR(__xludf.DUMMYFUNCTION("IMPORTRANGE(""https://docs.google.com/spreadsheets/d/""&amp;$A316&amp;""/edit#gid=156619080"",BA$3)"),"#REF!")</f>
        <v>#REF!</v>
      </c>
      <c r="BB316" s="2" t="str">
        <f>IFERROR(__xludf.DUMMYFUNCTION("IMPORTRANGE(""https://docs.google.com/spreadsheets/d/""&amp;$A316&amp;""/edit#gid=156619080"",BB$3)"),"#REF!")</f>
        <v>#REF!</v>
      </c>
      <c r="BC316" s="2" t="str">
        <f>IFERROR(__xludf.DUMMYFUNCTION("IMPORTRANGE(""https://docs.google.com/spreadsheets/d/""&amp;$A316&amp;""/edit#gid=156619080"",BC$3)"),"#REF!")</f>
        <v>#REF!</v>
      </c>
    </row>
    <row r="317" ht="51.0" customHeight="1">
      <c r="A317" s="7" t="str">
        <f t="shared" si="5"/>
        <v>1lTK9ohn2MjJu9tIJFTEgN5cWPWIP5wdIFWLw1J5fFA8</v>
      </c>
      <c r="B317" s="1" t="s">
        <v>344</v>
      </c>
      <c r="C317" s="2" t="str">
        <f>IFERROR(__xludf.DUMMYFUNCTION("IMPORTRANGE(""https://docs.google.com/spreadsheets/d/""&amp;$A317&amp;""/edit#gid=156619080"",C$3)"),"#REF!")</f>
        <v>#REF!</v>
      </c>
      <c r="D317" s="2" t="str">
        <f>IFERROR(__xludf.DUMMYFUNCTION("IMPORTRANGE(""https://docs.google.com/spreadsheets/d/""&amp;$A317&amp;""/edit#gid=156619080"",D$3)"),"#REF!")</f>
        <v>#REF!</v>
      </c>
      <c r="E317" s="2" t="str">
        <f>IFERROR(__xludf.DUMMYFUNCTION("IMPORTRANGE(""https://docs.google.com/spreadsheets/d/""&amp;$A317&amp;""/edit#gid=156619080"",E$3)"),"#REF!")</f>
        <v>#REF!</v>
      </c>
      <c r="F317" s="2" t="str">
        <f>IFERROR(__xludf.DUMMYFUNCTION("IMPORTRANGE(""https://docs.google.com/spreadsheets/d/""&amp;$A317&amp;""/edit#gid=156619080"",F$3)"),"#REF!")</f>
        <v>#REF!</v>
      </c>
      <c r="G317" s="2" t="str">
        <f>IFERROR(__xludf.DUMMYFUNCTION("IMPORTRANGE(""https://docs.google.com/spreadsheets/d/""&amp;$A317&amp;""/edit#gid=156619080"",G$3)"),"#REF!")</f>
        <v>#REF!</v>
      </c>
      <c r="H317" s="2" t="str">
        <f>IFERROR(__xludf.DUMMYFUNCTION("IMPORTRANGE(""https://docs.google.com/spreadsheets/d/""&amp;$A317&amp;""/edit#gid=156619080"",H$3)"),"#REF!")</f>
        <v>#REF!</v>
      </c>
      <c r="I317" s="2" t="str">
        <f>IFERROR(__xludf.DUMMYFUNCTION("IMPORTRANGE(""https://docs.google.com/spreadsheets/d/""&amp;$A317&amp;""/edit#gid=156619080"",I$3)"),"#REF!")</f>
        <v>#REF!</v>
      </c>
      <c r="J317" s="2" t="str">
        <f>IFERROR(__xludf.DUMMYFUNCTION("IMPORTRANGE(""https://docs.google.com/spreadsheets/d/""&amp;$A317&amp;""/edit#gid=156619080"",J$3)"),"#REF!")</f>
        <v>#REF!</v>
      </c>
      <c r="K317" s="2" t="str">
        <f>IFERROR(__xludf.DUMMYFUNCTION("IMPORTRANGE(""https://docs.google.com/spreadsheets/d/""&amp;$A317&amp;""/edit#gid=156619080"",K$3)"),"#REF!")</f>
        <v>#REF!</v>
      </c>
      <c r="L317" s="2" t="str">
        <f>IFERROR(__xludf.DUMMYFUNCTION("IMPORTRANGE(""https://docs.google.com/spreadsheets/d/""&amp;$A317&amp;""/edit#gid=156619080"",L$3)"),"#REF!")</f>
        <v>#REF!</v>
      </c>
      <c r="M317" s="2" t="str">
        <f>IFERROR(__xludf.DUMMYFUNCTION("IMPORTRANGE(""https://docs.google.com/spreadsheets/d/""&amp;$A317&amp;""/edit#gid=156619080"",M$3)"),"#REF!")</f>
        <v>#REF!</v>
      </c>
      <c r="N317" s="2" t="str">
        <f>IFERROR(__xludf.DUMMYFUNCTION("IMPORTRANGE(""https://docs.google.com/spreadsheets/d/""&amp;$A317&amp;""/edit#gid=156619080"",N$3)"),"#REF!")</f>
        <v>#REF!</v>
      </c>
      <c r="O317" s="2" t="str">
        <f>IFERROR(__xludf.DUMMYFUNCTION("IMPORTRANGE(""https://docs.google.com/spreadsheets/d/""&amp;$A317&amp;""/edit#gid=156619080"",O$3)"),"#REF!")</f>
        <v>#REF!</v>
      </c>
      <c r="P317" s="2" t="str">
        <f>IFERROR(__xludf.DUMMYFUNCTION("IMPORTRANGE(""https://docs.google.com/spreadsheets/d/""&amp;$A317&amp;""/edit#gid=156619080"",P$3)"),"#REF!")</f>
        <v>#REF!</v>
      </c>
      <c r="Q317" s="2" t="str">
        <f>IFERROR(__xludf.DUMMYFUNCTION("IMPORTRANGE(""https://docs.google.com/spreadsheets/d/""&amp;$A317&amp;""/edit#gid=156619080"",Q$3)"),"#REF!")</f>
        <v>#REF!</v>
      </c>
      <c r="R317" s="2" t="str">
        <f>IFERROR(__xludf.DUMMYFUNCTION("IMPORTRANGE(""https://docs.google.com/spreadsheets/d/""&amp;$A317&amp;""/edit#gid=156619080"",R$3)"),"#REF!")</f>
        <v>#REF!</v>
      </c>
      <c r="S317" s="2" t="str">
        <f>IFERROR(__xludf.DUMMYFUNCTION("IMPORTRANGE(""https://docs.google.com/spreadsheets/d/""&amp;$A317&amp;""/edit#gid=156619080"",S$3)"),"#REF!")</f>
        <v>#REF!</v>
      </c>
      <c r="T317" s="2" t="str">
        <f>IFERROR(__xludf.DUMMYFUNCTION("IMPORTRANGE(""https://docs.google.com/spreadsheets/d/""&amp;$A317&amp;""/edit#gid=156619080"",T$3)"),"#REF!")</f>
        <v>#REF!</v>
      </c>
      <c r="U317" s="2" t="str">
        <f>IFERROR(__xludf.DUMMYFUNCTION("IMPORTRANGE(""https://docs.google.com/spreadsheets/d/""&amp;$A317&amp;""/edit#gid=156619080"",U$3)"),"#REF!")</f>
        <v>#REF!</v>
      </c>
      <c r="V317" s="2" t="str">
        <f>IFERROR(__xludf.DUMMYFUNCTION("IMPORTRANGE(""https://docs.google.com/spreadsheets/d/""&amp;$A317&amp;""/edit#gid=156619080"",V$3)"),"#REF!")</f>
        <v>#REF!</v>
      </c>
      <c r="W317" s="2" t="str">
        <f>IFERROR(__xludf.DUMMYFUNCTION("IMPORTRANGE(""https://docs.google.com/spreadsheets/d/""&amp;$A317&amp;""/edit#gid=156619080"",W$3)"),"#REF!")</f>
        <v>#REF!</v>
      </c>
      <c r="X317" s="2" t="str">
        <f>IFERROR(__xludf.DUMMYFUNCTION("IMPORTRANGE(""https://docs.google.com/spreadsheets/d/""&amp;$A317&amp;""/edit#gid=156619080"",X$3)"),"#REF!")</f>
        <v>#REF!</v>
      </c>
      <c r="Y317" s="2" t="str">
        <f>IFERROR(__xludf.DUMMYFUNCTION("IMPORTRANGE(""https://docs.google.com/spreadsheets/d/""&amp;$A317&amp;""/edit#gid=156619080"",Y$3)"),"#REF!")</f>
        <v>#REF!</v>
      </c>
      <c r="Z317" s="2" t="str">
        <f>IFERROR(__xludf.DUMMYFUNCTION("IMPORTRANGE(""https://docs.google.com/spreadsheets/d/""&amp;$A317&amp;""/edit#gid=156619080"",Z$3)"),"#REF!")</f>
        <v>#REF!</v>
      </c>
      <c r="AA317" s="2" t="str">
        <f>IFERROR(__xludf.DUMMYFUNCTION("IMPORTRANGE(""https://docs.google.com/spreadsheets/d/""&amp;$A317&amp;""/edit#gid=156619080"",AA$3)"),"#REF!")</f>
        <v>#REF!</v>
      </c>
      <c r="AB317" s="2" t="str">
        <f>IFERROR(__xludf.DUMMYFUNCTION("IMPORTRANGE(""https://docs.google.com/spreadsheets/d/""&amp;$A317&amp;""/edit#gid=156619080"",AB$3)"),"#REF!")</f>
        <v>#REF!</v>
      </c>
      <c r="AC317" s="2" t="str">
        <f>IFERROR(__xludf.DUMMYFUNCTION("IMPORTRANGE(""https://docs.google.com/spreadsheets/d/""&amp;$A317&amp;""/edit#gid=156619080"",AC$3)"),"#REF!")</f>
        <v>#REF!</v>
      </c>
      <c r="AD317" s="2" t="str">
        <f>IFERROR(__xludf.DUMMYFUNCTION("IMPORTRANGE(""https://docs.google.com/spreadsheets/d/""&amp;$A317&amp;""/edit#gid=156619080"",AD$3)"),"#REF!")</f>
        <v>#REF!</v>
      </c>
      <c r="AE317" s="2" t="str">
        <f>IFERROR(__xludf.DUMMYFUNCTION("IMPORTRANGE(""https://docs.google.com/spreadsheets/d/""&amp;$A317&amp;""/edit#gid=156619080"",AE$3)"),"#REF!")</f>
        <v>#REF!</v>
      </c>
      <c r="AF317" s="2" t="str">
        <f>IFERROR(__xludf.DUMMYFUNCTION("IMPORTRANGE(""https://docs.google.com/spreadsheets/d/""&amp;$A317&amp;""/edit#gid=156619080"",AF$3)"),"#REF!")</f>
        <v>#REF!</v>
      </c>
      <c r="AG317" s="2" t="str">
        <f>IFERROR(__xludf.DUMMYFUNCTION("IMPORTRANGE(""https://docs.google.com/spreadsheets/d/""&amp;$A317&amp;""/edit#gid=156619080"",AG$3)"),"#REF!")</f>
        <v>#REF!</v>
      </c>
      <c r="AH317" s="2" t="str">
        <f>IFERROR(__xludf.DUMMYFUNCTION("IMPORTRANGE(""https://docs.google.com/spreadsheets/d/""&amp;$A317&amp;""/edit#gid=156619080"",AH$3)"),"#REF!")</f>
        <v>#REF!</v>
      </c>
      <c r="AI317" s="2" t="str">
        <f>IFERROR(__xludf.DUMMYFUNCTION("IMPORTRANGE(""https://docs.google.com/spreadsheets/d/""&amp;$A317&amp;""/edit#gid=156619080"",AI$3)"),"#REF!")</f>
        <v>#REF!</v>
      </c>
      <c r="AJ317" s="2" t="str">
        <f>IFERROR(__xludf.DUMMYFUNCTION("IMPORTRANGE(""https://docs.google.com/spreadsheets/d/""&amp;$A317&amp;""/edit#gid=156619080"",AJ$3)"),"#REF!")</f>
        <v>#REF!</v>
      </c>
      <c r="AK317" s="2" t="str">
        <f>IFERROR(__xludf.DUMMYFUNCTION("IMPORTRANGE(""https://docs.google.com/spreadsheets/d/""&amp;$A317&amp;""/edit#gid=156619080"",AK$3)"),"#REF!")</f>
        <v>#REF!</v>
      </c>
      <c r="AL317" s="2" t="str">
        <f>IFERROR(__xludf.DUMMYFUNCTION("IMPORTRANGE(""https://docs.google.com/spreadsheets/d/""&amp;$A317&amp;""/edit#gid=156619080"",AL$3)"),"#REF!")</f>
        <v>#REF!</v>
      </c>
      <c r="AM317" s="2" t="str">
        <f>IFERROR(__xludf.DUMMYFUNCTION("IMPORTRANGE(""https://docs.google.com/spreadsheets/d/""&amp;$A317&amp;""/edit#gid=156619080"",AM$3)"),"#REF!")</f>
        <v>#REF!</v>
      </c>
      <c r="AN317" s="2" t="str">
        <f>IFERROR(__xludf.DUMMYFUNCTION("IMPORTRANGE(""https://docs.google.com/spreadsheets/d/""&amp;$A317&amp;""/edit#gid=156619080"",AN$3)"),"#REF!")</f>
        <v>#REF!</v>
      </c>
      <c r="AO317" s="2" t="str">
        <f>IFERROR(__xludf.DUMMYFUNCTION("IMPORTRANGE(""https://docs.google.com/spreadsheets/d/""&amp;$A317&amp;""/edit#gid=156619080"",AO$3)"),"#REF!")</f>
        <v>#REF!</v>
      </c>
      <c r="AP317" s="2" t="str">
        <f>IFERROR(__xludf.DUMMYFUNCTION("IMPORTRANGE(""https://docs.google.com/spreadsheets/d/""&amp;$A317&amp;""/edit#gid=156619080"",AP$3)"),"#REF!")</f>
        <v>#REF!</v>
      </c>
      <c r="AQ317" s="2" t="str">
        <f>IFERROR(__xludf.DUMMYFUNCTION("IMPORTRANGE(""https://docs.google.com/spreadsheets/d/""&amp;$A317&amp;""/edit#gid=156619080"",AQ$3)"),"#REF!")</f>
        <v>#REF!</v>
      </c>
      <c r="AR317" s="2" t="str">
        <f>IFERROR(__xludf.DUMMYFUNCTION("IMPORTRANGE(""https://docs.google.com/spreadsheets/d/""&amp;$A317&amp;""/edit#gid=156619080"",AR$3)"),"#REF!")</f>
        <v>#REF!</v>
      </c>
      <c r="AS317" s="19" t="str">
        <f>IFERROR(__xludf.DUMMYFUNCTION("IMPORTRANGE(""https://docs.google.com/spreadsheets/d/""&amp;$A317&amp;""/edit#gid=156619080"",AS$3)"),"#REF!")</f>
        <v>#REF!</v>
      </c>
      <c r="AT317" s="2" t="str">
        <f>IFERROR(__xludf.DUMMYFUNCTION("IMPORTRANGE(""https://docs.google.com/spreadsheets/d/""&amp;$A317&amp;""/edit#gid=156619080"",AT$3)"),"#REF!")</f>
        <v>#REF!</v>
      </c>
      <c r="AU317" s="3" t="str">
        <f>IFERROR(__xludf.DUMMYFUNCTION("IMPORTRANGE(""https://docs.google.com/spreadsheets/d/""&amp;$A317&amp;""/edit#gid=156619080"",AU$3)"),"#REF!")</f>
        <v>#REF!</v>
      </c>
      <c r="AV317" s="2" t="str">
        <f>IFERROR(__xludf.DUMMYFUNCTION("IMPORTRANGE(""https://docs.google.com/spreadsheets/d/""&amp;$A317&amp;""/edit#gid=156619080"",AV$3)"),"#REF!")</f>
        <v>#REF!</v>
      </c>
      <c r="AW317" s="19" t="str">
        <f>IFERROR(__xludf.DUMMYFUNCTION("IMPORTRANGE(""https://docs.google.com/spreadsheets/d/""&amp;$A317&amp;""/edit#gid=156619080"",AW$3)"),"#REF!")</f>
        <v>#REF!</v>
      </c>
      <c r="AX317" s="2" t="str">
        <f>IFERROR(__xludf.DUMMYFUNCTION("IMPORTRANGE(""https://docs.google.com/spreadsheets/d/""&amp;$A317&amp;""/edit#gid=156619080"",AX$3)"),"#REF!")</f>
        <v>#REF!</v>
      </c>
      <c r="AY317" s="2" t="str">
        <f>IFERROR(__xludf.DUMMYFUNCTION("IMPORTRANGE(""https://docs.google.com/spreadsheets/d/""&amp;$A317&amp;""/edit#gid=156619080"",AY$3)"),"#REF!")</f>
        <v>#REF!</v>
      </c>
      <c r="AZ317" s="2" t="str">
        <f>IFERROR(__xludf.DUMMYFUNCTION("IMPORTRANGE(""https://docs.google.com/spreadsheets/d/""&amp;$A317&amp;""/edit#gid=156619080"",AZ$3)"),"#REF!")</f>
        <v>#REF!</v>
      </c>
      <c r="BA317" s="2" t="str">
        <f>IFERROR(__xludf.DUMMYFUNCTION("IMPORTRANGE(""https://docs.google.com/spreadsheets/d/""&amp;$A317&amp;""/edit#gid=156619080"",BA$3)"),"#REF!")</f>
        <v>#REF!</v>
      </c>
      <c r="BB317" s="2" t="str">
        <f>IFERROR(__xludf.DUMMYFUNCTION("IMPORTRANGE(""https://docs.google.com/spreadsheets/d/""&amp;$A317&amp;""/edit#gid=156619080"",BB$3)"),"#REF!")</f>
        <v>#REF!</v>
      </c>
      <c r="BC317" s="2" t="str">
        <f>IFERROR(__xludf.DUMMYFUNCTION("IMPORTRANGE(""https://docs.google.com/spreadsheets/d/""&amp;$A317&amp;""/edit#gid=156619080"",BC$3)"),"#REF!")</f>
        <v>#REF!</v>
      </c>
    </row>
    <row r="318" ht="51.0" customHeight="1">
      <c r="A318" s="7" t="str">
        <f t="shared" si="5"/>
        <v>1b2SsO7ZQ11xJ0XmNs_iZ6IZipXDETlB8P5tejh7TXMA</v>
      </c>
      <c r="B318" s="1" t="s">
        <v>345</v>
      </c>
      <c r="C318" s="2" t="str">
        <f>IFERROR(__xludf.DUMMYFUNCTION("IMPORTRANGE(""https://docs.google.com/spreadsheets/d/""&amp;$A318&amp;""/edit#gid=156619080"",C$3)"),"#REF!")</f>
        <v>#REF!</v>
      </c>
      <c r="D318" s="2" t="str">
        <f>IFERROR(__xludf.DUMMYFUNCTION("IMPORTRANGE(""https://docs.google.com/spreadsheets/d/""&amp;$A318&amp;""/edit#gid=156619080"",D$3)"),"#REF!")</f>
        <v>#REF!</v>
      </c>
      <c r="E318" s="2" t="str">
        <f>IFERROR(__xludf.DUMMYFUNCTION("IMPORTRANGE(""https://docs.google.com/spreadsheets/d/""&amp;$A318&amp;""/edit#gid=156619080"",E$3)"),"#REF!")</f>
        <v>#REF!</v>
      </c>
      <c r="F318" s="2" t="str">
        <f>IFERROR(__xludf.DUMMYFUNCTION("IMPORTRANGE(""https://docs.google.com/spreadsheets/d/""&amp;$A318&amp;""/edit#gid=156619080"",F$3)"),"#REF!")</f>
        <v>#REF!</v>
      </c>
      <c r="G318" s="2" t="str">
        <f>IFERROR(__xludf.DUMMYFUNCTION("IMPORTRANGE(""https://docs.google.com/spreadsheets/d/""&amp;$A318&amp;""/edit#gid=156619080"",G$3)"),"#REF!")</f>
        <v>#REF!</v>
      </c>
      <c r="H318" s="2" t="str">
        <f>IFERROR(__xludf.DUMMYFUNCTION("IMPORTRANGE(""https://docs.google.com/spreadsheets/d/""&amp;$A318&amp;""/edit#gid=156619080"",H$3)"),"#REF!")</f>
        <v>#REF!</v>
      </c>
      <c r="I318" s="2" t="str">
        <f>IFERROR(__xludf.DUMMYFUNCTION("IMPORTRANGE(""https://docs.google.com/spreadsheets/d/""&amp;$A318&amp;""/edit#gid=156619080"",I$3)"),"#REF!")</f>
        <v>#REF!</v>
      </c>
      <c r="J318" s="2" t="str">
        <f>IFERROR(__xludf.DUMMYFUNCTION("IMPORTRANGE(""https://docs.google.com/spreadsheets/d/""&amp;$A318&amp;""/edit#gid=156619080"",J$3)"),"#REF!")</f>
        <v>#REF!</v>
      </c>
      <c r="K318" s="2" t="str">
        <f>IFERROR(__xludf.DUMMYFUNCTION("IMPORTRANGE(""https://docs.google.com/spreadsheets/d/""&amp;$A318&amp;""/edit#gid=156619080"",K$3)"),"#REF!")</f>
        <v>#REF!</v>
      </c>
      <c r="L318" s="2" t="str">
        <f>IFERROR(__xludf.DUMMYFUNCTION("IMPORTRANGE(""https://docs.google.com/spreadsheets/d/""&amp;$A318&amp;""/edit#gid=156619080"",L$3)"),"#REF!")</f>
        <v>#REF!</v>
      </c>
      <c r="M318" s="2" t="str">
        <f>IFERROR(__xludf.DUMMYFUNCTION("IMPORTRANGE(""https://docs.google.com/spreadsheets/d/""&amp;$A318&amp;""/edit#gid=156619080"",M$3)"),"#REF!")</f>
        <v>#REF!</v>
      </c>
      <c r="N318" s="2" t="str">
        <f>IFERROR(__xludf.DUMMYFUNCTION("IMPORTRANGE(""https://docs.google.com/spreadsheets/d/""&amp;$A318&amp;""/edit#gid=156619080"",N$3)"),"#REF!")</f>
        <v>#REF!</v>
      </c>
      <c r="O318" s="2" t="str">
        <f>IFERROR(__xludf.DUMMYFUNCTION("IMPORTRANGE(""https://docs.google.com/spreadsheets/d/""&amp;$A318&amp;""/edit#gid=156619080"",O$3)"),"#REF!")</f>
        <v>#REF!</v>
      </c>
      <c r="P318" s="2" t="str">
        <f>IFERROR(__xludf.DUMMYFUNCTION("IMPORTRANGE(""https://docs.google.com/spreadsheets/d/""&amp;$A318&amp;""/edit#gid=156619080"",P$3)"),"#REF!")</f>
        <v>#REF!</v>
      </c>
      <c r="Q318" s="2" t="str">
        <f>IFERROR(__xludf.DUMMYFUNCTION("IMPORTRANGE(""https://docs.google.com/spreadsheets/d/""&amp;$A318&amp;""/edit#gid=156619080"",Q$3)"),"#REF!")</f>
        <v>#REF!</v>
      </c>
      <c r="R318" s="2" t="str">
        <f>IFERROR(__xludf.DUMMYFUNCTION("IMPORTRANGE(""https://docs.google.com/spreadsheets/d/""&amp;$A318&amp;""/edit#gid=156619080"",R$3)"),"#REF!")</f>
        <v>#REF!</v>
      </c>
      <c r="S318" s="2" t="str">
        <f>IFERROR(__xludf.DUMMYFUNCTION("IMPORTRANGE(""https://docs.google.com/spreadsheets/d/""&amp;$A318&amp;""/edit#gid=156619080"",S$3)"),"#REF!")</f>
        <v>#REF!</v>
      </c>
      <c r="T318" s="2" t="str">
        <f>IFERROR(__xludf.DUMMYFUNCTION("IMPORTRANGE(""https://docs.google.com/spreadsheets/d/""&amp;$A318&amp;""/edit#gid=156619080"",T$3)"),"#REF!")</f>
        <v>#REF!</v>
      </c>
      <c r="U318" s="2" t="str">
        <f>IFERROR(__xludf.DUMMYFUNCTION("IMPORTRANGE(""https://docs.google.com/spreadsheets/d/""&amp;$A318&amp;""/edit#gid=156619080"",U$3)"),"#REF!")</f>
        <v>#REF!</v>
      </c>
      <c r="V318" s="2" t="str">
        <f>IFERROR(__xludf.DUMMYFUNCTION("IMPORTRANGE(""https://docs.google.com/spreadsheets/d/""&amp;$A318&amp;""/edit#gid=156619080"",V$3)"),"#REF!")</f>
        <v>#REF!</v>
      </c>
      <c r="W318" s="2" t="str">
        <f>IFERROR(__xludf.DUMMYFUNCTION("IMPORTRANGE(""https://docs.google.com/spreadsheets/d/""&amp;$A318&amp;""/edit#gid=156619080"",W$3)"),"#REF!")</f>
        <v>#REF!</v>
      </c>
      <c r="X318" s="2" t="str">
        <f>IFERROR(__xludf.DUMMYFUNCTION("IMPORTRANGE(""https://docs.google.com/spreadsheets/d/""&amp;$A318&amp;""/edit#gid=156619080"",X$3)"),"#REF!")</f>
        <v>#REF!</v>
      </c>
      <c r="Y318" s="2" t="str">
        <f>IFERROR(__xludf.DUMMYFUNCTION("IMPORTRANGE(""https://docs.google.com/spreadsheets/d/""&amp;$A318&amp;""/edit#gid=156619080"",Y$3)"),"#REF!")</f>
        <v>#REF!</v>
      </c>
      <c r="Z318" s="2" t="str">
        <f>IFERROR(__xludf.DUMMYFUNCTION("IMPORTRANGE(""https://docs.google.com/spreadsheets/d/""&amp;$A318&amp;""/edit#gid=156619080"",Z$3)"),"#REF!")</f>
        <v>#REF!</v>
      </c>
      <c r="AA318" s="2" t="str">
        <f>IFERROR(__xludf.DUMMYFUNCTION("IMPORTRANGE(""https://docs.google.com/spreadsheets/d/""&amp;$A318&amp;""/edit#gid=156619080"",AA$3)"),"#REF!")</f>
        <v>#REF!</v>
      </c>
      <c r="AB318" s="2" t="str">
        <f>IFERROR(__xludf.DUMMYFUNCTION("IMPORTRANGE(""https://docs.google.com/spreadsheets/d/""&amp;$A318&amp;""/edit#gid=156619080"",AB$3)"),"#REF!")</f>
        <v>#REF!</v>
      </c>
      <c r="AC318" s="2" t="str">
        <f>IFERROR(__xludf.DUMMYFUNCTION("IMPORTRANGE(""https://docs.google.com/spreadsheets/d/""&amp;$A318&amp;""/edit#gid=156619080"",AC$3)"),"#REF!")</f>
        <v>#REF!</v>
      </c>
      <c r="AD318" s="2" t="str">
        <f>IFERROR(__xludf.DUMMYFUNCTION("IMPORTRANGE(""https://docs.google.com/spreadsheets/d/""&amp;$A318&amp;""/edit#gid=156619080"",AD$3)"),"#REF!")</f>
        <v>#REF!</v>
      </c>
      <c r="AE318" s="2" t="str">
        <f>IFERROR(__xludf.DUMMYFUNCTION("IMPORTRANGE(""https://docs.google.com/spreadsheets/d/""&amp;$A318&amp;""/edit#gid=156619080"",AE$3)"),"#REF!")</f>
        <v>#REF!</v>
      </c>
      <c r="AF318" s="2" t="str">
        <f>IFERROR(__xludf.DUMMYFUNCTION("IMPORTRANGE(""https://docs.google.com/spreadsheets/d/""&amp;$A318&amp;""/edit#gid=156619080"",AF$3)"),"#REF!")</f>
        <v>#REF!</v>
      </c>
      <c r="AG318" s="2" t="str">
        <f>IFERROR(__xludf.DUMMYFUNCTION("IMPORTRANGE(""https://docs.google.com/spreadsheets/d/""&amp;$A318&amp;""/edit#gid=156619080"",AG$3)"),"#REF!")</f>
        <v>#REF!</v>
      </c>
      <c r="AH318" s="2" t="str">
        <f>IFERROR(__xludf.DUMMYFUNCTION("IMPORTRANGE(""https://docs.google.com/spreadsheets/d/""&amp;$A318&amp;""/edit#gid=156619080"",AH$3)"),"#REF!")</f>
        <v>#REF!</v>
      </c>
      <c r="AI318" s="2" t="str">
        <f>IFERROR(__xludf.DUMMYFUNCTION("IMPORTRANGE(""https://docs.google.com/spreadsheets/d/""&amp;$A318&amp;""/edit#gid=156619080"",AI$3)"),"#REF!")</f>
        <v>#REF!</v>
      </c>
      <c r="AJ318" s="2" t="str">
        <f>IFERROR(__xludf.DUMMYFUNCTION("IMPORTRANGE(""https://docs.google.com/spreadsheets/d/""&amp;$A318&amp;""/edit#gid=156619080"",AJ$3)"),"#REF!")</f>
        <v>#REF!</v>
      </c>
      <c r="AK318" s="2" t="str">
        <f>IFERROR(__xludf.DUMMYFUNCTION("IMPORTRANGE(""https://docs.google.com/spreadsheets/d/""&amp;$A318&amp;""/edit#gid=156619080"",AK$3)"),"#REF!")</f>
        <v>#REF!</v>
      </c>
      <c r="AL318" s="2" t="str">
        <f>IFERROR(__xludf.DUMMYFUNCTION("IMPORTRANGE(""https://docs.google.com/spreadsheets/d/""&amp;$A318&amp;""/edit#gid=156619080"",AL$3)"),"#REF!")</f>
        <v>#REF!</v>
      </c>
      <c r="AM318" s="2" t="str">
        <f>IFERROR(__xludf.DUMMYFUNCTION("IMPORTRANGE(""https://docs.google.com/spreadsheets/d/""&amp;$A318&amp;""/edit#gid=156619080"",AM$3)"),"#REF!")</f>
        <v>#REF!</v>
      </c>
      <c r="AN318" s="2" t="str">
        <f>IFERROR(__xludf.DUMMYFUNCTION("IMPORTRANGE(""https://docs.google.com/spreadsheets/d/""&amp;$A318&amp;""/edit#gid=156619080"",AN$3)"),"#REF!")</f>
        <v>#REF!</v>
      </c>
      <c r="AO318" s="2" t="str">
        <f>IFERROR(__xludf.DUMMYFUNCTION("IMPORTRANGE(""https://docs.google.com/spreadsheets/d/""&amp;$A318&amp;""/edit#gid=156619080"",AO$3)"),"#REF!")</f>
        <v>#REF!</v>
      </c>
      <c r="AP318" s="2" t="str">
        <f>IFERROR(__xludf.DUMMYFUNCTION("IMPORTRANGE(""https://docs.google.com/spreadsheets/d/""&amp;$A318&amp;""/edit#gid=156619080"",AP$3)"),"#REF!")</f>
        <v>#REF!</v>
      </c>
      <c r="AQ318" s="2" t="str">
        <f>IFERROR(__xludf.DUMMYFUNCTION("IMPORTRANGE(""https://docs.google.com/spreadsheets/d/""&amp;$A318&amp;""/edit#gid=156619080"",AQ$3)"),"#REF!")</f>
        <v>#REF!</v>
      </c>
      <c r="AR318" s="2" t="str">
        <f>IFERROR(__xludf.DUMMYFUNCTION("IMPORTRANGE(""https://docs.google.com/spreadsheets/d/""&amp;$A318&amp;""/edit#gid=156619080"",AR$3)"),"#REF!")</f>
        <v>#REF!</v>
      </c>
      <c r="AS318" s="19" t="str">
        <f>IFERROR(__xludf.DUMMYFUNCTION("IMPORTRANGE(""https://docs.google.com/spreadsheets/d/""&amp;$A318&amp;""/edit#gid=156619080"",AS$3)"),"#REF!")</f>
        <v>#REF!</v>
      </c>
      <c r="AT318" s="2" t="str">
        <f>IFERROR(__xludf.DUMMYFUNCTION("IMPORTRANGE(""https://docs.google.com/spreadsheets/d/""&amp;$A318&amp;""/edit#gid=156619080"",AT$3)"),"#REF!")</f>
        <v>#REF!</v>
      </c>
      <c r="AU318" s="3" t="str">
        <f>IFERROR(__xludf.DUMMYFUNCTION("IMPORTRANGE(""https://docs.google.com/spreadsheets/d/""&amp;$A318&amp;""/edit#gid=156619080"",AU$3)"),"#REF!")</f>
        <v>#REF!</v>
      </c>
      <c r="AV318" s="2" t="str">
        <f>IFERROR(__xludf.DUMMYFUNCTION("IMPORTRANGE(""https://docs.google.com/spreadsheets/d/""&amp;$A318&amp;""/edit#gid=156619080"",AV$3)"),"#REF!")</f>
        <v>#REF!</v>
      </c>
      <c r="AW318" s="19" t="str">
        <f>IFERROR(__xludf.DUMMYFUNCTION("IMPORTRANGE(""https://docs.google.com/spreadsheets/d/""&amp;$A318&amp;""/edit#gid=156619080"",AW$3)"),"#REF!")</f>
        <v>#REF!</v>
      </c>
      <c r="AX318" s="2" t="str">
        <f>IFERROR(__xludf.DUMMYFUNCTION("IMPORTRANGE(""https://docs.google.com/spreadsheets/d/""&amp;$A318&amp;""/edit#gid=156619080"",AX$3)"),"#REF!")</f>
        <v>#REF!</v>
      </c>
      <c r="AY318" s="2" t="str">
        <f>IFERROR(__xludf.DUMMYFUNCTION("IMPORTRANGE(""https://docs.google.com/spreadsheets/d/""&amp;$A318&amp;""/edit#gid=156619080"",AY$3)"),"#REF!")</f>
        <v>#REF!</v>
      </c>
      <c r="AZ318" s="2" t="str">
        <f>IFERROR(__xludf.DUMMYFUNCTION("IMPORTRANGE(""https://docs.google.com/spreadsheets/d/""&amp;$A318&amp;""/edit#gid=156619080"",AZ$3)"),"#REF!")</f>
        <v>#REF!</v>
      </c>
      <c r="BA318" s="2" t="str">
        <f>IFERROR(__xludf.DUMMYFUNCTION("IMPORTRANGE(""https://docs.google.com/spreadsheets/d/""&amp;$A318&amp;""/edit#gid=156619080"",BA$3)"),"#REF!")</f>
        <v>#REF!</v>
      </c>
      <c r="BB318" s="2" t="str">
        <f>IFERROR(__xludf.DUMMYFUNCTION("IMPORTRANGE(""https://docs.google.com/spreadsheets/d/""&amp;$A318&amp;""/edit#gid=156619080"",BB$3)"),"#REF!")</f>
        <v>#REF!</v>
      </c>
      <c r="BC318" s="2" t="str">
        <f>IFERROR(__xludf.DUMMYFUNCTION("IMPORTRANGE(""https://docs.google.com/spreadsheets/d/""&amp;$A318&amp;""/edit#gid=156619080"",BC$3)"),"#REF!")</f>
        <v>#REF!</v>
      </c>
    </row>
    <row r="319" ht="51.0" customHeight="1">
      <c r="A319" s="7" t="str">
        <f t="shared" si="5"/>
        <v>1R1XQjPDLjg8jgGot4Lg8M-Elp6jsMQVMHTm-T8Oz9BE</v>
      </c>
      <c r="B319" s="1" t="s">
        <v>346</v>
      </c>
      <c r="C319" s="2" t="str">
        <f>IFERROR(__xludf.DUMMYFUNCTION("IMPORTRANGE(""https://docs.google.com/spreadsheets/d/""&amp;$A319&amp;""/edit#gid=156619080"",C$3)"),"#REF!")</f>
        <v>#REF!</v>
      </c>
      <c r="D319" s="2" t="str">
        <f>IFERROR(__xludf.DUMMYFUNCTION("IMPORTRANGE(""https://docs.google.com/spreadsheets/d/""&amp;$A319&amp;""/edit#gid=156619080"",D$3)"),"#REF!")</f>
        <v>#REF!</v>
      </c>
      <c r="E319" s="2" t="str">
        <f>IFERROR(__xludf.DUMMYFUNCTION("IMPORTRANGE(""https://docs.google.com/spreadsheets/d/""&amp;$A319&amp;""/edit#gid=156619080"",E$3)"),"#REF!")</f>
        <v>#REF!</v>
      </c>
      <c r="F319" s="2" t="str">
        <f>IFERROR(__xludf.DUMMYFUNCTION("IMPORTRANGE(""https://docs.google.com/spreadsheets/d/""&amp;$A319&amp;""/edit#gid=156619080"",F$3)"),"#REF!")</f>
        <v>#REF!</v>
      </c>
      <c r="G319" s="2" t="str">
        <f>IFERROR(__xludf.DUMMYFUNCTION("IMPORTRANGE(""https://docs.google.com/spreadsheets/d/""&amp;$A319&amp;""/edit#gid=156619080"",G$3)"),"#REF!")</f>
        <v>#REF!</v>
      </c>
      <c r="H319" s="2" t="str">
        <f>IFERROR(__xludf.DUMMYFUNCTION("IMPORTRANGE(""https://docs.google.com/spreadsheets/d/""&amp;$A319&amp;""/edit#gid=156619080"",H$3)"),"#REF!")</f>
        <v>#REF!</v>
      </c>
      <c r="I319" s="2" t="str">
        <f>IFERROR(__xludf.DUMMYFUNCTION("IMPORTRANGE(""https://docs.google.com/spreadsheets/d/""&amp;$A319&amp;""/edit#gid=156619080"",I$3)"),"#REF!")</f>
        <v>#REF!</v>
      </c>
      <c r="J319" s="2" t="str">
        <f>IFERROR(__xludf.DUMMYFUNCTION("IMPORTRANGE(""https://docs.google.com/spreadsheets/d/""&amp;$A319&amp;""/edit#gid=156619080"",J$3)"),"#REF!")</f>
        <v>#REF!</v>
      </c>
      <c r="K319" s="2" t="str">
        <f>IFERROR(__xludf.DUMMYFUNCTION("IMPORTRANGE(""https://docs.google.com/spreadsheets/d/""&amp;$A319&amp;""/edit#gid=156619080"",K$3)"),"#REF!")</f>
        <v>#REF!</v>
      </c>
      <c r="L319" s="2" t="str">
        <f>IFERROR(__xludf.DUMMYFUNCTION("IMPORTRANGE(""https://docs.google.com/spreadsheets/d/""&amp;$A319&amp;""/edit#gid=156619080"",L$3)"),"#REF!")</f>
        <v>#REF!</v>
      </c>
      <c r="M319" s="2" t="str">
        <f>IFERROR(__xludf.DUMMYFUNCTION("IMPORTRANGE(""https://docs.google.com/spreadsheets/d/""&amp;$A319&amp;""/edit#gid=156619080"",M$3)"),"#REF!")</f>
        <v>#REF!</v>
      </c>
      <c r="N319" s="2" t="str">
        <f>IFERROR(__xludf.DUMMYFUNCTION("IMPORTRANGE(""https://docs.google.com/spreadsheets/d/""&amp;$A319&amp;""/edit#gid=156619080"",N$3)"),"#REF!")</f>
        <v>#REF!</v>
      </c>
      <c r="O319" s="2" t="str">
        <f>IFERROR(__xludf.DUMMYFUNCTION("IMPORTRANGE(""https://docs.google.com/spreadsheets/d/""&amp;$A319&amp;""/edit#gid=156619080"",O$3)"),"#REF!")</f>
        <v>#REF!</v>
      </c>
      <c r="P319" s="2" t="str">
        <f>IFERROR(__xludf.DUMMYFUNCTION("IMPORTRANGE(""https://docs.google.com/spreadsheets/d/""&amp;$A319&amp;""/edit#gid=156619080"",P$3)"),"#REF!")</f>
        <v>#REF!</v>
      </c>
      <c r="Q319" s="2" t="str">
        <f>IFERROR(__xludf.DUMMYFUNCTION("IMPORTRANGE(""https://docs.google.com/spreadsheets/d/""&amp;$A319&amp;""/edit#gid=156619080"",Q$3)"),"#REF!")</f>
        <v>#REF!</v>
      </c>
      <c r="R319" s="2" t="str">
        <f>IFERROR(__xludf.DUMMYFUNCTION("IMPORTRANGE(""https://docs.google.com/spreadsheets/d/""&amp;$A319&amp;""/edit#gid=156619080"",R$3)"),"#REF!")</f>
        <v>#REF!</v>
      </c>
      <c r="S319" s="2" t="str">
        <f>IFERROR(__xludf.DUMMYFUNCTION("IMPORTRANGE(""https://docs.google.com/spreadsheets/d/""&amp;$A319&amp;""/edit#gid=156619080"",S$3)"),"#REF!")</f>
        <v>#REF!</v>
      </c>
      <c r="T319" s="2" t="str">
        <f>IFERROR(__xludf.DUMMYFUNCTION("IMPORTRANGE(""https://docs.google.com/spreadsheets/d/""&amp;$A319&amp;""/edit#gid=156619080"",T$3)"),"#REF!")</f>
        <v>#REF!</v>
      </c>
      <c r="U319" s="2" t="str">
        <f>IFERROR(__xludf.DUMMYFUNCTION("IMPORTRANGE(""https://docs.google.com/spreadsheets/d/""&amp;$A319&amp;""/edit#gid=156619080"",U$3)"),"#REF!")</f>
        <v>#REF!</v>
      </c>
      <c r="V319" s="2" t="str">
        <f>IFERROR(__xludf.DUMMYFUNCTION("IMPORTRANGE(""https://docs.google.com/spreadsheets/d/""&amp;$A319&amp;""/edit#gid=156619080"",V$3)"),"#REF!")</f>
        <v>#REF!</v>
      </c>
      <c r="W319" s="2" t="str">
        <f>IFERROR(__xludf.DUMMYFUNCTION("IMPORTRANGE(""https://docs.google.com/spreadsheets/d/""&amp;$A319&amp;""/edit#gid=156619080"",W$3)"),"#REF!")</f>
        <v>#REF!</v>
      </c>
      <c r="X319" s="2" t="str">
        <f>IFERROR(__xludf.DUMMYFUNCTION("IMPORTRANGE(""https://docs.google.com/spreadsheets/d/""&amp;$A319&amp;""/edit#gid=156619080"",X$3)"),"#REF!")</f>
        <v>#REF!</v>
      </c>
      <c r="Y319" s="2" t="str">
        <f>IFERROR(__xludf.DUMMYFUNCTION("IMPORTRANGE(""https://docs.google.com/spreadsheets/d/""&amp;$A319&amp;""/edit#gid=156619080"",Y$3)"),"#REF!")</f>
        <v>#REF!</v>
      </c>
      <c r="Z319" s="2" t="str">
        <f>IFERROR(__xludf.DUMMYFUNCTION("IMPORTRANGE(""https://docs.google.com/spreadsheets/d/""&amp;$A319&amp;""/edit#gid=156619080"",Z$3)"),"#REF!")</f>
        <v>#REF!</v>
      </c>
      <c r="AA319" s="2" t="str">
        <f>IFERROR(__xludf.DUMMYFUNCTION("IMPORTRANGE(""https://docs.google.com/spreadsheets/d/""&amp;$A319&amp;""/edit#gid=156619080"",AA$3)"),"#REF!")</f>
        <v>#REF!</v>
      </c>
      <c r="AB319" s="2" t="str">
        <f>IFERROR(__xludf.DUMMYFUNCTION("IMPORTRANGE(""https://docs.google.com/spreadsheets/d/""&amp;$A319&amp;""/edit#gid=156619080"",AB$3)"),"#REF!")</f>
        <v>#REF!</v>
      </c>
      <c r="AC319" s="2" t="str">
        <f>IFERROR(__xludf.DUMMYFUNCTION("IMPORTRANGE(""https://docs.google.com/spreadsheets/d/""&amp;$A319&amp;""/edit#gid=156619080"",AC$3)"),"#REF!")</f>
        <v>#REF!</v>
      </c>
      <c r="AD319" s="2" t="str">
        <f>IFERROR(__xludf.DUMMYFUNCTION("IMPORTRANGE(""https://docs.google.com/spreadsheets/d/""&amp;$A319&amp;""/edit#gid=156619080"",AD$3)"),"#REF!")</f>
        <v>#REF!</v>
      </c>
      <c r="AE319" s="2" t="str">
        <f>IFERROR(__xludf.DUMMYFUNCTION("IMPORTRANGE(""https://docs.google.com/spreadsheets/d/""&amp;$A319&amp;""/edit#gid=156619080"",AE$3)"),"#REF!")</f>
        <v>#REF!</v>
      </c>
      <c r="AF319" s="2" t="str">
        <f>IFERROR(__xludf.DUMMYFUNCTION("IMPORTRANGE(""https://docs.google.com/spreadsheets/d/""&amp;$A319&amp;""/edit#gid=156619080"",AF$3)"),"#REF!")</f>
        <v>#REF!</v>
      </c>
      <c r="AG319" s="2" t="str">
        <f>IFERROR(__xludf.DUMMYFUNCTION("IMPORTRANGE(""https://docs.google.com/spreadsheets/d/""&amp;$A319&amp;""/edit#gid=156619080"",AG$3)"),"#REF!")</f>
        <v>#REF!</v>
      </c>
      <c r="AH319" s="2" t="str">
        <f>IFERROR(__xludf.DUMMYFUNCTION("IMPORTRANGE(""https://docs.google.com/spreadsheets/d/""&amp;$A319&amp;""/edit#gid=156619080"",AH$3)"),"#REF!")</f>
        <v>#REF!</v>
      </c>
      <c r="AI319" s="2" t="str">
        <f>IFERROR(__xludf.DUMMYFUNCTION("IMPORTRANGE(""https://docs.google.com/spreadsheets/d/""&amp;$A319&amp;""/edit#gid=156619080"",AI$3)"),"#REF!")</f>
        <v>#REF!</v>
      </c>
      <c r="AJ319" s="2" t="str">
        <f>IFERROR(__xludf.DUMMYFUNCTION("IMPORTRANGE(""https://docs.google.com/spreadsheets/d/""&amp;$A319&amp;""/edit#gid=156619080"",AJ$3)"),"#REF!")</f>
        <v>#REF!</v>
      </c>
      <c r="AK319" s="2" t="str">
        <f>IFERROR(__xludf.DUMMYFUNCTION("IMPORTRANGE(""https://docs.google.com/spreadsheets/d/""&amp;$A319&amp;""/edit#gid=156619080"",AK$3)"),"#REF!")</f>
        <v>#REF!</v>
      </c>
      <c r="AL319" s="2" t="str">
        <f>IFERROR(__xludf.DUMMYFUNCTION("IMPORTRANGE(""https://docs.google.com/spreadsheets/d/""&amp;$A319&amp;""/edit#gid=156619080"",AL$3)"),"#REF!")</f>
        <v>#REF!</v>
      </c>
      <c r="AM319" s="2" t="str">
        <f>IFERROR(__xludf.DUMMYFUNCTION("IMPORTRANGE(""https://docs.google.com/spreadsheets/d/""&amp;$A319&amp;""/edit#gid=156619080"",AM$3)"),"#REF!")</f>
        <v>#REF!</v>
      </c>
      <c r="AN319" s="2" t="str">
        <f>IFERROR(__xludf.DUMMYFUNCTION("IMPORTRANGE(""https://docs.google.com/spreadsheets/d/""&amp;$A319&amp;""/edit#gid=156619080"",AN$3)"),"#REF!")</f>
        <v>#REF!</v>
      </c>
      <c r="AO319" s="2" t="str">
        <f>IFERROR(__xludf.DUMMYFUNCTION("IMPORTRANGE(""https://docs.google.com/spreadsheets/d/""&amp;$A319&amp;""/edit#gid=156619080"",AO$3)"),"#REF!")</f>
        <v>#REF!</v>
      </c>
      <c r="AP319" s="2" t="str">
        <f>IFERROR(__xludf.DUMMYFUNCTION("IMPORTRANGE(""https://docs.google.com/spreadsheets/d/""&amp;$A319&amp;""/edit#gid=156619080"",AP$3)"),"#REF!")</f>
        <v>#REF!</v>
      </c>
      <c r="AQ319" s="2" t="str">
        <f>IFERROR(__xludf.DUMMYFUNCTION("IMPORTRANGE(""https://docs.google.com/spreadsheets/d/""&amp;$A319&amp;""/edit#gid=156619080"",AQ$3)"),"#REF!")</f>
        <v>#REF!</v>
      </c>
      <c r="AR319" s="2" t="str">
        <f>IFERROR(__xludf.DUMMYFUNCTION("IMPORTRANGE(""https://docs.google.com/spreadsheets/d/""&amp;$A319&amp;""/edit#gid=156619080"",AR$3)"),"#REF!")</f>
        <v>#REF!</v>
      </c>
      <c r="AS319" s="19" t="str">
        <f>IFERROR(__xludf.DUMMYFUNCTION("IMPORTRANGE(""https://docs.google.com/spreadsheets/d/""&amp;$A319&amp;""/edit#gid=156619080"",AS$3)"),"#REF!")</f>
        <v>#REF!</v>
      </c>
      <c r="AT319" s="2" t="str">
        <f>IFERROR(__xludf.DUMMYFUNCTION("IMPORTRANGE(""https://docs.google.com/spreadsheets/d/""&amp;$A319&amp;""/edit#gid=156619080"",AT$3)"),"#REF!")</f>
        <v>#REF!</v>
      </c>
      <c r="AU319" s="3" t="str">
        <f>IFERROR(__xludf.DUMMYFUNCTION("IMPORTRANGE(""https://docs.google.com/spreadsheets/d/""&amp;$A319&amp;""/edit#gid=156619080"",AU$3)"),"#REF!")</f>
        <v>#REF!</v>
      </c>
      <c r="AV319" s="2" t="str">
        <f>IFERROR(__xludf.DUMMYFUNCTION("IMPORTRANGE(""https://docs.google.com/spreadsheets/d/""&amp;$A319&amp;""/edit#gid=156619080"",AV$3)"),"#REF!")</f>
        <v>#REF!</v>
      </c>
      <c r="AW319" s="19" t="str">
        <f>IFERROR(__xludf.DUMMYFUNCTION("IMPORTRANGE(""https://docs.google.com/spreadsheets/d/""&amp;$A319&amp;""/edit#gid=156619080"",AW$3)"),"#REF!")</f>
        <v>#REF!</v>
      </c>
      <c r="AX319" s="2" t="str">
        <f>IFERROR(__xludf.DUMMYFUNCTION("IMPORTRANGE(""https://docs.google.com/spreadsheets/d/""&amp;$A319&amp;""/edit#gid=156619080"",AX$3)"),"#REF!")</f>
        <v>#REF!</v>
      </c>
      <c r="AY319" s="2" t="str">
        <f>IFERROR(__xludf.DUMMYFUNCTION("IMPORTRANGE(""https://docs.google.com/spreadsheets/d/""&amp;$A319&amp;""/edit#gid=156619080"",AY$3)"),"#REF!")</f>
        <v>#REF!</v>
      </c>
      <c r="AZ319" s="2" t="str">
        <f>IFERROR(__xludf.DUMMYFUNCTION("IMPORTRANGE(""https://docs.google.com/spreadsheets/d/""&amp;$A319&amp;""/edit#gid=156619080"",AZ$3)"),"#REF!")</f>
        <v>#REF!</v>
      </c>
      <c r="BA319" s="2" t="str">
        <f>IFERROR(__xludf.DUMMYFUNCTION("IMPORTRANGE(""https://docs.google.com/spreadsheets/d/""&amp;$A319&amp;""/edit#gid=156619080"",BA$3)"),"#REF!")</f>
        <v>#REF!</v>
      </c>
      <c r="BB319" s="2" t="str">
        <f>IFERROR(__xludf.DUMMYFUNCTION("IMPORTRANGE(""https://docs.google.com/spreadsheets/d/""&amp;$A319&amp;""/edit#gid=156619080"",BB$3)"),"#REF!")</f>
        <v>#REF!</v>
      </c>
      <c r="BC319" s="2" t="str">
        <f>IFERROR(__xludf.DUMMYFUNCTION("IMPORTRANGE(""https://docs.google.com/spreadsheets/d/""&amp;$A319&amp;""/edit#gid=156619080"",BC$3)"),"#REF!")</f>
        <v>#REF!</v>
      </c>
    </row>
    <row r="320" ht="51.0" customHeight="1">
      <c r="A320" s="7" t="str">
        <f t="shared" si="5"/>
        <v>1Imj2Fu56LVojGFn5tTpSwdBVEUHxORLNTICqkPwmA1Q</v>
      </c>
      <c r="B320" s="1" t="s">
        <v>347</v>
      </c>
      <c r="C320" s="2" t="str">
        <f>IFERROR(__xludf.DUMMYFUNCTION("IMPORTRANGE(""https://docs.google.com/spreadsheets/d/""&amp;$A320&amp;""/edit#gid=156619080"",C$3)"),"#REF!")</f>
        <v>#REF!</v>
      </c>
      <c r="D320" s="2" t="str">
        <f>IFERROR(__xludf.DUMMYFUNCTION("IMPORTRANGE(""https://docs.google.com/spreadsheets/d/""&amp;$A320&amp;""/edit#gid=156619080"",D$3)"),"#REF!")</f>
        <v>#REF!</v>
      </c>
      <c r="E320" s="2" t="str">
        <f>IFERROR(__xludf.DUMMYFUNCTION("IMPORTRANGE(""https://docs.google.com/spreadsheets/d/""&amp;$A320&amp;""/edit#gid=156619080"",E$3)"),"#REF!")</f>
        <v>#REF!</v>
      </c>
      <c r="F320" s="2" t="str">
        <f>IFERROR(__xludf.DUMMYFUNCTION("IMPORTRANGE(""https://docs.google.com/spreadsheets/d/""&amp;$A320&amp;""/edit#gid=156619080"",F$3)"),"#REF!")</f>
        <v>#REF!</v>
      </c>
      <c r="G320" s="2" t="str">
        <f>IFERROR(__xludf.DUMMYFUNCTION("IMPORTRANGE(""https://docs.google.com/spreadsheets/d/""&amp;$A320&amp;""/edit#gid=156619080"",G$3)"),"#REF!")</f>
        <v>#REF!</v>
      </c>
      <c r="H320" s="2" t="str">
        <f>IFERROR(__xludf.DUMMYFUNCTION("IMPORTRANGE(""https://docs.google.com/spreadsheets/d/""&amp;$A320&amp;""/edit#gid=156619080"",H$3)"),"#REF!")</f>
        <v>#REF!</v>
      </c>
      <c r="I320" s="2" t="str">
        <f>IFERROR(__xludf.DUMMYFUNCTION("IMPORTRANGE(""https://docs.google.com/spreadsheets/d/""&amp;$A320&amp;""/edit#gid=156619080"",I$3)"),"#REF!")</f>
        <v>#REF!</v>
      </c>
      <c r="J320" s="2" t="str">
        <f>IFERROR(__xludf.DUMMYFUNCTION("IMPORTRANGE(""https://docs.google.com/spreadsheets/d/""&amp;$A320&amp;""/edit#gid=156619080"",J$3)"),"#REF!")</f>
        <v>#REF!</v>
      </c>
      <c r="K320" s="2" t="str">
        <f>IFERROR(__xludf.DUMMYFUNCTION("IMPORTRANGE(""https://docs.google.com/spreadsheets/d/""&amp;$A320&amp;""/edit#gid=156619080"",K$3)"),"#REF!")</f>
        <v>#REF!</v>
      </c>
      <c r="L320" s="2" t="str">
        <f>IFERROR(__xludf.DUMMYFUNCTION("IMPORTRANGE(""https://docs.google.com/spreadsheets/d/""&amp;$A320&amp;""/edit#gid=156619080"",L$3)"),"#REF!")</f>
        <v>#REF!</v>
      </c>
      <c r="M320" s="2" t="str">
        <f>IFERROR(__xludf.DUMMYFUNCTION("IMPORTRANGE(""https://docs.google.com/spreadsheets/d/""&amp;$A320&amp;""/edit#gid=156619080"",M$3)"),"#REF!")</f>
        <v>#REF!</v>
      </c>
      <c r="N320" s="2" t="str">
        <f>IFERROR(__xludf.DUMMYFUNCTION("IMPORTRANGE(""https://docs.google.com/spreadsheets/d/""&amp;$A320&amp;""/edit#gid=156619080"",N$3)"),"#REF!")</f>
        <v>#REF!</v>
      </c>
      <c r="O320" s="2" t="str">
        <f>IFERROR(__xludf.DUMMYFUNCTION("IMPORTRANGE(""https://docs.google.com/spreadsheets/d/""&amp;$A320&amp;""/edit#gid=156619080"",O$3)"),"#REF!")</f>
        <v>#REF!</v>
      </c>
      <c r="P320" s="2" t="str">
        <f>IFERROR(__xludf.DUMMYFUNCTION("IMPORTRANGE(""https://docs.google.com/spreadsheets/d/""&amp;$A320&amp;""/edit#gid=156619080"",P$3)"),"#REF!")</f>
        <v>#REF!</v>
      </c>
      <c r="Q320" s="2" t="str">
        <f>IFERROR(__xludf.DUMMYFUNCTION("IMPORTRANGE(""https://docs.google.com/spreadsheets/d/""&amp;$A320&amp;""/edit#gid=156619080"",Q$3)"),"#REF!")</f>
        <v>#REF!</v>
      </c>
      <c r="R320" s="2" t="str">
        <f>IFERROR(__xludf.DUMMYFUNCTION("IMPORTRANGE(""https://docs.google.com/spreadsheets/d/""&amp;$A320&amp;""/edit#gid=156619080"",R$3)"),"#REF!")</f>
        <v>#REF!</v>
      </c>
      <c r="S320" s="2" t="str">
        <f>IFERROR(__xludf.DUMMYFUNCTION("IMPORTRANGE(""https://docs.google.com/spreadsheets/d/""&amp;$A320&amp;""/edit#gid=156619080"",S$3)"),"#REF!")</f>
        <v>#REF!</v>
      </c>
      <c r="T320" s="2" t="str">
        <f>IFERROR(__xludf.DUMMYFUNCTION("IMPORTRANGE(""https://docs.google.com/spreadsheets/d/""&amp;$A320&amp;""/edit#gid=156619080"",T$3)"),"#REF!")</f>
        <v>#REF!</v>
      </c>
      <c r="U320" s="2" t="str">
        <f>IFERROR(__xludf.DUMMYFUNCTION("IMPORTRANGE(""https://docs.google.com/spreadsheets/d/""&amp;$A320&amp;""/edit#gid=156619080"",U$3)"),"#REF!")</f>
        <v>#REF!</v>
      </c>
      <c r="V320" s="2" t="str">
        <f>IFERROR(__xludf.DUMMYFUNCTION("IMPORTRANGE(""https://docs.google.com/spreadsheets/d/""&amp;$A320&amp;""/edit#gid=156619080"",V$3)"),"#REF!")</f>
        <v>#REF!</v>
      </c>
      <c r="W320" s="2" t="str">
        <f>IFERROR(__xludf.DUMMYFUNCTION("IMPORTRANGE(""https://docs.google.com/spreadsheets/d/""&amp;$A320&amp;""/edit#gid=156619080"",W$3)"),"#REF!")</f>
        <v>#REF!</v>
      </c>
      <c r="X320" s="2" t="str">
        <f>IFERROR(__xludf.DUMMYFUNCTION("IMPORTRANGE(""https://docs.google.com/spreadsheets/d/""&amp;$A320&amp;""/edit#gid=156619080"",X$3)"),"#REF!")</f>
        <v>#REF!</v>
      </c>
      <c r="Y320" s="2" t="str">
        <f>IFERROR(__xludf.DUMMYFUNCTION("IMPORTRANGE(""https://docs.google.com/spreadsheets/d/""&amp;$A320&amp;""/edit#gid=156619080"",Y$3)"),"#REF!")</f>
        <v>#REF!</v>
      </c>
      <c r="Z320" s="2" t="str">
        <f>IFERROR(__xludf.DUMMYFUNCTION("IMPORTRANGE(""https://docs.google.com/spreadsheets/d/""&amp;$A320&amp;""/edit#gid=156619080"",Z$3)"),"#REF!")</f>
        <v>#REF!</v>
      </c>
      <c r="AA320" s="2" t="str">
        <f>IFERROR(__xludf.DUMMYFUNCTION("IMPORTRANGE(""https://docs.google.com/spreadsheets/d/""&amp;$A320&amp;""/edit#gid=156619080"",AA$3)"),"#REF!")</f>
        <v>#REF!</v>
      </c>
      <c r="AB320" s="2" t="str">
        <f>IFERROR(__xludf.DUMMYFUNCTION("IMPORTRANGE(""https://docs.google.com/spreadsheets/d/""&amp;$A320&amp;""/edit#gid=156619080"",AB$3)"),"#REF!")</f>
        <v>#REF!</v>
      </c>
      <c r="AC320" s="2" t="str">
        <f>IFERROR(__xludf.DUMMYFUNCTION("IMPORTRANGE(""https://docs.google.com/spreadsheets/d/""&amp;$A320&amp;""/edit#gid=156619080"",AC$3)"),"#REF!")</f>
        <v>#REF!</v>
      </c>
      <c r="AD320" s="2" t="str">
        <f>IFERROR(__xludf.DUMMYFUNCTION("IMPORTRANGE(""https://docs.google.com/spreadsheets/d/""&amp;$A320&amp;""/edit#gid=156619080"",AD$3)"),"#REF!")</f>
        <v>#REF!</v>
      </c>
      <c r="AE320" s="2" t="str">
        <f>IFERROR(__xludf.DUMMYFUNCTION("IMPORTRANGE(""https://docs.google.com/spreadsheets/d/""&amp;$A320&amp;""/edit#gid=156619080"",AE$3)"),"#REF!")</f>
        <v>#REF!</v>
      </c>
      <c r="AF320" s="2" t="str">
        <f>IFERROR(__xludf.DUMMYFUNCTION("IMPORTRANGE(""https://docs.google.com/spreadsheets/d/""&amp;$A320&amp;""/edit#gid=156619080"",AF$3)"),"#REF!")</f>
        <v>#REF!</v>
      </c>
      <c r="AG320" s="2" t="str">
        <f>IFERROR(__xludf.DUMMYFUNCTION("IMPORTRANGE(""https://docs.google.com/spreadsheets/d/""&amp;$A320&amp;""/edit#gid=156619080"",AG$3)"),"#REF!")</f>
        <v>#REF!</v>
      </c>
      <c r="AH320" s="2" t="str">
        <f>IFERROR(__xludf.DUMMYFUNCTION("IMPORTRANGE(""https://docs.google.com/spreadsheets/d/""&amp;$A320&amp;""/edit#gid=156619080"",AH$3)"),"#REF!")</f>
        <v>#REF!</v>
      </c>
      <c r="AI320" s="2" t="str">
        <f>IFERROR(__xludf.DUMMYFUNCTION("IMPORTRANGE(""https://docs.google.com/spreadsheets/d/""&amp;$A320&amp;""/edit#gid=156619080"",AI$3)"),"#REF!")</f>
        <v>#REF!</v>
      </c>
      <c r="AJ320" s="2" t="str">
        <f>IFERROR(__xludf.DUMMYFUNCTION("IMPORTRANGE(""https://docs.google.com/spreadsheets/d/""&amp;$A320&amp;""/edit#gid=156619080"",AJ$3)"),"#REF!")</f>
        <v>#REF!</v>
      </c>
      <c r="AK320" s="2" t="str">
        <f>IFERROR(__xludf.DUMMYFUNCTION("IMPORTRANGE(""https://docs.google.com/spreadsheets/d/""&amp;$A320&amp;""/edit#gid=156619080"",AK$3)"),"#REF!")</f>
        <v>#REF!</v>
      </c>
      <c r="AL320" s="2" t="str">
        <f>IFERROR(__xludf.DUMMYFUNCTION("IMPORTRANGE(""https://docs.google.com/spreadsheets/d/""&amp;$A320&amp;""/edit#gid=156619080"",AL$3)"),"#REF!")</f>
        <v>#REF!</v>
      </c>
      <c r="AM320" s="2" t="str">
        <f>IFERROR(__xludf.DUMMYFUNCTION("IMPORTRANGE(""https://docs.google.com/spreadsheets/d/""&amp;$A320&amp;""/edit#gid=156619080"",AM$3)"),"#REF!")</f>
        <v>#REF!</v>
      </c>
      <c r="AN320" s="2" t="str">
        <f>IFERROR(__xludf.DUMMYFUNCTION("IMPORTRANGE(""https://docs.google.com/spreadsheets/d/""&amp;$A320&amp;""/edit#gid=156619080"",AN$3)"),"#REF!")</f>
        <v>#REF!</v>
      </c>
      <c r="AO320" s="2" t="str">
        <f>IFERROR(__xludf.DUMMYFUNCTION("IMPORTRANGE(""https://docs.google.com/spreadsheets/d/""&amp;$A320&amp;""/edit#gid=156619080"",AO$3)"),"#REF!")</f>
        <v>#REF!</v>
      </c>
      <c r="AP320" s="2" t="str">
        <f>IFERROR(__xludf.DUMMYFUNCTION("IMPORTRANGE(""https://docs.google.com/spreadsheets/d/""&amp;$A320&amp;""/edit#gid=156619080"",AP$3)"),"#REF!")</f>
        <v>#REF!</v>
      </c>
      <c r="AQ320" s="2" t="str">
        <f>IFERROR(__xludf.DUMMYFUNCTION("IMPORTRANGE(""https://docs.google.com/spreadsheets/d/""&amp;$A320&amp;""/edit#gid=156619080"",AQ$3)"),"#REF!")</f>
        <v>#REF!</v>
      </c>
      <c r="AR320" s="2" t="str">
        <f>IFERROR(__xludf.DUMMYFUNCTION("IMPORTRANGE(""https://docs.google.com/spreadsheets/d/""&amp;$A320&amp;""/edit#gid=156619080"",AR$3)"),"#REF!")</f>
        <v>#REF!</v>
      </c>
      <c r="AS320" s="19" t="str">
        <f>IFERROR(__xludf.DUMMYFUNCTION("IMPORTRANGE(""https://docs.google.com/spreadsheets/d/""&amp;$A320&amp;""/edit#gid=156619080"",AS$3)"),"#REF!")</f>
        <v>#REF!</v>
      </c>
      <c r="AT320" s="2" t="str">
        <f>IFERROR(__xludf.DUMMYFUNCTION("IMPORTRANGE(""https://docs.google.com/spreadsheets/d/""&amp;$A320&amp;""/edit#gid=156619080"",AT$3)"),"#REF!")</f>
        <v>#REF!</v>
      </c>
      <c r="AU320" s="3" t="str">
        <f>IFERROR(__xludf.DUMMYFUNCTION("IMPORTRANGE(""https://docs.google.com/spreadsheets/d/""&amp;$A320&amp;""/edit#gid=156619080"",AU$3)"),"#REF!")</f>
        <v>#REF!</v>
      </c>
      <c r="AV320" s="2" t="str">
        <f>IFERROR(__xludf.DUMMYFUNCTION("IMPORTRANGE(""https://docs.google.com/spreadsheets/d/""&amp;$A320&amp;""/edit#gid=156619080"",AV$3)"),"#REF!")</f>
        <v>#REF!</v>
      </c>
      <c r="AW320" s="19" t="str">
        <f>IFERROR(__xludf.DUMMYFUNCTION("IMPORTRANGE(""https://docs.google.com/spreadsheets/d/""&amp;$A320&amp;""/edit#gid=156619080"",AW$3)"),"#REF!")</f>
        <v>#REF!</v>
      </c>
      <c r="AX320" s="2" t="str">
        <f>IFERROR(__xludf.DUMMYFUNCTION("IMPORTRANGE(""https://docs.google.com/spreadsheets/d/""&amp;$A320&amp;""/edit#gid=156619080"",AX$3)"),"#REF!")</f>
        <v>#REF!</v>
      </c>
      <c r="AY320" s="2" t="str">
        <f>IFERROR(__xludf.DUMMYFUNCTION("IMPORTRANGE(""https://docs.google.com/spreadsheets/d/""&amp;$A320&amp;""/edit#gid=156619080"",AY$3)"),"#REF!")</f>
        <v>#REF!</v>
      </c>
      <c r="AZ320" s="2" t="str">
        <f>IFERROR(__xludf.DUMMYFUNCTION("IMPORTRANGE(""https://docs.google.com/spreadsheets/d/""&amp;$A320&amp;""/edit#gid=156619080"",AZ$3)"),"#REF!")</f>
        <v>#REF!</v>
      </c>
      <c r="BA320" s="2" t="str">
        <f>IFERROR(__xludf.DUMMYFUNCTION("IMPORTRANGE(""https://docs.google.com/spreadsheets/d/""&amp;$A320&amp;""/edit#gid=156619080"",BA$3)"),"#REF!")</f>
        <v>#REF!</v>
      </c>
      <c r="BB320" s="2" t="str">
        <f>IFERROR(__xludf.DUMMYFUNCTION("IMPORTRANGE(""https://docs.google.com/spreadsheets/d/""&amp;$A320&amp;""/edit#gid=156619080"",BB$3)"),"#REF!")</f>
        <v>#REF!</v>
      </c>
      <c r="BC320" s="2" t="str">
        <f>IFERROR(__xludf.DUMMYFUNCTION("IMPORTRANGE(""https://docs.google.com/spreadsheets/d/""&amp;$A320&amp;""/edit#gid=156619080"",BC$3)"),"#REF!")</f>
        <v>#REF!</v>
      </c>
    </row>
    <row r="321" ht="51.0" customHeight="1">
      <c r="A321" s="7" t="str">
        <f t="shared" si="5"/>
        <v>1etj3ZaRslEHqfL0ZlmPawWKQLGKy_CuJBA8rzHc-bP4</v>
      </c>
      <c r="B321" s="1" t="s">
        <v>348</v>
      </c>
      <c r="C321" s="2" t="str">
        <f>IFERROR(__xludf.DUMMYFUNCTION("IMPORTRANGE(""https://docs.google.com/spreadsheets/d/""&amp;$A321&amp;""/edit#gid=156619080"",C$3)"),"#REF!")</f>
        <v>#REF!</v>
      </c>
      <c r="D321" s="2" t="str">
        <f>IFERROR(__xludf.DUMMYFUNCTION("IMPORTRANGE(""https://docs.google.com/spreadsheets/d/""&amp;$A321&amp;""/edit#gid=156619080"",D$3)"),"#REF!")</f>
        <v>#REF!</v>
      </c>
      <c r="E321" s="2" t="str">
        <f>IFERROR(__xludf.DUMMYFUNCTION("IMPORTRANGE(""https://docs.google.com/spreadsheets/d/""&amp;$A321&amp;""/edit#gid=156619080"",E$3)"),"#REF!")</f>
        <v>#REF!</v>
      </c>
      <c r="F321" s="2" t="str">
        <f>IFERROR(__xludf.DUMMYFUNCTION("IMPORTRANGE(""https://docs.google.com/spreadsheets/d/""&amp;$A321&amp;""/edit#gid=156619080"",F$3)"),"#REF!")</f>
        <v>#REF!</v>
      </c>
      <c r="G321" s="2" t="str">
        <f>IFERROR(__xludf.DUMMYFUNCTION("IMPORTRANGE(""https://docs.google.com/spreadsheets/d/""&amp;$A321&amp;""/edit#gid=156619080"",G$3)"),"#REF!")</f>
        <v>#REF!</v>
      </c>
      <c r="H321" s="2" t="str">
        <f>IFERROR(__xludf.DUMMYFUNCTION("IMPORTRANGE(""https://docs.google.com/spreadsheets/d/""&amp;$A321&amp;""/edit#gid=156619080"",H$3)"),"#REF!")</f>
        <v>#REF!</v>
      </c>
      <c r="I321" s="2" t="str">
        <f>IFERROR(__xludf.DUMMYFUNCTION("IMPORTRANGE(""https://docs.google.com/spreadsheets/d/""&amp;$A321&amp;""/edit#gid=156619080"",I$3)"),"#REF!")</f>
        <v>#REF!</v>
      </c>
      <c r="J321" s="2" t="str">
        <f>IFERROR(__xludf.DUMMYFUNCTION("IMPORTRANGE(""https://docs.google.com/spreadsheets/d/""&amp;$A321&amp;""/edit#gid=156619080"",J$3)"),"#REF!")</f>
        <v>#REF!</v>
      </c>
      <c r="K321" s="2" t="str">
        <f>IFERROR(__xludf.DUMMYFUNCTION("IMPORTRANGE(""https://docs.google.com/spreadsheets/d/""&amp;$A321&amp;""/edit#gid=156619080"",K$3)"),"#REF!")</f>
        <v>#REF!</v>
      </c>
      <c r="L321" s="2" t="str">
        <f>IFERROR(__xludf.DUMMYFUNCTION("IMPORTRANGE(""https://docs.google.com/spreadsheets/d/""&amp;$A321&amp;""/edit#gid=156619080"",L$3)"),"#REF!")</f>
        <v>#REF!</v>
      </c>
      <c r="M321" s="2" t="str">
        <f>IFERROR(__xludf.DUMMYFUNCTION("IMPORTRANGE(""https://docs.google.com/spreadsheets/d/""&amp;$A321&amp;""/edit#gid=156619080"",M$3)"),"#REF!")</f>
        <v>#REF!</v>
      </c>
      <c r="N321" s="2" t="str">
        <f>IFERROR(__xludf.DUMMYFUNCTION("IMPORTRANGE(""https://docs.google.com/spreadsheets/d/""&amp;$A321&amp;""/edit#gid=156619080"",N$3)"),"#REF!")</f>
        <v>#REF!</v>
      </c>
      <c r="O321" s="2" t="str">
        <f>IFERROR(__xludf.DUMMYFUNCTION("IMPORTRANGE(""https://docs.google.com/spreadsheets/d/""&amp;$A321&amp;""/edit#gid=156619080"",O$3)"),"#REF!")</f>
        <v>#REF!</v>
      </c>
      <c r="P321" s="2" t="str">
        <f>IFERROR(__xludf.DUMMYFUNCTION("IMPORTRANGE(""https://docs.google.com/spreadsheets/d/""&amp;$A321&amp;""/edit#gid=156619080"",P$3)"),"#REF!")</f>
        <v>#REF!</v>
      </c>
      <c r="Q321" s="2" t="str">
        <f>IFERROR(__xludf.DUMMYFUNCTION("IMPORTRANGE(""https://docs.google.com/spreadsheets/d/""&amp;$A321&amp;""/edit#gid=156619080"",Q$3)"),"#REF!")</f>
        <v>#REF!</v>
      </c>
      <c r="R321" s="2" t="str">
        <f>IFERROR(__xludf.DUMMYFUNCTION("IMPORTRANGE(""https://docs.google.com/spreadsheets/d/""&amp;$A321&amp;""/edit#gid=156619080"",R$3)"),"#REF!")</f>
        <v>#REF!</v>
      </c>
      <c r="S321" s="2" t="str">
        <f>IFERROR(__xludf.DUMMYFUNCTION("IMPORTRANGE(""https://docs.google.com/spreadsheets/d/""&amp;$A321&amp;""/edit#gid=156619080"",S$3)"),"#REF!")</f>
        <v>#REF!</v>
      </c>
      <c r="T321" s="2" t="str">
        <f>IFERROR(__xludf.DUMMYFUNCTION("IMPORTRANGE(""https://docs.google.com/spreadsheets/d/""&amp;$A321&amp;""/edit#gid=156619080"",T$3)"),"#REF!")</f>
        <v>#REF!</v>
      </c>
      <c r="U321" s="2" t="str">
        <f>IFERROR(__xludf.DUMMYFUNCTION("IMPORTRANGE(""https://docs.google.com/spreadsheets/d/""&amp;$A321&amp;""/edit#gid=156619080"",U$3)"),"#REF!")</f>
        <v>#REF!</v>
      </c>
      <c r="V321" s="2" t="str">
        <f>IFERROR(__xludf.DUMMYFUNCTION("IMPORTRANGE(""https://docs.google.com/spreadsheets/d/""&amp;$A321&amp;""/edit#gid=156619080"",V$3)"),"#REF!")</f>
        <v>#REF!</v>
      </c>
      <c r="W321" s="2" t="str">
        <f>IFERROR(__xludf.DUMMYFUNCTION("IMPORTRANGE(""https://docs.google.com/spreadsheets/d/""&amp;$A321&amp;""/edit#gid=156619080"",W$3)"),"#REF!")</f>
        <v>#REF!</v>
      </c>
      <c r="X321" s="2" t="str">
        <f>IFERROR(__xludf.DUMMYFUNCTION("IMPORTRANGE(""https://docs.google.com/spreadsheets/d/""&amp;$A321&amp;""/edit#gid=156619080"",X$3)"),"#REF!")</f>
        <v>#REF!</v>
      </c>
      <c r="Y321" s="2" t="str">
        <f>IFERROR(__xludf.DUMMYFUNCTION("IMPORTRANGE(""https://docs.google.com/spreadsheets/d/""&amp;$A321&amp;""/edit#gid=156619080"",Y$3)"),"#REF!")</f>
        <v>#REF!</v>
      </c>
      <c r="Z321" s="2" t="str">
        <f>IFERROR(__xludf.DUMMYFUNCTION("IMPORTRANGE(""https://docs.google.com/spreadsheets/d/""&amp;$A321&amp;""/edit#gid=156619080"",Z$3)"),"#REF!")</f>
        <v>#REF!</v>
      </c>
      <c r="AA321" s="2" t="str">
        <f>IFERROR(__xludf.DUMMYFUNCTION("IMPORTRANGE(""https://docs.google.com/spreadsheets/d/""&amp;$A321&amp;""/edit#gid=156619080"",AA$3)"),"#REF!")</f>
        <v>#REF!</v>
      </c>
      <c r="AB321" s="2" t="str">
        <f>IFERROR(__xludf.DUMMYFUNCTION("IMPORTRANGE(""https://docs.google.com/spreadsheets/d/""&amp;$A321&amp;""/edit#gid=156619080"",AB$3)"),"#REF!")</f>
        <v>#REF!</v>
      </c>
      <c r="AC321" s="2" t="str">
        <f>IFERROR(__xludf.DUMMYFUNCTION("IMPORTRANGE(""https://docs.google.com/spreadsheets/d/""&amp;$A321&amp;""/edit#gid=156619080"",AC$3)"),"#REF!")</f>
        <v>#REF!</v>
      </c>
      <c r="AD321" s="2" t="str">
        <f>IFERROR(__xludf.DUMMYFUNCTION("IMPORTRANGE(""https://docs.google.com/spreadsheets/d/""&amp;$A321&amp;""/edit#gid=156619080"",AD$3)"),"#REF!")</f>
        <v>#REF!</v>
      </c>
      <c r="AE321" s="2" t="str">
        <f>IFERROR(__xludf.DUMMYFUNCTION("IMPORTRANGE(""https://docs.google.com/spreadsheets/d/""&amp;$A321&amp;""/edit#gid=156619080"",AE$3)"),"#REF!")</f>
        <v>#REF!</v>
      </c>
      <c r="AF321" s="2" t="str">
        <f>IFERROR(__xludf.DUMMYFUNCTION("IMPORTRANGE(""https://docs.google.com/spreadsheets/d/""&amp;$A321&amp;""/edit#gid=156619080"",AF$3)"),"#REF!")</f>
        <v>#REF!</v>
      </c>
      <c r="AG321" s="2" t="str">
        <f>IFERROR(__xludf.DUMMYFUNCTION("IMPORTRANGE(""https://docs.google.com/spreadsheets/d/""&amp;$A321&amp;""/edit#gid=156619080"",AG$3)"),"#REF!")</f>
        <v>#REF!</v>
      </c>
      <c r="AH321" s="2" t="str">
        <f>IFERROR(__xludf.DUMMYFUNCTION("IMPORTRANGE(""https://docs.google.com/spreadsheets/d/""&amp;$A321&amp;""/edit#gid=156619080"",AH$3)"),"#REF!")</f>
        <v>#REF!</v>
      </c>
      <c r="AI321" s="2" t="str">
        <f>IFERROR(__xludf.DUMMYFUNCTION("IMPORTRANGE(""https://docs.google.com/spreadsheets/d/""&amp;$A321&amp;""/edit#gid=156619080"",AI$3)"),"#REF!")</f>
        <v>#REF!</v>
      </c>
      <c r="AJ321" s="2" t="str">
        <f>IFERROR(__xludf.DUMMYFUNCTION("IMPORTRANGE(""https://docs.google.com/spreadsheets/d/""&amp;$A321&amp;""/edit#gid=156619080"",AJ$3)"),"#REF!")</f>
        <v>#REF!</v>
      </c>
      <c r="AK321" s="2" t="str">
        <f>IFERROR(__xludf.DUMMYFUNCTION("IMPORTRANGE(""https://docs.google.com/spreadsheets/d/""&amp;$A321&amp;""/edit#gid=156619080"",AK$3)"),"#REF!")</f>
        <v>#REF!</v>
      </c>
      <c r="AL321" s="2" t="str">
        <f>IFERROR(__xludf.DUMMYFUNCTION("IMPORTRANGE(""https://docs.google.com/spreadsheets/d/""&amp;$A321&amp;""/edit#gid=156619080"",AL$3)"),"#REF!")</f>
        <v>#REF!</v>
      </c>
      <c r="AM321" s="2" t="str">
        <f>IFERROR(__xludf.DUMMYFUNCTION("IMPORTRANGE(""https://docs.google.com/spreadsheets/d/""&amp;$A321&amp;""/edit#gid=156619080"",AM$3)"),"#REF!")</f>
        <v>#REF!</v>
      </c>
      <c r="AN321" s="2" t="str">
        <f>IFERROR(__xludf.DUMMYFUNCTION("IMPORTRANGE(""https://docs.google.com/spreadsheets/d/""&amp;$A321&amp;""/edit#gid=156619080"",AN$3)"),"#REF!")</f>
        <v>#REF!</v>
      </c>
      <c r="AO321" s="2" t="str">
        <f>IFERROR(__xludf.DUMMYFUNCTION("IMPORTRANGE(""https://docs.google.com/spreadsheets/d/""&amp;$A321&amp;""/edit#gid=156619080"",AO$3)"),"#REF!")</f>
        <v>#REF!</v>
      </c>
      <c r="AP321" s="2" t="str">
        <f>IFERROR(__xludf.DUMMYFUNCTION("IMPORTRANGE(""https://docs.google.com/spreadsheets/d/""&amp;$A321&amp;""/edit#gid=156619080"",AP$3)"),"#REF!")</f>
        <v>#REF!</v>
      </c>
      <c r="AQ321" s="2" t="str">
        <f>IFERROR(__xludf.DUMMYFUNCTION("IMPORTRANGE(""https://docs.google.com/spreadsheets/d/""&amp;$A321&amp;""/edit#gid=156619080"",AQ$3)"),"#REF!")</f>
        <v>#REF!</v>
      </c>
      <c r="AR321" s="2" t="str">
        <f>IFERROR(__xludf.DUMMYFUNCTION("IMPORTRANGE(""https://docs.google.com/spreadsheets/d/""&amp;$A321&amp;""/edit#gid=156619080"",AR$3)"),"#REF!")</f>
        <v>#REF!</v>
      </c>
      <c r="AS321" s="19" t="str">
        <f>IFERROR(__xludf.DUMMYFUNCTION("IMPORTRANGE(""https://docs.google.com/spreadsheets/d/""&amp;$A321&amp;""/edit#gid=156619080"",AS$3)"),"#REF!")</f>
        <v>#REF!</v>
      </c>
      <c r="AT321" s="2" t="str">
        <f>IFERROR(__xludf.DUMMYFUNCTION("IMPORTRANGE(""https://docs.google.com/spreadsheets/d/""&amp;$A321&amp;""/edit#gid=156619080"",AT$3)"),"#REF!")</f>
        <v>#REF!</v>
      </c>
      <c r="AU321" s="3" t="str">
        <f>IFERROR(__xludf.DUMMYFUNCTION("IMPORTRANGE(""https://docs.google.com/spreadsheets/d/""&amp;$A321&amp;""/edit#gid=156619080"",AU$3)"),"#REF!")</f>
        <v>#REF!</v>
      </c>
      <c r="AV321" s="2" t="str">
        <f>IFERROR(__xludf.DUMMYFUNCTION("IMPORTRANGE(""https://docs.google.com/spreadsheets/d/""&amp;$A321&amp;""/edit#gid=156619080"",AV$3)"),"#REF!")</f>
        <v>#REF!</v>
      </c>
      <c r="AW321" s="19" t="str">
        <f>IFERROR(__xludf.DUMMYFUNCTION("IMPORTRANGE(""https://docs.google.com/spreadsheets/d/""&amp;$A321&amp;""/edit#gid=156619080"",AW$3)"),"#REF!")</f>
        <v>#REF!</v>
      </c>
      <c r="AX321" s="2" t="str">
        <f>IFERROR(__xludf.DUMMYFUNCTION("IMPORTRANGE(""https://docs.google.com/spreadsheets/d/""&amp;$A321&amp;""/edit#gid=156619080"",AX$3)"),"#REF!")</f>
        <v>#REF!</v>
      </c>
      <c r="AY321" s="2" t="str">
        <f>IFERROR(__xludf.DUMMYFUNCTION("IMPORTRANGE(""https://docs.google.com/spreadsheets/d/""&amp;$A321&amp;""/edit#gid=156619080"",AY$3)"),"#REF!")</f>
        <v>#REF!</v>
      </c>
      <c r="AZ321" s="2" t="str">
        <f>IFERROR(__xludf.DUMMYFUNCTION("IMPORTRANGE(""https://docs.google.com/spreadsheets/d/""&amp;$A321&amp;""/edit#gid=156619080"",AZ$3)"),"#REF!")</f>
        <v>#REF!</v>
      </c>
      <c r="BA321" s="2" t="str">
        <f>IFERROR(__xludf.DUMMYFUNCTION("IMPORTRANGE(""https://docs.google.com/spreadsheets/d/""&amp;$A321&amp;""/edit#gid=156619080"",BA$3)"),"#REF!")</f>
        <v>#REF!</v>
      </c>
      <c r="BB321" s="2" t="str">
        <f>IFERROR(__xludf.DUMMYFUNCTION("IMPORTRANGE(""https://docs.google.com/spreadsheets/d/""&amp;$A321&amp;""/edit#gid=156619080"",BB$3)"),"#REF!")</f>
        <v>#REF!</v>
      </c>
      <c r="BC321" s="2" t="str">
        <f>IFERROR(__xludf.DUMMYFUNCTION("IMPORTRANGE(""https://docs.google.com/spreadsheets/d/""&amp;$A321&amp;""/edit#gid=156619080"",BC$3)"),"#REF!")</f>
        <v>#REF!</v>
      </c>
    </row>
    <row r="322" ht="51.0" customHeight="1">
      <c r="A322" s="7" t="str">
        <f t="shared" si="5"/>
        <v>1UzEzD6q6mGA7QEYcczOB1N6zeVFHscHxNyCQq1TBuX8</v>
      </c>
      <c r="B322" s="1" t="s">
        <v>349</v>
      </c>
      <c r="C322" s="2" t="str">
        <f>IFERROR(__xludf.DUMMYFUNCTION("IMPORTRANGE(""https://docs.google.com/spreadsheets/d/""&amp;$A322&amp;""/edit#gid=156619080"",C$3)"),"#REF!")</f>
        <v>#REF!</v>
      </c>
      <c r="D322" s="2" t="str">
        <f>IFERROR(__xludf.DUMMYFUNCTION("IMPORTRANGE(""https://docs.google.com/spreadsheets/d/""&amp;$A322&amp;""/edit#gid=156619080"",D$3)"),"#REF!")</f>
        <v>#REF!</v>
      </c>
      <c r="E322" s="2" t="str">
        <f>IFERROR(__xludf.DUMMYFUNCTION("IMPORTRANGE(""https://docs.google.com/spreadsheets/d/""&amp;$A322&amp;""/edit#gid=156619080"",E$3)"),"#REF!")</f>
        <v>#REF!</v>
      </c>
      <c r="F322" s="2" t="str">
        <f>IFERROR(__xludf.DUMMYFUNCTION("IMPORTRANGE(""https://docs.google.com/spreadsheets/d/""&amp;$A322&amp;""/edit#gid=156619080"",F$3)"),"#REF!")</f>
        <v>#REF!</v>
      </c>
      <c r="G322" s="2" t="str">
        <f>IFERROR(__xludf.DUMMYFUNCTION("IMPORTRANGE(""https://docs.google.com/spreadsheets/d/""&amp;$A322&amp;""/edit#gid=156619080"",G$3)"),"#REF!")</f>
        <v>#REF!</v>
      </c>
      <c r="H322" s="2" t="str">
        <f>IFERROR(__xludf.DUMMYFUNCTION("IMPORTRANGE(""https://docs.google.com/spreadsheets/d/""&amp;$A322&amp;""/edit#gid=156619080"",H$3)"),"#REF!")</f>
        <v>#REF!</v>
      </c>
      <c r="I322" s="2" t="str">
        <f>IFERROR(__xludf.DUMMYFUNCTION("IMPORTRANGE(""https://docs.google.com/spreadsheets/d/""&amp;$A322&amp;""/edit#gid=156619080"",I$3)"),"#REF!")</f>
        <v>#REF!</v>
      </c>
      <c r="J322" s="2" t="str">
        <f>IFERROR(__xludf.DUMMYFUNCTION("IMPORTRANGE(""https://docs.google.com/spreadsheets/d/""&amp;$A322&amp;""/edit#gid=156619080"",J$3)"),"#REF!")</f>
        <v>#REF!</v>
      </c>
      <c r="K322" s="2" t="str">
        <f>IFERROR(__xludf.DUMMYFUNCTION("IMPORTRANGE(""https://docs.google.com/spreadsheets/d/""&amp;$A322&amp;""/edit#gid=156619080"",K$3)"),"#REF!")</f>
        <v>#REF!</v>
      </c>
      <c r="L322" s="2" t="str">
        <f>IFERROR(__xludf.DUMMYFUNCTION("IMPORTRANGE(""https://docs.google.com/spreadsheets/d/""&amp;$A322&amp;""/edit#gid=156619080"",L$3)"),"#REF!")</f>
        <v>#REF!</v>
      </c>
      <c r="M322" s="2" t="str">
        <f>IFERROR(__xludf.DUMMYFUNCTION("IMPORTRANGE(""https://docs.google.com/spreadsheets/d/""&amp;$A322&amp;""/edit#gid=156619080"",M$3)"),"#REF!")</f>
        <v>#REF!</v>
      </c>
      <c r="N322" s="2" t="str">
        <f>IFERROR(__xludf.DUMMYFUNCTION("IMPORTRANGE(""https://docs.google.com/spreadsheets/d/""&amp;$A322&amp;""/edit#gid=156619080"",N$3)"),"#REF!")</f>
        <v>#REF!</v>
      </c>
      <c r="O322" s="2" t="str">
        <f>IFERROR(__xludf.DUMMYFUNCTION("IMPORTRANGE(""https://docs.google.com/spreadsheets/d/""&amp;$A322&amp;""/edit#gid=156619080"",O$3)"),"#REF!")</f>
        <v>#REF!</v>
      </c>
      <c r="P322" s="2" t="str">
        <f>IFERROR(__xludf.DUMMYFUNCTION("IMPORTRANGE(""https://docs.google.com/spreadsheets/d/""&amp;$A322&amp;""/edit#gid=156619080"",P$3)"),"#REF!")</f>
        <v>#REF!</v>
      </c>
      <c r="Q322" s="2" t="str">
        <f>IFERROR(__xludf.DUMMYFUNCTION("IMPORTRANGE(""https://docs.google.com/spreadsheets/d/""&amp;$A322&amp;""/edit#gid=156619080"",Q$3)"),"#REF!")</f>
        <v>#REF!</v>
      </c>
      <c r="R322" s="2" t="str">
        <f>IFERROR(__xludf.DUMMYFUNCTION("IMPORTRANGE(""https://docs.google.com/spreadsheets/d/""&amp;$A322&amp;""/edit#gid=156619080"",R$3)"),"#REF!")</f>
        <v>#REF!</v>
      </c>
      <c r="S322" s="2" t="str">
        <f>IFERROR(__xludf.DUMMYFUNCTION("IMPORTRANGE(""https://docs.google.com/spreadsheets/d/""&amp;$A322&amp;""/edit#gid=156619080"",S$3)"),"#REF!")</f>
        <v>#REF!</v>
      </c>
      <c r="T322" s="2" t="str">
        <f>IFERROR(__xludf.DUMMYFUNCTION("IMPORTRANGE(""https://docs.google.com/spreadsheets/d/""&amp;$A322&amp;""/edit#gid=156619080"",T$3)"),"#REF!")</f>
        <v>#REF!</v>
      </c>
      <c r="U322" s="2" t="str">
        <f>IFERROR(__xludf.DUMMYFUNCTION("IMPORTRANGE(""https://docs.google.com/spreadsheets/d/""&amp;$A322&amp;""/edit#gid=156619080"",U$3)"),"#REF!")</f>
        <v>#REF!</v>
      </c>
      <c r="V322" s="2" t="str">
        <f>IFERROR(__xludf.DUMMYFUNCTION("IMPORTRANGE(""https://docs.google.com/spreadsheets/d/""&amp;$A322&amp;""/edit#gid=156619080"",V$3)"),"#REF!")</f>
        <v>#REF!</v>
      </c>
      <c r="W322" s="2" t="str">
        <f>IFERROR(__xludf.DUMMYFUNCTION("IMPORTRANGE(""https://docs.google.com/spreadsheets/d/""&amp;$A322&amp;""/edit#gid=156619080"",W$3)"),"#REF!")</f>
        <v>#REF!</v>
      </c>
      <c r="X322" s="2" t="str">
        <f>IFERROR(__xludf.DUMMYFUNCTION("IMPORTRANGE(""https://docs.google.com/spreadsheets/d/""&amp;$A322&amp;""/edit#gid=156619080"",X$3)"),"#REF!")</f>
        <v>#REF!</v>
      </c>
      <c r="Y322" s="2" t="str">
        <f>IFERROR(__xludf.DUMMYFUNCTION("IMPORTRANGE(""https://docs.google.com/spreadsheets/d/""&amp;$A322&amp;""/edit#gid=156619080"",Y$3)"),"#REF!")</f>
        <v>#REF!</v>
      </c>
      <c r="Z322" s="2" t="str">
        <f>IFERROR(__xludf.DUMMYFUNCTION("IMPORTRANGE(""https://docs.google.com/spreadsheets/d/""&amp;$A322&amp;""/edit#gid=156619080"",Z$3)"),"#REF!")</f>
        <v>#REF!</v>
      </c>
      <c r="AA322" s="2" t="str">
        <f>IFERROR(__xludf.DUMMYFUNCTION("IMPORTRANGE(""https://docs.google.com/spreadsheets/d/""&amp;$A322&amp;""/edit#gid=156619080"",AA$3)"),"#REF!")</f>
        <v>#REF!</v>
      </c>
      <c r="AB322" s="2" t="str">
        <f>IFERROR(__xludf.DUMMYFUNCTION("IMPORTRANGE(""https://docs.google.com/spreadsheets/d/""&amp;$A322&amp;""/edit#gid=156619080"",AB$3)"),"#REF!")</f>
        <v>#REF!</v>
      </c>
      <c r="AC322" s="2" t="str">
        <f>IFERROR(__xludf.DUMMYFUNCTION("IMPORTRANGE(""https://docs.google.com/spreadsheets/d/""&amp;$A322&amp;""/edit#gid=156619080"",AC$3)"),"#REF!")</f>
        <v>#REF!</v>
      </c>
      <c r="AD322" s="2" t="str">
        <f>IFERROR(__xludf.DUMMYFUNCTION("IMPORTRANGE(""https://docs.google.com/spreadsheets/d/""&amp;$A322&amp;""/edit#gid=156619080"",AD$3)"),"#REF!")</f>
        <v>#REF!</v>
      </c>
      <c r="AE322" s="2" t="str">
        <f>IFERROR(__xludf.DUMMYFUNCTION("IMPORTRANGE(""https://docs.google.com/spreadsheets/d/""&amp;$A322&amp;""/edit#gid=156619080"",AE$3)"),"#REF!")</f>
        <v>#REF!</v>
      </c>
      <c r="AF322" s="2" t="str">
        <f>IFERROR(__xludf.DUMMYFUNCTION("IMPORTRANGE(""https://docs.google.com/spreadsheets/d/""&amp;$A322&amp;""/edit#gid=156619080"",AF$3)"),"#REF!")</f>
        <v>#REF!</v>
      </c>
      <c r="AG322" s="2" t="str">
        <f>IFERROR(__xludf.DUMMYFUNCTION("IMPORTRANGE(""https://docs.google.com/spreadsheets/d/""&amp;$A322&amp;""/edit#gid=156619080"",AG$3)"),"#REF!")</f>
        <v>#REF!</v>
      </c>
      <c r="AH322" s="2" t="str">
        <f>IFERROR(__xludf.DUMMYFUNCTION("IMPORTRANGE(""https://docs.google.com/spreadsheets/d/""&amp;$A322&amp;""/edit#gid=156619080"",AH$3)"),"#REF!")</f>
        <v>#REF!</v>
      </c>
      <c r="AI322" s="2" t="str">
        <f>IFERROR(__xludf.DUMMYFUNCTION("IMPORTRANGE(""https://docs.google.com/spreadsheets/d/""&amp;$A322&amp;""/edit#gid=156619080"",AI$3)"),"#REF!")</f>
        <v>#REF!</v>
      </c>
      <c r="AJ322" s="2" t="str">
        <f>IFERROR(__xludf.DUMMYFUNCTION("IMPORTRANGE(""https://docs.google.com/spreadsheets/d/""&amp;$A322&amp;""/edit#gid=156619080"",AJ$3)"),"#REF!")</f>
        <v>#REF!</v>
      </c>
      <c r="AK322" s="2" t="str">
        <f>IFERROR(__xludf.DUMMYFUNCTION("IMPORTRANGE(""https://docs.google.com/spreadsheets/d/""&amp;$A322&amp;""/edit#gid=156619080"",AK$3)"),"#REF!")</f>
        <v>#REF!</v>
      </c>
      <c r="AL322" s="2" t="str">
        <f>IFERROR(__xludf.DUMMYFUNCTION("IMPORTRANGE(""https://docs.google.com/spreadsheets/d/""&amp;$A322&amp;""/edit#gid=156619080"",AL$3)"),"#REF!")</f>
        <v>#REF!</v>
      </c>
      <c r="AM322" s="2" t="str">
        <f>IFERROR(__xludf.DUMMYFUNCTION("IMPORTRANGE(""https://docs.google.com/spreadsheets/d/""&amp;$A322&amp;""/edit#gid=156619080"",AM$3)"),"#REF!")</f>
        <v>#REF!</v>
      </c>
      <c r="AN322" s="2" t="str">
        <f>IFERROR(__xludf.DUMMYFUNCTION("IMPORTRANGE(""https://docs.google.com/spreadsheets/d/""&amp;$A322&amp;""/edit#gid=156619080"",AN$3)"),"#REF!")</f>
        <v>#REF!</v>
      </c>
      <c r="AO322" s="2" t="str">
        <f>IFERROR(__xludf.DUMMYFUNCTION("IMPORTRANGE(""https://docs.google.com/spreadsheets/d/""&amp;$A322&amp;""/edit#gid=156619080"",AO$3)"),"#REF!")</f>
        <v>#REF!</v>
      </c>
      <c r="AP322" s="2" t="str">
        <f>IFERROR(__xludf.DUMMYFUNCTION("IMPORTRANGE(""https://docs.google.com/spreadsheets/d/""&amp;$A322&amp;""/edit#gid=156619080"",AP$3)"),"#REF!")</f>
        <v>#REF!</v>
      </c>
      <c r="AQ322" s="2" t="str">
        <f>IFERROR(__xludf.DUMMYFUNCTION("IMPORTRANGE(""https://docs.google.com/spreadsheets/d/""&amp;$A322&amp;""/edit#gid=156619080"",AQ$3)"),"#REF!")</f>
        <v>#REF!</v>
      </c>
      <c r="AR322" s="2" t="str">
        <f>IFERROR(__xludf.DUMMYFUNCTION("IMPORTRANGE(""https://docs.google.com/spreadsheets/d/""&amp;$A322&amp;""/edit#gid=156619080"",AR$3)"),"#REF!")</f>
        <v>#REF!</v>
      </c>
      <c r="AS322" s="19" t="str">
        <f>IFERROR(__xludf.DUMMYFUNCTION("IMPORTRANGE(""https://docs.google.com/spreadsheets/d/""&amp;$A322&amp;""/edit#gid=156619080"",AS$3)"),"#REF!")</f>
        <v>#REF!</v>
      </c>
      <c r="AT322" s="2" t="str">
        <f>IFERROR(__xludf.DUMMYFUNCTION("IMPORTRANGE(""https://docs.google.com/spreadsheets/d/""&amp;$A322&amp;""/edit#gid=156619080"",AT$3)"),"#REF!")</f>
        <v>#REF!</v>
      </c>
      <c r="AU322" s="3" t="str">
        <f>IFERROR(__xludf.DUMMYFUNCTION("IMPORTRANGE(""https://docs.google.com/spreadsheets/d/""&amp;$A322&amp;""/edit#gid=156619080"",AU$3)"),"#REF!")</f>
        <v>#REF!</v>
      </c>
      <c r="AV322" s="2" t="str">
        <f>IFERROR(__xludf.DUMMYFUNCTION("IMPORTRANGE(""https://docs.google.com/spreadsheets/d/""&amp;$A322&amp;""/edit#gid=156619080"",AV$3)"),"#REF!")</f>
        <v>#REF!</v>
      </c>
      <c r="AW322" s="19" t="str">
        <f>IFERROR(__xludf.DUMMYFUNCTION("IMPORTRANGE(""https://docs.google.com/spreadsheets/d/""&amp;$A322&amp;""/edit#gid=156619080"",AW$3)"),"#REF!")</f>
        <v>#REF!</v>
      </c>
      <c r="AX322" s="2" t="str">
        <f>IFERROR(__xludf.DUMMYFUNCTION("IMPORTRANGE(""https://docs.google.com/spreadsheets/d/""&amp;$A322&amp;""/edit#gid=156619080"",AX$3)"),"#REF!")</f>
        <v>#REF!</v>
      </c>
      <c r="AY322" s="2" t="str">
        <f>IFERROR(__xludf.DUMMYFUNCTION("IMPORTRANGE(""https://docs.google.com/spreadsheets/d/""&amp;$A322&amp;""/edit#gid=156619080"",AY$3)"),"#REF!")</f>
        <v>#REF!</v>
      </c>
      <c r="AZ322" s="2" t="str">
        <f>IFERROR(__xludf.DUMMYFUNCTION("IMPORTRANGE(""https://docs.google.com/spreadsheets/d/""&amp;$A322&amp;""/edit#gid=156619080"",AZ$3)"),"#REF!")</f>
        <v>#REF!</v>
      </c>
      <c r="BA322" s="2" t="str">
        <f>IFERROR(__xludf.DUMMYFUNCTION("IMPORTRANGE(""https://docs.google.com/spreadsheets/d/""&amp;$A322&amp;""/edit#gid=156619080"",BA$3)"),"#REF!")</f>
        <v>#REF!</v>
      </c>
      <c r="BB322" s="2" t="str">
        <f>IFERROR(__xludf.DUMMYFUNCTION("IMPORTRANGE(""https://docs.google.com/spreadsheets/d/""&amp;$A322&amp;""/edit#gid=156619080"",BB$3)"),"#REF!")</f>
        <v>#REF!</v>
      </c>
      <c r="BC322" s="2" t="str">
        <f>IFERROR(__xludf.DUMMYFUNCTION("IMPORTRANGE(""https://docs.google.com/spreadsheets/d/""&amp;$A322&amp;""/edit#gid=156619080"",BC$3)"),"#REF!")</f>
        <v>#REF!</v>
      </c>
    </row>
    <row r="323" ht="51.0" customHeight="1">
      <c r="A323" s="7" t="str">
        <f t="shared" si="5"/>
        <v>1CS7SuSvMk4_CRMYw1iqYPIXjykqC10n4v_79IPu-F_Y</v>
      </c>
      <c r="B323" s="1" t="s">
        <v>350</v>
      </c>
      <c r="C323" s="2" t="str">
        <f>IFERROR(__xludf.DUMMYFUNCTION("IMPORTRANGE(""https://docs.google.com/spreadsheets/d/""&amp;$A323&amp;""/edit#gid=156619080"",C$3)"),"#REF!")</f>
        <v>#REF!</v>
      </c>
      <c r="D323" s="2" t="str">
        <f>IFERROR(__xludf.DUMMYFUNCTION("IMPORTRANGE(""https://docs.google.com/spreadsheets/d/""&amp;$A323&amp;""/edit#gid=156619080"",D$3)"),"#REF!")</f>
        <v>#REF!</v>
      </c>
      <c r="E323" s="2" t="str">
        <f>IFERROR(__xludf.DUMMYFUNCTION("IMPORTRANGE(""https://docs.google.com/spreadsheets/d/""&amp;$A323&amp;""/edit#gid=156619080"",E$3)"),"#REF!")</f>
        <v>#REF!</v>
      </c>
      <c r="F323" s="2" t="str">
        <f>IFERROR(__xludf.DUMMYFUNCTION("IMPORTRANGE(""https://docs.google.com/spreadsheets/d/""&amp;$A323&amp;""/edit#gid=156619080"",F$3)"),"#REF!")</f>
        <v>#REF!</v>
      </c>
      <c r="G323" s="2" t="str">
        <f>IFERROR(__xludf.DUMMYFUNCTION("IMPORTRANGE(""https://docs.google.com/spreadsheets/d/""&amp;$A323&amp;""/edit#gid=156619080"",G$3)"),"#REF!")</f>
        <v>#REF!</v>
      </c>
      <c r="H323" s="2" t="str">
        <f>IFERROR(__xludf.DUMMYFUNCTION("IMPORTRANGE(""https://docs.google.com/spreadsheets/d/""&amp;$A323&amp;""/edit#gid=156619080"",H$3)"),"#REF!")</f>
        <v>#REF!</v>
      </c>
      <c r="I323" s="2" t="str">
        <f>IFERROR(__xludf.DUMMYFUNCTION("IMPORTRANGE(""https://docs.google.com/spreadsheets/d/""&amp;$A323&amp;""/edit#gid=156619080"",I$3)"),"#REF!")</f>
        <v>#REF!</v>
      </c>
      <c r="J323" s="2" t="str">
        <f>IFERROR(__xludf.DUMMYFUNCTION("IMPORTRANGE(""https://docs.google.com/spreadsheets/d/""&amp;$A323&amp;""/edit#gid=156619080"",J$3)"),"#REF!")</f>
        <v>#REF!</v>
      </c>
      <c r="K323" s="2" t="str">
        <f>IFERROR(__xludf.DUMMYFUNCTION("IMPORTRANGE(""https://docs.google.com/spreadsheets/d/""&amp;$A323&amp;""/edit#gid=156619080"",K$3)"),"#REF!")</f>
        <v>#REF!</v>
      </c>
      <c r="L323" s="2" t="str">
        <f>IFERROR(__xludf.DUMMYFUNCTION("IMPORTRANGE(""https://docs.google.com/spreadsheets/d/""&amp;$A323&amp;""/edit#gid=156619080"",L$3)"),"#REF!")</f>
        <v>#REF!</v>
      </c>
      <c r="M323" s="2" t="str">
        <f>IFERROR(__xludf.DUMMYFUNCTION("IMPORTRANGE(""https://docs.google.com/spreadsheets/d/""&amp;$A323&amp;""/edit#gid=156619080"",M$3)"),"#REF!")</f>
        <v>#REF!</v>
      </c>
      <c r="N323" s="2" t="str">
        <f>IFERROR(__xludf.DUMMYFUNCTION("IMPORTRANGE(""https://docs.google.com/spreadsheets/d/""&amp;$A323&amp;""/edit#gid=156619080"",N$3)"),"#REF!")</f>
        <v>#REF!</v>
      </c>
      <c r="O323" s="2" t="str">
        <f>IFERROR(__xludf.DUMMYFUNCTION("IMPORTRANGE(""https://docs.google.com/spreadsheets/d/""&amp;$A323&amp;""/edit#gid=156619080"",O$3)"),"#REF!")</f>
        <v>#REF!</v>
      </c>
      <c r="P323" s="2" t="str">
        <f>IFERROR(__xludf.DUMMYFUNCTION("IMPORTRANGE(""https://docs.google.com/spreadsheets/d/""&amp;$A323&amp;""/edit#gid=156619080"",P$3)"),"#REF!")</f>
        <v>#REF!</v>
      </c>
      <c r="Q323" s="2" t="str">
        <f>IFERROR(__xludf.DUMMYFUNCTION("IMPORTRANGE(""https://docs.google.com/spreadsheets/d/""&amp;$A323&amp;""/edit#gid=156619080"",Q$3)"),"#REF!")</f>
        <v>#REF!</v>
      </c>
      <c r="R323" s="2" t="str">
        <f>IFERROR(__xludf.DUMMYFUNCTION("IMPORTRANGE(""https://docs.google.com/spreadsheets/d/""&amp;$A323&amp;""/edit#gid=156619080"",R$3)"),"#REF!")</f>
        <v>#REF!</v>
      </c>
      <c r="S323" s="2" t="str">
        <f>IFERROR(__xludf.DUMMYFUNCTION("IMPORTRANGE(""https://docs.google.com/spreadsheets/d/""&amp;$A323&amp;""/edit#gid=156619080"",S$3)"),"#REF!")</f>
        <v>#REF!</v>
      </c>
      <c r="T323" s="2" t="str">
        <f>IFERROR(__xludf.DUMMYFUNCTION("IMPORTRANGE(""https://docs.google.com/spreadsheets/d/""&amp;$A323&amp;""/edit#gid=156619080"",T$3)"),"#REF!")</f>
        <v>#REF!</v>
      </c>
      <c r="U323" s="2" t="str">
        <f>IFERROR(__xludf.DUMMYFUNCTION("IMPORTRANGE(""https://docs.google.com/spreadsheets/d/""&amp;$A323&amp;""/edit#gid=156619080"",U$3)"),"#REF!")</f>
        <v>#REF!</v>
      </c>
      <c r="V323" s="2" t="str">
        <f>IFERROR(__xludf.DUMMYFUNCTION("IMPORTRANGE(""https://docs.google.com/spreadsheets/d/""&amp;$A323&amp;""/edit#gid=156619080"",V$3)"),"#REF!")</f>
        <v>#REF!</v>
      </c>
      <c r="W323" s="2" t="str">
        <f>IFERROR(__xludf.DUMMYFUNCTION("IMPORTRANGE(""https://docs.google.com/spreadsheets/d/""&amp;$A323&amp;""/edit#gid=156619080"",W$3)"),"#REF!")</f>
        <v>#REF!</v>
      </c>
      <c r="X323" s="2" t="str">
        <f>IFERROR(__xludf.DUMMYFUNCTION("IMPORTRANGE(""https://docs.google.com/spreadsheets/d/""&amp;$A323&amp;""/edit#gid=156619080"",X$3)"),"#REF!")</f>
        <v>#REF!</v>
      </c>
      <c r="Y323" s="2" t="str">
        <f>IFERROR(__xludf.DUMMYFUNCTION("IMPORTRANGE(""https://docs.google.com/spreadsheets/d/""&amp;$A323&amp;""/edit#gid=156619080"",Y$3)"),"#REF!")</f>
        <v>#REF!</v>
      </c>
      <c r="Z323" s="2" t="str">
        <f>IFERROR(__xludf.DUMMYFUNCTION("IMPORTRANGE(""https://docs.google.com/spreadsheets/d/""&amp;$A323&amp;""/edit#gid=156619080"",Z$3)"),"#REF!")</f>
        <v>#REF!</v>
      </c>
      <c r="AA323" s="2" t="str">
        <f>IFERROR(__xludf.DUMMYFUNCTION("IMPORTRANGE(""https://docs.google.com/spreadsheets/d/""&amp;$A323&amp;""/edit#gid=156619080"",AA$3)"),"#REF!")</f>
        <v>#REF!</v>
      </c>
      <c r="AB323" s="2" t="str">
        <f>IFERROR(__xludf.DUMMYFUNCTION("IMPORTRANGE(""https://docs.google.com/spreadsheets/d/""&amp;$A323&amp;""/edit#gid=156619080"",AB$3)"),"#REF!")</f>
        <v>#REF!</v>
      </c>
      <c r="AC323" s="2" t="str">
        <f>IFERROR(__xludf.DUMMYFUNCTION("IMPORTRANGE(""https://docs.google.com/spreadsheets/d/""&amp;$A323&amp;""/edit#gid=156619080"",AC$3)"),"#REF!")</f>
        <v>#REF!</v>
      </c>
      <c r="AD323" s="2" t="str">
        <f>IFERROR(__xludf.DUMMYFUNCTION("IMPORTRANGE(""https://docs.google.com/spreadsheets/d/""&amp;$A323&amp;""/edit#gid=156619080"",AD$3)"),"#REF!")</f>
        <v>#REF!</v>
      </c>
      <c r="AE323" s="2" t="str">
        <f>IFERROR(__xludf.DUMMYFUNCTION("IMPORTRANGE(""https://docs.google.com/spreadsheets/d/""&amp;$A323&amp;""/edit#gid=156619080"",AE$3)"),"#REF!")</f>
        <v>#REF!</v>
      </c>
      <c r="AF323" s="2" t="str">
        <f>IFERROR(__xludf.DUMMYFUNCTION("IMPORTRANGE(""https://docs.google.com/spreadsheets/d/""&amp;$A323&amp;""/edit#gid=156619080"",AF$3)"),"#REF!")</f>
        <v>#REF!</v>
      </c>
      <c r="AG323" s="2" t="str">
        <f>IFERROR(__xludf.DUMMYFUNCTION("IMPORTRANGE(""https://docs.google.com/spreadsheets/d/""&amp;$A323&amp;""/edit#gid=156619080"",AG$3)"),"#REF!")</f>
        <v>#REF!</v>
      </c>
      <c r="AH323" s="2" t="str">
        <f>IFERROR(__xludf.DUMMYFUNCTION("IMPORTRANGE(""https://docs.google.com/spreadsheets/d/""&amp;$A323&amp;""/edit#gid=156619080"",AH$3)"),"#REF!")</f>
        <v>#REF!</v>
      </c>
      <c r="AI323" s="2" t="str">
        <f>IFERROR(__xludf.DUMMYFUNCTION("IMPORTRANGE(""https://docs.google.com/spreadsheets/d/""&amp;$A323&amp;""/edit#gid=156619080"",AI$3)"),"#REF!")</f>
        <v>#REF!</v>
      </c>
      <c r="AJ323" s="2" t="str">
        <f>IFERROR(__xludf.DUMMYFUNCTION("IMPORTRANGE(""https://docs.google.com/spreadsheets/d/""&amp;$A323&amp;""/edit#gid=156619080"",AJ$3)"),"#REF!")</f>
        <v>#REF!</v>
      </c>
      <c r="AK323" s="2" t="str">
        <f>IFERROR(__xludf.DUMMYFUNCTION("IMPORTRANGE(""https://docs.google.com/spreadsheets/d/""&amp;$A323&amp;""/edit#gid=156619080"",AK$3)"),"#REF!")</f>
        <v>#REF!</v>
      </c>
      <c r="AL323" s="2" t="str">
        <f>IFERROR(__xludf.DUMMYFUNCTION("IMPORTRANGE(""https://docs.google.com/spreadsheets/d/""&amp;$A323&amp;""/edit#gid=156619080"",AL$3)"),"#REF!")</f>
        <v>#REF!</v>
      </c>
      <c r="AM323" s="2" t="str">
        <f>IFERROR(__xludf.DUMMYFUNCTION("IMPORTRANGE(""https://docs.google.com/spreadsheets/d/""&amp;$A323&amp;""/edit#gid=156619080"",AM$3)"),"#REF!")</f>
        <v>#REF!</v>
      </c>
      <c r="AN323" s="2" t="str">
        <f>IFERROR(__xludf.DUMMYFUNCTION("IMPORTRANGE(""https://docs.google.com/spreadsheets/d/""&amp;$A323&amp;""/edit#gid=156619080"",AN$3)"),"#REF!")</f>
        <v>#REF!</v>
      </c>
      <c r="AO323" s="2" t="str">
        <f>IFERROR(__xludf.DUMMYFUNCTION("IMPORTRANGE(""https://docs.google.com/spreadsheets/d/""&amp;$A323&amp;""/edit#gid=156619080"",AO$3)"),"#REF!")</f>
        <v>#REF!</v>
      </c>
      <c r="AP323" s="2" t="str">
        <f>IFERROR(__xludf.DUMMYFUNCTION("IMPORTRANGE(""https://docs.google.com/spreadsheets/d/""&amp;$A323&amp;""/edit#gid=156619080"",AP$3)"),"#REF!")</f>
        <v>#REF!</v>
      </c>
      <c r="AQ323" s="2" t="str">
        <f>IFERROR(__xludf.DUMMYFUNCTION("IMPORTRANGE(""https://docs.google.com/spreadsheets/d/""&amp;$A323&amp;""/edit#gid=156619080"",AQ$3)"),"#REF!")</f>
        <v>#REF!</v>
      </c>
      <c r="AR323" s="2" t="str">
        <f>IFERROR(__xludf.DUMMYFUNCTION("IMPORTRANGE(""https://docs.google.com/spreadsheets/d/""&amp;$A323&amp;""/edit#gid=156619080"",AR$3)"),"#REF!")</f>
        <v>#REF!</v>
      </c>
      <c r="AS323" s="19" t="str">
        <f>IFERROR(__xludf.DUMMYFUNCTION("IMPORTRANGE(""https://docs.google.com/spreadsheets/d/""&amp;$A323&amp;""/edit#gid=156619080"",AS$3)"),"#REF!")</f>
        <v>#REF!</v>
      </c>
      <c r="AT323" s="2" t="str">
        <f>IFERROR(__xludf.DUMMYFUNCTION("IMPORTRANGE(""https://docs.google.com/spreadsheets/d/""&amp;$A323&amp;""/edit#gid=156619080"",AT$3)"),"#REF!")</f>
        <v>#REF!</v>
      </c>
      <c r="AU323" s="3" t="str">
        <f>IFERROR(__xludf.DUMMYFUNCTION("IMPORTRANGE(""https://docs.google.com/spreadsheets/d/""&amp;$A323&amp;""/edit#gid=156619080"",AU$3)"),"#REF!")</f>
        <v>#REF!</v>
      </c>
      <c r="AV323" s="2" t="str">
        <f>IFERROR(__xludf.DUMMYFUNCTION("IMPORTRANGE(""https://docs.google.com/spreadsheets/d/""&amp;$A323&amp;""/edit#gid=156619080"",AV$3)"),"#REF!")</f>
        <v>#REF!</v>
      </c>
      <c r="AW323" s="19" t="str">
        <f>IFERROR(__xludf.DUMMYFUNCTION("IMPORTRANGE(""https://docs.google.com/spreadsheets/d/""&amp;$A323&amp;""/edit#gid=156619080"",AW$3)"),"#REF!")</f>
        <v>#REF!</v>
      </c>
      <c r="AX323" s="2" t="str">
        <f>IFERROR(__xludf.DUMMYFUNCTION("IMPORTRANGE(""https://docs.google.com/spreadsheets/d/""&amp;$A323&amp;""/edit#gid=156619080"",AX$3)"),"#REF!")</f>
        <v>#REF!</v>
      </c>
      <c r="AY323" s="2" t="str">
        <f>IFERROR(__xludf.DUMMYFUNCTION("IMPORTRANGE(""https://docs.google.com/spreadsheets/d/""&amp;$A323&amp;""/edit#gid=156619080"",AY$3)"),"#REF!")</f>
        <v>#REF!</v>
      </c>
      <c r="AZ323" s="2" t="str">
        <f>IFERROR(__xludf.DUMMYFUNCTION("IMPORTRANGE(""https://docs.google.com/spreadsheets/d/""&amp;$A323&amp;""/edit#gid=156619080"",AZ$3)"),"#REF!")</f>
        <v>#REF!</v>
      </c>
      <c r="BA323" s="2" t="str">
        <f>IFERROR(__xludf.DUMMYFUNCTION("IMPORTRANGE(""https://docs.google.com/spreadsheets/d/""&amp;$A323&amp;""/edit#gid=156619080"",BA$3)"),"#REF!")</f>
        <v>#REF!</v>
      </c>
      <c r="BB323" s="2" t="str">
        <f>IFERROR(__xludf.DUMMYFUNCTION("IMPORTRANGE(""https://docs.google.com/spreadsheets/d/""&amp;$A323&amp;""/edit#gid=156619080"",BB$3)"),"#REF!")</f>
        <v>#REF!</v>
      </c>
      <c r="BC323" s="2" t="str">
        <f>IFERROR(__xludf.DUMMYFUNCTION("IMPORTRANGE(""https://docs.google.com/spreadsheets/d/""&amp;$A323&amp;""/edit#gid=156619080"",BC$3)"),"#REF!")</f>
        <v>#REF!</v>
      </c>
    </row>
    <row r="324" ht="51.0" customHeight="1">
      <c r="A324" s="7" t="str">
        <f t="shared" si="5"/>
        <v>19ezRs-ErjnbtlVTAieo1e2VXSiB57ewlj-QjsvKEwZw</v>
      </c>
      <c r="B324" s="1" t="s">
        <v>351</v>
      </c>
      <c r="C324" s="2" t="str">
        <f>IFERROR(__xludf.DUMMYFUNCTION("IMPORTRANGE(""https://docs.google.com/spreadsheets/d/""&amp;$A324&amp;""/edit#gid=156619080"",C$3)"),"#REF!")</f>
        <v>#REF!</v>
      </c>
      <c r="D324" s="2" t="str">
        <f>IFERROR(__xludf.DUMMYFUNCTION("IMPORTRANGE(""https://docs.google.com/spreadsheets/d/""&amp;$A324&amp;""/edit#gid=156619080"",D$3)"),"#REF!")</f>
        <v>#REF!</v>
      </c>
      <c r="E324" s="2" t="str">
        <f>IFERROR(__xludf.DUMMYFUNCTION("IMPORTRANGE(""https://docs.google.com/spreadsheets/d/""&amp;$A324&amp;""/edit#gid=156619080"",E$3)"),"#REF!")</f>
        <v>#REF!</v>
      </c>
      <c r="F324" s="2" t="str">
        <f>IFERROR(__xludf.DUMMYFUNCTION("IMPORTRANGE(""https://docs.google.com/spreadsheets/d/""&amp;$A324&amp;""/edit#gid=156619080"",F$3)"),"#REF!")</f>
        <v>#REF!</v>
      </c>
      <c r="G324" s="2" t="str">
        <f>IFERROR(__xludf.DUMMYFUNCTION("IMPORTRANGE(""https://docs.google.com/spreadsheets/d/""&amp;$A324&amp;""/edit#gid=156619080"",G$3)"),"#REF!")</f>
        <v>#REF!</v>
      </c>
      <c r="H324" s="2" t="str">
        <f>IFERROR(__xludf.DUMMYFUNCTION("IMPORTRANGE(""https://docs.google.com/spreadsheets/d/""&amp;$A324&amp;""/edit#gid=156619080"",H$3)"),"#REF!")</f>
        <v>#REF!</v>
      </c>
      <c r="I324" s="2" t="str">
        <f>IFERROR(__xludf.DUMMYFUNCTION("IMPORTRANGE(""https://docs.google.com/spreadsheets/d/""&amp;$A324&amp;""/edit#gid=156619080"",I$3)"),"#REF!")</f>
        <v>#REF!</v>
      </c>
      <c r="J324" s="2" t="str">
        <f>IFERROR(__xludf.DUMMYFUNCTION("IMPORTRANGE(""https://docs.google.com/spreadsheets/d/""&amp;$A324&amp;""/edit#gid=156619080"",J$3)"),"#REF!")</f>
        <v>#REF!</v>
      </c>
      <c r="K324" s="2" t="str">
        <f>IFERROR(__xludf.DUMMYFUNCTION("IMPORTRANGE(""https://docs.google.com/spreadsheets/d/""&amp;$A324&amp;""/edit#gid=156619080"",K$3)"),"#REF!")</f>
        <v>#REF!</v>
      </c>
      <c r="L324" s="2" t="str">
        <f>IFERROR(__xludf.DUMMYFUNCTION("IMPORTRANGE(""https://docs.google.com/spreadsheets/d/""&amp;$A324&amp;""/edit#gid=156619080"",L$3)"),"#REF!")</f>
        <v>#REF!</v>
      </c>
      <c r="M324" s="2" t="str">
        <f>IFERROR(__xludf.DUMMYFUNCTION("IMPORTRANGE(""https://docs.google.com/spreadsheets/d/""&amp;$A324&amp;""/edit#gid=156619080"",M$3)"),"#REF!")</f>
        <v>#REF!</v>
      </c>
      <c r="N324" s="2" t="str">
        <f>IFERROR(__xludf.DUMMYFUNCTION("IMPORTRANGE(""https://docs.google.com/spreadsheets/d/""&amp;$A324&amp;""/edit#gid=156619080"",N$3)"),"#REF!")</f>
        <v>#REF!</v>
      </c>
      <c r="O324" s="2" t="str">
        <f>IFERROR(__xludf.DUMMYFUNCTION("IMPORTRANGE(""https://docs.google.com/spreadsheets/d/""&amp;$A324&amp;""/edit#gid=156619080"",O$3)"),"#REF!")</f>
        <v>#REF!</v>
      </c>
      <c r="P324" s="2" t="str">
        <f>IFERROR(__xludf.DUMMYFUNCTION("IMPORTRANGE(""https://docs.google.com/spreadsheets/d/""&amp;$A324&amp;""/edit#gid=156619080"",P$3)"),"#REF!")</f>
        <v>#REF!</v>
      </c>
      <c r="Q324" s="2" t="str">
        <f>IFERROR(__xludf.DUMMYFUNCTION("IMPORTRANGE(""https://docs.google.com/spreadsheets/d/""&amp;$A324&amp;""/edit#gid=156619080"",Q$3)"),"#REF!")</f>
        <v>#REF!</v>
      </c>
      <c r="R324" s="2" t="str">
        <f>IFERROR(__xludf.DUMMYFUNCTION("IMPORTRANGE(""https://docs.google.com/spreadsheets/d/""&amp;$A324&amp;""/edit#gid=156619080"",R$3)"),"#REF!")</f>
        <v>#REF!</v>
      </c>
      <c r="S324" s="2" t="str">
        <f>IFERROR(__xludf.DUMMYFUNCTION("IMPORTRANGE(""https://docs.google.com/spreadsheets/d/""&amp;$A324&amp;""/edit#gid=156619080"",S$3)"),"#REF!")</f>
        <v>#REF!</v>
      </c>
      <c r="T324" s="2" t="str">
        <f>IFERROR(__xludf.DUMMYFUNCTION("IMPORTRANGE(""https://docs.google.com/spreadsheets/d/""&amp;$A324&amp;""/edit#gid=156619080"",T$3)"),"#REF!")</f>
        <v>#REF!</v>
      </c>
      <c r="U324" s="2" t="str">
        <f>IFERROR(__xludf.DUMMYFUNCTION("IMPORTRANGE(""https://docs.google.com/spreadsheets/d/""&amp;$A324&amp;""/edit#gid=156619080"",U$3)"),"#REF!")</f>
        <v>#REF!</v>
      </c>
      <c r="V324" s="2" t="str">
        <f>IFERROR(__xludf.DUMMYFUNCTION("IMPORTRANGE(""https://docs.google.com/spreadsheets/d/""&amp;$A324&amp;""/edit#gid=156619080"",V$3)"),"#REF!")</f>
        <v>#REF!</v>
      </c>
      <c r="W324" s="2" t="str">
        <f>IFERROR(__xludf.DUMMYFUNCTION("IMPORTRANGE(""https://docs.google.com/spreadsheets/d/""&amp;$A324&amp;""/edit#gid=156619080"",W$3)"),"#REF!")</f>
        <v>#REF!</v>
      </c>
      <c r="X324" s="2" t="str">
        <f>IFERROR(__xludf.DUMMYFUNCTION("IMPORTRANGE(""https://docs.google.com/spreadsheets/d/""&amp;$A324&amp;""/edit#gid=156619080"",X$3)"),"#REF!")</f>
        <v>#REF!</v>
      </c>
      <c r="Y324" s="2" t="str">
        <f>IFERROR(__xludf.DUMMYFUNCTION("IMPORTRANGE(""https://docs.google.com/spreadsheets/d/""&amp;$A324&amp;""/edit#gid=156619080"",Y$3)"),"#REF!")</f>
        <v>#REF!</v>
      </c>
      <c r="Z324" s="2" t="str">
        <f>IFERROR(__xludf.DUMMYFUNCTION("IMPORTRANGE(""https://docs.google.com/spreadsheets/d/""&amp;$A324&amp;""/edit#gid=156619080"",Z$3)"),"#REF!")</f>
        <v>#REF!</v>
      </c>
      <c r="AA324" s="2" t="str">
        <f>IFERROR(__xludf.DUMMYFUNCTION("IMPORTRANGE(""https://docs.google.com/spreadsheets/d/""&amp;$A324&amp;""/edit#gid=156619080"",AA$3)"),"#REF!")</f>
        <v>#REF!</v>
      </c>
      <c r="AB324" s="2" t="str">
        <f>IFERROR(__xludf.DUMMYFUNCTION("IMPORTRANGE(""https://docs.google.com/spreadsheets/d/""&amp;$A324&amp;""/edit#gid=156619080"",AB$3)"),"#REF!")</f>
        <v>#REF!</v>
      </c>
      <c r="AC324" s="2" t="str">
        <f>IFERROR(__xludf.DUMMYFUNCTION("IMPORTRANGE(""https://docs.google.com/spreadsheets/d/""&amp;$A324&amp;""/edit#gid=156619080"",AC$3)"),"#REF!")</f>
        <v>#REF!</v>
      </c>
      <c r="AD324" s="2" t="str">
        <f>IFERROR(__xludf.DUMMYFUNCTION("IMPORTRANGE(""https://docs.google.com/spreadsheets/d/""&amp;$A324&amp;""/edit#gid=156619080"",AD$3)"),"#REF!")</f>
        <v>#REF!</v>
      </c>
      <c r="AE324" s="2" t="str">
        <f>IFERROR(__xludf.DUMMYFUNCTION("IMPORTRANGE(""https://docs.google.com/spreadsheets/d/""&amp;$A324&amp;""/edit#gid=156619080"",AE$3)"),"#REF!")</f>
        <v>#REF!</v>
      </c>
      <c r="AF324" s="2" t="str">
        <f>IFERROR(__xludf.DUMMYFUNCTION("IMPORTRANGE(""https://docs.google.com/spreadsheets/d/""&amp;$A324&amp;""/edit#gid=156619080"",AF$3)"),"#REF!")</f>
        <v>#REF!</v>
      </c>
      <c r="AG324" s="2" t="str">
        <f>IFERROR(__xludf.DUMMYFUNCTION("IMPORTRANGE(""https://docs.google.com/spreadsheets/d/""&amp;$A324&amp;""/edit#gid=156619080"",AG$3)"),"#REF!")</f>
        <v>#REF!</v>
      </c>
      <c r="AH324" s="2" t="str">
        <f>IFERROR(__xludf.DUMMYFUNCTION("IMPORTRANGE(""https://docs.google.com/spreadsheets/d/""&amp;$A324&amp;""/edit#gid=156619080"",AH$3)"),"#REF!")</f>
        <v>#REF!</v>
      </c>
      <c r="AI324" s="2" t="str">
        <f>IFERROR(__xludf.DUMMYFUNCTION("IMPORTRANGE(""https://docs.google.com/spreadsheets/d/""&amp;$A324&amp;""/edit#gid=156619080"",AI$3)"),"#REF!")</f>
        <v>#REF!</v>
      </c>
      <c r="AJ324" s="2" t="str">
        <f>IFERROR(__xludf.DUMMYFUNCTION("IMPORTRANGE(""https://docs.google.com/spreadsheets/d/""&amp;$A324&amp;""/edit#gid=156619080"",AJ$3)"),"#REF!")</f>
        <v>#REF!</v>
      </c>
      <c r="AK324" s="2" t="str">
        <f>IFERROR(__xludf.DUMMYFUNCTION("IMPORTRANGE(""https://docs.google.com/spreadsheets/d/""&amp;$A324&amp;""/edit#gid=156619080"",AK$3)"),"#REF!")</f>
        <v>#REF!</v>
      </c>
      <c r="AL324" s="2" t="str">
        <f>IFERROR(__xludf.DUMMYFUNCTION("IMPORTRANGE(""https://docs.google.com/spreadsheets/d/""&amp;$A324&amp;""/edit#gid=156619080"",AL$3)"),"#REF!")</f>
        <v>#REF!</v>
      </c>
      <c r="AM324" s="2" t="str">
        <f>IFERROR(__xludf.DUMMYFUNCTION("IMPORTRANGE(""https://docs.google.com/spreadsheets/d/""&amp;$A324&amp;""/edit#gid=156619080"",AM$3)"),"#REF!")</f>
        <v>#REF!</v>
      </c>
      <c r="AN324" s="2" t="str">
        <f>IFERROR(__xludf.DUMMYFUNCTION("IMPORTRANGE(""https://docs.google.com/spreadsheets/d/""&amp;$A324&amp;""/edit#gid=156619080"",AN$3)"),"#REF!")</f>
        <v>#REF!</v>
      </c>
      <c r="AO324" s="2" t="str">
        <f>IFERROR(__xludf.DUMMYFUNCTION("IMPORTRANGE(""https://docs.google.com/spreadsheets/d/""&amp;$A324&amp;""/edit#gid=156619080"",AO$3)"),"#REF!")</f>
        <v>#REF!</v>
      </c>
      <c r="AP324" s="2" t="str">
        <f>IFERROR(__xludf.DUMMYFUNCTION("IMPORTRANGE(""https://docs.google.com/spreadsheets/d/""&amp;$A324&amp;""/edit#gid=156619080"",AP$3)"),"#REF!")</f>
        <v>#REF!</v>
      </c>
      <c r="AQ324" s="2" t="str">
        <f>IFERROR(__xludf.DUMMYFUNCTION("IMPORTRANGE(""https://docs.google.com/spreadsheets/d/""&amp;$A324&amp;""/edit#gid=156619080"",AQ$3)"),"#REF!")</f>
        <v>#REF!</v>
      </c>
      <c r="AR324" s="2" t="str">
        <f>IFERROR(__xludf.DUMMYFUNCTION("IMPORTRANGE(""https://docs.google.com/spreadsheets/d/""&amp;$A324&amp;""/edit#gid=156619080"",AR$3)"),"#REF!")</f>
        <v>#REF!</v>
      </c>
      <c r="AS324" s="19" t="str">
        <f>IFERROR(__xludf.DUMMYFUNCTION("IMPORTRANGE(""https://docs.google.com/spreadsheets/d/""&amp;$A324&amp;""/edit#gid=156619080"",AS$3)"),"#REF!")</f>
        <v>#REF!</v>
      </c>
      <c r="AT324" s="2" t="str">
        <f>IFERROR(__xludf.DUMMYFUNCTION("IMPORTRANGE(""https://docs.google.com/spreadsheets/d/""&amp;$A324&amp;""/edit#gid=156619080"",AT$3)"),"#REF!")</f>
        <v>#REF!</v>
      </c>
      <c r="AU324" s="3" t="str">
        <f>IFERROR(__xludf.DUMMYFUNCTION("IMPORTRANGE(""https://docs.google.com/spreadsheets/d/""&amp;$A324&amp;""/edit#gid=156619080"",AU$3)"),"#REF!")</f>
        <v>#REF!</v>
      </c>
      <c r="AV324" s="2" t="str">
        <f>IFERROR(__xludf.DUMMYFUNCTION("IMPORTRANGE(""https://docs.google.com/spreadsheets/d/""&amp;$A324&amp;""/edit#gid=156619080"",AV$3)"),"#REF!")</f>
        <v>#REF!</v>
      </c>
      <c r="AW324" s="19" t="str">
        <f>IFERROR(__xludf.DUMMYFUNCTION("IMPORTRANGE(""https://docs.google.com/spreadsheets/d/""&amp;$A324&amp;""/edit#gid=156619080"",AW$3)"),"#REF!")</f>
        <v>#REF!</v>
      </c>
      <c r="AX324" s="2" t="str">
        <f>IFERROR(__xludf.DUMMYFUNCTION("IMPORTRANGE(""https://docs.google.com/spreadsheets/d/""&amp;$A324&amp;""/edit#gid=156619080"",AX$3)"),"#REF!")</f>
        <v>#REF!</v>
      </c>
      <c r="AY324" s="2" t="str">
        <f>IFERROR(__xludf.DUMMYFUNCTION("IMPORTRANGE(""https://docs.google.com/spreadsheets/d/""&amp;$A324&amp;""/edit#gid=156619080"",AY$3)"),"#REF!")</f>
        <v>#REF!</v>
      </c>
      <c r="AZ324" s="2" t="str">
        <f>IFERROR(__xludf.DUMMYFUNCTION("IMPORTRANGE(""https://docs.google.com/spreadsheets/d/""&amp;$A324&amp;""/edit#gid=156619080"",AZ$3)"),"#REF!")</f>
        <v>#REF!</v>
      </c>
      <c r="BA324" s="2" t="str">
        <f>IFERROR(__xludf.DUMMYFUNCTION("IMPORTRANGE(""https://docs.google.com/spreadsheets/d/""&amp;$A324&amp;""/edit#gid=156619080"",BA$3)"),"#REF!")</f>
        <v>#REF!</v>
      </c>
      <c r="BB324" s="2" t="str">
        <f>IFERROR(__xludf.DUMMYFUNCTION("IMPORTRANGE(""https://docs.google.com/spreadsheets/d/""&amp;$A324&amp;""/edit#gid=156619080"",BB$3)"),"#REF!")</f>
        <v>#REF!</v>
      </c>
      <c r="BC324" s="2" t="str">
        <f>IFERROR(__xludf.DUMMYFUNCTION("IMPORTRANGE(""https://docs.google.com/spreadsheets/d/""&amp;$A324&amp;""/edit#gid=156619080"",BC$3)"),"#REF!")</f>
        <v>#REF!</v>
      </c>
    </row>
    <row r="325" ht="51.0" customHeight="1">
      <c r="A325" s="7" t="str">
        <f t="shared" si="5"/>
        <v>1zMpYavUE_QrEyLzW4QzwcrIKdeXK7ewG1BSHjJuCDbY</v>
      </c>
      <c r="B325" s="1" t="s">
        <v>352</v>
      </c>
      <c r="C325" s="2" t="str">
        <f>IFERROR(__xludf.DUMMYFUNCTION("IMPORTRANGE(""https://docs.google.com/spreadsheets/d/""&amp;$A325&amp;""/edit#gid=156619080"",C$3)"),"#REF!")</f>
        <v>#REF!</v>
      </c>
      <c r="D325" s="2" t="str">
        <f>IFERROR(__xludf.DUMMYFUNCTION("IMPORTRANGE(""https://docs.google.com/spreadsheets/d/""&amp;$A325&amp;""/edit#gid=156619080"",D$3)"),"#REF!")</f>
        <v>#REF!</v>
      </c>
      <c r="E325" s="2" t="str">
        <f>IFERROR(__xludf.DUMMYFUNCTION("IMPORTRANGE(""https://docs.google.com/spreadsheets/d/""&amp;$A325&amp;""/edit#gid=156619080"",E$3)"),"#REF!")</f>
        <v>#REF!</v>
      </c>
      <c r="F325" s="2" t="str">
        <f>IFERROR(__xludf.DUMMYFUNCTION("IMPORTRANGE(""https://docs.google.com/spreadsheets/d/""&amp;$A325&amp;""/edit#gid=156619080"",F$3)"),"#REF!")</f>
        <v>#REF!</v>
      </c>
      <c r="G325" s="2" t="str">
        <f>IFERROR(__xludf.DUMMYFUNCTION("IMPORTRANGE(""https://docs.google.com/spreadsheets/d/""&amp;$A325&amp;""/edit#gid=156619080"",G$3)"),"#REF!")</f>
        <v>#REF!</v>
      </c>
      <c r="H325" s="2" t="str">
        <f>IFERROR(__xludf.DUMMYFUNCTION("IMPORTRANGE(""https://docs.google.com/spreadsheets/d/""&amp;$A325&amp;""/edit#gid=156619080"",H$3)"),"#REF!")</f>
        <v>#REF!</v>
      </c>
      <c r="I325" s="2" t="str">
        <f>IFERROR(__xludf.DUMMYFUNCTION("IMPORTRANGE(""https://docs.google.com/spreadsheets/d/""&amp;$A325&amp;""/edit#gid=156619080"",I$3)"),"#REF!")</f>
        <v>#REF!</v>
      </c>
      <c r="J325" s="2" t="str">
        <f>IFERROR(__xludf.DUMMYFUNCTION("IMPORTRANGE(""https://docs.google.com/spreadsheets/d/""&amp;$A325&amp;""/edit#gid=156619080"",J$3)"),"#REF!")</f>
        <v>#REF!</v>
      </c>
      <c r="K325" s="2" t="str">
        <f>IFERROR(__xludf.DUMMYFUNCTION("IMPORTRANGE(""https://docs.google.com/spreadsheets/d/""&amp;$A325&amp;""/edit#gid=156619080"",K$3)"),"#REF!")</f>
        <v>#REF!</v>
      </c>
      <c r="L325" s="2" t="str">
        <f>IFERROR(__xludf.DUMMYFUNCTION("IMPORTRANGE(""https://docs.google.com/spreadsheets/d/""&amp;$A325&amp;""/edit#gid=156619080"",L$3)"),"#REF!")</f>
        <v>#REF!</v>
      </c>
      <c r="M325" s="2" t="str">
        <f>IFERROR(__xludf.DUMMYFUNCTION("IMPORTRANGE(""https://docs.google.com/spreadsheets/d/""&amp;$A325&amp;""/edit#gid=156619080"",M$3)"),"#REF!")</f>
        <v>#REF!</v>
      </c>
      <c r="N325" s="2" t="str">
        <f>IFERROR(__xludf.DUMMYFUNCTION("IMPORTRANGE(""https://docs.google.com/spreadsheets/d/""&amp;$A325&amp;""/edit#gid=156619080"",N$3)"),"#REF!")</f>
        <v>#REF!</v>
      </c>
      <c r="O325" s="2" t="str">
        <f>IFERROR(__xludf.DUMMYFUNCTION("IMPORTRANGE(""https://docs.google.com/spreadsheets/d/""&amp;$A325&amp;""/edit#gid=156619080"",O$3)"),"#REF!")</f>
        <v>#REF!</v>
      </c>
      <c r="P325" s="2" t="str">
        <f>IFERROR(__xludf.DUMMYFUNCTION("IMPORTRANGE(""https://docs.google.com/spreadsheets/d/""&amp;$A325&amp;""/edit#gid=156619080"",P$3)"),"#REF!")</f>
        <v>#REF!</v>
      </c>
      <c r="Q325" s="2" t="str">
        <f>IFERROR(__xludf.DUMMYFUNCTION("IMPORTRANGE(""https://docs.google.com/spreadsheets/d/""&amp;$A325&amp;""/edit#gid=156619080"",Q$3)"),"#REF!")</f>
        <v>#REF!</v>
      </c>
      <c r="R325" s="2" t="str">
        <f>IFERROR(__xludf.DUMMYFUNCTION("IMPORTRANGE(""https://docs.google.com/spreadsheets/d/""&amp;$A325&amp;""/edit#gid=156619080"",R$3)"),"#REF!")</f>
        <v>#REF!</v>
      </c>
      <c r="S325" s="2" t="str">
        <f>IFERROR(__xludf.DUMMYFUNCTION("IMPORTRANGE(""https://docs.google.com/spreadsheets/d/""&amp;$A325&amp;""/edit#gid=156619080"",S$3)"),"#REF!")</f>
        <v>#REF!</v>
      </c>
      <c r="T325" s="2" t="str">
        <f>IFERROR(__xludf.DUMMYFUNCTION("IMPORTRANGE(""https://docs.google.com/spreadsheets/d/""&amp;$A325&amp;""/edit#gid=156619080"",T$3)"),"#REF!")</f>
        <v>#REF!</v>
      </c>
      <c r="U325" s="2" t="str">
        <f>IFERROR(__xludf.DUMMYFUNCTION("IMPORTRANGE(""https://docs.google.com/spreadsheets/d/""&amp;$A325&amp;""/edit#gid=156619080"",U$3)"),"#REF!")</f>
        <v>#REF!</v>
      </c>
      <c r="V325" s="2" t="str">
        <f>IFERROR(__xludf.DUMMYFUNCTION("IMPORTRANGE(""https://docs.google.com/spreadsheets/d/""&amp;$A325&amp;""/edit#gid=156619080"",V$3)"),"#REF!")</f>
        <v>#REF!</v>
      </c>
      <c r="W325" s="2" t="str">
        <f>IFERROR(__xludf.DUMMYFUNCTION("IMPORTRANGE(""https://docs.google.com/spreadsheets/d/""&amp;$A325&amp;""/edit#gid=156619080"",W$3)"),"#REF!")</f>
        <v>#REF!</v>
      </c>
      <c r="X325" s="2" t="str">
        <f>IFERROR(__xludf.DUMMYFUNCTION("IMPORTRANGE(""https://docs.google.com/spreadsheets/d/""&amp;$A325&amp;""/edit#gid=156619080"",X$3)"),"#REF!")</f>
        <v>#REF!</v>
      </c>
      <c r="Y325" s="2" t="str">
        <f>IFERROR(__xludf.DUMMYFUNCTION("IMPORTRANGE(""https://docs.google.com/spreadsheets/d/""&amp;$A325&amp;""/edit#gid=156619080"",Y$3)"),"#REF!")</f>
        <v>#REF!</v>
      </c>
      <c r="Z325" s="2" t="str">
        <f>IFERROR(__xludf.DUMMYFUNCTION("IMPORTRANGE(""https://docs.google.com/spreadsheets/d/""&amp;$A325&amp;""/edit#gid=156619080"",Z$3)"),"#REF!")</f>
        <v>#REF!</v>
      </c>
      <c r="AA325" s="2" t="str">
        <f>IFERROR(__xludf.DUMMYFUNCTION("IMPORTRANGE(""https://docs.google.com/spreadsheets/d/""&amp;$A325&amp;""/edit#gid=156619080"",AA$3)"),"#REF!")</f>
        <v>#REF!</v>
      </c>
      <c r="AB325" s="2" t="str">
        <f>IFERROR(__xludf.DUMMYFUNCTION("IMPORTRANGE(""https://docs.google.com/spreadsheets/d/""&amp;$A325&amp;""/edit#gid=156619080"",AB$3)"),"#REF!")</f>
        <v>#REF!</v>
      </c>
      <c r="AC325" s="2" t="str">
        <f>IFERROR(__xludf.DUMMYFUNCTION("IMPORTRANGE(""https://docs.google.com/spreadsheets/d/""&amp;$A325&amp;""/edit#gid=156619080"",AC$3)"),"#REF!")</f>
        <v>#REF!</v>
      </c>
      <c r="AD325" s="2" t="str">
        <f>IFERROR(__xludf.DUMMYFUNCTION("IMPORTRANGE(""https://docs.google.com/spreadsheets/d/""&amp;$A325&amp;""/edit#gid=156619080"",AD$3)"),"#REF!")</f>
        <v>#REF!</v>
      </c>
      <c r="AE325" s="2" t="str">
        <f>IFERROR(__xludf.DUMMYFUNCTION("IMPORTRANGE(""https://docs.google.com/spreadsheets/d/""&amp;$A325&amp;""/edit#gid=156619080"",AE$3)"),"#REF!")</f>
        <v>#REF!</v>
      </c>
      <c r="AF325" s="2" t="str">
        <f>IFERROR(__xludf.DUMMYFUNCTION("IMPORTRANGE(""https://docs.google.com/spreadsheets/d/""&amp;$A325&amp;""/edit#gid=156619080"",AF$3)"),"#REF!")</f>
        <v>#REF!</v>
      </c>
      <c r="AG325" s="2" t="str">
        <f>IFERROR(__xludf.DUMMYFUNCTION("IMPORTRANGE(""https://docs.google.com/spreadsheets/d/""&amp;$A325&amp;""/edit#gid=156619080"",AG$3)"),"#REF!")</f>
        <v>#REF!</v>
      </c>
      <c r="AH325" s="2" t="str">
        <f>IFERROR(__xludf.DUMMYFUNCTION("IMPORTRANGE(""https://docs.google.com/spreadsheets/d/""&amp;$A325&amp;""/edit#gid=156619080"",AH$3)"),"#REF!")</f>
        <v>#REF!</v>
      </c>
      <c r="AI325" s="2" t="str">
        <f>IFERROR(__xludf.DUMMYFUNCTION("IMPORTRANGE(""https://docs.google.com/spreadsheets/d/""&amp;$A325&amp;""/edit#gid=156619080"",AI$3)"),"#REF!")</f>
        <v>#REF!</v>
      </c>
      <c r="AJ325" s="2" t="str">
        <f>IFERROR(__xludf.DUMMYFUNCTION("IMPORTRANGE(""https://docs.google.com/spreadsheets/d/""&amp;$A325&amp;""/edit#gid=156619080"",AJ$3)"),"#REF!")</f>
        <v>#REF!</v>
      </c>
      <c r="AK325" s="2" t="str">
        <f>IFERROR(__xludf.DUMMYFUNCTION("IMPORTRANGE(""https://docs.google.com/spreadsheets/d/""&amp;$A325&amp;""/edit#gid=156619080"",AK$3)"),"#REF!")</f>
        <v>#REF!</v>
      </c>
      <c r="AL325" s="2" t="str">
        <f>IFERROR(__xludf.DUMMYFUNCTION("IMPORTRANGE(""https://docs.google.com/spreadsheets/d/""&amp;$A325&amp;""/edit#gid=156619080"",AL$3)"),"#REF!")</f>
        <v>#REF!</v>
      </c>
      <c r="AM325" s="2" t="str">
        <f>IFERROR(__xludf.DUMMYFUNCTION("IMPORTRANGE(""https://docs.google.com/spreadsheets/d/""&amp;$A325&amp;""/edit#gid=156619080"",AM$3)"),"#REF!")</f>
        <v>#REF!</v>
      </c>
      <c r="AN325" s="2" t="str">
        <f>IFERROR(__xludf.DUMMYFUNCTION("IMPORTRANGE(""https://docs.google.com/spreadsheets/d/""&amp;$A325&amp;""/edit#gid=156619080"",AN$3)"),"#REF!")</f>
        <v>#REF!</v>
      </c>
      <c r="AO325" s="2" t="str">
        <f>IFERROR(__xludf.DUMMYFUNCTION("IMPORTRANGE(""https://docs.google.com/spreadsheets/d/""&amp;$A325&amp;""/edit#gid=156619080"",AO$3)"),"#REF!")</f>
        <v>#REF!</v>
      </c>
      <c r="AP325" s="2" t="str">
        <f>IFERROR(__xludf.DUMMYFUNCTION("IMPORTRANGE(""https://docs.google.com/spreadsheets/d/""&amp;$A325&amp;""/edit#gid=156619080"",AP$3)"),"#REF!")</f>
        <v>#REF!</v>
      </c>
      <c r="AQ325" s="2" t="str">
        <f>IFERROR(__xludf.DUMMYFUNCTION("IMPORTRANGE(""https://docs.google.com/spreadsheets/d/""&amp;$A325&amp;""/edit#gid=156619080"",AQ$3)"),"#REF!")</f>
        <v>#REF!</v>
      </c>
      <c r="AR325" s="2" t="str">
        <f>IFERROR(__xludf.DUMMYFUNCTION("IMPORTRANGE(""https://docs.google.com/spreadsheets/d/""&amp;$A325&amp;""/edit#gid=156619080"",AR$3)"),"#REF!")</f>
        <v>#REF!</v>
      </c>
      <c r="AS325" s="19" t="str">
        <f>IFERROR(__xludf.DUMMYFUNCTION("IMPORTRANGE(""https://docs.google.com/spreadsheets/d/""&amp;$A325&amp;""/edit#gid=156619080"",AS$3)"),"#REF!")</f>
        <v>#REF!</v>
      </c>
      <c r="AT325" s="2" t="str">
        <f>IFERROR(__xludf.DUMMYFUNCTION("IMPORTRANGE(""https://docs.google.com/spreadsheets/d/""&amp;$A325&amp;""/edit#gid=156619080"",AT$3)"),"#REF!")</f>
        <v>#REF!</v>
      </c>
      <c r="AU325" s="3" t="str">
        <f>IFERROR(__xludf.DUMMYFUNCTION("IMPORTRANGE(""https://docs.google.com/spreadsheets/d/""&amp;$A325&amp;""/edit#gid=156619080"",AU$3)"),"#REF!")</f>
        <v>#REF!</v>
      </c>
      <c r="AV325" s="2" t="str">
        <f>IFERROR(__xludf.DUMMYFUNCTION("IMPORTRANGE(""https://docs.google.com/spreadsheets/d/""&amp;$A325&amp;""/edit#gid=156619080"",AV$3)"),"#REF!")</f>
        <v>#REF!</v>
      </c>
      <c r="AW325" s="19" t="str">
        <f>IFERROR(__xludf.DUMMYFUNCTION("IMPORTRANGE(""https://docs.google.com/spreadsheets/d/""&amp;$A325&amp;""/edit#gid=156619080"",AW$3)"),"#REF!")</f>
        <v>#REF!</v>
      </c>
      <c r="AX325" s="2" t="str">
        <f>IFERROR(__xludf.DUMMYFUNCTION("IMPORTRANGE(""https://docs.google.com/spreadsheets/d/""&amp;$A325&amp;""/edit#gid=156619080"",AX$3)"),"#REF!")</f>
        <v>#REF!</v>
      </c>
      <c r="AY325" s="2" t="str">
        <f>IFERROR(__xludf.DUMMYFUNCTION("IMPORTRANGE(""https://docs.google.com/spreadsheets/d/""&amp;$A325&amp;""/edit#gid=156619080"",AY$3)"),"#REF!")</f>
        <v>#REF!</v>
      </c>
      <c r="AZ325" s="2" t="str">
        <f>IFERROR(__xludf.DUMMYFUNCTION("IMPORTRANGE(""https://docs.google.com/spreadsheets/d/""&amp;$A325&amp;""/edit#gid=156619080"",AZ$3)"),"#REF!")</f>
        <v>#REF!</v>
      </c>
      <c r="BA325" s="2" t="str">
        <f>IFERROR(__xludf.DUMMYFUNCTION("IMPORTRANGE(""https://docs.google.com/spreadsheets/d/""&amp;$A325&amp;""/edit#gid=156619080"",BA$3)"),"#REF!")</f>
        <v>#REF!</v>
      </c>
      <c r="BB325" s="2" t="str">
        <f>IFERROR(__xludf.DUMMYFUNCTION("IMPORTRANGE(""https://docs.google.com/spreadsheets/d/""&amp;$A325&amp;""/edit#gid=156619080"",BB$3)"),"#REF!")</f>
        <v>#REF!</v>
      </c>
      <c r="BC325" s="2" t="str">
        <f>IFERROR(__xludf.DUMMYFUNCTION("IMPORTRANGE(""https://docs.google.com/spreadsheets/d/""&amp;$A325&amp;""/edit#gid=156619080"",BC$3)"),"#REF!")</f>
        <v>#REF!</v>
      </c>
    </row>
    <row r="326" ht="51.0" customHeight="1">
      <c r="A326" s="7" t="str">
        <f t="shared" si="5"/>
        <v>1WxCBVfVQ0KaXA5bwZWeLfigg6u8mkUVdicd1RXoZ33g</v>
      </c>
      <c r="B326" s="1" t="s">
        <v>353</v>
      </c>
      <c r="C326" s="2" t="str">
        <f>IFERROR(__xludf.DUMMYFUNCTION("IMPORTRANGE(""https://docs.google.com/spreadsheets/d/""&amp;$A326&amp;""/edit#gid=156619080"",C$3)"),"#REF!")</f>
        <v>#REF!</v>
      </c>
      <c r="D326" s="2" t="str">
        <f>IFERROR(__xludf.DUMMYFUNCTION("IMPORTRANGE(""https://docs.google.com/spreadsheets/d/""&amp;$A326&amp;""/edit#gid=156619080"",D$3)"),"#REF!")</f>
        <v>#REF!</v>
      </c>
      <c r="E326" s="2" t="str">
        <f>IFERROR(__xludf.DUMMYFUNCTION("IMPORTRANGE(""https://docs.google.com/spreadsheets/d/""&amp;$A326&amp;""/edit#gid=156619080"",E$3)"),"#REF!")</f>
        <v>#REF!</v>
      </c>
      <c r="F326" s="2" t="str">
        <f>IFERROR(__xludf.DUMMYFUNCTION("IMPORTRANGE(""https://docs.google.com/spreadsheets/d/""&amp;$A326&amp;""/edit#gid=156619080"",F$3)"),"#REF!")</f>
        <v>#REF!</v>
      </c>
      <c r="G326" s="2" t="str">
        <f>IFERROR(__xludf.DUMMYFUNCTION("IMPORTRANGE(""https://docs.google.com/spreadsheets/d/""&amp;$A326&amp;""/edit#gid=156619080"",G$3)"),"#REF!")</f>
        <v>#REF!</v>
      </c>
      <c r="H326" s="2" t="str">
        <f>IFERROR(__xludf.DUMMYFUNCTION("IMPORTRANGE(""https://docs.google.com/spreadsheets/d/""&amp;$A326&amp;""/edit#gid=156619080"",H$3)"),"#REF!")</f>
        <v>#REF!</v>
      </c>
      <c r="I326" s="2" t="str">
        <f>IFERROR(__xludf.DUMMYFUNCTION("IMPORTRANGE(""https://docs.google.com/spreadsheets/d/""&amp;$A326&amp;""/edit#gid=156619080"",I$3)"),"#REF!")</f>
        <v>#REF!</v>
      </c>
      <c r="J326" s="2" t="str">
        <f>IFERROR(__xludf.DUMMYFUNCTION("IMPORTRANGE(""https://docs.google.com/spreadsheets/d/""&amp;$A326&amp;""/edit#gid=156619080"",J$3)"),"#REF!")</f>
        <v>#REF!</v>
      </c>
      <c r="K326" s="2" t="str">
        <f>IFERROR(__xludf.DUMMYFUNCTION("IMPORTRANGE(""https://docs.google.com/spreadsheets/d/""&amp;$A326&amp;""/edit#gid=156619080"",K$3)"),"#REF!")</f>
        <v>#REF!</v>
      </c>
      <c r="L326" s="2" t="str">
        <f>IFERROR(__xludf.DUMMYFUNCTION("IMPORTRANGE(""https://docs.google.com/spreadsheets/d/""&amp;$A326&amp;""/edit#gid=156619080"",L$3)"),"#REF!")</f>
        <v>#REF!</v>
      </c>
      <c r="M326" s="2" t="str">
        <f>IFERROR(__xludf.DUMMYFUNCTION("IMPORTRANGE(""https://docs.google.com/spreadsheets/d/""&amp;$A326&amp;""/edit#gid=156619080"",M$3)"),"#REF!")</f>
        <v>#REF!</v>
      </c>
      <c r="N326" s="2" t="str">
        <f>IFERROR(__xludf.DUMMYFUNCTION("IMPORTRANGE(""https://docs.google.com/spreadsheets/d/""&amp;$A326&amp;""/edit#gid=156619080"",N$3)"),"#REF!")</f>
        <v>#REF!</v>
      </c>
      <c r="O326" s="2" t="str">
        <f>IFERROR(__xludf.DUMMYFUNCTION("IMPORTRANGE(""https://docs.google.com/spreadsheets/d/""&amp;$A326&amp;""/edit#gid=156619080"",O$3)"),"#REF!")</f>
        <v>#REF!</v>
      </c>
      <c r="P326" s="2" t="str">
        <f>IFERROR(__xludf.DUMMYFUNCTION("IMPORTRANGE(""https://docs.google.com/spreadsheets/d/""&amp;$A326&amp;""/edit#gid=156619080"",P$3)"),"#REF!")</f>
        <v>#REF!</v>
      </c>
      <c r="Q326" s="2" t="str">
        <f>IFERROR(__xludf.DUMMYFUNCTION("IMPORTRANGE(""https://docs.google.com/spreadsheets/d/""&amp;$A326&amp;""/edit#gid=156619080"",Q$3)"),"#REF!")</f>
        <v>#REF!</v>
      </c>
      <c r="R326" s="2" t="str">
        <f>IFERROR(__xludf.DUMMYFUNCTION("IMPORTRANGE(""https://docs.google.com/spreadsheets/d/""&amp;$A326&amp;""/edit#gid=156619080"",R$3)"),"#REF!")</f>
        <v>#REF!</v>
      </c>
      <c r="S326" s="2" t="str">
        <f>IFERROR(__xludf.DUMMYFUNCTION("IMPORTRANGE(""https://docs.google.com/spreadsheets/d/""&amp;$A326&amp;""/edit#gid=156619080"",S$3)"),"#REF!")</f>
        <v>#REF!</v>
      </c>
      <c r="T326" s="2" t="str">
        <f>IFERROR(__xludf.DUMMYFUNCTION("IMPORTRANGE(""https://docs.google.com/spreadsheets/d/""&amp;$A326&amp;""/edit#gid=156619080"",T$3)"),"#REF!")</f>
        <v>#REF!</v>
      </c>
      <c r="U326" s="2" t="str">
        <f>IFERROR(__xludf.DUMMYFUNCTION("IMPORTRANGE(""https://docs.google.com/spreadsheets/d/""&amp;$A326&amp;""/edit#gid=156619080"",U$3)"),"#REF!")</f>
        <v>#REF!</v>
      </c>
      <c r="V326" s="2" t="str">
        <f>IFERROR(__xludf.DUMMYFUNCTION("IMPORTRANGE(""https://docs.google.com/spreadsheets/d/""&amp;$A326&amp;""/edit#gid=156619080"",V$3)"),"#REF!")</f>
        <v>#REF!</v>
      </c>
      <c r="W326" s="2" t="str">
        <f>IFERROR(__xludf.DUMMYFUNCTION("IMPORTRANGE(""https://docs.google.com/spreadsheets/d/""&amp;$A326&amp;""/edit#gid=156619080"",W$3)"),"#REF!")</f>
        <v>#REF!</v>
      </c>
      <c r="X326" s="2" t="str">
        <f>IFERROR(__xludf.DUMMYFUNCTION("IMPORTRANGE(""https://docs.google.com/spreadsheets/d/""&amp;$A326&amp;""/edit#gid=156619080"",X$3)"),"#REF!")</f>
        <v>#REF!</v>
      </c>
      <c r="Y326" s="2" t="str">
        <f>IFERROR(__xludf.DUMMYFUNCTION("IMPORTRANGE(""https://docs.google.com/spreadsheets/d/""&amp;$A326&amp;""/edit#gid=156619080"",Y$3)"),"#REF!")</f>
        <v>#REF!</v>
      </c>
      <c r="Z326" s="2" t="str">
        <f>IFERROR(__xludf.DUMMYFUNCTION("IMPORTRANGE(""https://docs.google.com/spreadsheets/d/""&amp;$A326&amp;""/edit#gid=156619080"",Z$3)"),"#REF!")</f>
        <v>#REF!</v>
      </c>
      <c r="AA326" s="2" t="str">
        <f>IFERROR(__xludf.DUMMYFUNCTION("IMPORTRANGE(""https://docs.google.com/spreadsheets/d/""&amp;$A326&amp;""/edit#gid=156619080"",AA$3)"),"#REF!")</f>
        <v>#REF!</v>
      </c>
      <c r="AB326" s="2" t="str">
        <f>IFERROR(__xludf.DUMMYFUNCTION("IMPORTRANGE(""https://docs.google.com/spreadsheets/d/""&amp;$A326&amp;""/edit#gid=156619080"",AB$3)"),"#REF!")</f>
        <v>#REF!</v>
      </c>
      <c r="AC326" s="2" t="str">
        <f>IFERROR(__xludf.DUMMYFUNCTION("IMPORTRANGE(""https://docs.google.com/spreadsheets/d/""&amp;$A326&amp;""/edit#gid=156619080"",AC$3)"),"#REF!")</f>
        <v>#REF!</v>
      </c>
      <c r="AD326" s="2" t="str">
        <f>IFERROR(__xludf.DUMMYFUNCTION("IMPORTRANGE(""https://docs.google.com/spreadsheets/d/""&amp;$A326&amp;""/edit#gid=156619080"",AD$3)"),"#REF!")</f>
        <v>#REF!</v>
      </c>
      <c r="AE326" s="2" t="str">
        <f>IFERROR(__xludf.DUMMYFUNCTION("IMPORTRANGE(""https://docs.google.com/spreadsheets/d/""&amp;$A326&amp;""/edit#gid=156619080"",AE$3)"),"#REF!")</f>
        <v>#REF!</v>
      </c>
      <c r="AF326" s="2" t="str">
        <f>IFERROR(__xludf.DUMMYFUNCTION("IMPORTRANGE(""https://docs.google.com/spreadsheets/d/""&amp;$A326&amp;""/edit#gid=156619080"",AF$3)"),"#REF!")</f>
        <v>#REF!</v>
      </c>
      <c r="AG326" s="2" t="str">
        <f>IFERROR(__xludf.DUMMYFUNCTION("IMPORTRANGE(""https://docs.google.com/spreadsheets/d/""&amp;$A326&amp;""/edit#gid=156619080"",AG$3)"),"#REF!")</f>
        <v>#REF!</v>
      </c>
      <c r="AH326" s="2" t="str">
        <f>IFERROR(__xludf.DUMMYFUNCTION("IMPORTRANGE(""https://docs.google.com/spreadsheets/d/""&amp;$A326&amp;""/edit#gid=156619080"",AH$3)"),"#REF!")</f>
        <v>#REF!</v>
      </c>
      <c r="AI326" s="2" t="str">
        <f>IFERROR(__xludf.DUMMYFUNCTION("IMPORTRANGE(""https://docs.google.com/spreadsheets/d/""&amp;$A326&amp;""/edit#gid=156619080"",AI$3)"),"#REF!")</f>
        <v>#REF!</v>
      </c>
      <c r="AJ326" s="2" t="str">
        <f>IFERROR(__xludf.DUMMYFUNCTION("IMPORTRANGE(""https://docs.google.com/spreadsheets/d/""&amp;$A326&amp;""/edit#gid=156619080"",AJ$3)"),"#REF!")</f>
        <v>#REF!</v>
      </c>
      <c r="AK326" s="2" t="str">
        <f>IFERROR(__xludf.DUMMYFUNCTION("IMPORTRANGE(""https://docs.google.com/spreadsheets/d/""&amp;$A326&amp;""/edit#gid=156619080"",AK$3)"),"#REF!")</f>
        <v>#REF!</v>
      </c>
      <c r="AL326" s="2" t="str">
        <f>IFERROR(__xludf.DUMMYFUNCTION("IMPORTRANGE(""https://docs.google.com/spreadsheets/d/""&amp;$A326&amp;""/edit#gid=156619080"",AL$3)"),"#REF!")</f>
        <v>#REF!</v>
      </c>
      <c r="AM326" s="2" t="str">
        <f>IFERROR(__xludf.DUMMYFUNCTION("IMPORTRANGE(""https://docs.google.com/spreadsheets/d/""&amp;$A326&amp;""/edit#gid=156619080"",AM$3)"),"#REF!")</f>
        <v>#REF!</v>
      </c>
      <c r="AN326" s="2" t="str">
        <f>IFERROR(__xludf.DUMMYFUNCTION("IMPORTRANGE(""https://docs.google.com/spreadsheets/d/""&amp;$A326&amp;""/edit#gid=156619080"",AN$3)"),"#REF!")</f>
        <v>#REF!</v>
      </c>
      <c r="AO326" s="2" t="str">
        <f>IFERROR(__xludf.DUMMYFUNCTION("IMPORTRANGE(""https://docs.google.com/spreadsheets/d/""&amp;$A326&amp;""/edit#gid=156619080"",AO$3)"),"#REF!")</f>
        <v>#REF!</v>
      </c>
      <c r="AP326" s="2" t="str">
        <f>IFERROR(__xludf.DUMMYFUNCTION("IMPORTRANGE(""https://docs.google.com/spreadsheets/d/""&amp;$A326&amp;""/edit#gid=156619080"",AP$3)"),"#REF!")</f>
        <v>#REF!</v>
      </c>
      <c r="AQ326" s="2" t="str">
        <f>IFERROR(__xludf.DUMMYFUNCTION("IMPORTRANGE(""https://docs.google.com/spreadsheets/d/""&amp;$A326&amp;""/edit#gid=156619080"",AQ$3)"),"#REF!")</f>
        <v>#REF!</v>
      </c>
      <c r="AR326" s="2" t="str">
        <f>IFERROR(__xludf.DUMMYFUNCTION("IMPORTRANGE(""https://docs.google.com/spreadsheets/d/""&amp;$A326&amp;""/edit#gid=156619080"",AR$3)"),"#REF!")</f>
        <v>#REF!</v>
      </c>
      <c r="AS326" s="19" t="str">
        <f>IFERROR(__xludf.DUMMYFUNCTION("IMPORTRANGE(""https://docs.google.com/spreadsheets/d/""&amp;$A326&amp;""/edit#gid=156619080"",AS$3)"),"#REF!")</f>
        <v>#REF!</v>
      </c>
      <c r="AT326" s="2" t="str">
        <f>IFERROR(__xludf.DUMMYFUNCTION("IMPORTRANGE(""https://docs.google.com/spreadsheets/d/""&amp;$A326&amp;""/edit#gid=156619080"",AT$3)"),"#REF!")</f>
        <v>#REF!</v>
      </c>
      <c r="AU326" s="3" t="str">
        <f>IFERROR(__xludf.DUMMYFUNCTION("IMPORTRANGE(""https://docs.google.com/spreadsheets/d/""&amp;$A326&amp;""/edit#gid=156619080"",AU$3)"),"#REF!")</f>
        <v>#REF!</v>
      </c>
      <c r="AV326" s="2" t="str">
        <f>IFERROR(__xludf.DUMMYFUNCTION("IMPORTRANGE(""https://docs.google.com/spreadsheets/d/""&amp;$A326&amp;""/edit#gid=156619080"",AV$3)"),"#REF!")</f>
        <v>#REF!</v>
      </c>
      <c r="AW326" s="19" t="str">
        <f>IFERROR(__xludf.DUMMYFUNCTION("IMPORTRANGE(""https://docs.google.com/spreadsheets/d/""&amp;$A326&amp;""/edit#gid=156619080"",AW$3)"),"#REF!")</f>
        <v>#REF!</v>
      </c>
      <c r="AX326" s="2" t="str">
        <f>IFERROR(__xludf.DUMMYFUNCTION("IMPORTRANGE(""https://docs.google.com/spreadsheets/d/""&amp;$A326&amp;""/edit#gid=156619080"",AX$3)"),"#REF!")</f>
        <v>#REF!</v>
      </c>
      <c r="AY326" s="2" t="str">
        <f>IFERROR(__xludf.DUMMYFUNCTION("IMPORTRANGE(""https://docs.google.com/spreadsheets/d/""&amp;$A326&amp;""/edit#gid=156619080"",AY$3)"),"#REF!")</f>
        <v>#REF!</v>
      </c>
      <c r="AZ326" s="2" t="str">
        <f>IFERROR(__xludf.DUMMYFUNCTION("IMPORTRANGE(""https://docs.google.com/spreadsheets/d/""&amp;$A326&amp;""/edit#gid=156619080"",AZ$3)"),"#REF!")</f>
        <v>#REF!</v>
      </c>
      <c r="BA326" s="2" t="str">
        <f>IFERROR(__xludf.DUMMYFUNCTION("IMPORTRANGE(""https://docs.google.com/spreadsheets/d/""&amp;$A326&amp;""/edit#gid=156619080"",BA$3)"),"#REF!")</f>
        <v>#REF!</v>
      </c>
      <c r="BB326" s="2" t="str">
        <f>IFERROR(__xludf.DUMMYFUNCTION("IMPORTRANGE(""https://docs.google.com/spreadsheets/d/""&amp;$A326&amp;""/edit#gid=156619080"",BB$3)"),"#REF!")</f>
        <v>#REF!</v>
      </c>
      <c r="BC326" s="2" t="str">
        <f>IFERROR(__xludf.DUMMYFUNCTION("IMPORTRANGE(""https://docs.google.com/spreadsheets/d/""&amp;$A326&amp;""/edit#gid=156619080"",BC$3)"),"#REF!")</f>
        <v>#REF!</v>
      </c>
    </row>
    <row r="327" ht="51.0" customHeight="1">
      <c r="A327" s="7" t="str">
        <f t="shared" si="5"/>
        <v>1eJhGhpfWI-qSd5H5l9DzbUNH2hd27_Lp-xit1mlUPTA</v>
      </c>
      <c r="B327" s="1" t="s">
        <v>354</v>
      </c>
      <c r="C327" s="2" t="str">
        <f>IFERROR(__xludf.DUMMYFUNCTION("IMPORTRANGE(""https://docs.google.com/spreadsheets/d/""&amp;$A327&amp;""/edit#gid=156619080"",C$3)"),"#REF!")</f>
        <v>#REF!</v>
      </c>
      <c r="D327" s="2" t="str">
        <f>IFERROR(__xludf.DUMMYFUNCTION("IMPORTRANGE(""https://docs.google.com/spreadsheets/d/""&amp;$A327&amp;""/edit#gid=156619080"",D$3)"),"#REF!")</f>
        <v>#REF!</v>
      </c>
      <c r="E327" s="2" t="str">
        <f>IFERROR(__xludf.DUMMYFUNCTION("IMPORTRANGE(""https://docs.google.com/spreadsheets/d/""&amp;$A327&amp;""/edit#gid=156619080"",E$3)"),"#REF!")</f>
        <v>#REF!</v>
      </c>
      <c r="F327" s="2" t="str">
        <f>IFERROR(__xludf.DUMMYFUNCTION("IMPORTRANGE(""https://docs.google.com/spreadsheets/d/""&amp;$A327&amp;""/edit#gid=156619080"",F$3)"),"#REF!")</f>
        <v>#REF!</v>
      </c>
      <c r="G327" s="2" t="str">
        <f>IFERROR(__xludf.DUMMYFUNCTION("IMPORTRANGE(""https://docs.google.com/spreadsheets/d/""&amp;$A327&amp;""/edit#gid=156619080"",G$3)"),"#REF!")</f>
        <v>#REF!</v>
      </c>
      <c r="H327" s="2" t="str">
        <f>IFERROR(__xludf.DUMMYFUNCTION("IMPORTRANGE(""https://docs.google.com/spreadsheets/d/""&amp;$A327&amp;""/edit#gid=156619080"",H$3)"),"#REF!")</f>
        <v>#REF!</v>
      </c>
      <c r="I327" s="2" t="str">
        <f>IFERROR(__xludf.DUMMYFUNCTION("IMPORTRANGE(""https://docs.google.com/spreadsheets/d/""&amp;$A327&amp;""/edit#gid=156619080"",I$3)"),"#REF!")</f>
        <v>#REF!</v>
      </c>
      <c r="J327" s="2" t="str">
        <f>IFERROR(__xludf.DUMMYFUNCTION("IMPORTRANGE(""https://docs.google.com/spreadsheets/d/""&amp;$A327&amp;""/edit#gid=156619080"",J$3)"),"#REF!")</f>
        <v>#REF!</v>
      </c>
      <c r="K327" s="2" t="str">
        <f>IFERROR(__xludf.DUMMYFUNCTION("IMPORTRANGE(""https://docs.google.com/spreadsheets/d/""&amp;$A327&amp;""/edit#gid=156619080"",K$3)"),"#REF!")</f>
        <v>#REF!</v>
      </c>
      <c r="L327" s="2" t="str">
        <f>IFERROR(__xludf.DUMMYFUNCTION("IMPORTRANGE(""https://docs.google.com/spreadsheets/d/""&amp;$A327&amp;""/edit#gid=156619080"",L$3)"),"#REF!")</f>
        <v>#REF!</v>
      </c>
      <c r="M327" s="2" t="str">
        <f>IFERROR(__xludf.DUMMYFUNCTION("IMPORTRANGE(""https://docs.google.com/spreadsheets/d/""&amp;$A327&amp;""/edit#gid=156619080"",M$3)"),"#REF!")</f>
        <v>#REF!</v>
      </c>
      <c r="N327" s="2" t="str">
        <f>IFERROR(__xludf.DUMMYFUNCTION("IMPORTRANGE(""https://docs.google.com/spreadsheets/d/""&amp;$A327&amp;""/edit#gid=156619080"",N$3)"),"#REF!")</f>
        <v>#REF!</v>
      </c>
      <c r="O327" s="2" t="str">
        <f>IFERROR(__xludf.DUMMYFUNCTION("IMPORTRANGE(""https://docs.google.com/spreadsheets/d/""&amp;$A327&amp;""/edit#gid=156619080"",O$3)"),"#REF!")</f>
        <v>#REF!</v>
      </c>
      <c r="P327" s="2" t="str">
        <f>IFERROR(__xludf.DUMMYFUNCTION("IMPORTRANGE(""https://docs.google.com/spreadsheets/d/""&amp;$A327&amp;""/edit#gid=156619080"",P$3)"),"#REF!")</f>
        <v>#REF!</v>
      </c>
      <c r="Q327" s="2" t="str">
        <f>IFERROR(__xludf.DUMMYFUNCTION("IMPORTRANGE(""https://docs.google.com/spreadsheets/d/""&amp;$A327&amp;""/edit#gid=156619080"",Q$3)"),"#REF!")</f>
        <v>#REF!</v>
      </c>
      <c r="R327" s="2" t="str">
        <f>IFERROR(__xludf.DUMMYFUNCTION("IMPORTRANGE(""https://docs.google.com/spreadsheets/d/""&amp;$A327&amp;""/edit#gid=156619080"",R$3)"),"#REF!")</f>
        <v>#REF!</v>
      </c>
      <c r="S327" s="2" t="str">
        <f>IFERROR(__xludf.DUMMYFUNCTION("IMPORTRANGE(""https://docs.google.com/spreadsheets/d/""&amp;$A327&amp;""/edit#gid=156619080"",S$3)"),"#REF!")</f>
        <v>#REF!</v>
      </c>
      <c r="T327" s="2" t="str">
        <f>IFERROR(__xludf.DUMMYFUNCTION("IMPORTRANGE(""https://docs.google.com/spreadsheets/d/""&amp;$A327&amp;""/edit#gid=156619080"",T$3)"),"#REF!")</f>
        <v>#REF!</v>
      </c>
      <c r="U327" s="2" t="str">
        <f>IFERROR(__xludf.DUMMYFUNCTION("IMPORTRANGE(""https://docs.google.com/spreadsheets/d/""&amp;$A327&amp;""/edit#gid=156619080"",U$3)"),"#REF!")</f>
        <v>#REF!</v>
      </c>
      <c r="V327" s="2" t="str">
        <f>IFERROR(__xludf.DUMMYFUNCTION("IMPORTRANGE(""https://docs.google.com/spreadsheets/d/""&amp;$A327&amp;""/edit#gid=156619080"",V$3)"),"#REF!")</f>
        <v>#REF!</v>
      </c>
      <c r="W327" s="2" t="str">
        <f>IFERROR(__xludf.DUMMYFUNCTION("IMPORTRANGE(""https://docs.google.com/spreadsheets/d/""&amp;$A327&amp;""/edit#gid=156619080"",W$3)"),"#REF!")</f>
        <v>#REF!</v>
      </c>
      <c r="X327" s="2" t="str">
        <f>IFERROR(__xludf.DUMMYFUNCTION("IMPORTRANGE(""https://docs.google.com/spreadsheets/d/""&amp;$A327&amp;""/edit#gid=156619080"",X$3)"),"#REF!")</f>
        <v>#REF!</v>
      </c>
      <c r="Y327" s="2" t="str">
        <f>IFERROR(__xludf.DUMMYFUNCTION("IMPORTRANGE(""https://docs.google.com/spreadsheets/d/""&amp;$A327&amp;""/edit#gid=156619080"",Y$3)"),"#REF!")</f>
        <v>#REF!</v>
      </c>
      <c r="Z327" s="2" t="str">
        <f>IFERROR(__xludf.DUMMYFUNCTION("IMPORTRANGE(""https://docs.google.com/spreadsheets/d/""&amp;$A327&amp;""/edit#gid=156619080"",Z$3)"),"#REF!")</f>
        <v>#REF!</v>
      </c>
      <c r="AA327" s="2" t="str">
        <f>IFERROR(__xludf.DUMMYFUNCTION("IMPORTRANGE(""https://docs.google.com/spreadsheets/d/""&amp;$A327&amp;""/edit#gid=156619080"",AA$3)"),"#REF!")</f>
        <v>#REF!</v>
      </c>
      <c r="AB327" s="2" t="str">
        <f>IFERROR(__xludf.DUMMYFUNCTION("IMPORTRANGE(""https://docs.google.com/spreadsheets/d/""&amp;$A327&amp;""/edit#gid=156619080"",AB$3)"),"#REF!")</f>
        <v>#REF!</v>
      </c>
      <c r="AC327" s="2" t="str">
        <f>IFERROR(__xludf.DUMMYFUNCTION("IMPORTRANGE(""https://docs.google.com/spreadsheets/d/""&amp;$A327&amp;""/edit#gid=156619080"",AC$3)"),"#REF!")</f>
        <v>#REF!</v>
      </c>
      <c r="AD327" s="2" t="str">
        <f>IFERROR(__xludf.DUMMYFUNCTION("IMPORTRANGE(""https://docs.google.com/spreadsheets/d/""&amp;$A327&amp;""/edit#gid=156619080"",AD$3)"),"#REF!")</f>
        <v>#REF!</v>
      </c>
      <c r="AE327" s="2" t="str">
        <f>IFERROR(__xludf.DUMMYFUNCTION("IMPORTRANGE(""https://docs.google.com/spreadsheets/d/""&amp;$A327&amp;""/edit#gid=156619080"",AE$3)"),"#REF!")</f>
        <v>#REF!</v>
      </c>
      <c r="AF327" s="2" t="str">
        <f>IFERROR(__xludf.DUMMYFUNCTION("IMPORTRANGE(""https://docs.google.com/spreadsheets/d/""&amp;$A327&amp;""/edit#gid=156619080"",AF$3)"),"#REF!")</f>
        <v>#REF!</v>
      </c>
      <c r="AG327" s="2" t="str">
        <f>IFERROR(__xludf.DUMMYFUNCTION("IMPORTRANGE(""https://docs.google.com/spreadsheets/d/""&amp;$A327&amp;""/edit#gid=156619080"",AG$3)"),"#REF!")</f>
        <v>#REF!</v>
      </c>
      <c r="AH327" s="2" t="str">
        <f>IFERROR(__xludf.DUMMYFUNCTION("IMPORTRANGE(""https://docs.google.com/spreadsheets/d/""&amp;$A327&amp;""/edit#gid=156619080"",AH$3)"),"#REF!")</f>
        <v>#REF!</v>
      </c>
      <c r="AI327" s="2" t="str">
        <f>IFERROR(__xludf.DUMMYFUNCTION("IMPORTRANGE(""https://docs.google.com/spreadsheets/d/""&amp;$A327&amp;""/edit#gid=156619080"",AI$3)"),"#REF!")</f>
        <v>#REF!</v>
      </c>
      <c r="AJ327" s="2" t="str">
        <f>IFERROR(__xludf.DUMMYFUNCTION("IMPORTRANGE(""https://docs.google.com/spreadsheets/d/""&amp;$A327&amp;""/edit#gid=156619080"",AJ$3)"),"#REF!")</f>
        <v>#REF!</v>
      </c>
      <c r="AK327" s="2" t="str">
        <f>IFERROR(__xludf.DUMMYFUNCTION("IMPORTRANGE(""https://docs.google.com/spreadsheets/d/""&amp;$A327&amp;""/edit#gid=156619080"",AK$3)"),"#REF!")</f>
        <v>#REF!</v>
      </c>
      <c r="AL327" s="2" t="str">
        <f>IFERROR(__xludf.DUMMYFUNCTION("IMPORTRANGE(""https://docs.google.com/spreadsheets/d/""&amp;$A327&amp;""/edit#gid=156619080"",AL$3)"),"#REF!")</f>
        <v>#REF!</v>
      </c>
      <c r="AM327" s="2" t="str">
        <f>IFERROR(__xludf.DUMMYFUNCTION("IMPORTRANGE(""https://docs.google.com/spreadsheets/d/""&amp;$A327&amp;""/edit#gid=156619080"",AM$3)"),"#REF!")</f>
        <v>#REF!</v>
      </c>
      <c r="AN327" s="2" t="str">
        <f>IFERROR(__xludf.DUMMYFUNCTION("IMPORTRANGE(""https://docs.google.com/spreadsheets/d/""&amp;$A327&amp;""/edit#gid=156619080"",AN$3)"),"#REF!")</f>
        <v>#REF!</v>
      </c>
      <c r="AO327" s="2" t="str">
        <f>IFERROR(__xludf.DUMMYFUNCTION("IMPORTRANGE(""https://docs.google.com/spreadsheets/d/""&amp;$A327&amp;""/edit#gid=156619080"",AO$3)"),"#REF!")</f>
        <v>#REF!</v>
      </c>
      <c r="AP327" s="2" t="str">
        <f>IFERROR(__xludf.DUMMYFUNCTION("IMPORTRANGE(""https://docs.google.com/spreadsheets/d/""&amp;$A327&amp;""/edit#gid=156619080"",AP$3)"),"#REF!")</f>
        <v>#REF!</v>
      </c>
      <c r="AQ327" s="2" t="str">
        <f>IFERROR(__xludf.DUMMYFUNCTION("IMPORTRANGE(""https://docs.google.com/spreadsheets/d/""&amp;$A327&amp;""/edit#gid=156619080"",AQ$3)"),"#REF!")</f>
        <v>#REF!</v>
      </c>
      <c r="AR327" s="2" t="str">
        <f>IFERROR(__xludf.DUMMYFUNCTION("IMPORTRANGE(""https://docs.google.com/spreadsheets/d/""&amp;$A327&amp;""/edit#gid=156619080"",AR$3)"),"#REF!")</f>
        <v>#REF!</v>
      </c>
      <c r="AS327" s="19" t="str">
        <f>IFERROR(__xludf.DUMMYFUNCTION("IMPORTRANGE(""https://docs.google.com/spreadsheets/d/""&amp;$A327&amp;""/edit#gid=156619080"",AS$3)"),"#REF!")</f>
        <v>#REF!</v>
      </c>
      <c r="AT327" s="2" t="str">
        <f>IFERROR(__xludf.DUMMYFUNCTION("IMPORTRANGE(""https://docs.google.com/spreadsheets/d/""&amp;$A327&amp;""/edit#gid=156619080"",AT$3)"),"#REF!")</f>
        <v>#REF!</v>
      </c>
      <c r="AU327" s="3" t="str">
        <f>IFERROR(__xludf.DUMMYFUNCTION("IMPORTRANGE(""https://docs.google.com/spreadsheets/d/""&amp;$A327&amp;""/edit#gid=156619080"",AU$3)"),"#REF!")</f>
        <v>#REF!</v>
      </c>
      <c r="AV327" s="2" t="str">
        <f>IFERROR(__xludf.DUMMYFUNCTION("IMPORTRANGE(""https://docs.google.com/spreadsheets/d/""&amp;$A327&amp;""/edit#gid=156619080"",AV$3)"),"#REF!")</f>
        <v>#REF!</v>
      </c>
      <c r="AW327" s="19" t="str">
        <f>IFERROR(__xludf.DUMMYFUNCTION("IMPORTRANGE(""https://docs.google.com/spreadsheets/d/""&amp;$A327&amp;""/edit#gid=156619080"",AW$3)"),"#REF!")</f>
        <v>#REF!</v>
      </c>
      <c r="AX327" s="2" t="str">
        <f>IFERROR(__xludf.DUMMYFUNCTION("IMPORTRANGE(""https://docs.google.com/spreadsheets/d/""&amp;$A327&amp;""/edit#gid=156619080"",AX$3)"),"#REF!")</f>
        <v>#REF!</v>
      </c>
      <c r="AY327" s="2" t="str">
        <f>IFERROR(__xludf.DUMMYFUNCTION("IMPORTRANGE(""https://docs.google.com/spreadsheets/d/""&amp;$A327&amp;""/edit#gid=156619080"",AY$3)"),"#REF!")</f>
        <v>#REF!</v>
      </c>
      <c r="AZ327" s="2" t="str">
        <f>IFERROR(__xludf.DUMMYFUNCTION("IMPORTRANGE(""https://docs.google.com/spreadsheets/d/""&amp;$A327&amp;""/edit#gid=156619080"",AZ$3)"),"#REF!")</f>
        <v>#REF!</v>
      </c>
      <c r="BA327" s="2" t="str">
        <f>IFERROR(__xludf.DUMMYFUNCTION("IMPORTRANGE(""https://docs.google.com/spreadsheets/d/""&amp;$A327&amp;""/edit#gid=156619080"",BA$3)"),"#REF!")</f>
        <v>#REF!</v>
      </c>
      <c r="BB327" s="2" t="str">
        <f>IFERROR(__xludf.DUMMYFUNCTION("IMPORTRANGE(""https://docs.google.com/spreadsheets/d/""&amp;$A327&amp;""/edit#gid=156619080"",BB$3)"),"#REF!")</f>
        <v>#REF!</v>
      </c>
      <c r="BC327" s="2" t="str">
        <f>IFERROR(__xludf.DUMMYFUNCTION("IMPORTRANGE(""https://docs.google.com/spreadsheets/d/""&amp;$A327&amp;""/edit#gid=156619080"",BC$3)"),"#REF!")</f>
        <v>#REF!</v>
      </c>
    </row>
    <row r="328" ht="51.0" customHeight="1">
      <c r="A328" s="7" t="str">
        <f t="shared" si="5"/>
        <v>1MDhBiYzYhGqcsRyBJsmtDgH6hAizAYoEpwQyvonFdXs</v>
      </c>
      <c r="B328" s="1" t="s">
        <v>355</v>
      </c>
      <c r="C328" s="2" t="str">
        <f>IFERROR(__xludf.DUMMYFUNCTION("IMPORTRANGE(""https://docs.google.com/spreadsheets/d/""&amp;$A328&amp;""/edit#gid=156619080"",C$3)"),"#REF!")</f>
        <v>#REF!</v>
      </c>
      <c r="D328" s="2" t="str">
        <f>IFERROR(__xludf.DUMMYFUNCTION("IMPORTRANGE(""https://docs.google.com/spreadsheets/d/""&amp;$A328&amp;""/edit#gid=156619080"",D$3)"),"#REF!")</f>
        <v>#REF!</v>
      </c>
      <c r="E328" s="2" t="str">
        <f>IFERROR(__xludf.DUMMYFUNCTION("IMPORTRANGE(""https://docs.google.com/spreadsheets/d/""&amp;$A328&amp;""/edit#gid=156619080"",E$3)"),"#REF!")</f>
        <v>#REF!</v>
      </c>
      <c r="F328" s="2" t="str">
        <f>IFERROR(__xludf.DUMMYFUNCTION("IMPORTRANGE(""https://docs.google.com/spreadsheets/d/""&amp;$A328&amp;""/edit#gid=156619080"",F$3)"),"#REF!")</f>
        <v>#REF!</v>
      </c>
      <c r="G328" s="2" t="str">
        <f>IFERROR(__xludf.DUMMYFUNCTION("IMPORTRANGE(""https://docs.google.com/spreadsheets/d/""&amp;$A328&amp;""/edit#gid=156619080"",G$3)"),"#REF!")</f>
        <v>#REF!</v>
      </c>
      <c r="H328" s="2" t="str">
        <f>IFERROR(__xludf.DUMMYFUNCTION("IMPORTRANGE(""https://docs.google.com/spreadsheets/d/""&amp;$A328&amp;""/edit#gid=156619080"",H$3)"),"#REF!")</f>
        <v>#REF!</v>
      </c>
      <c r="I328" s="2" t="str">
        <f>IFERROR(__xludf.DUMMYFUNCTION("IMPORTRANGE(""https://docs.google.com/spreadsheets/d/""&amp;$A328&amp;""/edit#gid=156619080"",I$3)"),"#REF!")</f>
        <v>#REF!</v>
      </c>
      <c r="J328" s="2" t="str">
        <f>IFERROR(__xludf.DUMMYFUNCTION("IMPORTRANGE(""https://docs.google.com/spreadsheets/d/""&amp;$A328&amp;""/edit#gid=156619080"",J$3)"),"#REF!")</f>
        <v>#REF!</v>
      </c>
      <c r="K328" s="2" t="str">
        <f>IFERROR(__xludf.DUMMYFUNCTION("IMPORTRANGE(""https://docs.google.com/spreadsheets/d/""&amp;$A328&amp;""/edit#gid=156619080"",K$3)"),"#REF!")</f>
        <v>#REF!</v>
      </c>
      <c r="L328" s="2" t="str">
        <f>IFERROR(__xludf.DUMMYFUNCTION("IMPORTRANGE(""https://docs.google.com/spreadsheets/d/""&amp;$A328&amp;""/edit#gid=156619080"",L$3)"),"#REF!")</f>
        <v>#REF!</v>
      </c>
      <c r="M328" s="2" t="str">
        <f>IFERROR(__xludf.DUMMYFUNCTION("IMPORTRANGE(""https://docs.google.com/spreadsheets/d/""&amp;$A328&amp;""/edit#gid=156619080"",M$3)"),"#REF!")</f>
        <v>#REF!</v>
      </c>
      <c r="N328" s="2" t="str">
        <f>IFERROR(__xludf.DUMMYFUNCTION("IMPORTRANGE(""https://docs.google.com/spreadsheets/d/""&amp;$A328&amp;""/edit#gid=156619080"",N$3)"),"#REF!")</f>
        <v>#REF!</v>
      </c>
      <c r="O328" s="2" t="str">
        <f>IFERROR(__xludf.DUMMYFUNCTION("IMPORTRANGE(""https://docs.google.com/spreadsheets/d/""&amp;$A328&amp;""/edit#gid=156619080"",O$3)"),"#REF!")</f>
        <v>#REF!</v>
      </c>
      <c r="P328" s="2" t="str">
        <f>IFERROR(__xludf.DUMMYFUNCTION("IMPORTRANGE(""https://docs.google.com/spreadsheets/d/""&amp;$A328&amp;""/edit#gid=156619080"",P$3)"),"#REF!")</f>
        <v>#REF!</v>
      </c>
      <c r="Q328" s="2" t="str">
        <f>IFERROR(__xludf.DUMMYFUNCTION("IMPORTRANGE(""https://docs.google.com/spreadsheets/d/""&amp;$A328&amp;""/edit#gid=156619080"",Q$3)"),"#REF!")</f>
        <v>#REF!</v>
      </c>
      <c r="R328" s="2" t="str">
        <f>IFERROR(__xludf.DUMMYFUNCTION("IMPORTRANGE(""https://docs.google.com/spreadsheets/d/""&amp;$A328&amp;""/edit#gid=156619080"",R$3)"),"#REF!")</f>
        <v>#REF!</v>
      </c>
      <c r="S328" s="2" t="str">
        <f>IFERROR(__xludf.DUMMYFUNCTION("IMPORTRANGE(""https://docs.google.com/spreadsheets/d/""&amp;$A328&amp;""/edit#gid=156619080"",S$3)"),"#REF!")</f>
        <v>#REF!</v>
      </c>
      <c r="T328" s="2" t="str">
        <f>IFERROR(__xludf.DUMMYFUNCTION("IMPORTRANGE(""https://docs.google.com/spreadsheets/d/""&amp;$A328&amp;""/edit#gid=156619080"",T$3)"),"#REF!")</f>
        <v>#REF!</v>
      </c>
      <c r="U328" s="2" t="str">
        <f>IFERROR(__xludf.DUMMYFUNCTION("IMPORTRANGE(""https://docs.google.com/spreadsheets/d/""&amp;$A328&amp;""/edit#gid=156619080"",U$3)"),"#REF!")</f>
        <v>#REF!</v>
      </c>
      <c r="V328" s="2" t="str">
        <f>IFERROR(__xludf.DUMMYFUNCTION("IMPORTRANGE(""https://docs.google.com/spreadsheets/d/""&amp;$A328&amp;""/edit#gid=156619080"",V$3)"),"#REF!")</f>
        <v>#REF!</v>
      </c>
      <c r="W328" s="2" t="str">
        <f>IFERROR(__xludf.DUMMYFUNCTION("IMPORTRANGE(""https://docs.google.com/spreadsheets/d/""&amp;$A328&amp;""/edit#gid=156619080"",W$3)"),"#REF!")</f>
        <v>#REF!</v>
      </c>
      <c r="X328" s="2" t="str">
        <f>IFERROR(__xludf.DUMMYFUNCTION("IMPORTRANGE(""https://docs.google.com/spreadsheets/d/""&amp;$A328&amp;""/edit#gid=156619080"",X$3)"),"#REF!")</f>
        <v>#REF!</v>
      </c>
      <c r="Y328" s="2" t="str">
        <f>IFERROR(__xludf.DUMMYFUNCTION("IMPORTRANGE(""https://docs.google.com/spreadsheets/d/""&amp;$A328&amp;""/edit#gid=156619080"",Y$3)"),"#REF!")</f>
        <v>#REF!</v>
      </c>
      <c r="Z328" s="2" t="str">
        <f>IFERROR(__xludf.DUMMYFUNCTION("IMPORTRANGE(""https://docs.google.com/spreadsheets/d/""&amp;$A328&amp;""/edit#gid=156619080"",Z$3)"),"#REF!")</f>
        <v>#REF!</v>
      </c>
      <c r="AA328" s="2" t="str">
        <f>IFERROR(__xludf.DUMMYFUNCTION("IMPORTRANGE(""https://docs.google.com/spreadsheets/d/""&amp;$A328&amp;""/edit#gid=156619080"",AA$3)"),"#REF!")</f>
        <v>#REF!</v>
      </c>
      <c r="AB328" s="2" t="str">
        <f>IFERROR(__xludf.DUMMYFUNCTION("IMPORTRANGE(""https://docs.google.com/spreadsheets/d/""&amp;$A328&amp;""/edit#gid=156619080"",AB$3)"),"#REF!")</f>
        <v>#REF!</v>
      </c>
      <c r="AC328" s="2" t="str">
        <f>IFERROR(__xludf.DUMMYFUNCTION("IMPORTRANGE(""https://docs.google.com/spreadsheets/d/""&amp;$A328&amp;""/edit#gid=156619080"",AC$3)"),"#REF!")</f>
        <v>#REF!</v>
      </c>
      <c r="AD328" s="2" t="str">
        <f>IFERROR(__xludf.DUMMYFUNCTION("IMPORTRANGE(""https://docs.google.com/spreadsheets/d/""&amp;$A328&amp;""/edit#gid=156619080"",AD$3)"),"#REF!")</f>
        <v>#REF!</v>
      </c>
      <c r="AE328" s="2" t="str">
        <f>IFERROR(__xludf.DUMMYFUNCTION("IMPORTRANGE(""https://docs.google.com/spreadsheets/d/""&amp;$A328&amp;""/edit#gid=156619080"",AE$3)"),"#REF!")</f>
        <v>#REF!</v>
      </c>
      <c r="AF328" s="2" t="str">
        <f>IFERROR(__xludf.DUMMYFUNCTION("IMPORTRANGE(""https://docs.google.com/spreadsheets/d/""&amp;$A328&amp;""/edit#gid=156619080"",AF$3)"),"#REF!")</f>
        <v>#REF!</v>
      </c>
      <c r="AG328" s="2" t="str">
        <f>IFERROR(__xludf.DUMMYFUNCTION("IMPORTRANGE(""https://docs.google.com/spreadsheets/d/""&amp;$A328&amp;""/edit#gid=156619080"",AG$3)"),"#REF!")</f>
        <v>#REF!</v>
      </c>
      <c r="AH328" s="2" t="str">
        <f>IFERROR(__xludf.DUMMYFUNCTION("IMPORTRANGE(""https://docs.google.com/spreadsheets/d/""&amp;$A328&amp;""/edit#gid=156619080"",AH$3)"),"#REF!")</f>
        <v>#REF!</v>
      </c>
      <c r="AI328" s="2" t="str">
        <f>IFERROR(__xludf.DUMMYFUNCTION("IMPORTRANGE(""https://docs.google.com/spreadsheets/d/""&amp;$A328&amp;""/edit#gid=156619080"",AI$3)"),"#REF!")</f>
        <v>#REF!</v>
      </c>
      <c r="AJ328" s="2" t="str">
        <f>IFERROR(__xludf.DUMMYFUNCTION("IMPORTRANGE(""https://docs.google.com/spreadsheets/d/""&amp;$A328&amp;""/edit#gid=156619080"",AJ$3)"),"#REF!")</f>
        <v>#REF!</v>
      </c>
      <c r="AK328" s="2" t="str">
        <f>IFERROR(__xludf.DUMMYFUNCTION("IMPORTRANGE(""https://docs.google.com/spreadsheets/d/""&amp;$A328&amp;""/edit#gid=156619080"",AK$3)"),"#REF!")</f>
        <v>#REF!</v>
      </c>
      <c r="AL328" s="2" t="str">
        <f>IFERROR(__xludf.DUMMYFUNCTION("IMPORTRANGE(""https://docs.google.com/spreadsheets/d/""&amp;$A328&amp;""/edit#gid=156619080"",AL$3)"),"#REF!")</f>
        <v>#REF!</v>
      </c>
      <c r="AM328" s="2" t="str">
        <f>IFERROR(__xludf.DUMMYFUNCTION("IMPORTRANGE(""https://docs.google.com/spreadsheets/d/""&amp;$A328&amp;""/edit#gid=156619080"",AM$3)"),"#REF!")</f>
        <v>#REF!</v>
      </c>
      <c r="AN328" s="2" t="str">
        <f>IFERROR(__xludf.DUMMYFUNCTION("IMPORTRANGE(""https://docs.google.com/spreadsheets/d/""&amp;$A328&amp;""/edit#gid=156619080"",AN$3)"),"#REF!")</f>
        <v>#REF!</v>
      </c>
      <c r="AO328" s="2" t="str">
        <f>IFERROR(__xludf.DUMMYFUNCTION("IMPORTRANGE(""https://docs.google.com/spreadsheets/d/""&amp;$A328&amp;""/edit#gid=156619080"",AO$3)"),"#REF!")</f>
        <v>#REF!</v>
      </c>
      <c r="AP328" s="2" t="str">
        <f>IFERROR(__xludf.DUMMYFUNCTION("IMPORTRANGE(""https://docs.google.com/spreadsheets/d/""&amp;$A328&amp;""/edit#gid=156619080"",AP$3)"),"#REF!")</f>
        <v>#REF!</v>
      </c>
      <c r="AQ328" s="2" t="str">
        <f>IFERROR(__xludf.DUMMYFUNCTION("IMPORTRANGE(""https://docs.google.com/spreadsheets/d/""&amp;$A328&amp;""/edit#gid=156619080"",AQ$3)"),"#REF!")</f>
        <v>#REF!</v>
      </c>
      <c r="AR328" s="2" t="str">
        <f>IFERROR(__xludf.DUMMYFUNCTION("IMPORTRANGE(""https://docs.google.com/spreadsheets/d/""&amp;$A328&amp;""/edit#gid=156619080"",AR$3)"),"#REF!")</f>
        <v>#REF!</v>
      </c>
      <c r="AS328" s="19" t="str">
        <f>IFERROR(__xludf.DUMMYFUNCTION("IMPORTRANGE(""https://docs.google.com/spreadsheets/d/""&amp;$A328&amp;""/edit#gid=156619080"",AS$3)"),"#REF!")</f>
        <v>#REF!</v>
      </c>
      <c r="AT328" s="2" t="str">
        <f>IFERROR(__xludf.DUMMYFUNCTION("IMPORTRANGE(""https://docs.google.com/spreadsheets/d/""&amp;$A328&amp;""/edit#gid=156619080"",AT$3)"),"#REF!")</f>
        <v>#REF!</v>
      </c>
      <c r="AU328" s="3" t="str">
        <f>IFERROR(__xludf.DUMMYFUNCTION("IMPORTRANGE(""https://docs.google.com/spreadsheets/d/""&amp;$A328&amp;""/edit#gid=156619080"",AU$3)"),"#REF!")</f>
        <v>#REF!</v>
      </c>
      <c r="AV328" s="2" t="str">
        <f>IFERROR(__xludf.DUMMYFUNCTION("IMPORTRANGE(""https://docs.google.com/spreadsheets/d/""&amp;$A328&amp;""/edit#gid=156619080"",AV$3)"),"#REF!")</f>
        <v>#REF!</v>
      </c>
      <c r="AW328" s="19" t="str">
        <f>IFERROR(__xludf.DUMMYFUNCTION("IMPORTRANGE(""https://docs.google.com/spreadsheets/d/""&amp;$A328&amp;""/edit#gid=156619080"",AW$3)"),"#REF!")</f>
        <v>#REF!</v>
      </c>
      <c r="AX328" s="2" t="str">
        <f>IFERROR(__xludf.DUMMYFUNCTION("IMPORTRANGE(""https://docs.google.com/spreadsheets/d/""&amp;$A328&amp;""/edit#gid=156619080"",AX$3)"),"#REF!")</f>
        <v>#REF!</v>
      </c>
      <c r="AY328" s="2" t="str">
        <f>IFERROR(__xludf.DUMMYFUNCTION("IMPORTRANGE(""https://docs.google.com/spreadsheets/d/""&amp;$A328&amp;""/edit#gid=156619080"",AY$3)"),"#REF!")</f>
        <v>#REF!</v>
      </c>
      <c r="AZ328" s="2" t="str">
        <f>IFERROR(__xludf.DUMMYFUNCTION("IMPORTRANGE(""https://docs.google.com/spreadsheets/d/""&amp;$A328&amp;""/edit#gid=156619080"",AZ$3)"),"#REF!")</f>
        <v>#REF!</v>
      </c>
      <c r="BA328" s="2" t="str">
        <f>IFERROR(__xludf.DUMMYFUNCTION("IMPORTRANGE(""https://docs.google.com/spreadsheets/d/""&amp;$A328&amp;""/edit#gid=156619080"",BA$3)"),"#REF!")</f>
        <v>#REF!</v>
      </c>
      <c r="BB328" s="2" t="str">
        <f>IFERROR(__xludf.DUMMYFUNCTION("IMPORTRANGE(""https://docs.google.com/spreadsheets/d/""&amp;$A328&amp;""/edit#gid=156619080"",BB$3)"),"#REF!")</f>
        <v>#REF!</v>
      </c>
      <c r="BC328" s="2" t="str">
        <f>IFERROR(__xludf.DUMMYFUNCTION("IMPORTRANGE(""https://docs.google.com/spreadsheets/d/""&amp;$A328&amp;""/edit#gid=156619080"",BC$3)"),"#REF!")</f>
        <v>#REF!</v>
      </c>
    </row>
    <row r="329" ht="51.0" customHeight="1">
      <c r="A329" s="7" t="str">
        <f t="shared" si="5"/>
        <v>1K-FyjbMIsSKOgSVuW19b9Vx0JtRBmEMY7L1zy_D_ikE</v>
      </c>
      <c r="B329" s="1" t="s">
        <v>356</v>
      </c>
      <c r="C329" s="2" t="str">
        <f>IFERROR(__xludf.DUMMYFUNCTION("IMPORTRANGE(""https://docs.google.com/spreadsheets/d/""&amp;$A329&amp;""/edit#gid=156619080"",C$3)"),"#REF!")</f>
        <v>#REF!</v>
      </c>
      <c r="D329" s="2" t="str">
        <f>IFERROR(__xludf.DUMMYFUNCTION("IMPORTRANGE(""https://docs.google.com/spreadsheets/d/""&amp;$A329&amp;""/edit#gid=156619080"",D$3)"),"#REF!")</f>
        <v>#REF!</v>
      </c>
      <c r="E329" s="2" t="str">
        <f>IFERROR(__xludf.DUMMYFUNCTION("IMPORTRANGE(""https://docs.google.com/spreadsheets/d/""&amp;$A329&amp;""/edit#gid=156619080"",E$3)"),"#REF!")</f>
        <v>#REF!</v>
      </c>
      <c r="F329" s="2" t="str">
        <f>IFERROR(__xludf.DUMMYFUNCTION("IMPORTRANGE(""https://docs.google.com/spreadsheets/d/""&amp;$A329&amp;""/edit#gid=156619080"",F$3)"),"#REF!")</f>
        <v>#REF!</v>
      </c>
      <c r="G329" s="2" t="str">
        <f>IFERROR(__xludf.DUMMYFUNCTION("IMPORTRANGE(""https://docs.google.com/spreadsheets/d/""&amp;$A329&amp;""/edit#gid=156619080"",G$3)"),"#REF!")</f>
        <v>#REF!</v>
      </c>
      <c r="H329" s="2" t="str">
        <f>IFERROR(__xludf.DUMMYFUNCTION("IMPORTRANGE(""https://docs.google.com/spreadsheets/d/""&amp;$A329&amp;""/edit#gid=156619080"",H$3)"),"#REF!")</f>
        <v>#REF!</v>
      </c>
      <c r="I329" s="2" t="str">
        <f>IFERROR(__xludf.DUMMYFUNCTION("IMPORTRANGE(""https://docs.google.com/spreadsheets/d/""&amp;$A329&amp;""/edit#gid=156619080"",I$3)"),"#REF!")</f>
        <v>#REF!</v>
      </c>
      <c r="J329" s="2" t="str">
        <f>IFERROR(__xludf.DUMMYFUNCTION("IMPORTRANGE(""https://docs.google.com/spreadsheets/d/""&amp;$A329&amp;""/edit#gid=156619080"",J$3)"),"#REF!")</f>
        <v>#REF!</v>
      </c>
      <c r="K329" s="2" t="str">
        <f>IFERROR(__xludf.DUMMYFUNCTION("IMPORTRANGE(""https://docs.google.com/spreadsheets/d/""&amp;$A329&amp;""/edit#gid=156619080"",K$3)"),"#REF!")</f>
        <v>#REF!</v>
      </c>
      <c r="L329" s="2" t="str">
        <f>IFERROR(__xludf.DUMMYFUNCTION("IMPORTRANGE(""https://docs.google.com/spreadsheets/d/""&amp;$A329&amp;""/edit#gid=156619080"",L$3)"),"#REF!")</f>
        <v>#REF!</v>
      </c>
      <c r="M329" s="2" t="str">
        <f>IFERROR(__xludf.DUMMYFUNCTION("IMPORTRANGE(""https://docs.google.com/spreadsheets/d/""&amp;$A329&amp;""/edit#gid=156619080"",M$3)"),"#REF!")</f>
        <v>#REF!</v>
      </c>
      <c r="N329" s="2" t="str">
        <f>IFERROR(__xludf.DUMMYFUNCTION("IMPORTRANGE(""https://docs.google.com/spreadsheets/d/""&amp;$A329&amp;""/edit#gid=156619080"",N$3)"),"#REF!")</f>
        <v>#REF!</v>
      </c>
      <c r="O329" s="2" t="str">
        <f>IFERROR(__xludf.DUMMYFUNCTION("IMPORTRANGE(""https://docs.google.com/spreadsheets/d/""&amp;$A329&amp;""/edit#gid=156619080"",O$3)"),"#REF!")</f>
        <v>#REF!</v>
      </c>
      <c r="P329" s="2" t="str">
        <f>IFERROR(__xludf.DUMMYFUNCTION("IMPORTRANGE(""https://docs.google.com/spreadsheets/d/""&amp;$A329&amp;""/edit#gid=156619080"",P$3)"),"#REF!")</f>
        <v>#REF!</v>
      </c>
      <c r="Q329" s="2" t="str">
        <f>IFERROR(__xludf.DUMMYFUNCTION("IMPORTRANGE(""https://docs.google.com/spreadsheets/d/""&amp;$A329&amp;""/edit#gid=156619080"",Q$3)"),"#REF!")</f>
        <v>#REF!</v>
      </c>
      <c r="R329" s="2" t="str">
        <f>IFERROR(__xludf.DUMMYFUNCTION("IMPORTRANGE(""https://docs.google.com/spreadsheets/d/""&amp;$A329&amp;""/edit#gid=156619080"",R$3)"),"#REF!")</f>
        <v>#REF!</v>
      </c>
      <c r="S329" s="2" t="str">
        <f>IFERROR(__xludf.DUMMYFUNCTION("IMPORTRANGE(""https://docs.google.com/spreadsheets/d/""&amp;$A329&amp;""/edit#gid=156619080"",S$3)"),"#REF!")</f>
        <v>#REF!</v>
      </c>
      <c r="T329" s="2" t="str">
        <f>IFERROR(__xludf.DUMMYFUNCTION("IMPORTRANGE(""https://docs.google.com/spreadsheets/d/""&amp;$A329&amp;""/edit#gid=156619080"",T$3)"),"#REF!")</f>
        <v>#REF!</v>
      </c>
      <c r="U329" s="2" t="str">
        <f>IFERROR(__xludf.DUMMYFUNCTION("IMPORTRANGE(""https://docs.google.com/spreadsheets/d/""&amp;$A329&amp;""/edit#gid=156619080"",U$3)"),"#REF!")</f>
        <v>#REF!</v>
      </c>
      <c r="V329" s="2" t="str">
        <f>IFERROR(__xludf.DUMMYFUNCTION("IMPORTRANGE(""https://docs.google.com/spreadsheets/d/""&amp;$A329&amp;""/edit#gid=156619080"",V$3)"),"#REF!")</f>
        <v>#REF!</v>
      </c>
      <c r="W329" s="2" t="str">
        <f>IFERROR(__xludf.DUMMYFUNCTION("IMPORTRANGE(""https://docs.google.com/spreadsheets/d/""&amp;$A329&amp;""/edit#gid=156619080"",W$3)"),"#REF!")</f>
        <v>#REF!</v>
      </c>
      <c r="X329" s="2" t="str">
        <f>IFERROR(__xludf.DUMMYFUNCTION("IMPORTRANGE(""https://docs.google.com/spreadsheets/d/""&amp;$A329&amp;""/edit#gid=156619080"",X$3)"),"#REF!")</f>
        <v>#REF!</v>
      </c>
      <c r="Y329" s="2" t="str">
        <f>IFERROR(__xludf.DUMMYFUNCTION("IMPORTRANGE(""https://docs.google.com/spreadsheets/d/""&amp;$A329&amp;""/edit#gid=156619080"",Y$3)"),"#REF!")</f>
        <v>#REF!</v>
      </c>
      <c r="Z329" s="2" t="str">
        <f>IFERROR(__xludf.DUMMYFUNCTION("IMPORTRANGE(""https://docs.google.com/spreadsheets/d/""&amp;$A329&amp;""/edit#gid=156619080"",Z$3)"),"#REF!")</f>
        <v>#REF!</v>
      </c>
      <c r="AA329" s="2" t="str">
        <f>IFERROR(__xludf.DUMMYFUNCTION("IMPORTRANGE(""https://docs.google.com/spreadsheets/d/""&amp;$A329&amp;""/edit#gid=156619080"",AA$3)"),"#REF!")</f>
        <v>#REF!</v>
      </c>
      <c r="AB329" s="2" t="str">
        <f>IFERROR(__xludf.DUMMYFUNCTION("IMPORTRANGE(""https://docs.google.com/spreadsheets/d/""&amp;$A329&amp;""/edit#gid=156619080"",AB$3)"),"#REF!")</f>
        <v>#REF!</v>
      </c>
      <c r="AC329" s="2" t="str">
        <f>IFERROR(__xludf.DUMMYFUNCTION("IMPORTRANGE(""https://docs.google.com/spreadsheets/d/""&amp;$A329&amp;""/edit#gid=156619080"",AC$3)"),"#REF!")</f>
        <v>#REF!</v>
      </c>
      <c r="AD329" s="2" t="str">
        <f>IFERROR(__xludf.DUMMYFUNCTION("IMPORTRANGE(""https://docs.google.com/spreadsheets/d/""&amp;$A329&amp;""/edit#gid=156619080"",AD$3)"),"#REF!")</f>
        <v>#REF!</v>
      </c>
      <c r="AE329" s="2" t="str">
        <f>IFERROR(__xludf.DUMMYFUNCTION("IMPORTRANGE(""https://docs.google.com/spreadsheets/d/""&amp;$A329&amp;""/edit#gid=156619080"",AE$3)"),"#REF!")</f>
        <v>#REF!</v>
      </c>
      <c r="AF329" s="2" t="str">
        <f>IFERROR(__xludf.DUMMYFUNCTION("IMPORTRANGE(""https://docs.google.com/spreadsheets/d/""&amp;$A329&amp;""/edit#gid=156619080"",AF$3)"),"#REF!")</f>
        <v>#REF!</v>
      </c>
      <c r="AG329" s="2" t="str">
        <f>IFERROR(__xludf.DUMMYFUNCTION("IMPORTRANGE(""https://docs.google.com/spreadsheets/d/""&amp;$A329&amp;""/edit#gid=156619080"",AG$3)"),"#REF!")</f>
        <v>#REF!</v>
      </c>
      <c r="AH329" s="2" t="str">
        <f>IFERROR(__xludf.DUMMYFUNCTION("IMPORTRANGE(""https://docs.google.com/spreadsheets/d/""&amp;$A329&amp;""/edit#gid=156619080"",AH$3)"),"#REF!")</f>
        <v>#REF!</v>
      </c>
      <c r="AI329" s="2" t="str">
        <f>IFERROR(__xludf.DUMMYFUNCTION("IMPORTRANGE(""https://docs.google.com/spreadsheets/d/""&amp;$A329&amp;""/edit#gid=156619080"",AI$3)"),"#REF!")</f>
        <v>#REF!</v>
      </c>
      <c r="AJ329" s="2" t="str">
        <f>IFERROR(__xludf.DUMMYFUNCTION("IMPORTRANGE(""https://docs.google.com/spreadsheets/d/""&amp;$A329&amp;""/edit#gid=156619080"",AJ$3)"),"#REF!")</f>
        <v>#REF!</v>
      </c>
      <c r="AK329" s="2" t="str">
        <f>IFERROR(__xludf.DUMMYFUNCTION("IMPORTRANGE(""https://docs.google.com/spreadsheets/d/""&amp;$A329&amp;""/edit#gid=156619080"",AK$3)"),"#REF!")</f>
        <v>#REF!</v>
      </c>
      <c r="AL329" s="2" t="str">
        <f>IFERROR(__xludf.DUMMYFUNCTION("IMPORTRANGE(""https://docs.google.com/spreadsheets/d/""&amp;$A329&amp;""/edit#gid=156619080"",AL$3)"),"#REF!")</f>
        <v>#REF!</v>
      </c>
      <c r="AM329" s="2" t="str">
        <f>IFERROR(__xludf.DUMMYFUNCTION("IMPORTRANGE(""https://docs.google.com/spreadsheets/d/""&amp;$A329&amp;""/edit#gid=156619080"",AM$3)"),"#REF!")</f>
        <v>#REF!</v>
      </c>
      <c r="AN329" s="2" t="str">
        <f>IFERROR(__xludf.DUMMYFUNCTION("IMPORTRANGE(""https://docs.google.com/spreadsheets/d/""&amp;$A329&amp;""/edit#gid=156619080"",AN$3)"),"#REF!")</f>
        <v>#REF!</v>
      </c>
      <c r="AO329" s="2" t="str">
        <f>IFERROR(__xludf.DUMMYFUNCTION("IMPORTRANGE(""https://docs.google.com/spreadsheets/d/""&amp;$A329&amp;""/edit#gid=156619080"",AO$3)"),"#REF!")</f>
        <v>#REF!</v>
      </c>
      <c r="AP329" s="2" t="str">
        <f>IFERROR(__xludf.DUMMYFUNCTION("IMPORTRANGE(""https://docs.google.com/spreadsheets/d/""&amp;$A329&amp;""/edit#gid=156619080"",AP$3)"),"#REF!")</f>
        <v>#REF!</v>
      </c>
      <c r="AQ329" s="2" t="str">
        <f>IFERROR(__xludf.DUMMYFUNCTION("IMPORTRANGE(""https://docs.google.com/spreadsheets/d/""&amp;$A329&amp;""/edit#gid=156619080"",AQ$3)"),"#REF!")</f>
        <v>#REF!</v>
      </c>
      <c r="AR329" s="2" t="str">
        <f>IFERROR(__xludf.DUMMYFUNCTION("IMPORTRANGE(""https://docs.google.com/spreadsheets/d/""&amp;$A329&amp;""/edit#gid=156619080"",AR$3)"),"#REF!")</f>
        <v>#REF!</v>
      </c>
      <c r="AS329" s="19" t="str">
        <f>IFERROR(__xludf.DUMMYFUNCTION("IMPORTRANGE(""https://docs.google.com/spreadsheets/d/""&amp;$A329&amp;""/edit#gid=156619080"",AS$3)"),"#REF!")</f>
        <v>#REF!</v>
      </c>
      <c r="AT329" s="2" t="str">
        <f>IFERROR(__xludf.DUMMYFUNCTION("IMPORTRANGE(""https://docs.google.com/spreadsheets/d/""&amp;$A329&amp;""/edit#gid=156619080"",AT$3)"),"#REF!")</f>
        <v>#REF!</v>
      </c>
      <c r="AU329" s="3" t="str">
        <f>IFERROR(__xludf.DUMMYFUNCTION("IMPORTRANGE(""https://docs.google.com/spreadsheets/d/""&amp;$A329&amp;""/edit#gid=156619080"",AU$3)"),"#REF!")</f>
        <v>#REF!</v>
      </c>
      <c r="AV329" s="2" t="str">
        <f>IFERROR(__xludf.DUMMYFUNCTION("IMPORTRANGE(""https://docs.google.com/spreadsheets/d/""&amp;$A329&amp;""/edit#gid=156619080"",AV$3)"),"#REF!")</f>
        <v>#REF!</v>
      </c>
      <c r="AW329" s="19" t="str">
        <f>IFERROR(__xludf.DUMMYFUNCTION("IMPORTRANGE(""https://docs.google.com/spreadsheets/d/""&amp;$A329&amp;""/edit#gid=156619080"",AW$3)"),"#REF!")</f>
        <v>#REF!</v>
      </c>
      <c r="AX329" s="2" t="str">
        <f>IFERROR(__xludf.DUMMYFUNCTION("IMPORTRANGE(""https://docs.google.com/spreadsheets/d/""&amp;$A329&amp;""/edit#gid=156619080"",AX$3)"),"#REF!")</f>
        <v>#REF!</v>
      </c>
      <c r="AY329" s="2" t="str">
        <f>IFERROR(__xludf.DUMMYFUNCTION("IMPORTRANGE(""https://docs.google.com/spreadsheets/d/""&amp;$A329&amp;""/edit#gid=156619080"",AY$3)"),"#REF!")</f>
        <v>#REF!</v>
      </c>
      <c r="AZ329" s="2" t="str">
        <f>IFERROR(__xludf.DUMMYFUNCTION("IMPORTRANGE(""https://docs.google.com/spreadsheets/d/""&amp;$A329&amp;""/edit#gid=156619080"",AZ$3)"),"#REF!")</f>
        <v>#REF!</v>
      </c>
      <c r="BA329" s="2" t="str">
        <f>IFERROR(__xludf.DUMMYFUNCTION("IMPORTRANGE(""https://docs.google.com/spreadsheets/d/""&amp;$A329&amp;""/edit#gid=156619080"",BA$3)"),"#REF!")</f>
        <v>#REF!</v>
      </c>
      <c r="BB329" s="2" t="str">
        <f>IFERROR(__xludf.DUMMYFUNCTION("IMPORTRANGE(""https://docs.google.com/spreadsheets/d/""&amp;$A329&amp;""/edit#gid=156619080"",BB$3)"),"#REF!")</f>
        <v>#REF!</v>
      </c>
      <c r="BC329" s="2" t="str">
        <f>IFERROR(__xludf.DUMMYFUNCTION("IMPORTRANGE(""https://docs.google.com/spreadsheets/d/""&amp;$A329&amp;""/edit#gid=156619080"",BC$3)"),"#REF!")</f>
        <v>#REF!</v>
      </c>
    </row>
    <row r="330" ht="51.0" customHeight="1">
      <c r="A330" s="7" t="str">
        <f t="shared" si="5"/>
        <v>1e4ZhzHj3OoKAiii-_kjD5UfnTMbq6ma4QldOZ64gtrU</v>
      </c>
      <c r="B330" s="1" t="s">
        <v>357</v>
      </c>
      <c r="C330" s="2" t="str">
        <f>IFERROR(__xludf.DUMMYFUNCTION("IMPORTRANGE(""https://docs.google.com/spreadsheets/d/""&amp;$A330&amp;""/edit#gid=156619080"",C$3)"),"#REF!")</f>
        <v>#REF!</v>
      </c>
      <c r="D330" s="2" t="str">
        <f>IFERROR(__xludf.DUMMYFUNCTION("IMPORTRANGE(""https://docs.google.com/spreadsheets/d/""&amp;$A330&amp;""/edit#gid=156619080"",D$3)"),"#REF!")</f>
        <v>#REF!</v>
      </c>
      <c r="E330" s="2" t="str">
        <f>IFERROR(__xludf.DUMMYFUNCTION("IMPORTRANGE(""https://docs.google.com/spreadsheets/d/""&amp;$A330&amp;""/edit#gid=156619080"",E$3)"),"#REF!")</f>
        <v>#REF!</v>
      </c>
      <c r="F330" s="2" t="str">
        <f>IFERROR(__xludf.DUMMYFUNCTION("IMPORTRANGE(""https://docs.google.com/spreadsheets/d/""&amp;$A330&amp;""/edit#gid=156619080"",F$3)"),"#REF!")</f>
        <v>#REF!</v>
      </c>
      <c r="G330" s="2" t="str">
        <f>IFERROR(__xludf.DUMMYFUNCTION("IMPORTRANGE(""https://docs.google.com/spreadsheets/d/""&amp;$A330&amp;""/edit#gid=156619080"",G$3)"),"#REF!")</f>
        <v>#REF!</v>
      </c>
      <c r="H330" s="2" t="str">
        <f>IFERROR(__xludf.DUMMYFUNCTION("IMPORTRANGE(""https://docs.google.com/spreadsheets/d/""&amp;$A330&amp;""/edit#gid=156619080"",H$3)"),"#REF!")</f>
        <v>#REF!</v>
      </c>
      <c r="I330" s="2" t="str">
        <f>IFERROR(__xludf.DUMMYFUNCTION("IMPORTRANGE(""https://docs.google.com/spreadsheets/d/""&amp;$A330&amp;""/edit#gid=156619080"",I$3)"),"#REF!")</f>
        <v>#REF!</v>
      </c>
      <c r="J330" s="2" t="str">
        <f>IFERROR(__xludf.DUMMYFUNCTION("IMPORTRANGE(""https://docs.google.com/spreadsheets/d/""&amp;$A330&amp;""/edit#gid=156619080"",J$3)"),"#REF!")</f>
        <v>#REF!</v>
      </c>
      <c r="K330" s="2" t="str">
        <f>IFERROR(__xludf.DUMMYFUNCTION("IMPORTRANGE(""https://docs.google.com/spreadsheets/d/""&amp;$A330&amp;""/edit#gid=156619080"",K$3)"),"#REF!")</f>
        <v>#REF!</v>
      </c>
      <c r="L330" s="2" t="str">
        <f>IFERROR(__xludf.DUMMYFUNCTION("IMPORTRANGE(""https://docs.google.com/spreadsheets/d/""&amp;$A330&amp;""/edit#gid=156619080"",L$3)"),"#REF!")</f>
        <v>#REF!</v>
      </c>
      <c r="M330" s="2" t="str">
        <f>IFERROR(__xludf.DUMMYFUNCTION("IMPORTRANGE(""https://docs.google.com/spreadsheets/d/""&amp;$A330&amp;""/edit#gid=156619080"",M$3)"),"#REF!")</f>
        <v>#REF!</v>
      </c>
      <c r="N330" s="2" t="str">
        <f>IFERROR(__xludf.DUMMYFUNCTION("IMPORTRANGE(""https://docs.google.com/spreadsheets/d/""&amp;$A330&amp;""/edit#gid=156619080"",N$3)"),"#REF!")</f>
        <v>#REF!</v>
      </c>
      <c r="O330" s="2" t="str">
        <f>IFERROR(__xludf.DUMMYFUNCTION("IMPORTRANGE(""https://docs.google.com/spreadsheets/d/""&amp;$A330&amp;""/edit#gid=156619080"",O$3)"),"#REF!")</f>
        <v>#REF!</v>
      </c>
      <c r="P330" s="2" t="str">
        <f>IFERROR(__xludf.DUMMYFUNCTION("IMPORTRANGE(""https://docs.google.com/spreadsheets/d/""&amp;$A330&amp;""/edit#gid=156619080"",P$3)"),"#REF!")</f>
        <v>#REF!</v>
      </c>
      <c r="Q330" s="2" t="str">
        <f>IFERROR(__xludf.DUMMYFUNCTION("IMPORTRANGE(""https://docs.google.com/spreadsheets/d/""&amp;$A330&amp;""/edit#gid=156619080"",Q$3)"),"#REF!")</f>
        <v>#REF!</v>
      </c>
      <c r="R330" s="2" t="str">
        <f>IFERROR(__xludf.DUMMYFUNCTION("IMPORTRANGE(""https://docs.google.com/spreadsheets/d/""&amp;$A330&amp;""/edit#gid=156619080"",R$3)"),"#REF!")</f>
        <v>#REF!</v>
      </c>
      <c r="S330" s="2" t="str">
        <f>IFERROR(__xludf.DUMMYFUNCTION("IMPORTRANGE(""https://docs.google.com/spreadsheets/d/""&amp;$A330&amp;""/edit#gid=156619080"",S$3)"),"#REF!")</f>
        <v>#REF!</v>
      </c>
      <c r="T330" s="2" t="str">
        <f>IFERROR(__xludf.DUMMYFUNCTION("IMPORTRANGE(""https://docs.google.com/spreadsheets/d/""&amp;$A330&amp;""/edit#gid=156619080"",T$3)"),"#REF!")</f>
        <v>#REF!</v>
      </c>
      <c r="U330" s="2" t="str">
        <f>IFERROR(__xludf.DUMMYFUNCTION("IMPORTRANGE(""https://docs.google.com/spreadsheets/d/""&amp;$A330&amp;""/edit#gid=156619080"",U$3)"),"#REF!")</f>
        <v>#REF!</v>
      </c>
      <c r="V330" s="2" t="str">
        <f>IFERROR(__xludf.DUMMYFUNCTION("IMPORTRANGE(""https://docs.google.com/spreadsheets/d/""&amp;$A330&amp;""/edit#gid=156619080"",V$3)"),"#REF!")</f>
        <v>#REF!</v>
      </c>
      <c r="W330" s="2" t="str">
        <f>IFERROR(__xludf.DUMMYFUNCTION("IMPORTRANGE(""https://docs.google.com/spreadsheets/d/""&amp;$A330&amp;""/edit#gid=156619080"",W$3)"),"#REF!")</f>
        <v>#REF!</v>
      </c>
      <c r="X330" s="2" t="str">
        <f>IFERROR(__xludf.DUMMYFUNCTION("IMPORTRANGE(""https://docs.google.com/spreadsheets/d/""&amp;$A330&amp;""/edit#gid=156619080"",X$3)"),"#REF!")</f>
        <v>#REF!</v>
      </c>
      <c r="Y330" s="2" t="str">
        <f>IFERROR(__xludf.DUMMYFUNCTION("IMPORTRANGE(""https://docs.google.com/spreadsheets/d/""&amp;$A330&amp;""/edit#gid=156619080"",Y$3)"),"#REF!")</f>
        <v>#REF!</v>
      </c>
      <c r="Z330" s="2" t="str">
        <f>IFERROR(__xludf.DUMMYFUNCTION("IMPORTRANGE(""https://docs.google.com/spreadsheets/d/""&amp;$A330&amp;""/edit#gid=156619080"",Z$3)"),"#REF!")</f>
        <v>#REF!</v>
      </c>
      <c r="AA330" s="2" t="str">
        <f>IFERROR(__xludf.DUMMYFUNCTION("IMPORTRANGE(""https://docs.google.com/spreadsheets/d/""&amp;$A330&amp;""/edit#gid=156619080"",AA$3)"),"#REF!")</f>
        <v>#REF!</v>
      </c>
      <c r="AB330" s="2" t="str">
        <f>IFERROR(__xludf.DUMMYFUNCTION("IMPORTRANGE(""https://docs.google.com/spreadsheets/d/""&amp;$A330&amp;""/edit#gid=156619080"",AB$3)"),"#REF!")</f>
        <v>#REF!</v>
      </c>
      <c r="AC330" s="2" t="str">
        <f>IFERROR(__xludf.DUMMYFUNCTION("IMPORTRANGE(""https://docs.google.com/spreadsheets/d/""&amp;$A330&amp;""/edit#gid=156619080"",AC$3)"),"#REF!")</f>
        <v>#REF!</v>
      </c>
      <c r="AD330" s="2" t="str">
        <f>IFERROR(__xludf.DUMMYFUNCTION("IMPORTRANGE(""https://docs.google.com/spreadsheets/d/""&amp;$A330&amp;""/edit#gid=156619080"",AD$3)"),"#REF!")</f>
        <v>#REF!</v>
      </c>
      <c r="AE330" s="2" t="str">
        <f>IFERROR(__xludf.DUMMYFUNCTION("IMPORTRANGE(""https://docs.google.com/spreadsheets/d/""&amp;$A330&amp;""/edit#gid=156619080"",AE$3)"),"#REF!")</f>
        <v>#REF!</v>
      </c>
      <c r="AF330" s="2" t="str">
        <f>IFERROR(__xludf.DUMMYFUNCTION("IMPORTRANGE(""https://docs.google.com/spreadsheets/d/""&amp;$A330&amp;""/edit#gid=156619080"",AF$3)"),"#REF!")</f>
        <v>#REF!</v>
      </c>
      <c r="AG330" s="2" t="str">
        <f>IFERROR(__xludf.DUMMYFUNCTION("IMPORTRANGE(""https://docs.google.com/spreadsheets/d/""&amp;$A330&amp;""/edit#gid=156619080"",AG$3)"),"#REF!")</f>
        <v>#REF!</v>
      </c>
      <c r="AH330" s="2" t="str">
        <f>IFERROR(__xludf.DUMMYFUNCTION("IMPORTRANGE(""https://docs.google.com/spreadsheets/d/""&amp;$A330&amp;""/edit#gid=156619080"",AH$3)"),"#REF!")</f>
        <v>#REF!</v>
      </c>
      <c r="AI330" s="2" t="str">
        <f>IFERROR(__xludf.DUMMYFUNCTION("IMPORTRANGE(""https://docs.google.com/spreadsheets/d/""&amp;$A330&amp;""/edit#gid=156619080"",AI$3)"),"#REF!")</f>
        <v>#REF!</v>
      </c>
      <c r="AJ330" s="2" t="str">
        <f>IFERROR(__xludf.DUMMYFUNCTION("IMPORTRANGE(""https://docs.google.com/spreadsheets/d/""&amp;$A330&amp;""/edit#gid=156619080"",AJ$3)"),"#REF!")</f>
        <v>#REF!</v>
      </c>
      <c r="AK330" s="2" t="str">
        <f>IFERROR(__xludf.DUMMYFUNCTION("IMPORTRANGE(""https://docs.google.com/spreadsheets/d/""&amp;$A330&amp;""/edit#gid=156619080"",AK$3)"),"#REF!")</f>
        <v>#REF!</v>
      </c>
      <c r="AL330" s="2" t="str">
        <f>IFERROR(__xludf.DUMMYFUNCTION("IMPORTRANGE(""https://docs.google.com/spreadsheets/d/""&amp;$A330&amp;""/edit#gid=156619080"",AL$3)"),"#REF!")</f>
        <v>#REF!</v>
      </c>
      <c r="AM330" s="2" t="str">
        <f>IFERROR(__xludf.DUMMYFUNCTION("IMPORTRANGE(""https://docs.google.com/spreadsheets/d/""&amp;$A330&amp;""/edit#gid=156619080"",AM$3)"),"#REF!")</f>
        <v>#REF!</v>
      </c>
      <c r="AN330" s="2" t="str">
        <f>IFERROR(__xludf.DUMMYFUNCTION("IMPORTRANGE(""https://docs.google.com/spreadsheets/d/""&amp;$A330&amp;""/edit#gid=156619080"",AN$3)"),"#REF!")</f>
        <v>#REF!</v>
      </c>
      <c r="AO330" s="2" t="str">
        <f>IFERROR(__xludf.DUMMYFUNCTION("IMPORTRANGE(""https://docs.google.com/spreadsheets/d/""&amp;$A330&amp;""/edit#gid=156619080"",AO$3)"),"#REF!")</f>
        <v>#REF!</v>
      </c>
      <c r="AP330" s="2" t="str">
        <f>IFERROR(__xludf.DUMMYFUNCTION("IMPORTRANGE(""https://docs.google.com/spreadsheets/d/""&amp;$A330&amp;""/edit#gid=156619080"",AP$3)"),"#REF!")</f>
        <v>#REF!</v>
      </c>
      <c r="AQ330" s="2" t="str">
        <f>IFERROR(__xludf.DUMMYFUNCTION("IMPORTRANGE(""https://docs.google.com/spreadsheets/d/""&amp;$A330&amp;""/edit#gid=156619080"",AQ$3)"),"#REF!")</f>
        <v>#REF!</v>
      </c>
      <c r="AR330" s="2" t="str">
        <f>IFERROR(__xludf.DUMMYFUNCTION("IMPORTRANGE(""https://docs.google.com/spreadsheets/d/""&amp;$A330&amp;""/edit#gid=156619080"",AR$3)"),"#REF!")</f>
        <v>#REF!</v>
      </c>
      <c r="AS330" s="19" t="str">
        <f>IFERROR(__xludf.DUMMYFUNCTION("IMPORTRANGE(""https://docs.google.com/spreadsheets/d/""&amp;$A330&amp;""/edit#gid=156619080"",AS$3)"),"#REF!")</f>
        <v>#REF!</v>
      </c>
      <c r="AT330" s="2" t="str">
        <f>IFERROR(__xludf.DUMMYFUNCTION("IMPORTRANGE(""https://docs.google.com/spreadsheets/d/""&amp;$A330&amp;""/edit#gid=156619080"",AT$3)"),"#REF!")</f>
        <v>#REF!</v>
      </c>
      <c r="AU330" s="3" t="str">
        <f>IFERROR(__xludf.DUMMYFUNCTION("IMPORTRANGE(""https://docs.google.com/spreadsheets/d/""&amp;$A330&amp;""/edit#gid=156619080"",AU$3)"),"#REF!")</f>
        <v>#REF!</v>
      </c>
      <c r="AV330" s="2" t="str">
        <f>IFERROR(__xludf.DUMMYFUNCTION("IMPORTRANGE(""https://docs.google.com/spreadsheets/d/""&amp;$A330&amp;""/edit#gid=156619080"",AV$3)"),"#REF!")</f>
        <v>#REF!</v>
      </c>
      <c r="AW330" s="19" t="str">
        <f>IFERROR(__xludf.DUMMYFUNCTION("IMPORTRANGE(""https://docs.google.com/spreadsheets/d/""&amp;$A330&amp;""/edit#gid=156619080"",AW$3)"),"#REF!")</f>
        <v>#REF!</v>
      </c>
      <c r="AX330" s="2" t="str">
        <f>IFERROR(__xludf.DUMMYFUNCTION("IMPORTRANGE(""https://docs.google.com/spreadsheets/d/""&amp;$A330&amp;""/edit#gid=156619080"",AX$3)"),"#REF!")</f>
        <v>#REF!</v>
      </c>
      <c r="AY330" s="2" t="str">
        <f>IFERROR(__xludf.DUMMYFUNCTION("IMPORTRANGE(""https://docs.google.com/spreadsheets/d/""&amp;$A330&amp;""/edit#gid=156619080"",AY$3)"),"#REF!")</f>
        <v>#REF!</v>
      </c>
      <c r="AZ330" s="2" t="str">
        <f>IFERROR(__xludf.DUMMYFUNCTION("IMPORTRANGE(""https://docs.google.com/spreadsheets/d/""&amp;$A330&amp;""/edit#gid=156619080"",AZ$3)"),"#REF!")</f>
        <v>#REF!</v>
      </c>
      <c r="BA330" s="2" t="str">
        <f>IFERROR(__xludf.DUMMYFUNCTION("IMPORTRANGE(""https://docs.google.com/spreadsheets/d/""&amp;$A330&amp;""/edit#gid=156619080"",BA$3)"),"#REF!")</f>
        <v>#REF!</v>
      </c>
      <c r="BB330" s="2" t="str">
        <f>IFERROR(__xludf.DUMMYFUNCTION("IMPORTRANGE(""https://docs.google.com/spreadsheets/d/""&amp;$A330&amp;""/edit#gid=156619080"",BB$3)"),"#REF!")</f>
        <v>#REF!</v>
      </c>
      <c r="BC330" s="2" t="str">
        <f>IFERROR(__xludf.DUMMYFUNCTION("IMPORTRANGE(""https://docs.google.com/spreadsheets/d/""&amp;$A330&amp;""/edit#gid=156619080"",BC$3)"),"#REF!")</f>
        <v>#REF!</v>
      </c>
    </row>
    <row r="331" ht="51.0" customHeight="1">
      <c r="A331" s="7" t="str">
        <f t="shared" si="5"/>
        <v>1R2bQxQdU6DN71UrlJo-bLdxXi-sst8hUFmwwLccWUvw</v>
      </c>
      <c r="B331" s="1" t="s">
        <v>358</v>
      </c>
      <c r="C331" s="2" t="str">
        <f>IFERROR(__xludf.DUMMYFUNCTION("IMPORTRANGE(""https://docs.google.com/spreadsheets/d/""&amp;$A331&amp;""/edit#gid=156619080"",C$3)"),"#REF!")</f>
        <v>#REF!</v>
      </c>
      <c r="D331" s="2" t="str">
        <f>IFERROR(__xludf.DUMMYFUNCTION("IMPORTRANGE(""https://docs.google.com/spreadsheets/d/""&amp;$A331&amp;""/edit#gid=156619080"",D$3)"),"#REF!")</f>
        <v>#REF!</v>
      </c>
      <c r="E331" s="2" t="str">
        <f>IFERROR(__xludf.DUMMYFUNCTION("IMPORTRANGE(""https://docs.google.com/spreadsheets/d/""&amp;$A331&amp;""/edit#gid=156619080"",E$3)"),"#REF!")</f>
        <v>#REF!</v>
      </c>
      <c r="F331" s="2" t="str">
        <f>IFERROR(__xludf.DUMMYFUNCTION("IMPORTRANGE(""https://docs.google.com/spreadsheets/d/""&amp;$A331&amp;""/edit#gid=156619080"",F$3)"),"#REF!")</f>
        <v>#REF!</v>
      </c>
      <c r="G331" s="2" t="str">
        <f>IFERROR(__xludf.DUMMYFUNCTION("IMPORTRANGE(""https://docs.google.com/spreadsheets/d/""&amp;$A331&amp;""/edit#gid=156619080"",G$3)"),"#REF!")</f>
        <v>#REF!</v>
      </c>
      <c r="H331" s="2" t="str">
        <f>IFERROR(__xludf.DUMMYFUNCTION("IMPORTRANGE(""https://docs.google.com/spreadsheets/d/""&amp;$A331&amp;""/edit#gid=156619080"",H$3)"),"#REF!")</f>
        <v>#REF!</v>
      </c>
      <c r="I331" s="2" t="str">
        <f>IFERROR(__xludf.DUMMYFUNCTION("IMPORTRANGE(""https://docs.google.com/spreadsheets/d/""&amp;$A331&amp;""/edit#gid=156619080"",I$3)"),"#REF!")</f>
        <v>#REF!</v>
      </c>
      <c r="J331" s="2" t="str">
        <f>IFERROR(__xludf.DUMMYFUNCTION("IMPORTRANGE(""https://docs.google.com/spreadsheets/d/""&amp;$A331&amp;""/edit#gid=156619080"",J$3)"),"#REF!")</f>
        <v>#REF!</v>
      </c>
      <c r="K331" s="2" t="str">
        <f>IFERROR(__xludf.DUMMYFUNCTION("IMPORTRANGE(""https://docs.google.com/spreadsheets/d/""&amp;$A331&amp;""/edit#gid=156619080"",K$3)"),"#REF!")</f>
        <v>#REF!</v>
      </c>
      <c r="L331" s="2" t="str">
        <f>IFERROR(__xludf.DUMMYFUNCTION("IMPORTRANGE(""https://docs.google.com/spreadsheets/d/""&amp;$A331&amp;""/edit#gid=156619080"",L$3)"),"#REF!")</f>
        <v>#REF!</v>
      </c>
      <c r="M331" s="2" t="str">
        <f>IFERROR(__xludf.DUMMYFUNCTION("IMPORTRANGE(""https://docs.google.com/spreadsheets/d/""&amp;$A331&amp;""/edit#gid=156619080"",M$3)"),"#REF!")</f>
        <v>#REF!</v>
      </c>
      <c r="N331" s="2" t="str">
        <f>IFERROR(__xludf.DUMMYFUNCTION("IMPORTRANGE(""https://docs.google.com/spreadsheets/d/""&amp;$A331&amp;""/edit#gid=156619080"",N$3)"),"#REF!")</f>
        <v>#REF!</v>
      </c>
      <c r="O331" s="2" t="str">
        <f>IFERROR(__xludf.DUMMYFUNCTION("IMPORTRANGE(""https://docs.google.com/spreadsheets/d/""&amp;$A331&amp;""/edit#gid=156619080"",O$3)"),"#REF!")</f>
        <v>#REF!</v>
      </c>
      <c r="P331" s="2" t="str">
        <f>IFERROR(__xludf.DUMMYFUNCTION("IMPORTRANGE(""https://docs.google.com/spreadsheets/d/""&amp;$A331&amp;""/edit#gid=156619080"",P$3)"),"#REF!")</f>
        <v>#REF!</v>
      </c>
      <c r="Q331" s="2" t="str">
        <f>IFERROR(__xludf.DUMMYFUNCTION("IMPORTRANGE(""https://docs.google.com/spreadsheets/d/""&amp;$A331&amp;""/edit#gid=156619080"",Q$3)"),"#REF!")</f>
        <v>#REF!</v>
      </c>
      <c r="R331" s="2" t="str">
        <f>IFERROR(__xludf.DUMMYFUNCTION("IMPORTRANGE(""https://docs.google.com/spreadsheets/d/""&amp;$A331&amp;""/edit#gid=156619080"",R$3)"),"#REF!")</f>
        <v>#REF!</v>
      </c>
      <c r="S331" s="2" t="str">
        <f>IFERROR(__xludf.DUMMYFUNCTION("IMPORTRANGE(""https://docs.google.com/spreadsheets/d/""&amp;$A331&amp;""/edit#gid=156619080"",S$3)"),"#REF!")</f>
        <v>#REF!</v>
      </c>
      <c r="T331" s="2" t="str">
        <f>IFERROR(__xludf.DUMMYFUNCTION("IMPORTRANGE(""https://docs.google.com/spreadsheets/d/""&amp;$A331&amp;""/edit#gid=156619080"",T$3)"),"#REF!")</f>
        <v>#REF!</v>
      </c>
      <c r="U331" s="2" t="str">
        <f>IFERROR(__xludf.DUMMYFUNCTION("IMPORTRANGE(""https://docs.google.com/spreadsheets/d/""&amp;$A331&amp;""/edit#gid=156619080"",U$3)"),"#REF!")</f>
        <v>#REF!</v>
      </c>
      <c r="V331" s="2" t="str">
        <f>IFERROR(__xludf.DUMMYFUNCTION("IMPORTRANGE(""https://docs.google.com/spreadsheets/d/""&amp;$A331&amp;""/edit#gid=156619080"",V$3)"),"#REF!")</f>
        <v>#REF!</v>
      </c>
      <c r="W331" s="2" t="str">
        <f>IFERROR(__xludf.DUMMYFUNCTION("IMPORTRANGE(""https://docs.google.com/spreadsheets/d/""&amp;$A331&amp;""/edit#gid=156619080"",W$3)"),"#REF!")</f>
        <v>#REF!</v>
      </c>
      <c r="X331" s="2" t="str">
        <f>IFERROR(__xludf.DUMMYFUNCTION("IMPORTRANGE(""https://docs.google.com/spreadsheets/d/""&amp;$A331&amp;""/edit#gid=156619080"",X$3)"),"#REF!")</f>
        <v>#REF!</v>
      </c>
      <c r="Y331" s="2" t="str">
        <f>IFERROR(__xludf.DUMMYFUNCTION("IMPORTRANGE(""https://docs.google.com/spreadsheets/d/""&amp;$A331&amp;""/edit#gid=156619080"",Y$3)"),"#REF!")</f>
        <v>#REF!</v>
      </c>
      <c r="Z331" s="2" t="str">
        <f>IFERROR(__xludf.DUMMYFUNCTION("IMPORTRANGE(""https://docs.google.com/spreadsheets/d/""&amp;$A331&amp;""/edit#gid=156619080"",Z$3)"),"#REF!")</f>
        <v>#REF!</v>
      </c>
      <c r="AA331" s="2" t="str">
        <f>IFERROR(__xludf.DUMMYFUNCTION("IMPORTRANGE(""https://docs.google.com/spreadsheets/d/""&amp;$A331&amp;""/edit#gid=156619080"",AA$3)"),"#REF!")</f>
        <v>#REF!</v>
      </c>
      <c r="AB331" s="2" t="str">
        <f>IFERROR(__xludf.DUMMYFUNCTION("IMPORTRANGE(""https://docs.google.com/spreadsheets/d/""&amp;$A331&amp;""/edit#gid=156619080"",AB$3)"),"#REF!")</f>
        <v>#REF!</v>
      </c>
      <c r="AC331" s="2" t="str">
        <f>IFERROR(__xludf.DUMMYFUNCTION("IMPORTRANGE(""https://docs.google.com/spreadsheets/d/""&amp;$A331&amp;""/edit#gid=156619080"",AC$3)"),"#REF!")</f>
        <v>#REF!</v>
      </c>
      <c r="AD331" s="2" t="str">
        <f>IFERROR(__xludf.DUMMYFUNCTION("IMPORTRANGE(""https://docs.google.com/spreadsheets/d/""&amp;$A331&amp;""/edit#gid=156619080"",AD$3)"),"#REF!")</f>
        <v>#REF!</v>
      </c>
      <c r="AE331" s="2" t="str">
        <f>IFERROR(__xludf.DUMMYFUNCTION("IMPORTRANGE(""https://docs.google.com/spreadsheets/d/""&amp;$A331&amp;""/edit#gid=156619080"",AE$3)"),"#REF!")</f>
        <v>#REF!</v>
      </c>
      <c r="AF331" s="2" t="str">
        <f>IFERROR(__xludf.DUMMYFUNCTION("IMPORTRANGE(""https://docs.google.com/spreadsheets/d/""&amp;$A331&amp;""/edit#gid=156619080"",AF$3)"),"#REF!")</f>
        <v>#REF!</v>
      </c>
      <c r="AG331" s="2" t="str">
        <f>IFERROR(__xludf.DUMMYFUNCTION("IMPORTRANGE(""https://docs.google.com/spreadsheets/d/""&amp;$A331&amp;""/edit#gid=156619080"",AG$3)"),"#REF!")</f>
        <v>#REF!</v>
      </c>
      <c r="AH331" s="2" t="str">
        <f>IFERROR(__xludf.DUMMYFUNCTION("IMPORTRANGE(""https://docs.google.com/spreadsheets/d/""&amp;$A331&amp;""/edit#gid=156619080"",AH$3)"),"#REF!")</f>
        <v>#REF!</v>
      </c>
      <c r="AI331" s="2" t="str">
        <f>IFERROR(__xludf.DUMMYFUNCTION("IMPORTRANGE(""https://docs.google.com/spreadsheets/d/""&amp;$A331&amp;""/edit#gid=156619080"",AI$3)"),"#REF!")</f>
        <v>#REF!</v>
      </c>
      <c r="AJ331" s="2" t="str">
        <f>IFERROR(__xludf.DUMMYFUNCTION("IMPORTRANGE(""https://docs.google.com/spreadsheets/d/""&amp;$A331&amp;""/edit#gid=156619080"",AJ$3)"),"#REF!")</f>
        <v>#REF!</v>
      </c>
      <c r="AK331" s="2" t="str">
        <f>IFERROR(__xludf.DUMMYFUNCTION("IMPORTRANGE(""https://docs.google.com/spreadsheets/d/""&amp;$A331&amp;""/edit#gid=156619080"",AK$3)"),"#REF!")</f>
        <v>#REF!</v>
      </c>
      <c r="AL331" s="2" t="str">
        <f>IFERROR(__xludf.DUMMYFUNCTION("IMPORTRANGE(""https://docs.google.com/spreadsheets/d/""&amp;$A331&amp;""/edit#gid=156619080"",AL$3)"),"#REF!")</f>
        <v>#REF!</v>
      </c>
      <c r="AM331" s="2" t="str">
        <f>IFERROR(__xludf.DUMMYFUNCTION("IMPORTRANGE(""https://docs.google.com/spreadsheets/d/""&amp;$A331&amp;""/edit#gid=156619080"",AM$3)"),"#REF!")</f>
        <v>#REF!</v>
      </c>
      <c r="AN331" s="2" t="str">
        <f>IFERROR(__xludf.DUMMYFUNCTION("IMPORTRANGE(""https://docs.google.com/spreadsheets/d/""&amp;$A331&amp;""/edit#gid=156619080"",AN$3)"),"#REF!")</f>
        <v>#REF!</v>
      </c>
      <c r="AO331" s="2" t="str">
        <f>IFERROR(__xludf.DUMMYFUNCTION("IMPORTRANGE(""https://docs.google.com/spreadsheets/d/""&amp;$A331&amp;""/edit#gid=156619080"",AO$3)"),"#REF!")</f>
        <v>#REF!</v>
      </c>
      <c r="AP331" s="2" t="str">
        <f>IFERROR(__xludf.DUMMYFUNCTION("IMPORTRANGE(""https://docs.google.com/spreadsheets/d/""&amp;$A331&amp;""/edit#gid=156619080"",AP$3)"),"#REF!")</f>
        <v>#REF!</v>
      </c>
      <c r="AQ331" s="2" t="str">
        <f>IFERROR(__xludf.DUMMYFUNCTION("IMPORTRANGE(""https://docs.google.com/spreadsheets/d/""&amp;$A331&amp;""/edit#gid=156619080"",AQ$3)"),"#REF!")</f>
        <v>#REF!</v>
      </c>
      <c r="AR331" s="2" t="str">
        <f>IFERROR(__xludf.DUMMYFUNCTION("IMPORTRANGE(""https://docs.google.com/spreadsheets/d/""&amp;$A331&amp;""/edit#gid=156619080"",AR$3)"),"#REF!")</f>
        <v>#REF!</v>
      </c>
      <c r="AS331" s="19" t="str">
        <f>IFERROR(__xludf.DUMMYFUNCTION("IMPORTRANGE(""https://docs.google.com/spreadsheets/d/""&amp;$A331&amp;""/edit#gid=156619080"",AS$3)"),"#REF!")</f>
        <v>#REF!</v>
      </c>
      <c r="AT331" s="2" t="str">
        <f>IFERROR(__xludf.DUMMYFUNCTION("IMPORTRANGE(""https://docs.google.com/spreadsheets/d/""&amp;$A331&amp;""/edit#gid=156619080"",AT$3)"),"#REF!")</f>
        <v>#REF!</v>
      </c>
      <c r="AU331" s="3" t="str">
        <f>IFERROR(__xludf.DUMMYFUNCTION("IMPORTRANGE(""https://docs.google.com/spreadsheets/d/""&amp;$A331&amp;""/edit#gid=156619080"",AU$3)"),"#REF!")</f>
        <v>#REF!</v>
      </c>
      <c r="AV331" s="2" t="str">
        <f>IFERROR(__xludf.DUMMYFUNCTION("IMPORTRANGE(""https://docs.google.com/spreadsheets/d/""&amp;$A331&amp;""/edit#gid=156619080"",AV$3)"),"#REF!")</f>
        <v>#REF!</v>
      </c>
      <c r="AW331" s="19" t="str">
        <f>IFERROR(__xludf.DUMMYFUNCTION("IMPORTRANGE(""https://docs.google.com/spreadsheets/d/""&amp;$A331&amp;""/edit#gid=156619080"",AW$3)"),"#REF!")</f>
        <v>#REF!</v>
      </c>
      <c r="AX331" s="2" t="str">
        <f>IFERROR(__xludf.DUMMYFUNCTION("IMPORTRANGE(""https://docs.google.com/spreadsheets/d/""&amp;$A331&amp;""/edit#gid=156619080"",AX$3)"),"#REF!")</f>
        <v>#REF!</v>
      </c>
      <c r="AY331" s="2" t="str">
        <f>IFERROR(__xludf.DUMMYFUNCTION("IMPORTRANGE(""https://docs.google.com/spreadsheets/d/""&amp;$A331&amp;""/edit#gid=156619080"",AY$3)"),"#REF!")</f>
        <v>#REF!</v>
      </c>
      <c r="AZ331" s="2" t="str">
        <f>IFERROR(__xludf.DUMMYFUNCTION("IMPORTRANGE(""https://docs.google.com/spreadsheets/d/""&amp;$A331&amp;""/edit#gid=156619080"",AZ$3)"),"#REF!")</f>
        <v>#REF!</v>
      </c>
      <c r="BA331" s="2" t="str">
        <f>IFERROR(__xludf.DUMMYFUNCTION("IMPORTRANGE(""https://docs.google.com/spreadsheets/d/""&amp;$A331&amp;""/edit#gid=156619080"",BA$3)"),"#REF!")</f>
        <v>#REF!</v>
      </c>
      <c r="BB331" s="2" t="str">
        <f>IFERROR(__xludf.DUMMYFUNCTION("IMPORTRANGE(""https://docs.google.com/spreadsheets/d/""&amp;$A331&amp;""/edit#gid=156619080"",BB$3)"),"#REF!")</f>
        <v>#REF!</v>
      </c>
      <c r="BC331" s="2" t="str">
        <f>IFERROR(__xludf.DUMMYFUNCTION("IMPORTRANGE(""https://docs.google.com/spreadsheets/d/""&amp;$A331&amp;""/edit#gid=156619080"",BC$3)"),"#REF!")</f>
        <v>#REF!</v>
      </c>
    </row>
    <row r="332" ht="51.0" customHeight="1">
      <c r="A332" s="7" t="str">
        <f t="shared" si="5"/>
        <v>1QNEFmbYLRHLdYWU7WIjsxE9SIurhXHOSLd3bLNe2HJI</v>
      </c>
      <c r="B332" s="1" t="s">
        <v>359</v>
      </c>
      <c r="C332" s="2" t="str">
        <f>IFERROR(__xludf.DUMMYFUNCTION("IMPORTRANGE(""https://docs.google.com/spreadsheets/d/""&amp;$A332&amp;""/edit#gid=156619080"",C$3)"),"#REF!")</f>
        <v>#REF!</v>
      </c>
      <c r="D332" s="2" t="str">
        <f>IFERROR(__xludf.DUMMYFUNCTION("IMPORTRANGE(""https://docs.google.com/spreadsheets/d/""&amp;$A332&amp;""/edit#gid=156619080"",D$3)"),"#REF!")</f>
        <v>#REF!</v>
      </c>
      <c r="E332" s="2" t="str">
        <f>IFERROR(__xludf.DUMMYFUNCTION("IMPORTRANGE(""https://docs.google.com/spreadsheets/d/""&amp;$A332&amp;""/edit#gid=156619080"",E$3)"),"#REF!")</f>
        <v>#REF!</v>
      </c>
      <c r="F332" s="2" t="str">
        <f>IFERROR(__xludf.DUMMYFUNCTION("IMPORTRANGE(""https://docs.google.com/spreadsheets/d/""&amp;$A332&amp;""/edit#gid=156619080"",F$3)"),"#REF!")</f>
        <v>#REF!</v>
      </c>
      <c r="G332" s="2" t="str">
        <f>IFERROR(__xludf.DUMMYFUNCTION("IMPORTRANGE(""https://docs.google.com/spreadsheets/d/""&amp;$A332&amp;""/edit#gid=156619080"",G$3)"),"#REF!")</f>
        <v>#REF!</v>
      </c>
      <c r="H332" s="2" t="str">
        <f>IFERROR(__xludf.DUMMYFUNCTION("IMPORTRANGE(""https://docs.google.com/spreadsheets/d/""&amp;$A332&amp;""/edit#gid=156619080"",H$3)"),"#REF!")</f>
        <v>#REF!</v>
      </c>
      <c r="I332" s="2" t="str">
        <f>IFERROR(__xludf.DUMMYFUNCTION("IMPORTRANGE(""https://docs.google.com/spreadsheets/d/""&amp;$A332&amp;""/edit#gid=156619080"",I$3)"),"#REF!")</f>
        <v>#REF!</v>
      </c>
      <c r="J332" s="2" t="str">
        <f>IFERROR(__xludf.DUMMYFUNCTION("IMPORTRANGE(""https://docs.google.com/spreadsheets/d/""&amp;$A332&amp;""/edit#gid=156619080"",J$3)"),"#REF!")</f>
        <v>#REF!</v>
      </c>
      <c r="K332" s="2" t="str">
        <f>IFERROR(__xludf.DUMMYFUNCTION("IMPORTRANGE(""https://docs.google.com/spreadsheets/d/""&amp;$A332&amp;""/edit#gid=156619080"",K$3)"),"#REF!")</f>
        <v>#REF!</v>
      </c>
      <c r="L332" s="2" t="str">
        <f>IFERROR(__xludf.DUMMYFUNCTION("IMPORTRANGE(""https://docs.google.com/spreadsheets/d/""&amp;$A332&amp;""/edit#gid=156619080"",L$3)"),"#REF!")</f>
        <v>#REF!</v>
      </c>
      <c r="M332" s="2" t="str">
        <f>IFERROR(__xludf.DUMMYFUNCTION("IMPORTRANGE(""https://docs.google.com/spreadsheets/d/""&amp;$A332&amp;""/edit#gid=156619080"",M$3)"),"#REF!")</f>
        <v>#REF!</v>
      </c>
      <c r="N332" s="2" t="str">
        <f>IFERROR(__xludf.DUMMYFUNCTION("IMPORTRANGE(""https://docs.google.com/spreadsheets/d/""&amp;$A332&amp;""/edit#gid=156619080"",N$3)"),"#REF!")</f>
        <v>#REF!</v>
      </c>
      <c r="O332" s="2" t="str">
        <f>IFERROR(__xludf.DUMMYFUNCTION("IMPORTRANGE(""https://docs.google.com/spreadsheets/d/""&amp;$A332&amp;""/edit#gid=156619080"",O$3)"),"#REF!")</f>
        <v>#REF!</v>
      </c>
      <c r="P332" s="2" t="str">
        <f>IFERROR(__xludf.DUMMYFUNCTION("IMPORTRANGE(""https://docs.google.com/spreadsheets/d/""&amp;$A332&amp;""/edit#gid=156619080"",P$3)"),"#REF!")</f>
        <v>#REF!</v>
      </c>
      <c r="Q332" s="2" t="str">
        <f>IFERROR(__xludf.DUMMYFUNCTION("IMPORTRANGE(""https://docs.google.com/spreadsheets/d/""&amp;$A332&amp;""/edit#gid=156619080"",Q$3)"),"#REF!")</f>
        <v>#REF!</v>
      </c>
      <c r="R332" s="2" t="str">
        <f>IFERROR(__xludf.DUMMYFUNCTION("IMPORTRANGE(""https://docs.google.com/spreadsheets/d/""&amp;$A332&amp;""/edit#gid=156619080"",R$3)"),"#REF!")</f>
        <v>#REF!</v>
      </c>
      <c r="S332" s="2" t="str">
        <f>IFERROR(__xludf.DUMMYFUNCTION("IMPORTRANGE(""https://docs.google.com/spreadsheets/d/""&amp;$A332&amp;""/edit#gid=156619080"",S$3)"),"#REF!")</f>
        <v>#REF!</v>
      </c>
      <c r="T332" s="2" t="str">
        <f>IFERROR(__xludf.DUMMYFUNCTION("IMPORTRANGE(""https://docs.google.com/spreadsheets/d/""&amp;$A332&amp;""/edit#gid=156619080"",T$3)"),"#REF!")</f>
        <v>#REF!</v>
      </c>
      <c r="U332" s="2" t="str">
        <f>IFERROR(__xludf.DUMMYFUNCTION("IMPORTRANGE(""https://docs.google.com/spreadsheets/d/""&amp;$A332&amp;""/edit#gid=156619080"",U$3)"),"#REF!")</f>
        <v>#REF!</v>
      </c>
      <c r="V332" s="2" t="str">
        <f>IFERROR(__xludf.DUMMYFUNCTION("IMPORTRANGE(""https://docs.google.com/spreadsheets/d/""&amp;$A332&amp;""/edit#gid=156619080"",V$3)"),"#REF!")</f>
        <v>#REF!</v>
      </c>
      <c r="W332" s="2" t="str">
        <f>IFERROR(__xludf.DUMMYFUNCTION("IMPORTRANGE(""https://docs.google.com/spreadsheets/d/""&amp;$A332&amp;""/edit#gid=156619080"",W$3)"),"#REF!")</f>
        <v>#REF!</v>
      </c>
      <c r="X332" s="2" t="str">
        <f>IFERROR(__xludf.DUMMYFUNCTION("IMPORTRANGE(""https://docs.google.com/spreadsheets/d/""&amp;$A332&amp;""/edit#gid=156619080"",X$3)"),"#REF!")</f>
        <v>#REF!</v>
      </c>
      <c r="Y332" s="2" t="str">
        <f>IFERROR(__xludf.DUMMYFUNCTION("IMPORTRANGE(""https://docs.google.com/spreadsheets/d/""&amp;$A332&amp;""/edit#gid=156619080"",Y$3)"),"#REF!")</f>
        <v>#REF!</v>
      </c>
      <c r="Z332" s="2" t="str">
        <f>IFERROR(__xludf.DUMMYFUNCTION("IMPORTRANGE(""https://docs.google.com/spreadsheets/d/""&amp;$A332&amp;""/edit#gid=156619080"",Z$3)"),"#REF!")</f>
        <v>#REF!</v>
      </c>
      <c r="AA332" s="2" t="str">
        <f>IFERROR(__xludf.DUMMYFUNCTION("IMPORTRANGE(""https://docs.google.com/spreadsheets/d/""&amp;$A332&amp;""/edit#gid=156619080"",AA$3)"),"#REF!")</f>
        <v>#REF!</v>
      </c>
      <c r="AB332" s="2" t="str">
        <f>IFERROR(__xludf.DUMMYFUNCTION("IMPORTRANGE(""https://docs.google.com/spreadsheets/d/""&amp;$A332&amp;""/edit#gid=156619080"",AB$3)"),"#REF!")</f>
        <v>#REF!</v>
      </c>
      <c r="AC332" s="2" t="str">
        <f>IFERROR(__xludf.DUMMYFUNCTION("IMPORTRANGE(""https://docs.google.com/spreadsheets/d/""&amp;$A332&amp;""/edit#gid=156619080"",AC$3)"),"#REF!")</f>
        <v>#REF!</v>
      </c>
      <c r="AD332" s="2" t="str">
        <f>IFERROR(__xludf.DUMMYFUNCTION("IMPORTRANGE(""https://docs.google.com/spreadsheets/d/""&amp;$A332&amp;""/edit#gid=156619080"",AD$3)"),"#REF!")</f>
        <v>#REF!</v>
      </c>
      <c r="AE332" s="2" t="str">
        <f>IFERROR(__xludf.DUMMYFUNCTION("IMPORTRANGE(""https://docs.google.com/spreadsheets/d/""&amp;$A332&amp;""/edit#gid=156619080"",AE$3)"),"#REF!")</f>
        <v>#REF!</v>
      </c>
      <c r="AF332" s="2" t="str">
        <f>IFERROR(__xludf.DUMMYFUNCTION("IMPORTRANGE(""https://docs.google.com/spreadsheets/d/""&amp;$A332&amp;""/edit#gid=156619080"",AF$3)"),"#REF!")</f>
        <v>#REF!</v>
      </c>
      <c r="AG332" s="2" t="str">
        <f>IFERROR(__xludf.DUMMYFUNCTION("IMPORTRANGE(""https://docs.google.com/spreadsheets/d/""&amp;$A332&amp;""/edit#gid=156619080"",AG$3)"),"#REF!")</f>
        <v>#REF!</v>
      </c>
      <c r="AH332" s="2" t="str">
        <f>IFERROR(__xludf.DUMMYFUNCTION("IMPORTRANGE(""https://docs.google.com/spreadsheets/d/""&amp;$A332&amp;""/edit#gid=156619080"",AH$3)"),"#REF!")</f>
        <v>#REF!</v>
      </c>
      <c r="AI332" s="2" t="str">
        <f>IFERROR(__xludf.DUMMYFUNCTION("IMPORTRANGE(""https://docs.google.com/spreadsheets/d/""&amp;$A332&amp;""/edit#gid=156619080"",AI$3)"),"#REF!")</f>
        <v>#REF!</v>
      </c>
      <c r="AJ332" s="2" t="str">
        <f>IFERROR(__xludf.DUMMYFUNCTION("IMPORTRANGE(""https://docs.google.com/spreadsheets/d/""&amp;$A332&amp;""/edit#gid=156619080"",AJ$3)"),"#REF!")</f>
        <v>#REF!</v>
      </c>
      <c r="AK332" s="2" t="str">
        <f>IFERROR(__xludf.DUMMYFUNCTION("IMPORTRANGE(""https://docs.google.com/spreadsheets/d/""&amp;$A332&amp;""/edit#gid=156619080"",AK$3)"),"#REF!")</f>
        <v>#REF!</v>
      </c>
      <c r="AL332" s="2" t="str">
        <f>IFERROR(__xludf.DUMMYFUNCTION("IMPORTRANGE(""https://docs.google.com/spreadsheets/d/""&amp;$A332&amp;""/edit#gid=156619080"",AL$3)"),"#REF!")</f>
        <v>#REF!</v>
      </c>
      <c r="AM332" s="2" t="str">
        <f>IFERROR(__xludf.DUMMYFUNCTION("IMPORTRANGE(""https://docs.google.com/spreadsheets/d/""&amp;$A332&amp;""/edit#gid=156619080"",AM$3)"),"#REF!")</f>
        <v>#REF!</v>
      </c>
      <c r="AN332" s="2" t="str">
        <f>IFERROR(__xludf.DUMMYFUNCTION("IMPORTRANGE(""https://docs.google.com/spreadsheets/d/""&amp;$A332&amp;""/edit#gid=156619080"",AN$3)"),"#REF!")</f>
        <v>#REF!</v>
      </c>
      <c r="AO332" s="2" t="str">
        <f>IFERROR(__xludf.DUMMYFUNCTION("IMPORTRANGE(""https://docs.google.com/spreadsheets/d/""&amp;$A332&amp;""/edit#gid=156619080"",AO$3)"),"#REF!")</f>
        <v>#REF!</v>
      </c>
      <c r="AP332" s="2" t="str">
        <f>IFERROR(__xludf.DUMMYFUNCTION("IMPORTRANGE(""https://docs.google.com/spreadsheets/d/""&amp;$A332&amp;""/edit#gid=156619080"",AP$3)"),"#REF!")</f>
        <v>#REF!</v>
      </c>
      <c r="AQ332" s="2" t="str">
        <f>IFERROR(__xludf.DUMMYFUNCTION("IMPORTRANGE(""https://docs.google.com/spreadsheets/d/""&amp;$A332&amp;""/edit#gid=156619080"",AQ$3)"),"#REF!")</f>
        <v>#REF!</v>
      </c>
      <c r="AR332" s="2" t="str">
        <f>IFERROR(__xludf.DUMMYFUNCTION("IMPORTRANGE(""https://docs.google.com/spreadsheets/d/""&amp;$A332&amp;""/edit#gid=156619080"",AR$3)"),"#REF!")</f>
        <v>#REF!</v>
      </c>
      <c r="AS332" s="19" t="str">
        <f>IFERROR(__xludf.DUMMYFUNCTION("IMPORTRANGE(""https://docs.google.com/spreadsheets/d/""&amp;$A332&amp;""/edit#gid=156619080"",AS$3)"),"#REF!")</f>
        <v>#REF!</v>
      </c>
      <c r="AT332" s="2" t="str">
        <f>IFERROR(__xludf.DUMMYFUNCTION("IMPORTRANGE(""https://docs.google.com/spreadsheets/d/""&amp;$A332&amp;""/edit#gid=156619080"",AT$3)"),"#REF!")</f>
        <v>#REF!</v>
      </c>
      <c r="AU332" s="3" t="str">
        <f>IFERROR(__xludf.DUMMYFUNCTION("IMPORTRANGE(""https://docs.google.com/spreadsheets/d/""&amp;$A332&amp;""/edit#gid=156619080"",AU$3)"),"#REF!")</f>
        <v>#REF!</v>
      </c>
      <c r="AV332" s="2" t="str">
        <f>IFERROR(__xludf.DUMMYFUNCTION("IMPORTRANGE(""https://docs.google.com/spreadsheets/d/""&amp;$A332&amp;""/edit#gid=156619080"",AV$3)"),"#REF!")</f>
        <v>#REF!</v>
      </c>
      <c r="AW332" s="19" t="str">
        <f>IFERROR(__xludf.DUMMYFUNCTION("IMPORTRANGE(""https://docs.google.com/spreadsheets/d/""&amp;$A332&amp;""/edit#gid=156619080"",AW$3)"),"#REF!")</f>
        <v>#REF!</v>
      </c>
      <c r="AX332" s="2" t="str">
        <f>IFERROR(__xludf.DUMMYFUNCTION("IMPORTRANGE(""https://docs.google.com/spreadsheets/d/""&amp;$A332&amp;""/edit#gid=156619080"",AX$3)"),"#REF!")</f>
        <v>#REF!</v>
      </c>
      <c r="AY332" s="2" t="str">
        <f>IFERROR(__xludf.DUMMYFUNCTION("IMPORTRANGE(""https://docs.google.com/spreadsheets/d/""&amp;$A332&amp;""/edit#gid=156619080"",AY$3)"),"#REF!")</f>
        <v>#REF!</v>
      </c>
      <c r="AZ332" s="2" t="str">
        <f>IFERROR(__xludf.DUMMYFUNCTION("IMPORTRANGE(""https://docs.google.com/spreadsheets/d/""&amp;$A332&amp;""/edit#gid=156619080"",AZ$3)"),"#REF!")</f>
        <v>#REF!</v>
      </c>
      <c r="BA332" s="2" t="str">
        <f>IFERROR(__xludf.DUMMYFUNCTION("IMPORTRANGE(""https://docs.google.com/spreadsheets/d/""&amp;$A332&amp;""/edit#gid=156619080"",BA$3)"),"#REF!")</f>
        <v>#REF!</v>
      </c>
      <c r="BB332" s="2" t="str">
        <f>IFERROR(__xludf.DUMMYFUNCTION("IMPORTRANGE(""https://docs.google.com/spreadsheets/d/""&amp;$A332&amp;""/edit#gid=156619080"",BB$3)"),"#REF!")</f>
        <v>#REF!</v>
      </c>
      <c r="BC332" s="2" t="str">
        <f>IFERROR(__xludf.DUMMYFUNCTION("IMPORTRANGE(""https://docs.google.com/spreadsheets/d/""&amp;$A332&amp;""/edit#gid=156619080"",BC$3)"),"#REF!")</f>
        <v>#REF!</v>
      </c>
    </row>
    <row r="333" ht="51.0" customHeight="1">
      <c r="A333" s="7" t="str">
        <f t="shared" si="5"/>
        <v>1urXJD0ynmyFf7itVThnMh8NHm-Kq3Z-KKzlgjdJaVNo</v>
      </c>
      <c r="B333" s="1" t="s">
        <v>360</v>
      </c>
      <c r="C333" s="2" t="str">
        <f>IFERROR(__xludf.DUMMYFUNCTION("IMPORTRANGE(""https://docs.google.com/spreadsheets/d/""&amp;$A333&amp;""/edit#gid=156619080"",C$3)"),"#REF!")</f>
        <v>#REF!</v>
      </c>
      <c r="D333" s="2" t="str">
        <f>IFERROR(__xludf.DUMMYFUNCTION("IMPORTRANGE(""https://docs.google.com/spreadsheets/d/""&amp;$A333&amp;""/edit#gid=156619080"",D$3)"),"#REF!")</f>
        <v>#REF!</v>
      </c>
      <c r="E333" s="2" t="str">
        <f>IFERROR(__xludf.DUMMYFUNCTION("IMPORTRANGE(""https://docs.google.com/spreadsheets/d/""&amp;$A333&amp;""/edit#gid=156619080"",E$3)"),"#REF!")</f>
        <v>#REF!</v>
      </c>
      <c r="F333" s="2" t="str">
        <f>IFERROR(__xludf.DUMMYFUNCTION("IMPORTRANGE(""https://docs.google.com/spreadsheets/d/""&amp;$A333&amp;""/edit#gid=156619080"",F$3)"),"#REF!")</f>
        <v>#REF!</v>
      </c>
      <c r="G333" s="2" t="str">
        <f>IFERROR(__xludf.DUMMYFUNCTION("IMPORTRANGE(""https://docs.google.com/spreadsheets/d/""&amp;$A333&amp;""/edit#gid=156619080"",G$3)"),"#REF!")</f>
        <v>#REF!</v>
      </c>
      <c r="H333" s="2" t="str">
        <f>IFERROR(__xludf.DUMMYFUNCTION("IMPORTRANGE(""https://docs.google.com/spreadsheets/d/""&amp;$A333&amp;""/edit#gid=156619080"",H$3)"),"#REF!")</f>
        <v>#REF!</v>
      </c>
      <c r="I333" s="2" t="str">
        <f>IFERROR(__xludf.DUMMYFUNCTION("IMPORTRANGE(""https://docs.google.com/spreadsheets/d/""&amp;$A333&amp;""/edit#gid=156619080"",I$3)"),"#REF!")</f>
        <v>#REF!</v>
      </c>
      <c r="J333" s="2" t="str">
        <f>IFERROR(__xludf.DUMMYFUNCTION("IMPORTRANGE(""https://docs.google.com/spreadsheets/d/""&amp;$A333&amp;""/edit#gid=156619080"",J$3)"),"#REF!")</f>
        <v>#REF!</v>
      </c>
      <c r="K333" s="2" t="str">
        <f>IFERROR(__xludf.DUMMYFUNCTION("IMPORTRANGE(""https://docs.google.com/spreadsheets/d/""&amp;$A333&amp;""/edit#gid=156619080"",K$3)"),"#REF!")</f>
        <v>#REF!</v>
      </c>
      <c r="L333" s="2" t="str">
        <f>IFERROR(__xludf.DUMMYFUNCTION("IMPORTRANGE(""https://docs.google.com/spreadsheets/d/""&amp;$A333&amp;""/edit#gid=156619080"",L$3)"),"#REF!")</f>
        <v>#REF!</v>
      </c>
      <c r="M333" s="2" t="str">
        <f>IFERROR(__xludf.DUMMYFUNCTION("IMPORTRANGE(""https://docs.google.com/spreadsheets/d/""&amp;$A333&amp;""/edit#gid=156619080"",M$3)"),"#REF!")</f>
        <v>#REF!</v>
      </c>
      <c r="N333" s="2" t="str">
        <f>IFERROR(__xludf.DUMMYFUNCTION("IMPORTRANGE(""https://docs.google.com/spreadsheets/d/""&amp;$A333&amp;""/edit#gid=156619080"",N$3)"),"#REF!")</f>
        <v>#REF!</v>
      </c>
      <c r="O333" s="2" t="str">
        <f>IFERROR(__xludf.DUMMYFUNCTION("IMPORTRANGE(""https://docs.google.com/spreadsheets/d/""&amp;$A333&amp;""/edit#gid=156619080"",O$3)"),"#REF!")</f>
        <v>#REF!</v>
      </c>
      <c r="P333" s="2" t="str">
        <f>IFERROR(__xludf.DUMMYFUNCTION("IMPORTRANGE(""https://docs.google.com/spreadsheets/d/""&amp;$A333&amp;""/edit#gid=156619080"",P$3)"),"#REF!")</f>
        <v>#REF!</v>
      </c>
      <c r="Q333" s="2" t="str">
        <f>IFERROR(__xludf.DUMMYFUNCTION("IMPORTRANGE(""https://docs.google.com/spreadsheets/d/""&amp;$A333&amp;""/edit#gid=156619080"",Q$3)"),"#REF!")</f>
        <v>#REF!</v>
      </c>
      <c r="R333" s="2" t="str">
        <f>IFERROR(__xludf.DUMMYFUNCTION("IMPORTRANGE(""https://docs.google.com/spreadsheets/d/""&amp;$A333&amp;""/edit#gid=156619080"",R$3)"),"#REF!")</f>
        <v>#REF!</v>
      </c>
      <c r="S333" s="2" t="str">
        <f>IFERROR(__xludf.DUMMYFUNCTION("IMPORTRANGE(""https://docs.google.com/spreadsheets/d/""&amp;$A333&amp;""/edit#gid=156619080"",S$3)"),"#REF!")</f>
        <v>#REF!</v>
      </c>
      <c r="T333" s="2" t="str">
        <f>IFERROR(__xludf.DUMMYFUNCTION("IMPORTRANGE(""https://docs.google.com/spreadsheets/d/""&amp;$A333&amp;""/edit#gid=156619080"",T$3)"),"#REF!")</f>
        <v>#REF!</v>
      </c>
      <c r="U333" s="2" t="str">
        <f>IFERROR(__xludf.DUMMYFUNCTION("IMPORTRANGE(""https://docs.google.com/spreadsheets/d/""&amp;$A333&amp;""/edit#gid=156619080"",U$3)"),"#REF!")</f>
        <v>#REF!</v>
      </c>
      <c r="V333" s="2" t="str">
        <f>IFERROR(__xludf.DUMMYFUNCTION("IMPORTRANGE(""https://docs.google.com/spreadsheets/d/""&amp;$A333&amp;""/edit#gid=156619080"",V$3)"),"#REF!")</f>
        <v>#REF!</v>
      </c>
      <c r="W333" s="2" t="str">
        <f>IFERROR(__xludf.DUMMYFUNCTION("IMPORTRANGE(""https://docs.google.com/spreadsheets/d/""&amp;$A333&amp;""/edit#gid=156619080"",W$3)"),"#REF!")</f>
        <v>#REF!</v>
      </c>
      <c r="X333" s="2" t="str">
        <f>IFERROR(__xludf.DUMMYFUNCTION("IMPORTRANGE(""https://docs.google.com/spreadsheets/d/""&amp;$A333&amp;""/edit#gid=156619080"",X$3)"),"#REF!")</f>
        <v>#REF!</v>
      </c>
      <c r="Y333" s="2" t="str">
        <f>IFERROR(__xludf.DUMMYFUNCTION("IMPORTRANGE(""https://docs.google.com/spreadsheets/d/""&amp;$A333&amp;""/edit#gid=156619080"",Y$3)"),"#REF!")</f>
        <v>#REF!</v>
      </c>
      <c r="Z333" s="2" t="str">
        <f>IFERROR(__xludf.DUMMYFUNCTION("IMPORTRANGE(""https://docs.google.com/spreadsheets/d/""&amp;$A333&amp;""/edit#gid=156619080"",Z$3)"),"#REF!")</f>
        <v>#REF!</v>
      </c>
      <c r="AA333" s="2" t="str">
        <f>IFERROR(__xludf.DUMMYFUNCTION("IMPORTRANGE(""https://docs.google.com/spreadsheets/d/""&amp;$A333&amp;""/edit#gid=156619080"",AA$3)"),"#REF!")</f>
        <v>#REF!</v>
      </c>
      <c r="AB333" s="2" t="str">
        <f>IFERROR(__xludf.DUMMYFUNCTION("IMPORTRANGE(""https://docs.google.com/spreadsheets/d/""&amp;$A333&amp;""/edit#gid=156619080"",AB$3)"),"#REF!")</f>
        <v>#REF!</v>
      </c>
      <c r="AC333" s="2" t="str">
        <f>IFERROR(__xludf.DUMMYFUNCTION("IMPORTRANGE(""https://docs.google.com/spreadsheets/d/""&amp;$A333&amp;""/edit#gid=156619080"",AC$3)"),"#REF!")</f>
        <v>#REF!</v>
      </c>
      <c r="AD333" s="2" t="str">
        <f>IFERROR(__xludf.DUMMYFUNCTION("IMPORTRANGE(""https://docs.google.com/spreadsheets/d/""&amp;$A333&amp;""/edit#gid=156619080"",AD$3)"),"#REF!")</f>
        <v>#REF!</v>
      </c>
      <c r="AE333" s="2" t="str">
        <f>IFERROR(__xludf.DUMMYFUNCTION("IMPORTRANGE(""https://docs.google.com/spreadsheets/d/""&amp;$A333&amp;""/edit#gid=156619080"",AE$3)"),"#REF!")</f>
        <v>#REF!</v>
      </c>
      <c r="AF333" s="2" t="str">
        <f>IFERROR(__xludf.DUMMYFUNCTION("IMPORTRANGE(""https://docs.google.com/spreadsheets/d/""&amp;$A333&amp;""/edit#gid=156619080"",AF$3)"),"#REF!")</f>
        <v>#REF!</v>
      </c>
      <c r="AG333" s="2" t="str">
        <f>IFERROR(__xludf.DUMMYFUNCTION("IMPORTRANGE(""https://docs.google.com/spreadsheets/d/""&amp;$A333&amp;""/edit#gid=156619080"",AG$3)"),"#REF!")</f>
        <v>#REF!</v>
      </c>
      <c r="AH333" s="2" t="str">
        <f>IFERROR(__xludf.DUMMYFUNCTION("IMPORTRANGE(""https://docs.google.com/spreadsheets/d/""&amp;$A333&amp;""/edit#gid=156619080"",AH$3)"),"#REF!")</f>
        <v>#REF!</v>
      </c>
      <c r="AI333" s="2" t="str">
        <f>IFERROR(__xludf.DUMMYFUNCTION("IMPORTRANGE(""https://docs.google.com/spreadsheets/d/""&amp;$A333&amp;""/edit#gid=156619080"",AI$3)"),"#REF!")</f>
        <v>#REF!</v>
      </c>
      <c r="AJ333" s="2" t="str">
        <f>IFERROR(__xludf.DUMMYFUNCTION("IMPORTRANGE(""https://docs.google.com/spreadsheets/d/""&amp;$A333&amp;""/edit#gid=156619080"",AJ$3)"),"#REF!")</f>
        <v>#REF!</v>
      </c>
      <c r="AK333" s="2" t="str">
        <f>IFERROR(__xludf.DUMMYFUNCTION("IMPORTRANGE(""https://docs.google.com/spreadsheets/d/""&amp;$A333&amp;""/edit#gid=156619080"",AK$3)"),"#REF!")</f>
        <v>#REF!</v>
      </c>
      <c r="AL333" s="2" t="str">
        <f>IFERROR(__xludf.DUMMYFUNCTION("IMPORTRANGE(""https://docs.google.com/spreadsheets/d/""&amp;$A333&amp;""/edit#gid=156619080"",AL$3)"),"#REF!")</f>
        <v>#REF!</v>
      </c>
      <c r="AM333" s="2" t="str">
        <f>IFERROR(__xludf.DUMMYFUNCTION("IMPORTRANGE(""https://docs.google.com/spreadsheets/d/""&amp;$A333&amp;""/edit#gid=156619080"",AM$3)"),"#REF!")</f>
        <v>#REF!</v>
      </c>
      <c r="AN333" s="2" t="str">
        <f>IFERROR(__xludf.DUMMYFUNCTION("IMPORTRANGE(""https://docs.google.com/spreadsheets/d/""&amp;$A333&amp;""/edit#gid=156619080"",AN$3)"),"#REF!")</f>
        <v>#REF!</v>
      </c>
      <c r="AO333" s="2" t="str">
        <f>IFERROR(__xludf.DUMMYFUNCTION("IMPORTRANGE(""https://docs.google.com/spreadsheets/d/""&amp;$A333&amp;""/edit#gid=156619080"",AO$3)"),"#REF!")</f>
        <v>#REF!</v>
      </c>
      <c r="AP333" s="2" t="str">
        <f>IFERROR(__xludf.DUMMYFUNCTION("IMPORTRANGE(""https://docs.google.com/spreadsheets/d/""&amp;$A333&amp;""/edit#gid=156619080"",AP$3)"),"#REF!")</f>
        <v>#REF!</v>
      </c>
      <c r="AQ333" s="2" t="str">
        <f>IFERROR(__xludf.DUMMYFUNCTION("IMPORTRANGE(""https://docs.google.com/spreadsheets/d/""&amp;$A333&amp;""/edit#gid=156619080"",AQ$3)"),"#REF!")</f>
        <v>#REF!</v>
      </c>
      <c r="AR333" s="2" t="str">
        <f>IFERROR(__xludf.DUMMYFUNCTION("IMPORTRANGE(""https://docs.google.com/spreadsheets/d/""&amp;$A333&amp;""/edit#gid=156619080"",AR$3)"),"#REF!")</f>
        <v>#REF!</v>
      </c>
      <c r="AS333" s="19" t="str">
        <f>IFERROR(__xludf.DUMMYFUNCTION("IMPORTRANGE(""https://docs.google.com/spreadsheets/d/""&amp;$A333&amp;""/edit#gid=156619080"",AS$3)"),"#REF!")</f>
        <v>#REF!</v>
      </c>
      <c r="AT333" s="2" t="str">
        <f>IFERROR(__xludf.DUMMYFUNCTION("IMPORTRANGE(""https://docs.google.com/spreadsheets/d/""&amp;$A333&amp;""/edit#gid=156619080"",AT$3)"),"#REF!")</f>
        <v>#REF!</v>
      </c>
      <c r="AU333" s="3" t="str">
        <f>IFERROR(__xludf.DUMMYFUNCTION("IMPORTRANGE(""https://docs.google.com/spreadsheets/d/""&amp;$A333&amp;""/edit#gid=156619080"",AU$3)"),"#REF!")</f>
        <v>#REF!</v>
      </c>
      <c r="AV333" s="2" t="str">
        <f>IFERROR(__xludf.DUMMYFUNCTION("IMPORTRANGE(""https://docs.google.com/spreadsheets/d/""&amp;$A333&amp;""/edit#gid=156619080"",AV$3)"),"#REF!")</f>
        <v>#REF!</v>
      </c>
      <c r="AW333" s="19" t="str">
        <f>IFERROR(__xludf.DUMMYFUNCTION("IMPORTRANGE(""https://docs.google.com/spreadsheets/d/""&amp;$A333&amp;""/edit#gid=156619080"",AW$3)"),"#REF!")</f>
        <v>#REF!</v>
      </c>
      <c r="AX333" s="2" t="str">
        <f>IFERROR(__xludf.DUMMYFUNCTION("IMPORTRANGE(""https://docs.google.com/spreadsheets/d/""&amp;$A333&amp;""/edit#gid=156619080"",AX$3)"),"#REF!")</f>
        <v>#REF!</v>
      </c>
      <c r="AY333" s="2" t="str">
        <f>IFERROR(__xludf.DUMMYFUNCTION("IMPORTRANGE(""https://docs.google.com/spreadsheets/d/""&amp;$A333&amp;""/edit#gid=156619080"",AY$3)"),"#REF!")</f>
        <v>#REF!</v>
      </c>
      <c r="AZ333" s="2" t="str">
        <f>IFERROR(__xludf.DUMMYFUNCTION("IMPORTRANGE(""https://docs.google.com/spreadsheets/d/""&amp;$A333&amp;""/edit#gid=156619080"",AZ$3)"),"#REF!")</f>
        <v>#REF!</v>
      </c>
      <c r="BA333" s="2" t="str">
        <f>IFERROR(__xludf.DUMMYFUNCTION("IMPORTRANGE(""https://docs.google.com/spreadsheets/d/""&amp;$A333&amp;""/edit#gid=156619080"",BA$3)"),"#REF!")</f>
        <v>#REF!</v>
      </c>
      <c r="BB333" s="2" t="str">
        <f>IFERROR(__xludf.DUMMYFUNCTION("IMPORTRANGE(""https://docs.google.com/spreadsheets/d/""&amp;$A333&amp;""/edit#gid=156619080"",BB$3)"),"#REF!")</f>
        <v>#REF!</v>
      </c>
      <c r="BC333" s="2" t="str">
        <f>IFERROR(__xludf.DUMMYFUNCTION("IMPORTRANGE(""https://docs.google.com/spreadsheets/d/""&amp;$A333&amp;""/edit#gid=156619080"",BC$3)"),"#REF!")</f>
        <v>#REF!</v>
      </c>
    </row>
    <row r="334" ht="51.0" customHeight="1">
      <c r="A334" s="7" t="str">
        <f t="shared" si="5"/>
        <v>1Zeh85n_OInbsZQWb_6cAh1GXZmzyQBc_zwcRF8NHFOo</v>
      </c>
      <c r="B334" s="1" t="s">
        <v>361</v>
      </c>
      <c r="C334" s="2" t="str">
        <f>IFERROR(__xludf.DUMMYFUNCTION("IMPORTRANGE(""https://docs.google.com/spreadsheets/d/""&amp;$A334&amp;""/edit#gid=156619080"",C$3)"),"#REF!")</f>
        <v>#REF!</v>
      </c>
      <c r="D334" s="2" t="str">
        <f>IFERROR(__xludf.DUMMYFUNCTION("IMPORTRANGE(""https://docs.google.com/spreadsheets/d/""&amp;$A334&amp;""/edit#gid=156619080"",D$3)"),"#REF!")</f>
        <v>#REF!</v>
      </c>
      <c r="E334" s="2" t="str">
        <f>IFERROR(__xludf.DUMMYFUNCTION("IMPORTRANGE(""https://docs.google.com/spreadsheets/d/""&amp;$A334&amp;""/edit#gid=156619080"",E$3)"),"#REF!")</f>
        <v>#REF!</v>
      </c>
      <c r="F334" s="2" t="str">
        <f>IFERROR(__xludf.DUMMYFUNCTION("IMPORTRANGE(""https://docs.google.com/spreadsheets/d/""&amp;$A334&amp;""/edit#gid=156619080"",F$3)"),"#REF!")</f>
        <v>#REF!</v>
      </c>
      <c r="G334" s="2" t="str">
        <f>IFERROR(__xludf.DUMMYFUNCTION("IMPORTRANGE(""https://docs.google.com/spreadsheets/d/""&amp;$A334&amp;""/edit#gid=156619080"",G$3)"),"#REF!")</f>
        <v>#REF!</v>
      </c>
      <c r="H334" s="2" t="str">
        <f>IFERROR(__xludf.DUMMYFUNCTION("IMPORTRANGE(""https://docs.google.com/spreadsheets/d/""&amp;$A334&amp;""/edit#gid=156619080"",H$3)"),"#REF!")</f>
        <v>#REF!</v>
      </c>
      <c r="I334" s="2" t="str">
        <f>IFERROR(__xludf.DUMMYFUNCTION("IMPORTRANGE(""https://docs.google.com/spreadsheets/d/""&amp;$A334&amp;""/edit#gid=156619080"",I$3)"),"#REF!")</f>
        <v>#REF!</v>
      </c>
      <c r="J334" s="2" t="str">
        <f>IFERROR(__xludf.DUMMYFUNCTION("IMPORTRANGE(""https://docs.google.com/spreadsheets/d/""&amp;$A334&amp;""/edit#gid=156619080"",J$3)"),"#REF!")</f>
        <v>#REF!</v>
      </c>
      <c r="K334" s="2" t="str">
        <f>IFERROR(__xludf.DUMMYFUNCTION("IMPORTRANGE(""https://docs.google.com/spreadsheets/d/""&amp;$A334&amp;""/edit#gid=156619080"",K$3)"),"#REF!")</f>
        <v>#REF!</v>
      </c>
      <c r="L334" s="2" t="str">
        <f>IFERROR(__xludf.DUMMYFUNCTION("IMPORTRANGE(""https://docs.google.com/spreadsheets/d/""&amp;$A334&amp;""/edit#gid=156619080"",L$3)"),"#REF!")</f>
        <v>#REF!</v>
      </c>
      <c r="M334" s="2" t="str">
        <f>IFERROR(__xludf.DUMMYFUNCTION("IMPORTRANGE(""https://docs.google.com/spreadsheets/d/""&amp;$A334&amp;""/edit#gid=156619080"",M$3)"),"#REF!")</f>
        <v>#REF!</v>
      </c>
      <c r="N334" s="2" t="str">
        <f>IFERROR(__xludf.DUMMYFUNCTION("IMPORTRANGE(""https://docs.google.com/spreadsheets/d/""&amp;$A334&amp;""/edit#gid=156619080"",N$3)"),"#REF!")</f>
        <v>#REF!</v>
      </c>
      <c r="O334" s="2" t="str">
        <f>IFERROR(__xludf.DUMMYFUNCTION("IMPORTRANGE(""https://docs.google.com/spreadsheets/d/""&amp;$A334&amp;""/edit#gid=156619080"",O$3)"),"#REF!")</f>
        <v>#REF!</v>
      </c>
      <c r="P334" s="2" t="str">
        <f>IFERROR(__xludf.DUMMYFUNCTION("IMPORTRANGE(""https://docs.google.com/spreadsheets/d/""&amp;$A334&amp;""/edit#gid=156619080"",P$3)"),"#REF!")</f>
        <v>#REF!</v>
      </c>
      <c r="Q334" s="2" t="str">
        <f>IFERROR(__xludf.DUMMYFUNCTION("IMPORTRANGE(""https://docs.google.com/spreadsheets/d/""&amp;$A334&amp;""/edit#gid=156619080"",Q$3)"),"#REF!")</f>
        <v>#REF!</v>
      </c>
      <c r="R334" s="2" t="str">
        <f>IFERROR(__xludf.DUMMYFUNCTION("IMPORTRANGE(""https://docs.google.com/spreadsheets/d/""&amp;$A334&amp;""/edit#gid=156619080"",R$3)"),"#REF!")</f>
        <v>#REF!</v>
      </c>
      <c r="S334" s="2" t="str">
        <f>IFERROR(__xludf.DUMMYFUNCTION("IMPORTRANGE(""https://docs.google.com/spreadsheets/d/""&amp;$A334&amp;""/edit#gid=156619080"",S$3)"),"#REF!")</f>
        <v>#REF!</v>
      </c>
      <c r="T334" s="2" t="str">
        <f>IFERROR(__xludf.DUMMYFUNCTION("IMPORTRANGE(""https://docs.google.com/spreadsheets/d/""&amp;$A334&amp;""/edit#gid=156619080"",T$3)"),"#REF!")</f>
        <v>#REF!</v>
      </c>
      <c r="U334" s="2" t="str">
        <f>IFERROR(__xludf.DUMMYFUNCTION("IMPORTRANGE(""https://docs.google.com/spreadsheets/d/""&amp;$A334&amp;""/edit#gid=156619080"",U$3)"),"#REF!")</f>
        <v>#REF!</v>
      </c>
      <c r="V334" s="2" t="str">
        <f>IFERROR(__xludf.DUMMYFUNCTION("IMPORTRANGE(""https://docs.google.com/spreadsheets/d/""&amp;$A334&amp;""/edit#gid=156619080"",V$3)"),"#REF!")</f>
        <v>#REF!</v>
      </c>
      <c r="W334" s="2" t="str">
        <f>IFERROR(__xludf.DUMMYFUNCTION("IMPORTRANGE(""https://docs.google.com/spreadsheets/d/""&amp;$A334&amp;""/edit#gid=156619080"",W$3)"),"#REF!")</f>
        <v>#REF!</v>
      </c>
      <c r="X334" s="2" t="str">
        <f>IFERROR(__xludf.DUMMYFUNCTION("IMPORTRANGE(""https://docs.google.com/spreadsheets/d/""&amp;$A334&amp;""/edit#gid=156619080"",X$3)"),"#REF!")</f>
        <v>#REF!</v>
      </c>
      <c r="Y334" s="2" t="str">
        <f>IFERROR(__xludf.DUMMYFUNCTION("IMPORTRANGE(""https://docs.google.com/spreadsheets/d/""&amp;$A334&amp;""/edit#gid=156619080"",Y$3)"),"#REF!")</f>
        <v>#REF!</v>
      </c>
      <c r="Z334" s="2" t="str">
        <f>IFERROR(__xludf.DUMMYFUNCTION("IMPORTRANGE(""https://docs.google.com/spreadsheets/d/""&amp;$A334&amp;""/edit#gid=156619080"",Z$3)"),"#REF!")</f>
        <v>#REF!</v>
      </c>
      <c r="AA334" s="2" t="str">
        <f>IFERROR(__xludf.DUMMYFUNCTION("IMPORTRANGE(""https://docs.google.com/spreadsheets/d/""&amp;$A334&amp;""/edit#gid=156619080"",AA$3)"),"#REF!")</f>
        <v>#REF!</v>
      </c>
      <c r="AB334" s="2" t="str">
        <f>IFERROR(__xludf.DUMMYFUNCTION("IMPORTRANGE(""https://docs.google.com/spreadsheets/d/""&amp;$A334&amp;""/edit#gid=156619080"",AB$3)"),"#REF!")</f>
        <v>#REF!</v>
      </c>
      <c r="AC334" s="2" t="str">
        <f>IFERROR(__xludf.DUMMYFUNCTION("IMPORTRANGE(""https://docs.google.com/spreadsheets/d/""&amp;$A334&amp;""/edit#gid=156619080"",AC$3)"),"#REF!")</f>
        <v>#REF!</v>
      </c>
      <c r="AD334" s="2" t="str">
        <f>IFERROR(__xludf.DUMMYFUNCTION("IMPORTRANGE(""https://docs.google.com/spreadsheets/d/""&amp;$A334&amp;""/edit#gid=156619080"",AD$3)"),"#REF!")</f>
        <v>#REF!</v>
      </c>
      <c r="AE334" s="2" t="str">
        <f>IFERROR(__xludf.DUMMYFUNCTION("IMPORTRANGE(""https://docs.google.com/spreadsheets/d/""&amp;$A334&amp;""/edit#gid=156619080"",AE$3)"),"#REF!")</f>
        <v>#REF!</v>
      </c>
      <c r="AF334" s="2" t="str">
        <f>IFERROR(__xludf.DUMMYFUNCTION("IMPORTRANGE(""https://docs.google.com/spreadsheets/d/""&amp;$A334&amp;""/edit#gid=156619080"",AF$3)"),"#REF!")</f>
        <v>#REF!</v>
      </c>
      <c r="AG334" s="2" t="str">
        <f>IFERROR(__xludf.DUMMYFUNCTION("IMPORTRANGE(""https://docs.google.com/spreadsheets/d/""&amp;$A334&amp;""/edit#gid=156619080"",AG$3)"),"#REF!")</f>
        <v>#REF!</v>
      </c>
      <c r="AH334" s="2" t="str">
        <f>IFERROR(__xludf.DUMMYFUNCTION("IMPORTRANGE(""https://docs.google.com/spreadsheets/d/""&amp;$A334&amp;""/edit#gid=156619080"",AH$3)"),"#REF!")</f>
        <v>#REF!</v>
      </c>
      <c r="AI334" s="2" t="str">
        <f>IFERROR(__xludf.DUMMYFUNCTION("IMPORTRANGE(""https://docs.google.com/spreadsheets/d/""&amp;$A334&amp;""/edit#gid=156619080"",AI$3)"),"#REF!")</f>
        <v>#REF!</v>
      </c>
      <c r="AJ334" s="2" t="str">
        <f>IFERROR(__xludf.DUMMYFUNCTION("IMPORTRANGE(""https://docs.google.com/spreadsheets/d/""&amp;$A334&amp;""/edit#gid=156619080"",AJ$3)"),"#REF!")</f>
        <v>#REF!</v>
      </c>
      <c r="AK334" s="2" t="str">
        <f>IFERROR(__xludf.DUMMYFUNCTION("IMPORTRANGE(""https://docs.google.com/spreadsheets/d/""&amp;$A334&amp;""/edit#gid=156619080"",AK$3)"),"#REF!")</f>
        <v>#REF!</v>
      </c>
      <c r="AL334" s="2" t="str">
        <f>IFERROR(__xludf.DUMMYFUNCTION("IMPORTRANGE(""https://docs.google.com/spreadsheets/d/""&amp;$A334&amp;""/edit#gid=156619080"",AL$3)"),"#REF!")</f>
        <v>#REF!</v>
      </c>
      <c r="AM334" s="2" t="str">
        <f>IFERROR(__xludf.DUMMYFUNCTION("IMPORTRANGE(""https://docs.google.com/spreadsheets/d/""&amp;$A334&amp;""/edit#gid=156619080"",AM$3)"),"#REF!")</f>
        <v>#REF!</v>
      </c>
      <c r="AN334" s="2" t="str">
        <f>IFERROR(__xludf.DUMMYFUNCTION("IMPORTRANGE(""https://docs.google.com/spreadsheets/d/""&amp;$A334&amp;""/edit#gid=156619080"",AN$3)"),"#REF!")</f>
        <v>#REF!</v>
      </c>
      <c r="AO334" s="2" t="str">
        <f>IFERROR(__xludf.DUMMYFUNCTION("IMPORTRANGE(""https://docs.google.com/spreadsheets/d/""&amp;$A334&amp;""/edit#gid=156619080"",AO$3)"),"#REF!")</f>
        <v>#REF!</v>
      </c>
      <c r="AP334" s="2" t="str">
        <f>IFERROR(__xludf.DUMMYFUNCTION("IMPORTRANGE(""https://docs.google.com/spreadsheets/d/""&amp;$A334&amp;""/edit#gid=156619080"",AP$3)"),"#REF!")</f>
        <v>#REF!</v>
      </c>
      <c r="AQ334" s="2" t="str">
        <f>IFERROR(__xludf.DUMMYFUNCTION("IMPORTRANGE(""https://docs.google.com/spreadsheets/d/""&amp;$A334&amp;""/edit#gid=156619080"",AQ$3)"),"#REF!")</f>
        <v>#REF!</v>
      </c>
      <c r="AR334" s="2" t="str">
        <f>IFERROR(__xludf.DUMMYFUNCTION("IMPORTRANGE(""https://docs.google.com/spreadsheets/d/""&amp;$A334&amp;""/edit#gid=156619080"",AR$3)"),"#REF!")</f>
        <v>#REF!</v>
      </c>
      <c r="AS334" s="19" t="str">
        <f>IFERROR(__xludf.DUMMYFUNCTION("IMPORTRANGE(""https://docs.google.com/spreadsheets/d/""&amp;$A334&amp;""/edit#gid=156619080"",AS$3)"),"#REF!")</f>
        <v>#REF!</v>
      </c>
      <c r="AT334" s="2" t="str">
        <f>IFERROR(__xludf.DUMMYFUNCTION("IMPORTRANGE(""https://docs.google.com/spreadsheets/d/""&amp;$A334&amp;""/edit#gid=156619080"",AT$3)"),"#REF!")</f>
        <v>#REF!</v>
      </c>
      <c r="AU334" s="3" t="str">
        <f>IFERROR(__xludf.DUMMYFUNCTION("IMPORTRANGE(""https://docs.google.com/spreadsheets/d/""&amp;$A334&amp;""/edit#gid=156619080"",AU$3)"),"#REF!")</f>
        <v>#REF!</v>
      </c>
      <c r="AV334" s="2" t="str">
        <f>IFERROR(__xludf.DUMMYFUNCTION("IMPORTRANGE(""https://docs.google.com/spreadsheets/d/""&amp;$A334&amp;""/edit#gid=156619080"",AV$3)"),"#REF!")</f>
        <v>#REF!</v>
      </c>
      <c r="AW334" s="19" t="str">
        <f>IFERROR(__xludf.DUMMYFUNCTION("IMPORTRANGE(""https://docs.google.com/spreadsheets/d/""&amp;$A334&amp;""/edit#gid=156619080"",AW$3)"),"#REF!")</f>
        <v>#REF!</v>
      </c>
      <c r="AX334" s="2" t="str">
        <f>IFERROR(__xludf.DUMMYFUNCTION("IMPORTRANGE(""https://docs.google.com/spreadsheets/d/""&amp;$A334&amp;""/edit#gid=156619080"",AX$3)"),"#REF!")</f>
        <v>#REF!</v>
      </c>
      <c r="AY334" s="2" t="str">
        <f>IFERROR(__xludf.DUMMYFUNCTION("IMPORTRANGE(""https://docs.google.com/spreadsheets/d/""&amp;$A334&amp;""/edit#gid=156619080"",AY$3)"),"#REF!")</f>
        <v>#REF!</v>
      </c>
      <c r="AZ334" s="2" t="str">
        <f>IFERROR(__xludf.DUMMYFUNCTION("IMPORTRANGE(""https://docs.google.com/spreadsheets/d/""&amp;$A334&amp;""/edit#gid=156619080"",AZ$3)"),"#REF!")</f>
        <v>#REF!</v>
      </c>
      <c r="BA334" s="2" t="str">
        <f>IFERROR(__xludf.DUMMYFUNCTION("IMPORTRANGE(""https://docs.google.com/spreadsheets/d/""&amp;$A334&amp;""/edit#gid=156619080"",BA$3)"),"#REF!")</f>
        <v>#REF!</v>
      </c>
      <c r="BB334" s="2" t="str">
        <f>IFERROR(__xludf.DUMMYFUNCTION("IMPORTRANGE(""https://docs.google.com/spreadsheets/d/""&amp;$A334&amp;""/edit#gid=156619080"",BB$3)"),"#REF!")</f>
        <v>#REF!</v>
      </c>
      <c r="BC334" s="2" t="str">
        <f>IFERROR(__xludf.DUMMYFUNCTION("IMPORTRANGE(""https://docs.google.com/spreadsheets/d/""&amp;$A334&amp;""/edit#gid=156619080"",BC$3)"),"#REF!")</f>
        <v>#REF!</v>
      </c>
    </row>
    <row r="335" ht="51.0" customHeight="1">
      <c r="A335" s="7" t="str">
        <f t="shared" si="5"/>
        <v>1vguaeea9A3RE1NF_40xxFd3tDFCvMFPYgLkZWa8_ClA</v>
      </c>
      <c r="B335" s="1" t="s">
        <v>362</v>
      </c>
      <c r="C335" s="2" t="str">
        <f>IFERROR(__xludf.DUMMYFUNCTION("IMPORTRANGE(""https://docs.google.com/spreadsheets/d/""&amp;$A335&amp;""/edit#gid=156619080"",C$3)"),"#REF!")</f>
        <v>#REF!</v>
      </c>
      <c r="D335" s="2" t="str">
        <f>IFERROR(__xludf.DUMMYFUNCTION("IMPORTRANGE(""https://docs.google.com/spreadsheets/d/""&amp;$A335&amp;""/edit#gid=156619080"",D$3)"),"#REF!")</f>
        <v>#REF!</v>
      </c>
      <c r="E335" s="2" t="str">
        <f>IFERROR(__xludf.DUMMYFUNCTION("IMPORTRANGE(""https://docs.google.com/spreadsheets/d/""&amp;$A335&amp;""/edit#gid=156619080"",E$3)"),"#REF!")</f>
        <v>#REF!</v>
      </c>
      <c r="F335" s="2" t="str">
        <f>IFERROR(__xludf.DUMMYFUNCTION("IMPORTRANGE(""https://docs.google.com/spreadsheets/d/""&amp;$A335&amp;""/edit#gid=156619080"",F$3)"),"#REF!")</f>
        <v>#REF!</v>
      </c>
      <c r="G335" s="2" t="str">
        <f>IFERROR(__xludf.DUMMYFUNCTION("IMPORTRANGE(""https://docs.google.com/spreadsheets/d/""&amp;$A335&amp;""/edit#gid=156619080"",G$3)"),"#REF!")</f>
        <v>#REF!</v>
      </c>
      <c r="H335" s="2" t="str">
        <f>IFERROR(__xludf.DUMMYFUNCTION("IMPORTRANGE(""https://docs.google.com/spreadsheets/d/""&amp;$A335&amp;""/edit#gid=156619080"",H$3)"),"#REF!")</f>
        <v>#REF!</v>
      </c>
      <c r="I335" s="2" t="str">
        <f>IFERROR(__xludf.DUMMYFUNCTION("IMPORTRANGE(""https://docs.google.com/spreadsheets/d/""&amp;$A335&amp;""/edit#gid=156619080"",I$3)"),"#REF!")</f>
        <v>#REF!</v>
      </c>
      <c r="J335" s="2" t="str">
        <f>IFERROR(__xludf.DUMMYFUNCTION("IMPORTRANGE(""https://docs.google.com/spreadsheets/d/""&amp;$A335&amp;""/edit#gid=156619080"",J$3)"),"#REF!")</f>
        <v>#REF!</v>
      </c>
      <c r="K335" s="2" t="str">
        <f>IFERROR(__xludf.DUMMYFUNCTION("IMPORTRANGE(""https://docs.google.com/spreadsheets/d/""&amp;$A335&amp;""/edit#gid=156619080"",K$3)"),"#REF!")</f>
        <v>#REF!</v>
      </c>
      <c r="L335" s="2" t="str">
        <f>IFERROR(__xludf.DUMMYFUNCTION("IMPORTRANGE(""https://docs.google.com/spreadsheets/d/""&amp;$A335&amp;""/edit#gid=156619080"",L$3)"),"#REF!")</f>
        <v>#REF!</v>
      </c>
      <c r="M335" s="2" t="str">
        <f>IFERROR(__xludf.DUMMYFUNCTION("IMPORTRANGE(""https://docs.google.com/spreadsheets/d/""&amp;$A335&amp;""/edit#gid=156619080"",M$3)"),"#REF!")</f>
        <v>#REF!</v>
      </c>
      <c r="N335" s="2" t="str">
        <f>IFERROR(__xludf.DUMMYFUNCTION("IMPORTRANGE(""https://docs.google.com/spreadsheets/d/""&amp;$A335&amp;""/edit#gid=156619080"",N$3)"),"#REF!")</f>
        <v>#REF!</v>
      </c>
      <c r="O335" s="2" t="str">
        <f>IFERROR(__xludf.DUMMYFUNCTION("IMPORTRANGE(""https://docs.google.com/spreadsheets/d/""&amp;$A335&amp;""/edit#gid=156619080"",O$3)"),"#REF!")</f>
        <v>#REF!</v>
      </c>
      <c r="P335" s="2" t="str">
        <f>IFERROR(__xludf.DUMMYFUNCTION("IMPORTRANGE(""https://docs.google.com/spreadsheets/d/""&amp;$A335&amp;""/edit#gid=156619080"",P$3)"),"#REF!")</f>
        <v>#REF!</v>
      </c>
      <c r="Q335" s="2" t="str">
        <f>IFERROR(__xludf.DUMMYFUNCTION("IMPORTRANGE(""https://docs.google.com/spreadsheets/d/""&amp;$A335&amp;""/edit#gid=156619080"",Q$3)"),"#REF!")</f>
        <v>#REF!</v>
      </c>
      <c r="R335" s="2" t="str">
        <f>IFERROR(__xludf.DUMMYFUNCTION("IMPORTRANGE(""https://docs.google.com/spreadsheets/d/""&amp;$A335&amp;""/edit#gid=156619080"",R$3)"),"#REF!")</f>
        <v>#REF!</v>
      </c>
      <c r="S335" s="2" t="str">
        <f>IFERROR(__xludf.DUMMYFUNCTION("IMPORTRANGE(""https://docs.google.com/spreadsheets/d/""&amp;$A335&amp;""/edit#gid=156619080"",S$3)"),"#REF!")</f>
        <v>#REF!</v>
      </c>
      <c r="T335" s="2" t="str">
        <f>IFERROR(__xludf.DUMMYFUNCTION("IMPORTRANGE(""https://docs.google.com/spreadsheets/d/""&amp;$A335&amp;""/edit#gid=156619080"",T$3)"),"#REF!")</f>
        <v>#REF!</v>
      </c>
      <c r="U335" s="2" t="str">
        <f>IFERROR(__xludf.DUMMYFUNCTION("IMPORTRANGE(""https://docs.google.com/spreadsheets/d/""&amp;$A335&amp;""/edit#gid=156619080"",U$3)"),"#REF!")</f>
        <v>#REF!</v>
      </c>
      <c r="V335" s="2" t="str">
        <f>IFERROR(__xludf.DUMMYFUNCTION("IMPORTRANGE(""https://docs.google.com/spreadsheets/d/""&amp;$A335&amp;""/edit#gid=156619080"",V$3)"),"#REF!")</f>
        <v>#REF!</v>
      </c>
      <c r="W335" s="2" t="str">
        <f>IFERROR(__xludf.DUMMYFUNCTION("IMPORTRANGE(""https://docs.google.com/spreadsheets/d/""&amp;$A335&amp;""/edit#gid=156619080"",W$3)"),"#REF!")</f>
        <v>#REF!</v>
      </c>
      <c r="X335" s="2" t="str">
        <f>IFERROR(__xludf.DUMMYFUNCTION("IMPORTRANGE(""https://docs.google.com/spreadsheets/d/""&amp;$A335&amp;""/edit#gid=156619080"",X$3)"),"#REF!")</f>
        <v>#REF!</v>
      </c>
      <c r="Y335" s="2" t="str">
        <f>IFERROR(__xludf.DUMMYFUNCTION("IMPORTRANGE(""https://docs.google.com/spreadsheets/d/""&amp;$A335&amp;""/edit#gid=156619080"",Y$3)"),"#REF!")</f>
        <v>#REF!</v>
      </c>
      <c r="Z335" s="2" t="str">
        <f>IFERROR(__xludf.DUMMYFUNCTION("IMPORTRANGE(""https://docs.google.com/spreadsheets/d/""&amp;$A335&amp;""/edit#gid=156619080"",Z$3)"),"#REF!")</f>
        <v>#REF!</v>
      </c>
      <c r="AA335" s="2" t="str">
        <f>IFERROR(__xludf.DUMMYFUNCTION("IMPORTRANGE(""https://docs.google.com/spreadsheets/d/""&amp;$A335&amp;""/edit#gid=156619080"",AA$3)"),"#REF!")</f>
        <v>#REF!</v>
      </c>
      <c r="AB335" s="2" t="str">
        <f>IFERROR(__xludf.DUMMYFUNCTION("IMPORTRANGE(""https://docs.google.com/spreadsheets/d/""&amp;$A335&amp;""/edit#gid=156619080"",AB$3)"),"#REF!")</f>
        <v>#REF!</v>
      </c>
      <c r="AC335" s="2" t="str">
        <f>IFERROR(__xludf.DUMMYFUNCTION("IMPORTRANGE(""https://docs.google.com/spreadsheets/d/""&amp;$A335&amp;""/edit#gid=156619080"",AC$3)"),"#REF!")</f>
        <v>#REF!</v>
      </c>
      <c r="AD335" s="2" t="str">
        <f>IFERROR(__xludf.DUMMYFUNCTION("IMPORTRANGE(""https://docs.google.com/spreadsheets/d/""&amp;$A335&amp;""/edit#gid=156619080"",AD$3)"),"#REF!")</f>
        <v>#REF!</v>
      </c>
      <c r="AE335" s="2" t="str">
        <f>IFERROR(__xludf.DUMMYFUNCTION("IMPORTRANGE(""https://docs.google.com/spreadsheets/d/""&amp;$A335&amp;""/edit#gid=156619080"",AE$3)"),"#REF!")</f>
        <v>#REF!</v>
      </c>
      <c r="AF335" s="2" t="str">
        <f>IFERROR(__xludf.DUMMYFUNCTION("IMPORTRANGE(""https://docs.google.com/spreadsheets/d/""&amp;$A335&amp;""/edit#gid=156619080"",AF$3)"),"#REF!")</f>
        <v>#REF!</v>
      </c>
      <c r="AG335" s="2" t="str">
        <f>IFERROR(__xludf.DUMMYFUNCTION("IMPORTRANGE(""https://docs.google.com/spreadsheets/d/""&amp;$A335&amp;""/edit#gid=156619080"",AG$3)"),"#REF!")</f>
        <v>#REF!</v>
      </c>
      <c r="AH335" s="2" t="str">
        <f>IFERROR(__xludf.DUMMYFUNCTION("IMPORTRANGE(""https://docs.google.com/spreadsheets/d/""&amp;$A335&amp;""/edit#gid=156619080"",AH$3)"),"#REF!")</f>
        <v>#REF!</v>
      </c>
      <c r="AI335" s="2" t="str">
        <f>IFERROR(__xludf.DUMMYFUNCTION("IMPORTRANGE(""https://docs.google.com/spreadsheets/d/""&amp;$A335&amp;""/edit#gid=156619080"",AI$3)"),"#REF!")</f>
        <v>#REF!</v>
      </c>
      <c r="AJ335" s="2" t="str">
        <f>IFERROR(__xludf.DUMMYFUNCTION("IMPORTRANGE(""https://docs.google.com/spreadsheets/d/""&amp;$A335&amp;""/edit#gid=156619080"",AJ$3)"),"#REF!")</f>
        <v>#REF!</v>
      </c>
      <c r="AK335" s="2" t="str">
        <f>IFERROR(__xludf.DUMMYFUNCTION("IMPORTRANGE(""https://docs.google.com/spreadsheets/d/""&amp;$A335&amp;""/edit#gid=156619080"",AK$3)"),"#REF!")</f>
        <v>#REF!</v>
      </c>
      <c r="AL335" s="2" t="str">
        <f>IFERROR(__xludf.DUMMYFUNCTION("IMPORTRANGE(""https://docs.google.com/spreadsheets/d/""&amp;$A335&amp;""/edit#gid=156619080"",AL$3)"),"#REF!")</f>
        <v>#REF!</v>
      </c>
      <c r="AM335" s="2" t="str">
        <f>IFERROR(__xludf.DUMMYFUNCTION("IMPORTRANGE(""https://docs.google.com/spreadsheets/d/""&amp;$A335&amp;""/edit#gid=156619080"",AM$3)"),"#REF!")</f>
        <v>#REF!</v>
      </c>
      <c r="AN335" s="2" t="str">
        <f>IFERROR(__xludf.DUMMYFUNCTION("IMPORTRANGE(""https://docs.google.com/spreadsheets/d/""&amp;$A335&amp;""/edit#gid=156619080"",AN$3)"),"#REF!")</f>
        <v>#REF!</v>
      </c>
      <c r="AO335" s="2" t="str">
        <f>IFERROR(__xludf.DUMMYFUNCTION("IMPORTRANGE(""https://docs.google.com/spreadsheets/d/""&amp;$A335&amp;""/edit#gid=156619080"",AO$3)"),"#REF!")</f>
        <v>#REF!</v>
      </c>
      <c r="AP335" s="2" t="str">
        <f>IFERROR(__xludf.DUMMYFUNCTION("IMPORTRANGE(""https://docs.google.com/spreadsheets/d/""&amp;$A335&amp;""/edit#gid=156619080"",AP$3)"),"#REF!")</f>
        <v>#REF!</v>
      </c>
      <c r="AQ335" s="2" t="str">
        <f>IFERROR(__xludf.DUMMYFUNCTION("IMPORTRANGE(""https://docs.google.com/spreadsheets/d/""&amp;$A335&amp;""/edit#gid=156619080"",AQ$3)"),"#REF!")</f>
        <v>#REF!</v>
      </c>
      <c r="AR335" s="2" t="str">
        <f>IFERROR(__xludf.DUMMYFUNCTION("IMPORTRANGE(""https://docs.google.com/spreadsheets/d/""&amp;$A335&amp;""/edit#gid=156619080"",AR$3)"),"#REF!")</f>
        <v>#REF!</v>
      </c>
      <c r="AS335" s="19" t="str">
        <f>IFERROR(__xludf.DUMMYFUNCTION("IMPORTRANGE(""https://docs.google.com/spreadsheets/d/""&amp;$A335&amp;""/edit#gid=156619080"",AS$3)"),"#REF!")</f>
        <v>#REF!</v>
      </c>
      <c r="AT335" s="2" t="str">
        <f>IFERROR(__xludf.DUMMYFUNCTION("IMPORTRANGE(""https://docs.google.com/spreadsheets/d/""&amp;$A335&amp;""/edit#gid=156619080"",AT$3)"),"#REF!")</f>
        <v>#REF!</v>
      </c>
      <c r="AU335" s="3" t="str">
        <f>IFERROR(__xludf.DUMMYFUNCTION("IMPORTRANGE(""https://docs.google.com/spreadsheets/d/""&amp;$A335&amp;""/edit#gid=156619080"",AU$3)"),"#REF!")</f>
        <v>#REF!</v>
      </c>
      <c r="AV335" s="2" t="str">
        <f>IFERROR(__xludf.DUMMYFUNCTION("IMPORTRANGE(""https://docs.google.com/spreadsheets/d/""&amp;$A335&amp;""/edit#gid=156619080"",AV$3)"),"#REF!")</f>
        <v>#REF!</v>
      </c>
      <c r="AW335" s="19" t="str">
        <f>IFERROR(__xludf.DUMMYFUNCTION("IMPORTRANGE(""https://docs.google.com/spreadsheets/d/""&amp;$A335&amp;""/edit#gid=156619080"",AW$3)"),"#REF!")</f>
        <v>#REF!</v>
      </c>
      <c r="AX335" s="2" t="str">
        <f>IFERROR(__xludf.DUMMYFUNCTION("IMPORTRANGE(""https://docs.google.com/spreadsheets/d/""&amp;$A335&amp;""/edit#gid=156619080"",AX$3)"),"#REF!")</f>
        <v>#REF!</v>
      </c>
      <c r="AY335" s="2" t="str">
        <f>IFERROR(__xludf.DUMMYFUNCTION("IMPORTRANGE(""https://docs.google.com/spreadsheets/d/""&amp;$A335&amp;""/edit#gid=156619080"",AY$3)"),"#REF!")</f>
        <v>#REF!</v>
      </c>
      <c r="AZ335" s="2" t="str">
        <f>IFERROR(__xludf.DUMMYFUNCTION("IMPORTRANGE(""https://docs.google.com/spreadsheets/d/""&amp;$A335&amp;""/edit#gid=156619080"",AZ$3)"),"#REF!")</f>
        <v>#REF!</v>
      </c>
      <c r="BA335" s="2" t="str">
        <f>IFERROR(__xludf.DUMMYFUNCTION("IMPORTRANGE(""https://docs.google.com/spreadsheets/d/""&amp;$A335&amp;""/edit#gid=156619080"",BA$3)"),"#REF!")</f>
        <v>#REF!</v>
      </c>
      <c r="BB335" s="2" t="str">
        <f>IFERROR(__xludf.DUMMYFUNCTION("IMPORTRANGE(""https://docs.google.com/spreadsheets/d/""&amp;$A335&amp;""/edit#gid=156619080"",BB$3)"),"#REF!")</f>
        <v>#REF!</v>
      </c>
      <c r="BC335" s="2" t="str">
        <f>IFERROR(__xludf.DUMMYFUNCTION("IMPORTRANGE(""https://docs.google.com/spreadsheets/d/""&amp;$A335&amp;""/edit#gid=156619080"",BC$3)"),"#REF!")</f>
        <v>#REF!</v>
      </c>
    </row>
    <row r="336" ht="51.0" customHeight="1">
      <c r="A336" s="7" t="str">
        <f t="shared" si="5"/>
        <v>1jL-073pw51zOmMV7pDs6sJYw8ik6y2jeeyAKRnH7K9Q</v>
      </c>
      <c r="B336" s="1" t="s">
        <v>363</v>
      </c>
      <c r="C336" s="2" t="str">
        <f>IFERROR(__xludf.DUMMYFUNCTION("IMPORTRANGE(""https://docs.google.com/spreadsheets/d/""&amp;$A336&amp;""/edit#gid=156619080"",C$3)"),"#REF!")</f>
        <v>#REF!</v>
      </c>
      <c r="D336" s="2" t="str">
        <f>IFERROR(__xludf.DUMMYFUNCTION("IMPORTRANGE(""https://docs.google.com/spreadsheets/d/""&amp;$A336&amp;""/edit#gid=156619080"",D$3)"),"#REF!")</f>
        <v>#REF!</v>
      </c>
      <c r="E336" s="2" t="str">
        <f>IFERROR(__xludf.DUMMYFUNCTION("IMPORTRANGE(""https://docs.google.com/spreadsheets/d/""&amp;$A336&amp;""/edit#gid=156619080"",E$3)"),"#REF!")</f>
        <v>#REF!</v>
      </c>
      <c r="F336" s="2" t="str">
        <f>IFERROR(__xludf.DUMMYFUNCTION("IMPORTRANGE(""https://docs.google.com/spreadsheets/d/""&amp;$A336&amp;""/edit#gid=156619080"",F$3)"),"#REF!")</f>
        <v>#REF!</v>
      </c>
      <c r="G336" s="2" t="str">
        <f>IFERROR(__xludf.DUMMYFUNCTION("IMPORTRANGE(""https://docs.google.com/spreadsheets/d/""&amp;$A336&amp;""/edit#gid=156619080"",G$3)"),"#REF!")</f>
        <v>#REF!</v>
      </c>
      <c r="H336" s="2" t="str">
        <f>IFERROR(__xludf.DUMMYFUNCTION("IMPORTRANGE(""https://docs.google.com/spreadsheets/d/""&amp;$A336&amp;""/edit#gid=156619080"",H$3)"),"#REF!")</f>
        <v>#REF!</v>
      </c>
      <c r="I336" s="2" t="str">
        <f>IFERROR(__xludf.DUMMYFUNCTION("IMPORTRANGE(""https://docs.google.com/spreadsheets/d/""&amp;$A336&amp;""/edit#gid=156619080"",I$3)"),"#REF!")</f>
        <v>#REF!</v>
      </c>
      <c r="J336" s="2" t="str">
        <f>IFERROR(__xludf.DUMMYFUNCTION("IMPORTRANGE(""https://docs.google.com/spreadsheets/d/""&amp;$A336&amp;""/edit#gid=156619080"",J$3)"),"#REF!")</f>
        <v>#REF!</v>
      </c>
      <c r="K336" s="2" t="str">
        <f>IFERROR(__xludf.DUMMYFUNCTION("IMPORTRANGE(""https://docs.google.com/spreadsheets/d/""&amp;$A336&amp;""/edit#gid=156619080"",K$3)"),"#REF!")</f>
        <v>#REF!</v>
      </c>
      <c r="L336" s="2" t="str">
        <f>IFERROR(__xludf.DUMMYFUNCTION("IMPORTRANGE(""https://docs.google.com/spreadsheets/d/""&amp;$A336&amp;""/edit#gid=156619080"",L$3)"),"#REF!")</f>
        <v>#REF!</v>
      </c>
      <c r="M336" s="2" t="str">
        <f>IFERROR(__xludf.DUMMYFUNCTION("IMPORTRANGE(""https://docs.google.com/spreadsheets/d/""&amp;$A336&amp;""/edit#gid=156619080"",M$3)"),"#REF!")</f>
        <v>#REF!</v>
      </c>
      <c r="N336" s="2" t="str">
        <f>IFERROR(__xludf.DUMMYFUNCTION("IMPORTRANGE(""https://docs.google.com/spreadsheets/d/""&amp;$A336&amp;""/edit#gid=156619080"",N$3)"),"#REF!")</f>
        <v>#REF!</v>
      </c>
      <c r="O336" s="2" t="str">
        <f>IFERROR(__xludf.DUMMYFUNCTION("IMPORTRANGE(""https://docs.google.com/spreadsheets/d/""&amp;$A336&amp;""/edit#gid=156619080"",O$3)"),"#REF!")</f>
        <v>#REF!</v>
      </c>
      <c r="P336" s="2" t="str">
        <f>IFERROR(__xludf.DUMMYFUNCTION("IMPORTRANGE(""https://docs.google.com/spreadsheets/d/""&amp;$A336&amp;""/edit#gid=156619080"",P$3)"),"#REF!")</f>
        <v>#REF!</v>
      </c>
      <c r="Q336" s="2" t="str">
        <f>IFERROR(__xludf.DUMMYFUNCTION("IMPORTRANGE(""https://docs.google.com/spreadsheets/d/""&amp;$A336&amp;""/edit#gid=156619080"",Q$3)"),"#REF!")</f>
        <v>#REF!</v>
      </c>
      <c r="R336" s="2" t="str">
        <f>IFERROR(__xludf.DUMMYFUNCTION("IMPORTRANGE(""https://docs.google.com/spreadsheets/d/""&amp;$A336&amp;""/edit#gid=156619080"",R$3)"),"#REF!")</f>
        <v>#REF!</v>
      </c>
      <c r="S336" s="2" t="str">
        <f>IFERROR(__xludf.DUMMYFUNCTION("IMPORTRANGE(""https://docs.google.com/spreadsheets/d/""&amp;$A336&amp;""/edit#gid=156619080"",S$3)"),"#REF!")</f>
        <v>#REF!</v>
      </c>
      <c r="T336" s="2" t="str">
        <f>IFERROR(__xludf.DUMMYFUNCTION("IMPORTRANGE(""https://docs.google.com/spreadsheets/d/""&amp;$A336&amp;""/edit#gid=156619080"",T$3)"),"#REF!")</f>
        <v>#REF!</v>
      </c>
      <c r="U336" s="2" t="str">
        <f>IFERROR(__xludf.DUMMYFUNCTION("IMPORTRANGE(""https://docs.google.com/spreadsheets/d/""&amp;$A336&amp;""/edit#gid=156619080"",U$3)"),"#REF!")</f>
        <v>#REF!</v>
      </c>
      <c r="V336" s="2" t="str">
        <f>IFERROR(__xludf.DUMMYFUNCTION("IMPORTRANGE(""https://docs.google.com/spreadsheets/d/""&amp;$A336&amp;""/edit#gid=156619080"",V$3)"),"#REF!")</f>
        <v>#REF!</v>
      </c>
      <c r="W336" s="2" t="str">
        <f>IFERROR(__xludf.DUMMYFUNCTION("IMPORTRANGE(""https://docs.google.com/spreadsheets/d/""&amp;$A336&amp;""/edit#gid=156619080"",W$3)"),"#REF!")</f>
        <v>#REF!</v>
      </c>
      <c r="X336" s="2" t="str">
        <f>IFERROR(__xludf.DUMMYFUNCTION("IMPORTRANGE(""https://docs.google.com/spreadsheets/d/""&amp;$A336&amp;""/edit#gid=156619080"",X$3)"),"#REF!")</f>
        <v>#REF!</v>
      </c>
      <c r="Y336" s="2" t="str">
        <f>IFERROR(__xludf.DUMMYFUNCTION("IMPORTRANGE(""https://docs.google.com/spreadsheets/d/""&amp;$A336&amp;""/edit#gid=156619080"",Y$3)"),"#REF!")</f>
        <v>#REF!</v>
      </c>
      <c r="Z336" s="2" t="str">
        <f>IFERROR(__xludf.DUMMYFUNCTION("IMPORTRANGE(""https://docs.google.com/spreadsheets/d/""&amp;$A336&amp;""/edit#gid=156619080"",Z$3)"),"#REF!")</f>
        <v>#REF!</v>
      </c>
      <c r="AA336" s="2" t="str">
        <f>IFERROR(__xludf.DUMMYFUNCTION("IMPORTRANGE(""https://docs.google.com/spreadsheets/d/""&amp;$A336&amp;""/edit#gid=156619080"",AA$3)"),"#REF!")</f>
        <v>#REF!</v>
      </c>
      <c r="AB336" s="2" t="str">
        <f>IFERROR(__xludf.DUMMYFUNCTION("IMPORTRANGE(""https://docs.google.com/spreadsheets/d/""&amp;$A336&amp;""/edit#gid=156619080"",AB$3)"),"#REF!")</f>
        <v>#REF!</v>
      </c>
      <c r="AC336" s="2" t="str">
        <f>IFERROR(__xludf.DUMMYFUNCTION("IMPORTRANGE(""https://docs.google.com/spreadsheets/d/""&amp;$A336&amp;""/edit#gid=156619080"",AC$3)"),"#REF!")</f>
        <v>#REF!</v>
      </c>
      <c r="AD336" s="2" t="str">
        <f>IFERROR(__xludf.DUMMYFUNCTION("IMPORTRANGE(""https://docs.google.com/spreadsheets/d/""&amp;$A336&amp;""/edit#gid=156619080"",AD$3)"),"#REF!")</f>
        <v>#REF!</v>
      </c>
      <c r="AE336" s="2" t="str">
        <f>IFERROR(__xludf.DUMMYFUNCTION("IMPORTRANGE(""https://docs.google.com/spreadsheets/d/""&amp;$A336&amp;""/edit#gid=156619080"",AE$3)"),"#REF!")</f>
        <v>#REF!</v>
      </c>
      <c r="AF336" s="2" t="str">
        <f>IFERROR(__xludf.DUMMYFUNCTION("IMPORTRANGE(""https://docs.google.com/spreadsheets/d/""&amp;$A336&amp;""/edit#gid=156619080"",AF$3)"),"#REF!")</f>
        <v>#REF!</v>
      </c>
      <c r="AG336" s="2" t="str">
        <f>IFERROR(__xludf.DUMMYFUNCTION("IMPORTRANGE(""https://docs.google.com/spreadsheets/d/""&amp;$A336&amp;""/edit#gid=156619080"",AG$3)"),"#REF!")</f>
        <v>#REF!</v>
      </c>
      <c r="AH336" s="2" t="str">
        <f>IFERROR(__xludf.DUMMYFUNCTION("IMPORTRANGE(""https://docs.google.com/spreadsheets/d/""&amp;$A336&amp;""/edit#gid=156619080"",AH$3)"),"#REF!")</f>
        <v>#REF!</v>
      </c>
      <c r="AI336" s="2" t="str">
        <f>IFERROR(__xludf.DUMMYFUNCTION("IMPORTRANGE(""https://docs.google.com/spreadsheets/d/""&amp;$A336&amp;""/edit#gid=156619080"",AI$3)"),"#REF!")</f>
        <v>#REF!</v>
      </c>
      <c r="AJ336" s="2" t="str">
        <f>IFERROR(__xludf.DUMMYFUNCTION("IMPORTRANGE(""https://docs.google.com/spreadsheets/d/""&amp;$A336&amp;""/edit#gid=156619080"",AJ$3)"),"#REF!")</f>
        <v>#REF!</v>
      </c>
      <c r="AK336" s="2" t="str">
        <f>IFERROR(__xludf.DUMMYFUNCTION("IMPORTRANGE(""https://docs.google.com/spreadsheets/d/""&amp;$A336&amp;""/edit#gid=156619080"",AK$3)"),"#REF!")</f>
        <v>#REF!</v>
      </c>
      <c r="AL336" s="2" t="str">
        <f>IFERROR(__xludf.DUMMYFUNCTION("IMPORTRANGE(""https://docs.google.com/spreadsheets/d/""&amp;$A336&amp;""/edit#gid=156619080"",AL$3)"),"#REF!")</f>
        <v>#REF!</v>
      </c>
      <c r="AM336" s="2" t="str">
        <f>IFERROR(__xludf.DUMMYFUNCTION("IMPORTRANGE(""https://docs.google.com/spreadsheets/d/""&amp;$A336&amp;""/edit#gid=156619080"",AM$3)"),"#REF!")</f>
        <v>#REF!</v>
      </c>
      <c r="AN336" s="2" t="str">
        <f>IFERROR(__xludf.DUMMYFUNCTION("IMPORTRANGE(""https://docs.google.com/spreadsheets/d/""&amp;$A336&amp;""/edit#gid=156619080"",AN$3)"),"#REF!")</f>
        <v>#REF!</v>
      </c>
      <c r="AO336" s="2" t="str">
        <f>IFERROR(__xludf.DUMMYFUNCTION("IMPORTRANGE(""https://docs.google.com/spreadsheets/d/""&amp;$A336&amp;""/edit#gid=156619080"",AO$3)"),"#REF!")</f>
        <v>#REF!</v>
      </c>
      <c r="AP336" s="2" t="str">
        <f>IFERROR(__xludf.DUMMYFUNCTION("IMPORTRANGE(""https://docs.google.com/spreadsheets/d/""&amp;$A336&amp;""/edit#gid=156619080"",AP$3)"),"#REF!")</f>
        <v>#REF!</v>
      </c>
      <c r="AQ336" s="2" t="str">
        <f>IFERROR(__xludf.DUMMYFUNCTION("IMPORTRANGE(""https://docs.google.com/spreadsheets/d/""&amp;$A336&amp;""/edit#gid=156619080"",AQ$3)"),"#REF!")</f>
        <v>#REF!</v>
      </c>
      <c r="AR336" s="2" t="str">
        <f>IFERROR(__xludf.DUMMYFUNCTION("IMPORTRANGE(""https://docs.google.com/spreadsheets/d/""&amp;$A336&amp;""/edit#gid=156619080"",AR$3)"),"#REF!")</f>
        <v>#REF!</v>
      </c>
      <c r="AS336" s="19" t="str">
        <f>IFERROR(__xludf.DUMMYFUNCTION("IMPORTRANGE(""https://docs.google.com/spreadsheets/d/""&amp;$A336&amp;""/edit#gid=156619080"",AS$3)"),"#REF!")</f>
        <v>#REF!</v>
      </c>
      <c r="AT336" s="2" t="str">
        <f>IFERROR(__xludf.DUMMYFUNCTION("IMPORTRANGE(""https://docs.google.com/spreadsheets/d/""&amp;$A336&amp;""/edit#gid=156619080"",AT$3)"),"#REF!")</f>
        <v>#REF!</v>
      </c>
      <c r="AU336" s="3" t="str">
        <f>IFERROR(__xludf.DUMMYFUNCTION("IMPORTRANGE(""https://docs.google.com/spreadsheets/d/""&amp;$A336&amp;""/edit#gid=156619080"",AU$3)"),"#REF!")</f>
        <v>#REF!</v>
      </c>
      <c r="AV336" s="2" t="str">
        <f>IFERROR(__xludf.DUMMYFUNCTION("IMPORTRANGE(""https://docs.google.com/spreadsheets/d/""&amp;$A336&amp;""/edit#gid=156619080"",AV$3)"),"#REF!")</f>
        <v>#REF!</v>
      </c>
      <c r="AW336" s="19" t="str">
        <f>IFERROR(__xludf.DUMMYFUNCTION("IMPORTRANGE(""https://docs.google.com/spreadsheets/d/""&amp;$A336&amp;""/edit#gid=156619080"",AW$3)"),"#REF!")</f>
        <v>#REF!</v>
      </c>
      <c r="AX336" s="2" t="str">
        <f>IFERROR(__xludf.DUMMYFUNCTION("IMPORTRANGE(""https://docs.google.com/spreadsheets/d/""&amp;$A336&amp;""/edit#gid=156619080"",AX$3)"),"#REF!")</f>
        <v>#REF!</v>
      </c>
      <c r="AY336" s="2" t="str">
        <f>IFERROR(__xludf.DUMMYFUNCTION("IMPORTRANGE(""https://docs.google.com/spreadsheets/d/""&amp;$A336&amp;""/edit#gid=156619080"",AY$3)"),"#REF!")</f>
        <v>#REF!</v>
      </c>
      <c r="AZ336" s="2" t="str">
        <f>IFERROR(__xludf.DUMMYFUNCTION("IMPORTRANGE(""https://docs.google.com/spreadsheets/d/""&amp;$A336&amp;""/edit#gid=156619080"",AZ$3)"),"#REF!")</f>
        <v>#REF!</v>
      </c>
      <c r="BA336" s="2" t="str">
        <f>IFERROR(__xludf.DUMMYFUNCTION("IMPORTRANGE(""https://docs.google.com/spreadsheets/d/""&amp;$A336&amp;""/edit#gid=156619080"",BA$3)"),"#REF!")</f>
        <v>#REF!</v>
      </c>
      <c r="BB336" s="2" t="str">
        <f>IFERROR(__xludf.DUMMYFUNCTION("IMPORTRANGE(""https://docs.google.com/spreadsheets/d/""&amp;$A336&amp;""/edit#gid=156619080"",BB$3)"),"#REF!")</f>
        <v>#REF!</v>
      </c>
      <c r="BC336" s="2" t="str">
        <f>IFERROR(__xludf.DUMMYFUNCTION("IMPORTRANGE(""https://docs.google.com/spreadsheets/d/""&amp;$A336&amp;""/edit#gid=156619080"",BC$3)"),"#REF!")</f>
        <v>#REF!</v>
      </c>
    </row>
    <row r="337" ht="51.0" customHeight="1">
      <c r="A337" s="7" t="str">
        <f t="shared" si="5"/>
        <v>1xbKHWfHrkw1t0YrNqMl-fRPBR5RYRLqLsBkclsPzfbM</v>
      </c>
      <c r="B337" s="1" t="s">
        <v>364</v>
      </c>
      <c r="C337" s="2" t="str">
        <f>IFERROR(__xludf.DUMMYFUNCTION("IMPORTRANGE(""https://docs.google.com/spreadsheets/d/""&amp;$A337&amp;""/edit#gid=156619080"",C$3)"),"#REF!")</f>
        <v>#REF!</v>
      </c>
      <c r="D337" s="2" t="str">
        <f>IFERROR(__xludf.DUMMYFUNCTION("IMPORTRANGE(""https://docs.google.com/spreadsheets/d/""&amp;$A337&amp;""/edit#gid=156619080"",D$3)"),"#REF!")</f>
        <v>#REF!</v>
      </c>
      <c r="E337" s="2" t="str">
        <f>IFERROR(__xludf.DUMMYFUNCTION("IMPORTRANGE(""https://docs.google.com/spreadsheets/d/""&amp;$A337&amp;""/edit#gid=156619080"",E$3)"),"#REF!")</f>
        <v>#REF!</v>
      </c>
      <c r="F337" s="2" t="str">
        <f>IFERROR(__xludf.DUMMYFUNCTION("IMPORTRANGE(""https://docs.google.com/spreadsheets/d/""&amp;$A337&amp;""/edit#gid=156619080"",F$3)"),"#REF!")</f>
        <v>#REF!</v>
      </c>
      <c r="G337" s="2" t="str">
        <f>IFERROR(__xludf.DUMMYFUNCTION("IMPORTRANGE(""https://docs.google.com/spreadsheets/d/""&amp;$A337&amp;""/edit#gid=156619080"",G$3)"),"#REF!")</f>
        <v>#REF!</v>
      </c>
      <c r="H337" s="2" t="str">
        <f>IFERROR(__xludf.DUMMYFUNCTION("IMPORTRANGE(""https://docs.google.com/spreadsheets/d/""&amp;$A337&amp;""/edit#gid=156619080"",H$3)"),"#REF!")</f>
        <v>#REF!</v>
      </c>
      <c r="I337" s="2" t="str">
        <f>IFERROR(__xludf.DUMMYFUNCTION("IMPORTRANGE(""https://docs.google.com/spreadsheets/d/""&amp;$A337&amp;""/edit#gid=156619080"",I$3)"),"#REF!")</f>
        <v>#REF!</v>
      </c>
      <c r="J337" s="2" t="str">
        <f>IFERROR(__xludf.DUMMYFUNCTION("IMPORTRANGE(""https://docs.google.com/spreadsheets/d/""&amp;$A337&amp;""/edit#gid=156619080"",J$3)"),"#REF!")</f>
        <v>#REF!</v>
      </c>
      <c r="K337" s="2" t="str">
        <f>IFERROR(__xludf.DUMMYFUNCTION("IMPORTRANGE(""https://docs.google.com/spreadsheets/d/""&amp;$A337&amp;""/edit#gid=156619080"",K$3)"),"#REF!")</f>
        <v>#REF!</v>
      </c>
      <c r="L337" s="2" t="str">
        <f>IFERROR(__xludf.DUMMYFUNCTION("IMPORTRANGE(""https://docs.google.com/spreadsheets/d/""&amp;$A337&amp;""/edit#gid=156619080"",L$3)"),"#REF!")</f>
        <v>#REF!</v>
      </c>
      <c r="M337" s="2" t="str">
        <f>IFERROR(__xludf.DUMMYFUNCTION("IMPORTRANGE(""https://docs.google.com/spreadsheets/d/""&amp;$A337&amp;""/edit#gid=156619080"",M$3)"),"#REF!")</f>
        <v>#REF!</v>
      </c>
      <c r="N337" s="2" t="str">
        <f>IFERROR(__xludf.DUMMYFUNCTION("IMPORTRANGE(""https://docs.google.com/spreadsheets/d/""&amp;$A337&amp;""/edit#gid=156619080"",N$3)"),"#REF!")</f>
        <v>#REF!</v>
      </c>
      <c r="O337" s="2" t="str">
        <f>IFERROR(__xludf.DUMMYFUNCTION("IMPORTRANGE(""https://docs.google.com/spreadsheets/d/""&amp;$A337&amp;""/edit#gid=156619080"",O$3)"),"#REF!")</f>
        <v>#REF!</v>
      </c>
      <c r="P337" s="2" t="str">
        <f>IFERROR(__xludf.DUMMYFUNCTION("IMPORTRANGE(""https://docs.google.com/spreadsheets/d/""&amp;$A337&amp;""/edit#gid=156619080"",P$3)"),"#REF!")</f>
        <v>#REF!</v>
      </c>
      <c r="Q337" s="2" t="str">
        <f>IFERROR(__xludf.DUMMYFUNCTION("IMPORTRANGE(""https://docs.google.com/spreadsheets/d/""&amp;$A337&amp;""/edit#gid=156619080"",Q$3)"),"#REF!")</f>
        <v>#REF!</v>
      </c>
      <c r="R337" s="2" t="str">
        <f>IFERROR(__xludf.DUMMYFUNCTION("IMPORTRANGE(""https://docs.google.com/spreadsheets/d/""&amp;$A337&amp;""/edit#gid=156619080"",R$3)"),"#REF!")</f>
        <v>#REF!</v>
      </c>
      <c r="S337" s="2" t="str">
        <f>IFERROR(__xludf.DUMMYFUNCTION("IMPORTRANGE(""https://docs.google.com/spreadsheets/d/""&amp;$A337&amp;""/edit#gid=156619080"",S$3)"),"#REF!")</f>
        <v>#REF!</v>
      </c>
      <c r="T337" s="2" t="str">
        <f>IFERROR(__xludf.DUMMYFUNCTION("IMPORTRANGE(""https://docs.google.com/spreadsheets/d/""&amp;$A337&amp;""/edit#gid=156619080"",T$3)"),"#REF!")</f>
        <v>#REF!</v>
      </c>
      <c r="U337" s="2" t="str">
        <f>IFERROR(__xludf.DUMMYFUNCTION("IMPORTRANGE(""https://docs.google.com/spreadsheets/d/""&amp;$A337&amp;""/edit#gid=156619080"",U$3)"),"#REF!")</f>
        <v>#REF!</v>
      </c>
      <c r="V337" s="2" t="str">
        <f>IFERROR(__xludf.DUMMYFUNCTION("IMPORTRANGE(""https://docs.google.com/spreadsheets/d/""&amp;$A337&amp;""/edit#gid=156619080"",V$3)"),"#REF!")</f>
        <v>#REF!</v>
      </c>
      <c r="W337" s="2" t="str">
        <f>IFERROR(__xludf.DUMMYFUNCTION("IMPORTRANGE(""https://docs.google.com/spreadsheets/d/""&amp;$A337&amp;""/edit#gid=156619080"",W$3)"),"#REF!")</f>
        <v>#REF!</v>
      </c>
      <c r="X337" s="2" t="str">
        <f>IFERROR(__xludf.DUMMYFUNCTION("IMPORTRANGE(""https://docs.google.com/spreadsheets/d/""&amp;$A337&amp;""/edit#gid=156619080"",X$3)"),"#REF!")</f>
        <v>#REF!</v>
      </c>
      <c r="Y337" s="2" t="str">
        <f>IFERROR(__xludf.DUMMYFUNCTION("IMPORTRANGE(""https://docs.google.com/spreadsheets/d/""&amp;$A337&amp;""/edit#gid=156619080"",Y$3)"),"#REF!")</f>
        <v>#REF!</v>
      </c>
      <c r="Z337" s="2" t="str">
        <f>IFERROR(__xludf.DUMMYFUNCTION("IMPORTRANGE(""https://docs.google.com/spreadsheets/d/""&amp;$A337&amp;""/edit#gid=156619080"",Z$3)"),"#REF!")</f>
        <v>#REF!</v>
      </c>
      <c r="AA337" s="2" t="str">
        <f>IFERROR(__xludf.DUMMYFUNCTION("IMPORTRANGE(""https://docs.google.com/spreadsheets/d/""&amp;$A337&amp;""/edit#gid=156619080"",AA$3)"),"#REF!")</f>
        <v>#REF!</v>
      </c>
      <c r="AB337" s="2" t="str">
        <f>IFERROR(__xludf.DUMMYFUNCTION("IMPORTRANGE(""https://docs.google.com/spreadsheets/d/""&amp;$A337&amp;""/edit#gid=156619080"",AB$3)"),"#REF!")</f>
        <v>#REF!</v>
      </c>
      <c r="AC337" s="2" t="str">
        <f>IFERROR(__xludf.DUMMYFUNCTION("IMPORTRANGE(""https://docs.google.com/spreadsheets/d/""&amp;$A337&amp;""/edit#gid=156619080"",AC$3)"),"#REF!")</f>
        <v>#REF!</v>
      </c>
      <c r="AD337" s="2" t="str">
        <f>IFERROR(__xludf.DUMMYFUNCTION("IMPORTRANGE(""https://docs.google.com/spreadsheets/d/""&amp;$A337&amp;""/edit#gid=156619080"",AD$3)"),"#REF!")</f>
        <v>#REF!</v>
      </c>
      <c r="AE337" s="2" t="str">
        <f>IFERROR(__xludf.DUMMYFUNCTION("IMPORTRANGE(""https://docs.google.com/spreadsheets/d/""&amp;$A337&amp;""/edit#gid=156619080"",AE$3)"),"#REF!")</f>
        <v>#REF!</v>
      </c>
      <c r="AF337" s="2" t="str">
        <f>IFERROR(__xludf.DUMMYFUNCTION("IMPORTRANGE(""https://docs.google.com/spreadsheets/d/""&amp;$A337&amp;""/edit#gid=156619080"",AF$3)"),"#REF!")</f>
        <v>#REF!</v>
      </c>
      <c r="AG337" s="2" t="str">
        <f>IFERROR(__xludf.DUMMYFUNCTION("IMPORTRANGE(""https://docs.google.com/spreadsheets/d/""&amp;$A337&amp;""/edit#gid=156619080"",AG$3)"),"#REF!")</f>
        <v>#REF!</v>
      </c>
      <c r="AH337" s="2" t="str">
        <f>IFERROR(__xludf.DUMMYFUNCTION("IMPORTRANGE(""https://docs.google.com/spreadsheets/d/""&amp;$A337&amp;""/edit#gid=156619080"",AH$3)"),"#REF!")</f>
        <v>#REF!</v>
      </c>
      <c r="AI337" s="2" t="str">
        <f>IFERROR(__xludf.DUMMYFUNCTION("IMPORTRANGE(""https://docs.google.com/spreadsheets/d/""&amp;$A337&amp;""/edit#gid=156619080"",AI$3)"),"#REF!")</f>
        <v>#REF!</v>
      </c>
      <c r="AJ337" s="2" t="str">
        <f>IFERROR(__xludf.DUMMYFUNCTION("IMPORTRANGE(""https://docs.google.com/spreadsheets/d/""&amp;$A337&amp;""/edit#gid=156619080"",AJ$3)"),"#REF!")</f>
        <v>#REF!</v>
      </c>
      <c r="AK337" s="2" t="str">
        <f>IFERROR(__xludf.DUMMYFUNCTION("IMPORTRANGE(""https://docs.google.com/spreadsheets/d/""&amp;$A337&amp;""/edit#gid=156619080"",AK$3)"),"#REF!")</f>
        <v>#REF!</v>
      </c>
      <c r="AL337" s="2" t="str">
        <f>IFERROR(__xludf.DUMMYFUNCTION("IMPORTRANGE(""https://docs.google.com/spreadsheets/d/""&amp;$A337&amp;""/edit#gid=156619080"",AL$3)"),"#REF!")</f>
        <v>#REF!</v>
      </c>
      <c r="AM337" s="2" t="str">
        <f>IFERROR(__xludf.DUMMYFUNCTION("IMPORTRANGE(""https://docs.google.com/spreadsheets/d/""&amp;$A337&amp;""/edit#gid=156619080"",AM$3)"),"#REF!")</f>
        <v>#REF!</v>
      </c>
      <c r="AN337" s="2" t="str">
        <f>IFERROR(__xludf.DUMMYFUNCTION("IMPORTRANGE(""https://docs.google.com/spreadsheets/d/""&amp;$A337&amp;""/edit#gid=156619080"",AN$3)"),"#REF!")</f>
        <v>#REF!</v>
      </c>
      <c r="AO337" s="2" t="str">
        <f>IFERROR(__xludf.DUMMYFUNCTION("IMPORTRANGE(""https://docs.google.com/spreadsheets/d/""&amp;$A337&amp;""/edit#gid=156619080"",AO$3)"),"#REF!")</f>
        <v>#REF!</v>
      </c>
      <c r="AP337" s="2" t="str">
        <f>IFERROR(__xludf.DUMMYFUNCTION("IMPORTRANGE(""https://docs.google.com/spreadsheets/d/""&amp;$A337&amp;""/edit#gid=156619080"",AP$3)"),"#REF!")</f>
        <v>#REF!</v>
      </c>
      <c r="AQ337" s="2" t="str">
        <f>IFERROR(__xludf.DUMMYFUNCTION("IMPORTRANGE(""https://docs.google.com/spreadsheets/d/""&amp;$A337&amp;""/edit#gid=156619080"",AQ$3)"),"#REF!")</f>
        <v>#REF!</v>
      </c>
      <c r="AR337" s="2" t="str">
        <f>IFERROR(__xludf.DUMMYFUNCTION("IMPORTRANGE(""https://docs.google.com/spreadsheets/d/""&amp;$A337&amp;""/edit#gid=156619080"",AR$3)"),"#REF!")</f>
        <v>#REF!</v>
      </c>
      <c r="AS337" s="19" t="str">
        <f>IFERROR(__xludf.DUMMYFUNCTION("IMPORTRANGE(""https://docs.google.com/spreadsheets/d/""&amp;$A337&amp;""/edit#gid=156619080"",AS$3)"),"#REF!")</f>
        <v>#REF!</v>
      </c>
      <c r="AT337" s="2" t="str">
        <f>IFERROR(__xludf.DUMMYFUNCTION("IMPORTRANGE(""https://docs.google.com/spreadsheets/d/""&amp;$A337&amp;""/edit#gid=156619080"",AT$3)"),"#REF!")</f>
        <v>#REF!</v>
      </c>
      <c r="AU337" s="3" t="str">
        <f>IFERROR(__xludf.DUMMYFUNCTION("IMPORTRANGE(""https://docs.google.com/spreadsheets/d/""&amp;$A337&amp;""/edit#gid=156619080"",AU$3)"),"#REF!")</f>
        <v>#REF!</v>
      </c>
      <c r="AV337" s="2" t="str">
        <f>IFERROR(__xludf.DUMMYFUNCTION("IMPORTRANGE(""https://docs.google.com/spreadsheets/d/""&amp;$A337&amp;""/edit#gid=156619080"",AV$3)"),"#REF!")</f>
        <v>#REF!</v>
      </c>
      <c r="AW337" s="19" t="str">
        <f>IFERROR(__xludf.DUMMYFUNCTION("IMPORTRANGE(""https://docs.google.com/spreadsheets/d/""&amp;$A337&amp;""/edit#gid=156619080"",AW$3)"),"#REF!")</f>
        <v>#REF!</v>
      </c>
      <c r="AX337" s="2" t="str">
        <f>IFERROR(__xludf.DUMMYFUNCTION("IMPORTRANGE(""https://docs.google.com/spreadsheets/d/""&amp;$A337&amp;""/edit#gid=156619080"",AX$3)"),"#REF!")</f>
        <v>#REF!</v>
      </c>
      <c r="AY337" s="2" t="str">
        <f>IFERROR(__xludf.DUMMYFUNCTION("IMPORTRANGE(""https://docs.google.com/spreadsheets/d/""&amp;$A337&amp;""/edit#gid=156619080"",AY$3)"),"#REF!")</f>
        <v>#REF!</v>
      </c>
      <c r="AZ337" s="2" t="str">
        <f>IFERROR(__xludf.DUMMYFUNCTION("IMPORTRANGE(""https://docs.google.com/spreadsheets/d/""&amp;$A337&amp;""/edit#gid=156619080"",AZ$3)"),"#REF!")</f>
        <v>#REF!</v>
      </c>
      <c r="BA337" s="2" t="str">
        <f>IFERROR(__xludf.DUMMYFUNCTION("IMPORTRANGE(""https://docs.google.com/spreadsheets/d/""&amp;$A337&amp;""/edit#gid=156619080"",BA$3)"),"#REF!")</f>
        <v>#REF!</v>
      </c>
      <c r="BB337" s="2" t="str">
        <f>IFERROR(__xludf.DUMMYFUNCTION("IMPORTRANGE(""https://docs.google.com/spreadsheets/d/""&amp;$A337&amp;""/edit#gid=156619080"",BB$3)"),"#REF!")</f>
        <v>#REF!</v>
      </c>
      <c r="BC337" s="2" t="str">
        <f>IFERROR(__xludf.DUMMYFUNCTION("IMPORTRANGE(""https://docs.google.com/spreadsheets/d/""&amp;$A337&amp;""/edit#gid=156619080"",BC$3)"),"#REF!")</f>
        <v>#REF!</v>
      </c>
    </row>
    <row r="338" ht="51.0" customHeight="1">
      <c r="A338" s="7" t="str">
        <f t="shared" si="5"/>
        <v>1A4G9OG9XLk4aIQcPksfruIYeZA1yFcTD7nXabNXR2PA</v>
      </c>
      <c r="B338" s="1" t="s">
        <v>365</v>
      </c>
      <c r="C338" s="2" t="str">
        <f>IFERROR(__xludf.DUMMYFUNCTION("IMPORTRANGE(""https://docs.google.com/spreadsheets/d/""&amp;$A338&amp;""/edit#gid=156619080"",C$3)"),"#REF!")</f>
        <v>#REF!</v>
      </c>
      <c r="D338" s="2" t="str">
        <f>IFERROR(__xludf.DUMMYFUNCTION("IMPORTRANGE(""https://docs.google.com/spreadsheets/d/""&amp;$A338&amp;""/edit#gid=156619080"",D$3)"),"#REF!")</f>
        <v>#REF!</v>
      </c>
      <c r="E338" s="2" t="str">
        <f>IFERROR(__xludf.DUMMYFUNCTION("IMPORTRANGE(""https://docs.google.com/spreadsheets/d/""&amp;$A338&amp;""/edit#gid=156619080"",E$3)"),"#REF!")</f>
        <v>#REF!</v>
      </c>
      <c r="F338" s="2" t="str">
        <f>IFERROR(__xludf.DUMMYFUNCTION("IMPORTRANGE(""https://docs.google.com/spreadsheets/d/""&amp;$A338&amp;""/edit#gid=156619080"",F$3)"),"#REF!")</f>
        <v>#REF!</v>
      </c>
      <c r="G338" s="2" t="str">
        <f>IFERROR(__xludf.DUMMYFUNCTION("IMPORTRANGE(""https://docs.google.com/spreadsheets/d/""&amp;$A338&amp;""/edit#gid=156619080"",G$3)"),"#REF!")</f>
        <v>#REF!</v>
      </c>
      <c r="H338" s="2" t="str">
        <f>IFERROR(__xludf.DUMMYFUNCTION("IMPORTRANGE(""https://docs.google.com/spreadsheets/d/""&amp;$A338&amp;""/edit#gid=156619080"",H$3)"),"#REF!")</f>
        <v>#REF!</v>
      </c>
      <c r="I338" s="2" t="str">
        <f>IFERROR(__xludf.DUMMYFUNCTION("IMPORTRANGE(""https://docs.google.com/spreadsheets/d/""&amp;$A338&amp;""/edit#gid=156619080"",I$3)"),"#REF!")</f>
        <v>#REF!</v>
      </c>
      <c r="J338" s="2" t="str">
        <f>IFERROR(__xludf.DUMMYFUNCTION("IMPORTRANGE(""https://docs.google.com/spreadsheets/d/""&amp;$A338&amp;""/edit#gid=156619080"",J$3)"),"#REF!")</f>
        <v>#REF!</v>
      </c>
      <c r="K338" s="2" t="str">
        <f>IFERROR(__xludf.DUMMYFUNCTION("IMPORTRANGE(""https://docs.google.com/spreadsheets/d/""&amp;$A338&amp;""/edit#gid=156619080"",K$3)"),"#REF!")</f>
        <v>#REF!</v>
      </c>
      <c r="L338" s="2" t="str">
        <f>IFERROR(__xludf.DUMMYFUNCTION("IMPORTRANGE(""https://docs.google.com/spreadsheets/d/""&amp;$A338&amp;""/edit#gid=156619080"",L$3)"),"#REF!")</f>
        <v>#REF!</v>
      </c>
      <c r="M338" s="2" t="str">
        <f>IFERROR(__xludf.DUMMYFUNCTION("IMPORTRANGE(""https://docs.google.com/spreadsheets/d/""&amp;$A338&amp;""/edit#gid=156619080"",M$3)"),"#REF!")</f>
        <v>#REF!</v>
      </c>
      <c r="N338" s="2" t="str">
        <f>IFERROR(__xludf.DUMMYFUNCTION("IMPORTRANGE(""https://docs.google.com/spreadsheets/d/""&amp;$A338&amp;""/edit#gid=156619080"",N$3)"),"#REF!")</f>
        <v>#REF!</v>
      </c>
      <c r="O338" s="2" t="str">
        <f>IFERROR(__xludf.DUMMYFUNCTION("IMPORTRANGE(""https://docs.google.com/spreadsheets/d/""&amp;$A338&amp;""/edit#gid=156619080"",O$3)"),"#REF!")</f>
        <v>#REF!</v>
      </c>
      <c r="P338" s="2" t="str">
        <f>IFERROR(__xludf.DUMMYFUNCTION("IMPORTRANGE(""https://docs.google.com/spreadsheets/d/""&amp;$A338&amp;""/edit#gid=156619080"",P$3)"),"#REF!")</f>
        <v>#REF!</v>
      </c>
      <c r="Q338" s="2" t="str">
        <f>IFERROR(__xludf.DUMMYFUNCTION("IMPORTRANGE(""https://docs.google.com/spreadsheets/d/""&amp;$A338&amp;""/edit#gid=156619080"",Q$3)"),"#REF!")</f>
        <v>#REF!</v>
      </c>
      <c r="R338" s="2" t="str">
        <f>IFERROR(__xludf.DUMMYFUNCTION("IMPORTRANGE(""https://docs.google.com/spreadsheets/d/""&amp;$A338&amp;""/edit#gid=156619080"",R$3)"),"#REF!")</f>
        <v>#REF!</v>
      </c>
      <c r="S338" s="2" t="str">
        <f>IFERROR(__xludf.DUMMYFUNCTION("IMPORTRANGE(""https://docs.google.com/spreadsheets/d/""&amp;$A338&amp;""/edit#gid=156619080"",S$3)"),"#REF!")</f>
        <v>#REF!</v>
      </c>
      <c r="T338" s="2" t="str">
        <f>IFERROR(__xludf.DUMMYFUNCTION("IMPORTRANGE(""https://docs.google.com/spreadsheets/d/""&amp;$A338&amp;""/edit#gid=156619080"",T$3)"),"#REF!")</f>
        <v>#REF!</v>
      </c>
      <c r="U338" s="2" t="str">
        <f>IFERROR(__xludf.DUMMYFUNCTION("IMPORTRANGE(""https://docs.google.com/spreadsheets/d/""&amp;$A338&amp;""/edit#gid=156619080"",U$3)"),"#REF!")</f>
        <v>#REF!</v>
      </c>
      <c r="V338" s="2" t="str">
        <f>IFERROR(__xludf.DUMMYFUNCTION("IMPORTRANGE(""https://docs.google.com/spreadsheets/d/""&amp;$A338&amp;""/edit#gid=156619080"",V$3)"),"#REF!")</f>
        <v>#REF!</v>
      </c>
      <c r="W338" s="2" t="str">
        <f>IFERROR(__xludf.DUMMYFUNCTION("IMPORTRANGE(""https://docs.google.com/spreadsheets/d/""&amp;$A338&amp;""/edit#gid=156619080"",W$3)"),"#REF!")</f>
        <v>#REF!</v>
      </c>
      <c r="X338" s="2" t="str">
        <f>IFERROR(__xludf.DUMMYFUNCTION("IMPORTRANGE(""https://docs.google.com/spreadsheets/d/""&amp;$A338&amp;""/edit#gid=156619080"",X$3)"),"#REF!")</f>
        <v>#REF!</v>
      </c>
      <c r="Y338" s="2" t="str">
        <f>IFERROR(__xludf.DUMMYFUNCTION("IMPORTRANGE(""https://docs.google.com/spreadsheets/d/""&amp;$A338&amp;""/edit#gid=156619080"",Y$3)"),"#REF!")</f>
        <v>#REF!</v>
      </c>
      <c r="Z338" s="2" t="str">
        <f>IFERROR(__xludf.DUMMYFUNCTION("IMPORTRANGE(""https://docs.google.com/spreadsheets/d/""&amp;$A338&amp;""/edit#gid=156619080"",Z$3)"),"#REF!")</f>
        <v>#REF!</v>
      </c>
      <c r="AA338" s="2" t="str">
        <f>IFERROR(__xludf.DUMMYFUNCTION("IMPORTRANGE(""https://docs.google.com/spreadsheets/d/""&amp;$A338&amp;""/edit#gid=156619080"",AA$3)"),"#REF!")</f>
        <v>#REF!</v>
      </c>
      <c r="AB338" s="2" t="str">
        <f>IFERROR(__xludf.DUMMYFUNCTION("IMPORTRANGE(""https://docs.google.com/spreadsheets/d/""&amp;$A338&amp;""/edit#gid=156619080"",AB$3)"),"#REF!")</f>
        <v>#REF!</v>
      </c>
      <c r="AC338" s="2" t="str">
        <f>IFERROR(__xludf.DUMMYFUNCTION("IMPORTRANGE(""https://docs.google.com/spreadsheets/d/""&amp;$A338&amp;""/edit#gid=156619080"",AC$3)"),"#REF!")</f>
        <v>#REF!</v>
      </c>
      <c r="AD338" s="2" t="str">
        <f>IFERROR(__xludf.DUMMYFUNCTION("IMPORTRANGE(""https://docs.google.com/spreadsheets/d/""&amp;$A338&amp;""/edit#gid=156619080"",AD$3)"),"#REF!")</f>
        <v>#REF!</v>
      </c>
      <c r="AE338" s="2" t="str">
        <f>IFERROR(__xludf.DUMMYFUNCTION("IMPORTRANGE(""https://docs.google.com/spreadsheets/d/""&amp;$A338&amp;""/edit#gid=156619080"",AE$3)"),"#REF!")</f>
        <v>#REF!</v>
      </c>
      <c r="AF338" s="2" t="str">
        <f>IFERROR(__xludf.DUMMYFUNCTION("IMPORTRANGE(""https://docs.google.com/spreadsheets/d/""&amp;$A338&amp;""/edit#gid=156619080"",AF$3)"),"#REF!")</f>
        <v>#REF!</v>
      </c>
      <c r="AG338" s="2" t="str">
        <f>IFERROR(__xludf.DUMMYFUNCTION("IMPORTRANGE(""https://docs.google.com/spreadsheets/d/""&amp;$A338&amp;""/edit#gid=156619080"",AG$3)"),"#REF!")</f>
        <v>#REF!</v>
      </c>
      <c r="AH338" s="2" t="str">
        <f>IFERROR(__xludf.DUMMYFUNCTION("IMPORTRANGE(""https://docs.google.com/spreadsheets/d/""&amp;$A338&amp;""/edit#gid=156619080"",AH$3)"),"#REF!")</f>
        <v>#REF!</v>
      </c>
      <c r="AI338" s="2" t="str">
        <f>IFERROR(__xludf.DUMMYFUNCTION("IMPORTRANGE(""https://docs.google.com/spreadsheets/d/""&amp;$A338&amp;""/edit#gid=156619080"",AI$3)"),"#REF!")</f>
        <v>#REF!</v>
      </c>
      <c r="AJ338" s="2" t="str">
        <f>IFERROR(__xludf.DUMMYFUNCTION("IMPORTRANGE(""https://docs.google.com/spreadsheets/d/""&amp;$A338&amp;""/edit#gid=156619080"",AJ$3)"),"#REF!")</f>
        <v>#REF!</v>
      </c>
      <c r="AK338" s="2" t="str">
        <f>IFERROR(__xludf.DUMMYFUNCTION("IMPORTRANGE(""https://docs.google.com/spreadsheets/d/""&amp;$A338&amp;""/edit#gid=156619080"",AK$3)"),"#REF!")</f>
        <v>#REF!</v>
      </c>
      <c r="AL338" s="2" t="str">
        <f>IFERROR(__xludf.DUMMYFUNCTION("IMPORTRANGE(""https://docs.google.com/spreadsheets/d/""&amp;$A338&amp;""/edit#gid=156619080"",AL$3)"),"#REF!")</f>
        <v>#REF!</v>
      </c>
      <c r="AM338" s="2" t="str">
        <f>IFERROR(__xludf.DUMMYFUNCTION("IMPORTRANGE(""https://docs.google.com/spreadsheets/d/""&amp;$A338&amp;""/edit#gid=156619080"",AM$3)"),"#REF!")</f>
        <v>#REF!</v>
      </c>
      <c r="AN338" s="2" t="str">
        <f>IFERROR(__xludf.DUMMYFUNCTION("IMPORTRANGE(""https://docs.google.com/spreadsheets/d/""&amp;$A338&amp;""/edit#gid=156619080"",AN$3)"),"#REF!")</f>
        <v>#REF!</v>
      </c>
      <c r="AO338" s="2" t="str">
        <f>IFERROR(__xludf.DUMMYFUNCTION("IMPORTRANGE(""https://docs.google.com/spreadsheets/d/""&amp;$A338&amp;""/edit#gid=156619080"",AO$3)"),"#REF!")</f>
        <v>#REF!</v>
      </c>
      <c r="AP338" s="2" t="str">
        <f>IFERROR(__xludf.DUMMYFUNCTION("IMPORTRANGE(""https://docs.google.com/spreadsheets/d/""&amp;$A338&amp;""/edit#gid=156619080"",AP$3)"),"#REF!")</f>
        <v>#REF!</v>
      </c>
      <c r="AQ338" s="2" t="str">
        <f>IFERROR(__xludf.DUMMYFUNCTION("IMPORTRANGE(""https://docs.google.com/spreadsheets/d/""&amp;$A338&amp;""/edit#gid=156619080"",AQ$3)"),"#REF!")</f>
        <v>#REF!</v>
      </c>
      <c r="AR338" s="2" t="str">
        <f>IFERROR(__xludf.DUMMYFUNCTION("IMPORTRANGE(""https://docs.google.com/spreadsheets/d/""&amp;$A338&amp;""/edit#gid=156619080"",AR$3)"),"#REF!")</f>
        <v>#REF!</v>
      </c>
      <c r="AS338" s="19" t="str">
        <f>IFERROR(__xludf.DUMMYFUNCTION("IMPORTRANGE(""https://docs.google.com/spreadsheets/d/""&amp;$A338&amp;""/edit#gid=156619080"",AS$3)"),"#REF!")</f>
        <v>#REF!</v>
      </c>
      <c r="AT338" s="2" t="str">
        <f>IFERROR(__xludf.DUMMYFUNCTION("IMPORTRANGE(""https://docs.google.com/spreadsheets/d/""&amp;$A338&amp;""/edit#gid=156619080"",AT$3)"),"#REF!")</f>
        <v>#REF!</v>
      </c>
      <c r="AU338" s="3" t="str">
        <f>IFERROR(__xludf.DUMMYFUNCTION("IMPORTRANGE(""https://docs.google.com/spreadsheets/d/""&amp;$A338&amp;""/edit#gid=156619080"",AU$3)"),"#REF!")</f>
        <v>#REF!</v>
      </c>
      <c r="AV338" s="2" t="str">
        <f>IFERROR(__xludf.DUMMYFUNCTION("IMPORTRANGE(""https://docs.google.com/spreadsheets/d/""&amp;$A338&amp;""/edit#gid=156619080"",AV$3)"),"#REF!")</f>
        <v>#REF!</v>
      </c>
      <c r="AW338" s="19" t="str">
        <f>IFERROR(__xludf.DUMMYFUNCTION("IMPORTRANGE(""https://docs.google.com/spreadsheets/d/""&amp;$A338&amp;""/edit#gid=156619080"",AW$3)"),"#REF!")</f>
        <v>#REF!</v>
      </c>
      <c r="AX338" s="2" t="str">
        <f>IFERROR(__xludf.DUMMYFUNCTION("IMPORTRANGE(""https://docs.google.com/spreadsheets/d/""&amp;$A338&amp;""/edit#gid=156619080"",AX$3)"),"#REF!")</f>
        <v>#REF!</v>
      </c>
      <c r="AY338" s="2" t="str">
        <f>IFERROR(__xludf.DUMMYFUNCTION("IMPORTRANGE(""https://docs.google.com/spreadsheets/d/""&amp;$A338&amp;""/edit#gid=156619080"",AY$3)"),"#REF!")</f>
        <v>#REF!</v>
      </c>
      <c r="AZ338" s="2" t="str">
        <f>IFERROR(__xludf.DUMMYFUNCTION("IMPORTRANGE(""https://docs.google.com/spreadsheets/d/""&amp;$A338&amp;""/edit#gid=156619080"",AZ$3)"),"#REF!")</f>
        <v>#REF!</v>
      </c>
      <c r="BA338" s="2" t="str">
        <f>IFERROR(__xludf.DUMMYFUNCTION("IMPORTRANGE(""https://docs.google.com/spreadsheets/d/""&amp;$A338&amp;""/edit#gid=156619080"",BA$3)"),"#REF!")</f>
        <v>#REF!</v>
      </c>
      <c r="BB338" s="2" t="str">
        <f>IFERROR(__xludf.DUMMYFUNCTION("IMPORTRANGE(""https://docs.google.com/spreadsheets/d/""&amp;$A338&amp;""/edit#gid=156619080"",BB$3)"),"#REF!")</f>
        <v>#REF!</v>
      </c>
      <c r="BC338" s="2" t="str">
        <f>IFERROR(__xludf.DUMMYFUNCTION("IMPORTRANGE(""https://docs.google.com/spreadsheets/d/""&amp;$A338&amp;""/edit#gid=156619080"",BC$3)"),"#REF!")</f>
        <v>#REF!</v>
      </c>
    </row>
    <row r="339" ht="51.0" customHeight="1">
      <c r="A339" s="7" t="str">
        <f t="shared" si="5"/>
        <v>1gOaRcKOvdvBhxX6d6DF8oDXjPyU-fNNNlPzKR_06I18</v>
      </c>
      <c r="B339" s="1" t="s">
        <v>366</v>
      </c>
      <c r="C339" s="2" t="str">
        <f>IFERROR(__xludf.DUMMYFUNCTION("IMPORTRANGE(""https://docs.google.com/spreadsheets/d/""&amp;$A339&amp;""/edit#gid=156619080"",C$3)"),"#REF!")</f>
        <v>#REF!</v>
      </c>
      <c r="D339" s="2" t="str">
        <f>IFERROR(__xludf.DUMMYFUNCTION("IMPORTRANGE(""https://docs.google.com/spreadsheets/d/""&amp;$A339&amp;""/edit#gid=156619080"",D$3)"),"#REF!")</f>
        <v>#REF!</v>
      </c>
      <c r="E339" s="2" t="str">
        <f>IFERROR(__xludf.DUMMYFUNCTION("IMPORTRANGE(""https://docs.google.com/spreadsheets/d/""&amp;$A339&amp;""/edit#gid=156619080"",E$3)"),"#REF!")</f>
        <v>#REF!</v>
      </c>
      <c r="F339" s="2" t="str">
        <f>IFERROR(__xludf.DUMMYFUNCTION("IMPORTRANGE(""https://docs.google.com/spreadsheets/d/""&amp;$A339&amp;""/edit#gid=156619080"",F$3)"),"#REF!")</f>
        <v>#REF!</v>
      </c>
      <c r="G339" s="2" t="str">
        <f>IFERROR(__xludf.DUMMYFUNCTION("IMPORTRANGE(""https://docs.google.com/spreadsheets/d/""&amp;$A339&amp;""/edit#gid=156619080"",G$3)"),"#REF!")</f>
        <v>#REF!</v>
      </c>
      <c r="H339" s="2" t="str">
        <f>IFERROR(__xludf.DUMMYFUNCTION("IMPORTRANGE(""https://docs.google.com/spreadsheets/d/""&amp;$A339&amp;""/edit#gid=156619080"",H$3)"),"#REF!")</f>
        <v>#REF!</v>
      </c>
      <c r="I339" s="2" t="str">
        <f>IFERROR(__xludf.DUMMYFUNCTION("IMPORTRANGE(""https://docs.google.com/spreadsheets/d/""&amp;$A339&amp;""/edit#gid=156619080"",I$3)"),"#REF!")</f>
        <v>#REF!</v>
      </c>
      <c r="J339" s="2" t="str">
        <f>IFERROR(__xludf.DUMMYFUNCTION("IMPORTRANGE(""https://docs.google.com/spreadsheets/d/""&amp;$A339&amp;""/edit#gid=156619080"",J$3)"),"#REF!")</f>
        <v>#REF!</v>
      </c>
      <c r="K339" s="2" t="str">
        <f>IFERROR(__xludf.DUMMYFUNCTION("IMPORTRANGE(""https://docs.google.com/spreadsheets/d/""&amp;$A339&amp;""/edit#gid=156619080"",K$3)"),"#REF!")</f>
        <v>#REF!</v>
      </c>
      <c r="L339" s="2" t="str">
        <f>IFERROR(__xludf.DUMMYFUNCTION("IMPORTRANGE(""https://docs.google.com/spreadsheets/d/""&amp;$A339&amp;""/edit#gid=156619080"",L$3)"),"#REF!")</f>
        <v>#REF!</v>
      </c>
      <c r="M339" s="2" t="str">
        <f>IFERROR(__xludf.DUMMYFUNCTION("IMPORTRANGE(""https://docs.google.com/spreadsheets/d/""&amp;$A339&amp;""/edit#gid=156619080"",M$3)"),"#REF!")</f>
        <v>#REF!</v>
      </c>
      <c r="N339" s="2" t="str">
        <f>IFERROR(__xludf.DUMMYFUNCTION("IMPORTRANGE(""https://docs.google.com/spreadsheets/d/""&amp;$A339&amp;""/edit#gid=156619080"",N$3)"),"#REF!")</f>
        <v>#REF!</v>
      </c>
      <c r="O339" s="2" t="str">
        <f>IFERROR(__xludf.DUMMYFUNCTION("IMPORTRANGE(""https://docs.google.com/spreadsheets/d/""&amp;$A339&amp;""/edit#gid=156619080"",O$3)"),"#REF!")</f>
        <v>#REF!</v>
      </c>
      <c r="P339" s="2" t="str">
        <f>IFERROR(__xludf.DUMMYFUNCTION("IMPORTRANGE(""https://docs.google.com/spreadsheets/d/""&amp;$A339&amp;""/edit#gid=156619080"",P$3)"),"#REF!")</f>
        <v>#REF!</v>
      </c>
      <c r="Q339" s="2" t="str">
        <f>IFERROR(__xludf.DUMMYFUNCTION("IMPORTRANGE(""https://docs.google.com/spreadsheets/d/""&amp;$A339&amp;""/edit#gid=156619080"",Q$3)"),"#REF!")</f>
        <v>#REF!</v>
      </c>
      <c r="R339" s="2" t="str">
        <f>IFERROR(__xludf.DUMMYFUNCTION("IMPORTRANGE(""https://docs.google.com/spreadsheets/d/""&amp;$A339&amp;""/edit#gid=156619080"",R$3)"),"#REF!")</f>
        <v>#REF!</v>
      </c>
      <c r="S339" s="2" t="str">
        <f>IFERROR(__xludf.DUMMYFUNCTION("IMPORTRANGE(""https://docs.google.com/spreadsheets/d/""&amp;$A339&amp;""/edit#gid=156619080"",S$3)"),"#REF!")</f>
        <v>#REF!</v>
      </c>
      <c r="T339" s="2" t="str">
        <f>IFERROR(__xludf.DUMMYFUNCTION("IMPORTRANGE(""https://docs.google.com/spreadsheets/d/""&amp;$A339&amp;""/edit#gid=156619080"",T$3)"),"#REF!")</f>
        <v>#REF!</v>
      </c>
      <c r="U339" s="2" t="str">
        <f>IFERROR(__xludf.DUMMYFUNCTION("IMPORTRANGE(""https://docs.google.com/spreadsheets/d/""&amp;$A339&amp;""/edit#gid=156619080"",U$3)"),"#REF!")</f>
        <v>#REF!</v>
      </c>
      <c r="V339" s="2" t="str">
        <f>IFERROR(__xludf.DUMMYFUNCTION("IMPORTRANGE(""https://docs.google.com/spreadsheets/d/""&amp;$A339&amp;""/edit#gid=156619080"",V$3)"),"#REF!")</f>
        <v>#REF!</v>
      </c>
      <c r="W339" s="2" t="str">
        <f>IFERROR(__xludf.DUMMYFUNCTION("IMPORTRANGE(""https://docs.google.com/spreadsheets/d/""&amp;$A339&amp;""/edit#gid=156619080"",W$3)"),"#REF!")</f>
        <v>#REF!</v>
      </c>
      <c r="X339" s="2" t="str">
        <f>IFERROR(__xludf.DUMMYFUNCTION("IMPORTRANGE(""https://docs.google.com/spreadsheets/d/""&amp;$A339&amp;""/edit#gid=156619080"",X$3)"),"#REF!")</f>
        <v>#REF!</v>
      </c>
      <c r="Y339" s="2" t="str">
        <f>IFERROR(__xludf.DUMMYFUNCTION("IMPORTRANGE(""https://docs.google.com/spreadsheets/d/""&amp;$A339&amp;""/edit#gid=156619080"",Y$3)"),"#REF!")</f>
        <v>#REF!</v>
      </c>
      <c r="Z339" s="2" t="str">
        <f>IFERROR(__xludf.DUMMYFUNCTION("IMPORTRANGE(""https://docs.google.com/spreadsheets/d/""&amp;$A339&amp;""/edit#gid=156619080"",Z$3)"),"#REF!")</f>
        <v>#REF!</v>
      </c>
      <c r="AA339" s="2" t="str">
        <f>IFERROR(__xludf.DUMMYFUNCTION("IMPORTRANGE(""https://docs.google.com/spreadsheets/d/""&amp;$A339&amp;""/edit#gid=156619080"",AA$3)"),"#REF!")</f>
        <v>#REF!</v>
      </c>
      <c r="AB339" s="2" t="str">
        <f>IFERROR(__xludf.DUMMYFUNCTION("IMPORTRANGE(""https://docs.google.com/spreadsheets/d/""&amp;$A339&amp;""/edit#gid=156619080"",AB$3)"),"#REF!")</f>
        <v>#REF!</v>
      </c>
      <c r="AC339" s="2" t="str">
        <f>IFERROR(__xludf.DUMMYFUNCTION("IMPORTRANGE(""https://docs.google.com/spreadsheets/d/""&amp;$A339&amp;""/edit#gid=156619080"",AC$3)"),"#REF!")</f>
        <v>#REF!</v>
      </c>
      <c r="AD339" s="2" t="str">
        <f>IFERROR(__xludf.DUMMYFUNCTION("IMPORTRANGE(""https://docs.google.com/spreadsheets/d/""&amp;$A339&amp;""/edit#gid=156619080"",AD$3)"),"#REF!")</f>
        <v>#REF!</v>
      </c>
      <c r="AE339" s="2" t="str">
        <f>IFERROR(__xludf.DUMMYFUNCTION("IMPORTRANGE(""https://docs.google.com/spreadsheets/d/""&amp;$A339&amp;""/edit#gid=156619080"",AE$3)"),"#REF!")</f>
        <v>#REF!</v>
      </c>
      <c r="AF339" s="2" t="str">
        <f>IFERROR(__xludf.DUMMYFUNCTION("IMPORTRANGE(""https://docs.google.com/spreadsheets/d/""&amp;$A339&amp;""/edit#gid=156619080"",AF$3)"),"#REF!")</f>
        <v>#REF!</v>
      </c>
      <c r="AG339" s="2" t="str">
        <f>IFERROR(__xludf.DUMMYFUNCTION("IMPORTRANGE(""https://docs.google.com/spreadsheets/d/""&amp;$A339&amp;""/edit#gid=156619080"",AG$3)"),"#REF!")</f>
        <v>#REF!</v>
      </c>
      <c r="AH339" s="2" t="str">
        <f>IFERROR(__xludf.DUMMYFUNCTION("IMPORTRANGE(""https://docs.google.com/spreadsheets/d/""&amp;$A339&amp;""/edit#gid=156619080"",AH$3)"),"#REF!")</f>
        <v>#REF!</v>
      </c>
      <c r="AI339" s="2" t="str">
        <f>IFERROR(__xludf.DUMMYFUNCTION("IMPORTRANGE(""https://docs.google.com/spreadsheets/d/""&amp;$A339&amp;""/edit#gid=156619080"",AI$3)"),"#REF!")</f>
        <v>#REF!</v>
      </c>
      <c r="AJ339" s="2" t="str">
        <f>IFERROR(__xludf.DUMMYFUNCTION("IMPORTRANGE(""https://docs.google.com/spreadsheets/d/""&amp;$A339&amp;""/edit#gid=156619080"",AJ$3)"),"#REF!")</f>
        <v>#REF!</v>
      </c>
      <c r="AK339" s="2" t="str">
        <f>IFERROR(__xludf.DUMMYFUNCTION("IMPORTRANGE(""https://docs.google.com/spreadsheets/d/""&amp;$A339&amp;""/edit#gid=156619080"",AK$3)"),"#REF!")</f>
        <v>#REF!</v>
      </c>
      <c r="AL339" s="2" t="str">
        <f>IFERROR(__xludf.DUMMYFUNCTION("IMPORTRANGE(""https://docs.google.com/spreadsheets/d/""&amp;$A339&amp;""/edit#gid=156619080"",AL$3)"),"#REF!")</f>
        <v>#REF!</v>
      </c>
      <c r="AM339" s="2" t="str">
        <f>IFERROR(__xludf.DUMMYFUNCTION("IMPORTRANGE(""https://docs.google.com/spreadsheets/d/""&amp;$A339&amp;""/edit#gid=156619080"",AM$3)"),"#REF!")</f>
        <v>#REF!</v>
      </c>
      <c r="AN339" s="2" t="str">
        <f>IFERROR(__xludf.DUMMYFUNCTION("IMPORTRANGE(""https://docs.google.com/spreadsheets/d/""&amp;$A339&amp;""/edit#gid=156619080"",AN$3)"),"#REF!")</f>
        <v>#REF!</v>
      </c>
      <c r="AO339" s="2" t="str">
        <f>IFERROR(__xludf.DUMMYFUNCTION("IMPORTRANGE(""https://docs.google.com/spreadsheets/d/""&amp;$A339&amp;""/edit#gid=156619080"",AO$3)"),"#REF!")</f>
        <v>#REF!</v>
      </c>
      <c r="AP339" s="2" t="str">
        <f>IFERROR(__xludf.DUMMYFUNCTION("IMPORTRANGE(""https://docs.google.com/spreadsheets/d/""&amp;$A339&amp;""/edit#gid=156619080"",AP$3)"),"#REF!")</f>
        <v>#REF!</v>
      </c>
      <c r="AQ339" s="2" t="str">
        <f>IFERROR(__xludf.DUMMYFUNCTION("IMPORTRANGE(""https://docs.google.com/spreadsheets/d/""&amp;$A339&amp;""/edit#gid=156619080"",AQ$3)"),"#REF!")</f>
        <v>#REF!</v>
      </c>
      <c r="AR339" s="2" t="str">
        <f>IFERROR(__xludf.DUMMYFUNCTION("IMPORTRANGE(""https://docs.google.com/spreadsheets/d/""&amp;$A339&amp;""/edit#gid=156619080"",AR$3)"),"#REF!")</f>
        <v>#REF!</v>
      </c>
      <c r="AS339" s="19" t="str">
        <f>IFERROR(__xludf.DUMMYFUNCTION("IMPORTRANGE(""https://docs.google.com/spreadsheets/d/""&amp;$A339&amp;""/edit#gid=156619080"",AS$3)"),"#REF!")</f>
        <v>#REF!</v>
      </c>
      <c r="AT339" s="2" t="str">
        <f>IFERROR(__xludf.DUMMYFUNCTION("IMPORTRANGE(""https://docs.google.com/spreadsheets/d/""&amp;$A339&amp;""/edit#gid=156619080"",AT$3)"),"#REF!")</f>
        <v>#REF!</v>
      </c>
      <c r="AU339" s="3" t="str">
        <f>IFERROR(__xludf.DUMMYFUNCTION("IMPORTRANGE(""https://docs.google.com/spreadsheets/d/""&amp;$A339&amp;""/edit#gid=156619080"",AU$3)"),"#REF!")</f>
        <v>#REF!</v>
      </c>
      <c r="AV339" s="2" t="str">
        <f>IFERROR(__xludf.DUMMYFUNCTION("IMPORTRANGE(""https://docs.google.com/spreadsheets/d/""&amp;$A339&amp;""/edit#gid=156619080"",AV$3)"),"#REF!")</f>
        <v>#REF!</v>
      </c>
      <c r="AW339" s="19" t="str">
        <f>IFERROR(__xludf.DUMMYFUNCTION("IMPORTRANGE(""https://docs.google.com/spreadsheets/d/""&amp;$A339&amp;""/edit#gid=156619080"",AW$3)"),"#REF!")</f>
        <v>#REF!</v>
      </c>
      <c r="AX339" s="2" t="str">
        <f>IFERROR(__xludf.DUMMYFUNCTION("IMPORTRANGE(""https://docs.google.com/spreadsheets/d/""&amp;$A339&amp;""/edit#gid=156619080"",AX$3)"),"#REF!")</f>
        <v>#REF!</v>
      </c>
      <c r="AY339" s="2" t="str">
        <f>IFERROR(__xludf.DUMMYFUNCTION("IMPORTRANGE(""https://docs.google.com/spreadsheets/d/""&amp;$A339&amp;""/edit#gid=156619080"",AY$3)"),"#REF!")</f>
        <v>#REF!</v>
      </c>
      <c r="AZ339" s="2" t="str">
        <f>IFERROR(__xludf.DUMMYFUNCTION("IMPORTRANGE(""https://docs.google.com/spreadsheets/d/""&amp;$A339&amp;""/edit#gid=156619080"",AZ$3)"),"#REF!")</f>
        <v>#REF!</v>
      </c>
      <c r="BA339" s="2" t="str">
        <f>IFERROR(__xludf.DUMMYFUNCTION("IMPORTRANGE(""https://docs.google.com/spreadsheets/d/""&amp;$A339&amp;""/edit#gid=156619080"",BA$3)"),"#REF!")</f>
        <v>#REF!</v>
      </c>
      <c r="BB339" s="2" t="str">
        <f>IFERROR(__xludf.DUMMYFUNCTION("IMPORTRANGE(""https://docs.google.com/spreadsheets/d/""&amp;$A339&amp;""/edit#gid=156619080"",BB$3)"),"#REF!")</f>
        <v>#REF!</v>
      </c>
      <c r="BC339" s="2" t="str">
        <f>IFERROR(__xludf.DUMMYFUNCTION("IMPORTRANGE(""https://docs.google.com/spreadsheets/d/""&amp;$A339&amp;""/edit#gid=156619080"",BC$3)"),"#REF!")</f>
        <v>#REF!</v>
      </c>
    </row>
    <row r="340" ht="51.0" customHeight="1">
      <c r="A340" s="7" t="str">
        <f t="shared" si="5"/>
        <v>1V-NtAJ242dvXQbMVitrE3UaU1hjznuammMnlGmmYAiY</v>
      </c>
      <c r="B340" s="1" t="s">
        <v>367</v>
      </c>
      <c r="C340" s="2" t="str">
        <f>IFERROR(__xludf.DUMMYFUNCTION("IMPORTRANGE(""https://docs.google.com/spreadsheets/d/""&amp;$A340&amp;""/edit#gid=156619080"",C$3)"),"#REF!")</f>
        <v>#REF!</v>
      </c>
      <c r="D340" s="2" t="str">
        <f>IFERROR(__xludf.DUMMYFUNCTION("IMPORTRANGE(""https://docs.google.com/spreadsheets/d/""&amp;$A340&amp;""/edit#gid=156619080"",D$3)"),"#REF!")</f>
        <v>#REF!</v>
      </c>
      <c r="E340" s="2" t="str">
        <f>IFERROR(__xludf.DUMMYFUNCTION("IMPORTRANGE(""https://docs.google.com/spreadsheets/d/""&amp;$A340&amp;""/edit#gid=156619080"",E$3)"),"#REF!")</f>
        <v>#REF!</v>
      </c>
      <c r="F340" s="2" t="str">
        <f>IFERROR(__xludf.DUMMYFUNCTION("IMPORTRANGE(""https://docs.google.com/spreadsheets/d/""&amp;$A340&amp;""/edit#gid=156619080"",F$3)"),"#REF!")</f>
        <v>#REF!</v>
      </c>
      <c r="G340" s="2" t="str">
        <f>IFERROR(__xludf.DUMMYFUNCTION("IMPORTRANGE(""https://docs.google.com/spreadsheets/d/""&amp;$A340&amp;""/edit#gid=156619080"",G$3)"),"#REF!")</f>
        <v>#REF!</v>
      </c>
      <c r="H340" s="2" t="str">
        <f>IFERROR(__xludf.DUMMYFUNCTION("IMPORTRANGE(""https://docs.google.com/spreadsheets/d/""&amp;$A340&amp;""/edit#gid=156619080"",H$3)"),"#REF!")</f>
        <v>#REF!</v>
      </c>
      <c r="I340" s="2" t="str">
        <f>IFERROR(__xludf.DUMMYFUNCTION("IMPORTRANGE(""https://docs.google.com/spreadsheets/d/""&amp;$A340&amp;""/edit#gid=156619080"",I$3)"),"#REF!")</f>
        <v>#REF!</v>
      </c>
      <c r="J340" s="2" t="str">
        <f>IFERROR(__xludf.DUMMYFUNCTION("IMPORTRANGE(""https://docs.google.com/spreadsheets/d/""&amp;$A340&amp;""/edit#gid=156619080"",J$3)"),"#REF!")</f>
        <v>#REF!</v>
      </c>
      <c r="K340" s="2" t="str">
        <f>IFERROR(__xludf.DUMMYFUNCTION("IMPORTRANGE(""https://docs.google.com/spreadsheets/d/""&amp;$A340&amp;""/edit#gid=156619080"",K$3)"),"#REF!")</f>
        <v>#REF!</v>
      </c>
      <c r="L340" s="2" t="str">
        <f>IFERROR(__xludf.DUMMYFUNCTION("IMPORTRANGE(""https://docs.google.com/spreadsheets/d/""&amp;$A340&amp;""/edit#gid=156619080"",L$3)"),"#REF!")</f>
        <v>#REF!</v>
      </c>
      <c r="M340" s="2" t="str">
        <f>IFERROR(__xludf.DUMMYFUNCTION("IMPORTRANGE(""https://docs.google.com/spreadsheets/d/""&amp;$A340&amp;""/edit#gid=156619080"",M$3)"),"#REF!")</f>
        <v>#REF!</v>
      </c>
      <c r="N340" s="2" t="str">
        <f>IFERROR(__xludf.DUMMYFUNCTION("IMPORTRANGE(""https://docs.google.com/spreadsheets/d/""&amp;$A340&amp;""/edit#gid=156619080"",N$3)"),"#REF!")</f>
        <v>#REF!</v>
      </c>
      <c r="O340" s="2" t="str">
        <f>IFERROR(__xludf.DUMMYFUNCTION("IMPORTRANGE(""https://docs.google.com/spreadsheets/d/""&amp;$A340&amp;""/edit#gid=156619080"",O$3)"),"#REF!")</f>
        <v>#REF!</v>
      </c>
      <c r="P340" s="2" t="str">
        <f>IFERROR(__xludf.DUMMYFUNCTION("IMPORTRANGE(""https://docs.google.com/spreadsheets/d/""&amp;$A340&amp;""/edit#gid=156619080"",P$3)"),"#REF!")</f>
        <v>#REF!</v>
      </c>
      <c r="Q340" s="2" t="str">
        <f>IFERROR(__xludf.DUMMYFUNCTION("IMPORTRANGE(""https://docs.google.com/spreadsheets/d/""&amp;$A340&amp;""/edit#gid=156619080"",Q$3)"),"#REF!")</f>
        <v>#REF!</v>
      </c>
      <c r="R340" s="2" t="str">
        <f>IFERROR(__xludf.DUMMYFUNCTION("IMPORTRANGE(""https://docs.google.com/spreadsheets/d/""&amp;$A340&amp;""/edit#gid=156619080"",R$3)"),"#REF!")</f>
        <v>#REF!</v>
      </c>
      <c r="S340" s="2" t="str">
        <f>IFERROR(__xludf.DUMMYFUNCTION("IMPORTRANGE(""https://docs.google.com/spreadsheets/d/""&amp;$A340&amp;""/edit#gid=156619080"",S$3)"),"#REF!")</f>
        <v>#REF!</v>
      </c>
      <c r="T340" s="2" t="str">
        <f>IFERROR(__xludf.DUMMYFUNCTION("IMPORTRANGE(""https://docs.google.com/spreadsheets/d/""&amp;$A340&amp;""/edit#gid=156619080"",T$3)"),"#REF!")</f>
        <v>#REF!</v>
      </c>
      <c r="U340" s="2" t="str">
        <f>IFERROR(__xludf.DUMMYFUNCTION("IMPORTRANGE(""https://docs.google.com/spreadsheets/d/""&amp;$A340&amp;""/edit#gid=156619080"",U$3)"),"#REF!")</f>
        <v>#REF!</v>
      </c>
      <c r="V340" s="2" t="str">
        <f>IFERROR(__xludf.DUMMYFUNCTION("IMPORTRANGE(""https://docs.google.com/spreadsheets/d/""&amp;$A340&amp;""/edit#gid=156619080"",V$3)"),"#REF!")</f>
        <v>#REF!</v>
      </c>
      <c r="W340" s="2" t="str">
        <f>IFERROR(__xludf.DUMMYFUNCTION("IMPORTRANGE(""https://docs.google.com/spreadsheets/d/""&amp;$A340&amp;""/edit#gid=156619080"",W$3)"),"#REF!")</f>
        <v>#REF!</v>
      </c>
      <c r="X340" s="2" t="str">
        <f>IFERROR(__xludf.DUMMYFUNCTION("IMPORTRANGE(""https://docs.google.com/spreadsheets/d/""&amp;$A340&amp;""/edit#gid=156619080"",X$3)"),"#REF!")</f>
        <v>#REF!</v>
      </c>
      <c r="Y340" s="2" t="str">
        <f>IFERROR(__xludf.DUMMYFUNCTION("IMPORTRANGE(""https://docs.google.com/spreadsheets/d/""&amp;$A340&amp;""/edit#gid=156619080"",Y$3)"),"#REF!")</f>
        <v>#REF!</v>
      </c>
      <c r="Z340" s="2" t="str">
        <f>IFERROR(__xludf.DUMMYFUNCTION("IMPORTRANGE(""https://docs.google.com/spreadsheets/d/""&amp;$A340&amp;""/edit#gid=156619080"",Z$3)"),"#REF!")</f>
        <v>#REF!</v>
      </c>
      <c r="AA340" s="2" t="str">
        <f>IFERROR(__xludf.DUMMYFUNCTION("IMPORTRANGE(""https://docs.google.com/spreadsheets/d/""&amp;$A340&amp;""/edit#gid=156619080"",AA$3)"),"#REF!")</f>
        <v>#REF!</v>
      </c>
      <c r="AB340" s="2" t="str">
        <f>IFERROR(__xludf.DUMMYFUNCTION("IMPORTRANGE(""https://docs.google.com/spreadsheets/d/""&amp;$A340&amp;""/edit#gid=156619080"",AB$3)"),"#REF!")</f>
        <v>#REF!</v>
      </c>
      <c r="AC340" s="2" t="str">
        <f>IFERROR(__xludf.DUMMYFUNCTION("IMPORTRANGE(""https://docs.google.com/spreadsheets/d/""&amp;$A340&amp;""/edit#gid=156619080"",AC$3)"),"#REF!")</f>
        <v>#REF!</v>
      </c>
      <c r="AD340" s="2" t="str">
        <f>IFERROR(__xludf.DUMMYFUNCTION("IMPORTRANGE(""https://docs.google.com/spreadsheets/d/""&amp;$A340&amp;""/edit#gid=156619080"",AD$3)"),"#REF!")</f>
        <v>#REF!</v>
      </c>
      <c r="AE340" s="2" t="str">
        <f>IFERROR(__xludf.DUMMYFUNCTION("IMPORTRANGE(""https://docs.google.com/spreadsheets/d/""&amp;$A340&amp;""/edit#gid=156619080"",AE$3)"),"#REF!")</f>
        <v>#REF!</v>
      </c>
      <c r="AF340" s="2" t="str">
        <f>IFERROR(__xludf.DUMMYFUNCTION("IMPORTRANGE(""https://docs.google.com/spreadsheets/d/""&amp;$A340&amp;""/edit#gid=156619080"",AF$3)"),"#REF!")</f>
        <v>#REF!</v>
      </c>
      <c r="AG340" s="2" t="str">
        <f>IFERROR(__xludf.DUMMYFUNCTION("IMPORTRANGE(""https://docs.google.com/spreadsheets/d/""&amp;$A340&amp;""/edit#gid=156619080"",AG$3)"),"#REF!")</f>
        <v>#REF!</v>
      </c>
      <c r="AH340" s="2" t="str">
        <f>IFERROR(__xludf.DUMMYFUNCTION("IMPORTRANGE(""https://docs.google.com/spreadsheets/d/""&amp;$A340&amp;""/edit#gid=156619080"",AH$3)"),"#REF!")</f>
        <v>#REF!</v>
      </c>
      <c r="AI340" s="2" t="str">
        <f>IFERROR(__xludf.DUMMYFUNCTION("IMPORTRANGE(""https://docs.google.com/spreadsheets/d/""&amp;$A340&amp;""/edit#gid=156619080"",AI$3)"),"#REF!")</f>
        <v>#REF!</v>
      </c>
      <c r="AJ340" s="2" t="str">
        <f>IFERROR(__xludf.DUMMYFUNCTION("IMPORTRANGE(""https://docs.google.com/spreadsheets/d/""&amp;$A340&amp;""/edit#gid=156619080"",AJ$3)"),"#REF!")</f>
        <v>#REF!</v>
      </c>
      <c r="AK340" s="2" t="str">
        <f>IFERROR(__xludf.DUMMYFUNCTION("IMPORTRANGE(""https://docs.google.com/spreadsheets/d/""&amp;$A340&amp;""/edit#gid=156619080"",AK$3)"),"#REF!")</f>
        <v>#REF!</v>
      </c>
      <c r="AL340" s="2" t="str">
        <f>IFERROR(__xludf.DUMMYFUNCTION("IMPORTRANGE(""https://docs.google.com/spreadsheets/d/""&amp;$A340&amp;""/edit#gid=156619080"",AL$3)"),"#REF!")</f>
        <v>#REF!</v>
      </c>
      <c r="AM340" s="2" t="str">
        <f>IFERROR(__xludf.DUMMYFUNCTION("IMPORTRANGE(""https://docs.google.com/spreadsheets/d/""&amp;$A340&amp;""/edit#gid=156619080"",AM$3)"),"#REF!")</f>
        <v>#REF!</v>
      </c>
      <c r="AN340" s="2" t="str">
        <f>IFERROR(__xludf.DUMMYFUNCTION("IMPORTRANGE(""https://docs.google.com/spreadsheets/d/""&amp;$A340&amp;""/edit#gid=156619080"",AN$3)"),"#REF!")</f>
        <v>#REF!</v>
      </c>
      <c r="AO340" s="2" t="str">
        <f>IFERROR(__xludf.DUMMYFUNCTION("IMPORTRANGE(""https://docs.google.com/spreadsheets/d/""&amp;$A340&amp;""/edit#gid=156619080"",AO$3)"),"#REF!")</f>
        <v>#REF!</v>
      </c>
      <c r="AP340" s="2" t="str">
        <f>IFERROR(__xludf.DUMMYFUNCTION("IMPORTRANGE(""https://docs.google.com/spreadsheets/d/""&amp;$A340&amp;""/edit#gid=156619080"",AP$3)"),"#REF!")</f>
        <v>#REF!</v>
      </c>
      <c r="AQ340" s="2" t="str">
        <f>IFERROR(__xludf.DUMMYFUNCTION("IMPORTRANGE(""https://docs.google.com/spreadsheets/d/""&amp;$A340&amp;""/edit#gid=156619080"",AQ$3)"),"#REF!")</f>
        <v>#REF!</v>
      </c>
      <c r="AR340" s="2" t="str">
        <f>IFERROR(__xludf.DUMMYFUNCTION("IMPORTRANGE(""https://docs.google.com/spreadsheets/d/""&amp;$A340&amp;""/edit#gid=156619080"",AR$3)"),"#REF!")</f>
        <v>#REF!</v>
      </c>
      <c r="AS340" s="19" t="str">
        <f>IFERROR(__xludf.DUMMYFUNCTION("IMPORTRANGE(""https://docs.google.com/spreadsheets/d/""&amp;$A340&amp;""/edit#gid=156619080"",AS$3)"),"#REF!")</f>
        <v>#REF!</v>
      </c>
      <c r="AT340" s="2" t="str">
        <f>IFERROR(__xludf.DUMMYFUNCTION("IMPORTRANGE(""https://docs.google.com/spreadsheets/d/""&amp;$A340&amp;""/edit#gid=156619080"",AT$3)"),"#REF!")</f>
        <v>#REF!</v>
      </c>
      <c r="AU340" s="3" t="str">
        <f>IFERROR(__xludf.DUMMYFUNCTION("IMPORTRANGE(""https://docs.google.com/spreadsheets/d/""&amp;$A340&amp;""/edit#gid=156619080"",AU$3)"),"#REF!")</f>
        <v>#REF!</v>
      </c>
      <c r="AV340" s="2" t="str">
        <f>IFERROR(__xludf.DUMMYFUNCTION("IMPORTRANGE(""https://docs.google.com/spreadsheets/d/""&amp;$A340&amp;""/edit#gid=156619080"",AV$3)"),"#REF!")</f>
        <v>#REF!</v>
      </c>
      <c r="AW340" s="19" t="str">
        <f>IFERROR(__xludf.DUMMYFUNCTION("IMPORTRANGE(""https://docs.google.com/spreadsheets/d/""&amp;$A340&amp;""/edit#gid=156619080"",AW$3)"),"#REF!")</f>
        <v>#REF!</v>
      </c>
      <c r="AX340" s="2" t="str">
        <f>IFERROR(__xludf.DUMMYFUNCTION("IMPORTRANGE(""https://docs.google.com/spreadsheets/d/""&amp;$A340&amp;""/edit#gid=156619080"",AX$3)"),"#REF!")</f>
        <v>#REF!</v>
      </c>
      <c r="AY340" s="2" t="str">
        <f>IFERROR(__xludf.DUMMYFUNCTION("IMPORTRANGE(""https://docs.google.com/spreadsheets/d/""&amp;$A340&amp;""/edit#gid=156619080"",AY$3)"),"#REF!")</f>
        <v>#REF!</v>
      </c>
      <c r="AZ340" s="2" t="str">
        <f>IFERROR(__xludf.DUMMYFUNCTION("IMPORTRANGE(""https://docs.google.com/spreadsheets/d/""&amp;$A340&amp;""/edit#gid=156619080"",AZ$3)"),"#REF!")</f>
        <v>#REF!</v>
      </c>
      <c r="BA340" s="2" t="str">
        <f>IFERROR(__xludf.DUMMYFUNCTION("IMPORTRANGE(""https://docs.google.com/spreadsheets/d/""&amp;$A340&amp;""/edit#gid=156619080"",BA$3)"),"#REF!")</f>
        <v>#REF!</v>
      </c>
      <c r="BB340" s="2" t="str">
        <f>IFERROR(__xludf.DUMMYFUNCTION("IMPORTRANGE(""https://docs.google.com/spreadsheets/d/""&amp;$A340&amp;""/edit#gid=156619080"",BB$3)"),"#REF!")</f>
        <v>#REF!</v>
      </c>
      <c r="BC340" s="2" t="str">
        <f>IFERROR(__xludf.DUMMYFUNCTION("IMPORTRANGE(""https://docs.google.com/spreadsheets/d/""&amp;$A340&amp;""/edit#gid=156619080"",BC$3)"),"#REF!")</f>
        <v>#REF!</v>
      </c>
    </row>
    <row r="341" ht="51.0" customHeight="1">
      <c r="A341" s="7" t="str">
        <f t="shared" si="5"/>
        <v>1MogrNxlWgCVZPJpjo2fCWu-e3-Dp6GUp4VsgM1FeTUo</v>
      </c>
      <c r="B341" s="1" t="s">
        <v>368</v>
      </c>
      <c r="C341" s="2" t="str">
        <f>IFERROR(__xludf.DUMMYFUNCTION("IMPORTRANGE(""https://docs.google.com/spreadsheets/d/""&amp;$A341&amp;""/edit#gid=156619080"",C$3)"),"#REF!")</f>
        <v>#REF!</v>
      </c>
      <c r="D341" s="2" t="str">
        <f>IFERROR(__xludf.DUMMYFUNCTION("IMPORTRANGE(""https://docs.google.com/spreadsheets/d/""&amp;$A341&amp;""/edit#gid=156619080"",D$3)"),"#REF!")</f>
        <v>#REF!</v>
      </c>
      <c r="E341" s="2" t="str">
        <f>IFERROR(__xludf.DUMMYFUNCTION("IMPORTRANGE(""https://docs.google.com/spreadsheets/d/""&amp;$A341&amp;""/edit#gid=156619080"",E$3)"),"#REF!")</f>
        <v>#REF!</v>
      </c>
      <c r="F341" s="2" t="str">
        <f>IFERROR(__xludf.DUMMYFUNCTION("IMPORTRANGE(""https://docs.google.com/spreadsheets/d/""&amp;$A341&amp;""/edit#gid=156619080"",F$3)"),"#REF!")</f>
        <v>#REF!</v>
      </c>
      <c r="G341" s="2" t="str">
        <f>IFERROR(__xludf.DUMMYFUNCTION("IMPORTRANGE(""https://docs.google.com/spreadsheets/d/""&amp;$A341&amp;""/edit#gid=156619080"",G$3)"),"#REF!")</f>
        <v>#REF!</v>
      </c>
      <c r="H341" s="2" t="str">
        <f>IFERROR(__xludf.DUMMYFUNCTION("IMPORTRANGE(""https://docs.google.com/spreadsheets/d/""&amp;$A341&amp;""/edit#gid=156619080"",H$3)"),"#REF!")</f>
        <v>#REF!</v>
      </c>
      <c r="I341" s="2" t="str">
        <f>IFERROR(__xludf.DUMMYFUNCTION("IMPORTRANGE(""https://docs.google.com/spreadsheets/d/""&amp;$A341&amp;""/edit#gid=156619080"",I$3)"),"#REF!")</f>
        <v>#REF!</v>
      </c>
      <c r="J341" s="2" t="str">
        <f>IFERROR(__xludf.DUMMYFUNCTION("IMPORTRANGE(""https://docs.google.com/spreadsheets/d/""&amp;$A341&amp;""/edit#gid=156619080"",J$3)"),"#REF!")</f>
        <v>#REF!</v>
      </c>
      <c r="K341" s="2" t="str">
        <f>IFERROR(__xludf.DUMMYFUNCTION("IMPORTRANGE(""https://docs.google.com/spreadsheets/d/""&amp;$A341&amp;""/edit#gid=156619080"",K$3)"),"#REF!")</f>
        <v>#REF!</v>
      </c>
      <c r="L341" s="2" t="str">
        <f>IFERROR(__xludf.DUMMYFUNCTION("IMPORTRANGE(""https://docs.google.com/spreadsheets/d/""&amp;$A341&amp;""/edit#gid=156619080"",L$3)"),"#REF!")</f>
        <v>#REF!</v>
      </c>
      <c r="M341" s="2" t="str">
        <f>IFERROR(__xludf.DUMMYFUNCTION("IMPORTRANGE(""https://docs.google.com/spreadsheets/d/""&amp;$A341&amp;""/edit#gid=156619080"",M$3)"),"#REF!")</f>
        <v>#REF!</v>
      </c>
      <c r="N341" s="2" t="str">
        <f>IFERROR(__xludf.DUMMYFUNCTION("IMPORTRANGE(""https://docs.google.com/spreadsheets/d/""&amp;$A341&amp;""/edit#gid=156619080"",N$3)"),"#REF!")</f>
        <v>#REF!</v>
      </c>
      <c r="O341" s="2" t="str">
        <f>IFERROR(__xludf.DUMMYFUNCTION("IMPORTRANGE(""https://docs.google.com/spreadsheets/d/""&amp;$A341&amp;""/edit#gid=156619080"",O$3)"),"#REF!")</f>
        <v>#REF!</v>
      </c>
      <c r="P341" s="2" t="str">
        <f>IFERROR(__xludf.DUMMYFUNCTION("IMPORTRANGE(""https://docs.google.com/spreadsheets/d/""&amp;$A341&amp;""/edit#gid=156619080"",P$3)"),"#REF!")</f>
        <v>#REF!</v>
      </c>
      <c r="Q341" s="2" t="str">
        <f>IFERROR(__xludf.DUMMYFUNCTION("IMPORTRANGE(""https://docs.google.com/spreadsheets/d/""&amp;$A341&amp;""/edit#gid=156619080"",Q$3)"),"#REF!")</f>
        <v>#REF!</v>
      </c>
      <c r="R341" s="2" t="str">
        <f>IFERROR(__xludf.DUMMYFUNCTION("IMPORTRANGE(""https://docs.google.com/spreadsheets/d/""&amp;$A341&amp;""/edit#gid=156619080"",R$3)"),"#REF!")</f>
        <v>#REF!</v>
      </c>
      <c r="S341" s="2" t="str">
        <f>IFERROR(__xludf.DUMMYFUNCTION("IMPORTRANGE(""https://docs.google.com/spreadsheets/d/""&amp;$A341&amp;""/edit#gid=156619080"",S$3)"),"#REF!")</f>
        <v>#REF!</v>
      </c>
      <c r="T341" s="2" t="str">
        <f>IFERROR(__xludf.DUMMYFUNCTION("IMPORTRANGE(""https://docs.google.com/spreadsheets/d/""&amp;$A341&amp;""/edit#gid=156619080"",T$3)"),"#REF!")</f>
        <v>#REF!</v>
      </c>
      <c r="U341" s="2" t="str">
        <f>IFERROR(__xludf.DUMMYFUNCTION("IMPORTRANGE(""https://docs.google.com/spreadsheets/d/""&amp;$A341&amp;""/edit#gid=156619080"",U$3)"),"#REF!")</f>
        <v>#REF!</v>
      </c>
      <c r="V341" s="2" t="str">
        <f>IFERROR(__xludf.DUMMYFUNCTION("IMPORTRANGE(""https://docs.google.com/spreadsheets/d/""&amp;$A341&amp;""/edit#gid=156619080"",V$3)"),"#REF!")</f>
        <v>#REF!</v>
      </c>
      <c r="W341" s="2" t="str">
        <f>IFERROR(__xludf.DUMMYFUNCTION("IMPORTRANGE(""https://docs.google.com/spreadsheets/d/""&amp;$A341&amp;""/edit#gid=156619080"",W$3)"),"#REF!")</f>
        <v>#REF!</v>
      </c>
      <c r="X341" s="2" t="str">
        <f>IFERROR(__xludf.DUMMYFUNCTION("IMPORTRANGE(""https://docs.google.com/spreadsheets/d/""&amp;$A341&amp;""/edit#gid=156619080"",X$3)"),"#REF!")</f>
        <v>#REF!</v>
      </c>
      <c r="Y341" s="2" t="str">
        <f>IFERROR(__xludf.DUMMYFUNCTION("IMPORTRANGE(""https://docs.google.com/spreadsheets/d/""&amp;$A341&amp;""/edit#gid=156619080"",Y$3)"),"#REF!")</f>
        <v>#REF!</v>
      </c>
      <c r="Z341" s="2" t="str">
        <f>IFERROR(__xludf.DUMMYFUNCTION("IMPORTRANGE(""https://docs.google.com/spreadsheets/d/""&amp;$A341&amp;""/edit#gid=156619080"",Z$3)"),"#REF!")</f>
        <v>#REF!</v>
      </c>
      <c r="AA341" s="2" t="str">
        <f>IFERROR(__xludf.DUMMYFUNCTION("IMPORTRANGE(""https://docs.google.com/spreadsheets/d/""&amp;$A341&amp;""/edit#gid=156619080"",AA$3)"),"#REF!")</f>
        <v>#REF!</v>
      </c>
      <c r="AB341" s="2" t="str">
        <f>IFERROR(__xludf.DUMMYFUNCTION("IMPORTRANGE(""https://docs.google.com/spreadsheets/d/""&amp;$A341&amp;""/edit#gid=156619080"",AB$3)"),"#REF!")</f>
        <v>#REF!</v>
      </c>
      <c r="AC341" s="2" t="str">
        <f>IFERROR(__xludf.DUMMYFUNCTION("IMPORTRANGE(""https://docs.google.com/spreadsheets/d/""&amp;$A341&amp;""/edit#gid=156619080"",AC$3)"),"#REF!")</f>
        <v>#REF!</v>
      </c>
      <c r="AD341" s="2" t="str">
        <f>IFERROR(__xludf.DUMMYFUNCTION("IMPORTRANGE(""https://docs.google.com/spreadsheets/d/""&amp;$A341&amp;""/edit#gid=156619080"",AD$3)"),"#REF!")</f>
        <v>#REF!</v>
      </c>
      <c r="AE341" s="2" t="str">
        <f>IFERROR(__xludf.DUMMYFUNCTION("IMPORTRANGE(""https://docs.google.com/spreadsheets/d/""&amp;$A341&amp;""/edit#gid=156619080"",AE$3)"),"#REF!")</f>
        <v>#REF!</v>
      </c>
      <c r="AF341" s="2" t="str">
        <f>IFERROR(__xludf.DUMMYFUNCTION("IMPORTRANGE(""https://docs.google.com/spreadsheets/d/""&amp;$A341&amp;""/edit#gid=156619080"",AF$3)"),"#REF!")</f>
        <v>#REF!</v>
      </c>
      <c r="AG341" s="2" t="str">
        <f>IFERROR(__xludf.DUMMYFUNCTION("IMPORTRANGE(""https://docs.google.com/spreadsheets/d/""&amp;$A341&amp;""/edit#gid=156619080"",AG$3)"),"#REF!")</f>
        <v>#REF!</v>
      </c>
      <c r="AH341" s="2" t="str">
        <f>IFERROR(__xludf.DUMMYFUNCTION("IMPORTRANGE(""https://docs.google.com/spreadsheets/d/""&amp;$A341&amp;""/edit#gid=156619080"",AH$3)"),"#REF!")</f>
        <v>#REF!</v>
      </c>
      <c r="AI341" s="2" t="str">
        <f>IFERROR(__xludf.DUMMYFUNCTION("IMPORTRANGE(""https://docs.google.com/spreadsheets/d/""&amp;$A341&amp;""/edit#gid=156619080"",AI$3)"),"#REF!")</f>
        <v>#REF!</v>
      </c>
      <c r="AJ341" s="2" t="str">
        <f>IFERROR(__xludf.DUMMYFUNCTION("IMPORTRANGE(""https://docs.google.com/spreadsheets/d/""&amp;$A341&amp;""/edit#gid=156619080"",AJ$3)"),"#REF!")</f>
        <v>#REF!</v>
      </c>
      <c r="AK341" s="2" t="str">
        <f>IFERROR(__xludf.DUMMYFUNCTION("IMPORTRANGE(""https://docs.google.com/spreadsheets/d/""&amp;$A341&amp;""/edit#gid=156619080"",AK$3)"),"#REF!")</f>
        <v>#REF!</v>
      </c>
      <c r="AL341" s="2" t="str">
        <f>IFERROR(__xludf.DUMMYFUNCTION("IMPORTRANGE(""https://docs.google.com/spreadsheets/d/""&amp;$A341&amp;""/edit#gid=156619080"",AL$3)"),"#REF!")</f>
        <v>#REF!</v>
      </c>
      <c r="AM341" s="2" t="str">
        <f>IFERROR(__xludf.DUMMYFUNCTION("IMPORTRANGE(""https://docs.google.com/spreadsheets/d/""&amp;$A341&amp;""/edit#gid=156619080"",AM$3)"),"#REF!")</f>
        <v>#REF!</v>
      </c>
      <c r="AN341" s="2" t="str">
        <f>IFERROR(__xludf.DUMMYFUNCTION("IMPORTRANGE(""https://docs.google.com/spreadsheets/d/""&amp;$A341&amp;""/edit#gid=156619080"",AN$3)"),"#REF!")</f>
        <v>#REF!</v>
      </c>
      <c r="AO341" s="2" t="str">
        <f>IFERROR(__xludf.DUMMYFUNCTION("IMPORTRANGE(""https://docs.google.com/spreadsheets/d/""&amp;$A341&amp;""/edit#gid=156619080"",AO$3)"),"#REF!")</f>
        <v>#REF!</v>
      </c>
      <c r="AP341" s="2" t="str">
        <f>IFERROR(__xludf.DUMMYFUNCTION("IMPORTRANGE(""https://docs.google.com/spreadsheets/d/""&amp;$A341&amp;""/edit#gid=156619080"",AP$3)"),"#REF!")</f>
        <v>#REF!</v>
      </c>
      <c r="AQ341" s="2" t="str">
        <f>IFERROR(__xludf.DUMMYFUNCTION("IMPORTRANGE(""https://docs.google.com/spreadsheets/d/""&amp;$A341&amp;""/edit#gid=156619080"",AQ$3)"),"#REF!")</f>
        <v>#REF!</v>
      </c>
      <c r="AR341" s="2" t="str">
        <f>IFERROR(__xludf.DUMMYFUNCTION("IMPORTRANGE(""https://docs.google.com/spreadsheets/d/""&amp;$A341&amp;""/edit#gid=156619080"",AR$3)"),"#REF!")</f>
        <v>#REF!</v>
      </c>
      <c r="AS341" s="19" t="str">
        <f>IFERROR(__xludf.DUMMYFUNCTION("IMPORTRANGE(""https://docs.google.com/spreadsheets/d/""&amp;$A341&amp;""/edit#gid=156619080"",AS$3)"),"#REF!")</f>
        <v>#REF!</v>
      </c>
      <c r="AT341" s="2" t="str">
        <f>IFERROR(__xludf.DUMMYFUNCTION("IMPORTRANGE(""https://docs.google.com/spreadsheets/d/""&amp;$A341&amp;""/edit#gid=156619080"",AT$3)"),"#REF!")</f>
        <v>#REF!</v>
      </c>
      <c r="AU341" s="3" t="str">
        <f>IFERROR(__xludf.DUMMYFUNCTION("IMPORTRANGE(""https://docs.google.com/spreadsheets/d/""&amp;$A341&amp;""/edit#gid=156619080"",AU$3)"),"#REF!")</f>
        <v>#REF!</v>
      </c>
      <c r="AV341" s="2" t="str">
        <f>IFERROR(__xludf.DUMMYFUNCTION("IMPORTRANGE(""https://docs.google.com/spreadsheets/d/""&amp;$A341&amp;""/edit#gid=156619080"",AV$3)"),"#REF!")</f>
        <v>#REF!</v>
      </c>
      <c r="AW341" s="19" t="str">
        <f>IFERROR(__xludf.DUMMYFUNCTION("IMPORTRANGE(""https://docs.google.com/spreadsheets/d/""&amp;$A341&amp;""/edit#gid=156619080"",AW$3)"),"#REF!")</f>
        <v>#REF!</v>
      </c>
      <c r="AX341" s="2" t="str">
        <f>IFERROR(__xludf.DUMMYFUNCTION("IMPORTRANGE(""https://docs.google.com/spreadsheets/d/""&amp;$A341&amp;""/edit#gid=156619080"",AX$3)"),"#REF!")</f>
        <v>#REF!</v>
      </c>
      <c r="AY341" s="2" t="str">
        <f>IFERROR(__xludf.DUMMYFUNCTION("IMPORTRANGE(""https://docs.google.com/spreadsheets/d/""&amp;$A341&amp;""/edit#gid=156619080"",AY$3)"),"#REF!")</f>
        <v>#REF!</v>
      </c>
      <c r="AZ341" s="2" t="str">
        <f>IFERROR(__xludf.DUMMYFUNCTION("IMPORTRANGE(""https://docs.google.com/spreadsheets/d/""&amp;$A341&amp;""/edit#gid=156619080"",AZ$3)"),"#REF!")</f>
        <v>#REF!</v>
      </c>
      <c r="BA341" s="2" t="str">
        <f>IFERROR(__xludf.DUMMYFUNCTION("IMPORTRANGE(""https://docs.google.com/spreadsheets/d/""&amp;$A341&amp;""/edit#gid=156619080"",BA$3)"),"#REF!")</f>
        <v>#REF!</v>
      </c>
      <c r="BB341" s="2" t="str">
        <f>IFERROR(__xludf.DUMMYFUNCTION("IMPORTRANGE(""https://docs.google.com/spreadsheets/d/""&amp;$A341&amp;""/edit#gid=156619080"",BB$3)"),"#REF!")</f>
        <v>#REF!</v>
      </c>
      <c r="BC341" s="2" t="str">
        <f>IFERROR(__xludf.DUMMYFUNCTION("IMPORTRANGE(""https://docs.google.com/spreadsheets/d/""&amp;$A341&amp;""/edit#gid=156619080"",BC$3)"),"#REF!")</f>
        <v>#REF!</v>
      </c>
    </row>
    <row r="342" ht="51.0" customHeight="1">
      <c r="A342" s="7" t="str">
        <f t="shared" si="5"/>
        <v>1cwYlSUZbAajKfAdWU-y2I4UqUX_1Gp-VYkqmb2W2gVI</v>
      </c>
      <c r="B342" s="1" t="s">
        <v>369</v>
      </c>
      <c r="C342" s="2" t="str">
        <f>IFERROR(__xludf.DUMMYFUNCTION("IMPORTRANGE(""https://docs.google.com/spreadsheets/d/""&amp;$A342&amp;""/edit#gid=156619080"",C$3)"),"#REF!")</f>
        <v>#REF!</v>
      </c>
      <c r="D342" s="2" t="str">
        <f>IFERROR(__xludf.DUMMYFUNCTION("IMPORTRANGE(""https://docs.google.com/spreadsheets/d/""&amp;$A342&amp;""/edit#gid=156619080"",D$3)"),"#REF!")</f>
        <v>#REF!</v>
      </c>
      <c r="E342" s="2" t="str">
        <f>IFERROR(__xludf.DUMMYFUNCTION("IMPORTRANGE(""https://docs.google.com/spreadsheets/d/""&amp;$A342&amp;""/edit#gid=156619080"",E$3)"),"#REF!")</f>
        <v>#REF!</v>
      </c>
      <c r="F342" s="2" t="str">
        <f>IFERROR(__xludf.DUMMYFUNCTION("IMPORTRANGE(""https://docs.google.com/spreadsheets/d/""&amp;$A342&amp;""/edit#gid=156619080"",F$3)"),"#REF!")</f>
        <v>#REF!</v>
      </c>
      <c r="G342" s="2" t="str">
        <f>IFERROR(__xludf.DUMMYFUNCTION("IMPORTRANGE(""https://docs.google.com/spreadsheets/d/""&amp;$A342&amp;""/edit#gid=156619080"",G$3)"),"#REF!")</f>
        <v>#REF!</v>
      </c>
      <c r="H342" s="2" t="str">
        <f>IFERROR(__xludf.DUMMYFUNCTION("IMPORTRANGE(""https://docs.google.com/spreadsheets/d/""&amp;$A342&amp;""/edit#gid=156619080"",H$3)"),"#REF!")</f>
        <v>#REF!</v>
      </c>
      <c r="I342" s="2" t="str">
        <f>IFERROR(__xludf.DUMMYFUNCTION("IMPORTRANGE(""https://docs.google.com/spreadsheets/d/""&amp;$A342&amp;""/edit#gid=156619080"",I$3)"),"#REF!")</f>
        <v>#REF!</v>
      </c>
      <c r="J342" s="2" t="str">
        <f>IFERROR(__xludf.DUMMYFUNCTION("IMPORTRANGE(""https://docs.google.com/spreadsheets/d/""&amp;$A342&amp;""/edit#gid=156619080"",J$3)"),"#REF!")</f>
        <v>#REF!</v>
      </c>
      <c r="K342" s="2" t="str">
        <f>IFERROR(__xludf.DUMMYFUNCTION("IMPORTRANGE(""https://docs.google.com/spreadsheets/d/""&amp;$A342&amp;""/edit#gid=156619080"",K$3)"),"#REF!")</f>
        <v>#REF!</v>
      </c>
      <c r="L342" s="2" t="str">
        <f>IFERROR(__xludf.DUMMYFUNCTION("IMPORTRANGE(""https://docs.google.com/spreadsheets/d/""&amp;$A342&amp;""/edit#gid=156619080"",L$3)"),"#REF!")</f>
        <v>#REF!</v>
      </c>
      <c r="M342" s="2" t="str">
        <f>IFERROR(__xludf.DUMMYFUNCTION("IMPORTRANGE(""https://docs.google.com/spreadsheets/d/""&amp;$A342&amp;""/edit#gid=156619080"",M$3)"),"#REF!")</f>
        <v>#REF!</v>
      </c>
      <c r="N342" s="2" t="str">
        <f>IFERROR(__xludf.DUMMYFUNCTION("IMPORTRANGE(""https://docs.google.com/spreadsheets/d/""&amp;$A342&amp;""/edit#gid=156619080"",N$3)"),"#REF!")</f>
        <v>#REF!</v>
      </c>
      <c r="O342" s="2" t="str">
        <f>IFERROR(__xludf.DUMMYFUNCTION("IMPORTRANGE(""https://docs.google.com/spreadsheets/d/""&amp;$A342&amp;""/edit#gid=156619080"",O$3)"),"#REF!")</f>
        <v>#REF!</v>
      </c>
      <c r="P342" s="2" t="str">
        <f>IFERROR(__xludf.DUMMYFUNCTION("IMPORTRANGE(""https://docs.google.com/spreadsheets/d/""&amp;$A342&amp;""/edit#gid=156619080"",P$3)"),"#REF!")</f>
        <v>#REF!</v>
      </c>
      <c r="Q342" s="2" t="str">
        <f>IFERROR(__xludf.DUMMYFUNCTION("IMPORTRANGE(""https://docs.google.com/spreadsheets/d/""&amp;$A342&amp;""/edit#gid=156619080"",Q$3)"),"#REF!")</f>
        <v>#REF!</v>
      </c>
      <c r="R342" s="2" t="str">
        <f>IFERROR(__xludf.DUMMYFUNCTION("IMPORTRANGE(""https://docs.google.com/spreadsheets/d/""&amp;$A342&amp;""/edit#gid=156619080"",R$3)"),"#REF!")</f>
        <v>#REF!</v>
      </c>
      <c r="S342" s="2" t="str">
        <f>IFERROR(__xludf.DUMMYFUNCTION("IMPORTRANGE(""https://docs.google.com/spreadsheets/d/""&amp;$A342&amp;""/edit#gid=156619080"",S$3)"),"#REF!")</f>
        <v>#REF!</v>
      </c>
      <c r="T342" s="2" t="str">
        <f>IFERROR(__xludf.DUMMYFUNCTION("IMPORTRANGE(""https://docs.google.com/spreadsheets/d/""&amp;$A342&amp;""/edit#gid=156619080"",T$3)"),"#REF!")</f>
        <v>#REF!</v>
      </c>
      <c r="U342" s="2" t="str">
        <f>IFERROR(__xludf.DUMMYFUNCTION("IMPORTRANGE(""https://docs.google.com/spreadsheets/d/""&amp;$A342&amp;""/edit#gid=156619080"",U$3)"),"#REF!")</f>
        <v>#REF!</v>
      </c>
      <c r="V342" s="2" t="str">
        <f>IFERROR(__xludf.DUMMYFUNCTION("IMPORTRANGE(""https://docs.google.com/spreadsheets/d/""&amp;$A342&amp;""/edit#gid=156619080"",V$3)"),"#REF!")</f>
        <v>#REF!</v>
      </c>
      <c r="W342" s="2" t="str">
        <f>IFERROR(__xludf.DUMMYFUNCTION("IMPORTRANGE(""https://docs.google.com/spreadsheets/d/""&amp;$A342&amp;""/edit#gid=156619080"",W$3)"),"#REF!")</f>
        <v>#REF!</v>
      </c>
      <c r="X342" s="2" t="str">
        <f>IFERROR(__xludf.DUMMYFUNCTION("IMPORTRANGE(""https://docs.google.com/spreadsheets/d/""&amp;$A342&amp;""/edit#gid=156619080"",X$3)"),"#REF!")</f>
        <v>#REF!</v>
      </c>
      <c r="Y342" s="2" t="str">
        <f>IFERROR(__xludf.DUMMYFUNCTION("IMPORTRANGE(""https://docs.google.com/spreadsheets/d/""&amp;$A342&amp;""/edit#gid=156619080"",Y$3)"),"#REF!")</f>
        <v>#REF!</v>
      </c>
      <c r="Z342" s="2" t="str">
        <f>IFERROR(__xludf.DUMMYFUNCTION("IMPORTRANGE(""https://docs.google.com/spreadsheets/d/""&amp;$A342&amp;""/edit#gid=156619080"",Z$3)"),"#REF!")</f>
        <v>#REF!</v>
      </c>
      <c r="AA342" s="2" t="str">
        <f>IFERROR(__xludf.DUMMYFUNCTION("IMPORTRANGE(""https://docs.google.com/spreadsheets/d/""&amp;$A342&amp;""/edit#gid=156619080"",AA$3)"),"#REF!")</f>
        <v>#REF!</v>
      </c>
      <c r="AB342" s="2" t="str">
        <f>IFERROR(__xludf.DUMMYFUNCTION("IMPORTRANGE(""https://docs.google.com/spreadsheets/d/""&amp;$A342&amp;""/edit#gid=156619080"",AB$3)"),"#REF!")</f>
        <v>#REF!</v>
      </c>
      <c r="AC342" s="2" t="str">
        <f>IFERROR(__xludf.DUMMYFUNCTION("IMPORTRANGE(""https://docs.google.com/spreadsheets/d/""&amp;$A342&amp;""/edit#gid=156619080"",AC$3)"),"#REF!")</f>
        <v>#REF!</v>
      </c>
      <c r="AD342" s="2" t="str">
        <f>IFERROR(__xludf.DUMMYFUNCTION("IMPORTRANGE(""https://docs.google.com/spreadsheets/d/""&amp;$A342&amp;""/edit#gid=156619080"",AD$3)"),"#REF!")</f>
        <v>#REF!</v>
      </c>
      <c r="AE342" s="2" t="str">
        <f>IFERROR(__xludf.DUMMYFUNCTION("IMPORTRANGE(""https://docs.google.com/spreadsheets/d/""&amp;$A342&amp;""/edit#gid=156619080"",AE$3)"),"#REF!")</f>
        <v>#REF!</v>
      </c>
      <c r="AF342" s="2" t="str">
        <f>IFERROR(__xludf.DUMMYFUNCTION("IMPORTRANGE(""https://docs.google.com/spreadsheets/d/""&amp;$A342&amp;""/edit#gid=156619080"",AF$3)"),"#REF!")</f>
        <v>#REF!</v>
      </c>
      <c r="AG342" s="2" t="str">
        <f>IFERROR(__xludf.DUMMYFUNCTION("IMPORTRANGE(""https://docs.google.com/spreadsheets/d/""&amp;$A342&amp;""/edit#gid=156619080"",AG$3)"),"#REF!")</f>
        <v>#REF!</v>
      </c>
      <c r="AH342" s="2" t="str">
        <f>IFERROR(__xludf.DUMMYFUNCTION("IMPORTRANGE(""https://docs.google.com/spreadsheets/d/""&amp;$A342&amp;""/edit#gid=156619080"",AH$3)"),"#REF!")</f>
        <v>#REF!</v>
      </c>
      <c r="AI342" s="2" t="str">
        <f>IFERROR(__xludf.DUMMYFUNCTION("IMPORTRANGE(""https://docs.google.com/spreadsheets/d/""&amp;$A342&amp;""/edit#gid=156619080"",AI$3)"),"#REF!")</f>
        <v>#REF!</v>
      </c>
      <c r="AJ342" s="2" t="str">
        <f>IFERROR(__xludf.DUMMYFUNCTION("IMPORTRANGE(""https://docs.google.com/spreadsheets/d/""&amp;$A342&amp;""/edit#gid=156619080"",AJ$3)"),"#REF!")</f>
        <v>#REF!</v>
      </c>
      <c r="AK342" s="2" t="str">
        <f>IFERROR(__xludf.DUMMYFUNCTION("IMPORTRANGE(""https://docs.google.com/spreadsheets/d/""&amp;$A342&amp;""/edit#gid=156619080"",AK$3)"),"#REF!")</f>
        <v>#REF!</v>
      </c>
      <c r="AL342" s="2" t="str">
        <f>IFERROR(__xludf.DUMMYFUNCTION("IMPORTRANGE(""https://docs.google.com/spreadsheets/d/""&amp;$A342&amp;""/edit#gid=156619080"",AL$3)"),"#REF!")</f>
        <v>#REF!</v>
      </c>
      <c r="AM342" s="2" t="str">
        <f>IFERROR(__xludf.DUMMYFUNCTION("IMPORTRANGE(""https://docs.google.com/spreadsheets/d/""&amp;$A342&amp;""/edit#gid=156619080"",AM$3)"),"#REF!")</f>
        <v>#REF!</v>
      </c>
      <c r="AN342" s="2" t="str">
        <f>IFERROR(__xludf.DUMMYFUNCTION("IMPORTRANGE(""https://docs.google.com/spreadsheets/d/""&amp;$A342&amp;""/edit#gid=156619080"",AN$3)"),"#REF!")</f>
        <v>#REF!</v>
      </c>
      <c r="AO342" s="2" t="str">
        <f>IFERROR(__xludf.DUMMYFUNCTION("IMPORTRANGE(""https://docs.google.com/spreadsheets/d/""&amp;$A342&amp;""/edit#gid=156619080"",AO$3)"),"#REF!")</f>
        <v>#REF!</v>
      </c>
      <c r="AP342" s="2" t="str">
        <f>IFERROR(__xludf.DUMMYFUNCTION("IMPORTRANGE(""https://docs.google.com/spreadsheets/d/""&amp;$A342&amp;""/edit#gid=156619080"",AP$3)"),"#REF!")</f>
        <v>#REF!</v>
      </c>
      <c r="AQ342" s="2" t="str">
        <f>IFERROR(__xludf.DUMMYFUNCTION("IMPORTRANGE(""https://docs.google.com/spreadsheets/d/""&amp;$A342&amp;""/edit#gid=156619080"",AQ$3)"),"#REF!")</f>
        <v>#REF!</v>
      </c>
      <c r="AR342" s="2" t="str">
        <f>IFERROR(__xludf.DUMMYFUNCTION("IMPORTRANGE(""https://docs.google.com/spreadsheets/d/""&amp;$A342&amp;""/edit#gid=156619080"",AR$3)"),"#REF!")</f>
        <v>#REF!</v>
      </c>
      <c r="AS342" s="19" t="str">
        <f>IFERROR(__xludf.DUMMYFUNCTION("IMPORTRANGE(""https://docs.google.com/spreadsheets/d/""&amp;$A342&amp;""/edit#gid=156619080"",AS$3)"),"#REF!")</f>
        <v>#REF!</v>
      </c>
      <c r="AT342" s="2" t="str">
        <f>IFERROR(__xludf.DUMMYFUNCTION("IMPORTRANGE(""https://docs.google.com/spreadsheets/d/""&amp;$A342&amp;""/edit#gid=156619080"",AT$3)"),"#REF!")</f>
        <v>#REF!</v>
      </c>
      <c r="AU342" s="3" t="str">
        <f>IFERROR(__xludf.DUMMYFUNCTION("IMPORTRANGE(""https://docs.google.com/spreadsheets/d/""&amp;$A342&amp;""/edit#gid=156619080"",AU$3)"),"#REF!")</f>
        <v>#REF!</v>
      </c>
      <c r="AV342" s="2" t="str">
        <f>IFERROR(__xludf.DUMMYFUNCTION("IMPORTRANGE(""https://docs.google.com/spreadsheets/d/""&amp;$A342&amp;""/edit#gid=156619080"",AV$3)"),"#REF!")</f>
        <v>#REF!</v>
      </c>
      <c r="AW342" s="19" t="str">
        <f>IFERROR(__xludf.DUMMYFUNCTION("IMPORTRANGE(""https://docs.google.com/spreadsheets/d/""&amp;$A342&amp;""/edit#gid=156619080"",AW$3)"),"#REF!")</f>
        <v>#REF!</v>
      </c>
      <c r="AX342" s="2" t="str">
        <f>IFERROR(__xludf.DUMMYFUNCTION("IMPORTRANGE(""https://docs.google.com/spreadsheets/d/""&amp;$A342&amp;""/edit#gid=156619080"",AX$3)"),"#REF!")</f>
        <v>#REF!</v>
      </c>
      <c r="AY342" s="2" t="str">
        <f>IFERROR(__xludf.DUMMYFUNCTION("IMPORTRANGE(""https://docs.google.com/spreadsheets/d/""&amp;$A342&amp;""/edit#gid=156619080"",AY$3)"),"#REF!")</f>
        <v>#REF!</v>
      </c>
      <c r="AZ342" s="2" t="str">
        <f>IFERROR(__xludf.DUMMYFUNCTION("IMPORTRANGE(""https://docs.google.com/spreadsheets/d/""&amp;$A342&amp;""/edit#gid=156619080"",AZ$3)"),"#REF!")</f>
        <v>#REF!</v>
      </c>
      <c r="BA342" s="2" t="str">
        <f>IFERROR(__xludf.DUMMYFUNCTION("IMPORTRANGE(""https://docs.google.com/spreadsheets/d/""&amp;$A342&amp;""/edit#gid=156619080"",BA$3)"),"#REF!")</f>
        <v>#REF!</v>
      </c>
      <c r="BB342" s="2" t="str">
        <f>IFERROR(__xludf.DUMMYFUNCTION("IMPORTRANGE(""https://docs.google.com/spreadsheets/d/""&amp;$A342&amp;""/edit#gid=156619080"",BB$3)"),"#REF!")</f>
        <v>#REF!</v>
      </c>
      <c r="BC342" s="2" t="str">
        <f>IFERROR(__xludf.DUMMYFUNCTION("IMPORTRANGE(""https://docs.google.com/spreadsheets/d/""&amp;$A342&amp;""/edit#gid=156619080"",BC$3)"),"#REF!")</f>
        <v>#REF!</v>
      </c>
    </row>
    <row r="343" ht="51.0" customHeight="1">
      <c r="A343" s="7" t="str">
        <f t="shared" si="5"/>
        <v>1ZxeZfW7UhWwc5aD6PETE632LjY6yud4IsvhZ2JN4uW0</v>
      </c>
      <c r="B343" s="1" t="s">
        <v>370</v>
      </c>
      <c r="C343" s="2" t="str">
        <f>IFERROR(__xludf.DUMMYFUNCTION("IMPORTRANGE(""https://docs.google.com/spreadsheets/d/""&amp;$A343&amp;""/edit#gid=156619080"",C$3)"),"#REF!")</f>
        <v>#REF!</v>
      </c>
      <c r="D343" s="2" t="str">
        <f>IFERROR(__xludf.DUMMYFUNCTION("IMPORTRANGE(""https://docs.google.com/spreadsheets/d/""&amp;$A343&amp;""/edit#gid=156619080"",D$3)"),"#REF!")</f>
        <v>#REF!</v>
      </c>
      <c r="E343" s="2" t="str">
        <f>IFERROR(__xludf.DUMMYFUNCTION("IMPORTRANGE(""https://docs.google.com/spreadsheets/d/""&amp;$A343&amp;""/edit#gid=156619080"",E$3)"),"#REF!")</f>
        <v>#REF!</v>
      </c>
      <c r="F343" s="2" t="str">
        <f>IFERROR(__xludf.DUMMYFUNCTION("IMPORTRANGE(""https://docs.google.com/spreadsheets/d/""&amp;$A343&amp;""/edit#gid=156619080"",F$3)"),"#REF!")</f>
        <v>#REF!</v>
      </c>
      <c r="G343" s="2" t="str">
        <f>IFERROR(__xludf.DUMMYFUNCTION("IMPORTRANGE(""https://docs.google.com/spreadsheets/d/""&amp;$A343&amp;""/edit#gid=156619080"",G$3)"),"#REF!")</f>
        <v>#REF!</v>
      </c>
      <c r="H343" s="2" t="str">
        <f>IFERROR(__xludf.DUMMYFUNCTION("IMPORTRANGE(""https://docs.google.com/spreadsheets/d/""&amp;$A343&amp;""/edit#gid=156619080"",H$3)"),"#REF!")</f>
        <v>#REF!</v>
      </c>
      <c r="I343" s="2" t="str">
        <f>IFERROR(__xludf.DUMMYFUNCTION("IMPORTRANGE(""https://docs.google.com/spreadsheets/d/""&amp;$A343&amp;""/edit#gid=156619080"",I$3)"),"#REF!")</f>
        <v>#REF!</v>
      </c>
      <c r="J343" s="2" t="str">
        <f>IFERROR(__xludf.DUMMYFUNCTION("IMPORTRANGE(""https://docs.google.com/spreadsheets/d/""&amp;$A343&amp;""/edit#gid=156619080"",J$3)"),"#REF!")</f>
        <v>#REF!</v>
      </c>
      <c r="K343" s="2" t="str">
        <f>IFERROR(__xludf.DUMMYFUNCTION("IMPORTRANGE(""https://docs.google.com/spreadsheets/d/""&amp;$A343&amp;""/edit#gid=156619080"",K$3)"),"#REF!")</f>
        <v>#REF!</v>
      </c>
      <c r="L343" s="2" t="str">
        <f>IFERROR(__xludf.DUMMYFUNCTION("IMPORTRANGE(""https://docs.google.com/spreadsheets/d/""&amp;$A343&amp;""/edit#gid=156619080"",L$3)"),"#REF!")</f>
        <v>#REF!</v>
      </c>
      <c r="M343" s="2" t="str">
        <f>IFERROR(__xludf.DUMMYFUNCTION("IMPORTRANGE(""https://docs.google.com/spreadsheets/d/""&amp;$A343&amp;""/edit#gid=156619080"",M$3)"),"#REF!")</f>
        <v>#REF!</v>
      </c>
      <c r="N343" s="2" t="str">
        <f>IFERROR(__xludf.DUMMYFUNCTION("IMPORTRANGE(""https://docs.google.com/spreadsheets/d/""&amp;$A343&amp;""/edit#gid=156619080"",N$3)"),"#REF!")</f>
        <v>#REF!</v>
      </c>
      <c r="O343" s="2" t="str">
        <f>IFERROR(__xludf.DUMMYFUNCTION("IMPORTRANGE(""https://docs.google.com/spreadsheets/d/""&amp;$A343&amp;""/edit#gid=156619080"",O$3)"),"#REF!")</f>
        <v>#REF!</v>
      </c>
      <c r="P343" s="2" t="str">
        <f>IFERROR(__xludf.DUMMYFUNCTION("IMPORTRANGE(""https://docs.google.com/spreadsheets/d/""&amp;$A343&amp;""/edit#gid=156619080"",P$3)"),"#REF!")</f>
        <v>#REF!</v>
      </c>
      <c r="Q343" s="2" t="str">
        <f>IFERROR(__xludf.DUMMYFUNCTION("IMPORTRANGE(""https://docs.google.com/spreadsheets/d/""&amp;$A343&amp;""/edit#gid=156619080"",Q$3)"),"#REF!")</f>
        <v>#REF!</v>
      </c>
      <c r="R343" s="2" t="str">
        <f>IFERROR(__xludf.DUMMYFUNCTION("IMPORTRANGE(""https://docs.google.com/spreadsheets/d/""&amp;$A343&amp;""/edit#gid=156619080"",R$3)"),"#REF!")</f>
        <v>#REF!</v>
      </c>
      <c r="S343" s="2" t="str">
        <f>IFERROR(__xludf.DUMMYFUNCTION("IMPORTRANGE(""https://docs.google.com/spreadsheets/d/""&amp;$A343&amp;""/edit#gid=156619080"",S$3)"),"#REF!")</f>
        <v>#REF!</v>
      </c>
      <c r="T343" s="2" t="str">
        <f>IFERROR(__xludf.DUMMYFUNCTION("IMPORTRANGE(""https://docs.google.com/spreadsheets/d/""&amp;$A343&amp;""/edit#gid=156619080"",T$3)"),"#REF!")</f>
        <v>#REF!</v>
      </c>
      <c r="U343" s="2" t="str">
        <f>IFERROR(__xludf.DUMMYFUNCTION("IMPORTRANGE(""https://docs.google.com/spreadsheets/d/""&amp;$A343&amp;""/edit#gid=156619080"",U$3)"),"#REF!")</f>
        <v>#REF!</v>
      </c>
      <c r="V343" s="2" t="str">
        <f>IFERROR(__xludf.DUMMYFUNCTION("IMPORTRANGE(""https://docs.google.com/spreadsheets/d/""&amp;$A343&amp;""/edit#gid=156619080"",V$3)"),"#REF!")</f>
        <v>#REF!</v>
      </c>
      <c r="W343" s="2" t="str">
        <f>IFERROR(__xludf.DUMMYFUNCTION("IMPORTRANGE(""https://docs.google.com/spreadsheets/d/""&amp;$A343&amp;""/edit#gid=156619080"",W$3)"),"#REF!")</f>
        <v>#REF!</v>
      </c>
      <c r="X343" s="2" t="str">
        <f>IFERROR(__xludf.DUMMYFUNCTION("IMPORTRANGE(""https://docs.google.com/spreadsheets/d/""&amp;$A343&amp;""/edit#gid=156619080"",X$3)"),"#REF!")</f>
        <v>#REF!</v>
      </c>
      <c r="Y343" s="2" t="str">
        <f>IFERROR(__xludf.DUMMYFUNCTION("IMPORTRANGE(""https://docs.google.com/spreadsheets/d/""&amp;$A343&amp;""/edit#gid=156619080"",Y$3)"),"#REF!")</f>
        <v>#REF!</v>
      </c>
      <c r="Z343" s="2" t="str">
        <f>IFERROR(__xludf.DUMMYFUNCTION("IMPORTRANGE(""https://docs.google.com/spreadsheets/d/""&amp;$A343&amp;""/edit#gid=156619080"",Z$3)"),"#REF!")</f>
        <v>#REF!</v>
      </c>
      <c r="AA343" s="2" t="str">
        <f>IFERROR(__xludf.DUMMYFUNCTION("IMPORTRANGE(""https://docs.google.com/spreadsheets/d/""&amp;$A343&amp;""/edit#gid=156619080"",AA$3)"),"#REF!")</f>
        <v>#REF!</v>
      </c>
      <c r="AB343" s="2" t="str">
        <f>IFERROR(__xludf.DUMMYFUNCTION("IMPORTRANGE(""https://docs.google.com/spreadsheets/d/""&amp;$A343&amp;""/edit#gid=156619080"",AB$3)"),"#REF!")</f>
        <v>#REF!</v>
      </c>
      <c r="AC343" s="2" t="str">
        <f>IFERROR(__xludf.DUMMYFUNCTION("IMPORTRANGE(""https://docs.google.com/spreadsheets/d/""&amp;$A343&amp;""/edit#gid=156619080"",AC$3)"),"#REF!")</f>
        <v>#REF!</v>
      </c>
      <c r="AD343" s="2" t="str">
        <f>IFERROR(__xludf.DUMMYFUNCTION("IMPORTRANGE(""https://docs.google.com/spreadsheets/d/""&amp;$A343&amp;""/edit#gid=156619080"",AD$3)"),"#REF!")</f>
        <v>#REF!</v>
      </c>
      <c r="AE343" s="2" t="str">
        <f>IFERROR(__xludf.DUMMYFUNCTION("IMPORTRANGE(""https://docs.google.com/spreadsheets/d/""&amp;$A343&amp;""/edit#gid=156619080"",AE$3)"),"#REF!")</f>
        <v>#REF!</v>
      </c>
      <c r="AF343" s="2" t="str">
        <f>IFERROR(__xludf.DUMMYFUNCTION("IMPORTRANGE(""https://docs.google.com/spreadsheets/d/""&amp;$A343&amp;""/edit#gid=156619080"",AF$3)"),"#REF!")</f>
        <v>#REF!</v>
      </c>
      <c r="AG343" s="2" t="str">
        <f>IFERROR(__xludf.DUMMYFUNCTION("IMPORTRANGE(""https://docs.google.com/spreadsheets/d/""&amp;$A343&amp;""/edit#gid=156619080"",AG$3)"),"#REF!")</f>
        <v>#REF!</v>
      </c>
      <c r="AH343" s="2" t="str">
        <f>IFERROR(__xludf.DUMMYFUNCTION("IMPORTRANGE(""https://docs.google.com/spreadsheets/d/""&amp;$A343&amp;""/edit#gid=156619080"",AH$3)"),"#REF!")</f>
        <v>#REF!</v>
      </c>
      <c r="AI343" s="2" t="str">
        <f>IFERROR(__xludf.DUMMYFUNCTION("IMPORTRANGE(""https://docs.google.com/spreadsheets/d/""&amp;$A343&amp;""/edit#gid=156619080"",AI$3)"),"#REF!")</f>
        <v>#REF!</v>
      </c>
      <c r="AJ343" s="2" t="str">
        <f>IFERROR(__xludf.DUMMYFUNCTION("IMPORTRANGE(""https://docs.google.com/spreadsheets/d/""&amp;$A343&amp;""/edit#gid=156619080"",AJ$3)"),"#REF!")</f>
        <v>#REF!</v>
      </c>
      <c r="AK343" s="2" t="str">
        <f>IFERROR(__xludf.DUMMYFUNCTION("IMPORTRANGE(""https://docs.google.com/spreadsheets/d/""&amp;$A343&amp;""/edit#gid=156619080"",AK$3)"),"#REF!")</f>
        <v>#REF!</v>
      </c>
      <c r="AL343" s="2" t="str">
        <f>IFERROR(__xludf.DUMMYFUNCTION("IMPORTRANGE(""https://docs.google.com/spreadsheets/d/""&amp;$A343&amp;""/edit#gid=156619080"",AL$3)"),"#REF!")</f>
        <v>#REF!</v>
      </c>
      <c r="AM343" s="2" t="str">
        <f>IFERROR(__xludf.DUMMYFUNCTION("IMPORTRANGE(""https://docs.google.com/spreadsheets/d/""&amp;$A343&amp;""/edit#gid=156619080"",AM$3)"),"#REF!")</f>
        <v>#REF!</v>
      </c>
      <c r="AN343" s="2" t="str">
        <f>IFERROR(__xludf.DUMMYFUNCTION("IMPORTRANGE(""https://docs.google.com/spreadsheets/d/""&amp;$A343&amp;""/edit#gid=156619080"",AN$3)"),"#REF!")</f>
        <v>#REF!</v>
      </c>
      <c r="AO343" s="2" t="str">
        <f>IFERROR(__xludf.DUMMYFUNCTION("IMPORTRANGE(""https://docs.google.com/spreadsheets/d/""&amp;$A343&amp;""/edit#gid=156619080"",AO$3)"),"#REF!")</f>
        <v>#REF!</v>
      </c>
      <c r="AP343" s="2" t="str">
        <f>IFERROR(__xludf.DUMMYFUNCTION("IMPORTRANGE(""https://docs.google.com/spreadsheets/d/""&amp;$A343&amp;""/edit#gid=156619080"",AP$3)"),"#REF!")</f>
        <v>#REF!</v>
      </c>
      <c r="AQ343" s="2" t="str">
        <f>IFERROR(__xludf.DUMMYFUNCTION("IMPORTRANGE(""https://docs.google.com/spreadsheets/d/""&amp;$A343&amp;""/edit#gid=156619080"",AQ$3)"),"#REF!")</f>
        <v>#REF!</v>
      </c>
      <c r="AR343" s="2" t="str">
        <f>IFERROR(__xludf.DUMMYFUNCTION("IMPORTRANGE(""https://docs.google.com/spreadsheets/d/""&amp;$A343&amp;""/edit#gid=156619080"",AR$3)"),"#REF!")</f>
        <v>#REF!</v>
      </c>
      <c r="AS343" s="19" t="str">
        <f>IFERROR(__xludf.DUMMYFUNCTION("IMPORTRANGE(""https://docs.google.com/spreadsheets/d/""&amp;$A343&amp;""/edit#gid=156619080"",AS$3)"),"#REF!")</f>
        <v>#REF!</v>
      </c>
      <c r="AT343" s="2" t="str">
        <f>IFERROR(__xludf.DUMMYFUNCTION("IMPORTRANGE(""https://docs.google.com/spreadsheets/d/""&amp;$A343&amp;""/edit#gid=156619080"",AT$3)"),"#REF!")</f>
        <v>#REF!</v>
      </c>
      <c r="AU343" s="3" t="str">
        <f>IFERROR(__xludf.DUMMYFUNCTION("IMPORTRANGE(""https://docs.google.com/spreadsheets/d/""&amp;$A343&amp;""/edit#gid=156619080"",AU$3)"),"#REF!")</f>
        <v>#REF!</v>
      </c>
      <c r="AV343" s="2" t="str">
        <f>IFERROR(__xludf.DUMMYFUNCTION("IMPORTRANGE(""https://docs.google.com/spreadsheets/d/""&amp;$A343&amp;""/edit#gid=156619080"",AV$3)"),"#REF!")</f>
        <v>#REF!</v>
      </c>
      <c r="AW343" s="19" t="str">
        <f>IFERROR(__xludf.DUMMYFUNCTION("IMPORTRANGE(""https://docs.google.com/spreadsheets/d/""&amp;$A343&amp;""/edit#gid=156619080"",AW$3)"),"#REF!")</f>
        <v>#REF!</v>
      </c>
      <c r="AX343" s="2" t="str">
        <f>IFERROR(__xludf.DUMMYFUNCTION("IMPORTRANGE(""https://docs.google.com/spreadsheets/d/""&amp;$A343&amp;""/edit#gid=156619080"",AX$3)"),"#REF!")</f>
        <v>#REF!</v>
      </c>
      <c r="AY343" s="2" t="str">
        <f>IFERROR(__xludf.DUMMYFUNCTION("IMPORTRANGE(""https://docs.google.com/spreadsheets/d/""&amp;$A343&amp;""/edit#gid=156619080"",AY$3)"),"#REF!")</f>
        <v>#REF!</v>
      </c>
      <c r="AZ343" s="2" t="str">
        <f>IFERROR(__xludf.DUMMYFUNCTION("IMPORTRANGE(""https://docs.google.com/spreadsheets/d/""&amp;$A343&amp;""/edit#gid=156619080"",AZ$3)"),"#REF!")</f>
        <v>#REF!</v>
      </c>
      <c r="BA343" s="2" t="str">
        <f>IFERROR(__xludf.DUMMYFUNCTION("IMPORTRANGE(""https://docs.google.com/spreadsheets/d/""&amp;$A343&amp;""/edit#gid=156619080"",BA$3)"),"#REF!")</f>
        <v>#REF!</v>
      </c>
      <c r="BB343" s="2" t="str">
        <f>IFERROR(__xludf.DUMMYFUNCTION("IMPORTRANGE(""https://docs.google.com/spreadsheets/d/""&amp;$A343&amp;""/edit#gid=156619080"",BB$3)"),"#REF!")</f>
        <v>#REF!</v>
      </c>
      <c r="BC343" s="2" t="str">
        <f>IFERROR(__xludf.DUMMYFUNCTION("IMPORTRANGE(""https://docs.google.com/spreadsheets/d/""&amp;$A343&amp;""/edit#gid=156619080"",BC$3)"),"#REF!")</f>
        <v>#REF!</v>
      </c>
    </row>
    <row r="344" ht="51.0" customHeight="1">
      <c r="A344" s="7" t="str">
        <f t="shared" si="5"/>
        <v>10T0Krb23UO2PPzN0F0vRvx5Ni6a3Pjl7yM-OxHZcDCg</v>
      </c>
      <c r="B344" s="1" t="s">
        <v>371</v>
      </c>
      <c r="C344" s="2" t="str">
        <f>IFERROR(__xludf.DUMMYFUNCTION("IMPORTRANGE(""https://docs.google.com/spreadsheets/d/""&amp;$A344&amp;""/edit#gid=156619080"",C$3)"),"#REF!")</f>
        <v>#REF!</v>
      </c>
      <c r="D344" s="2" t="str">
        <f>IFERROR(__xludf.DUMMYFUNCTION("IMPORTRANGE(""https://docs.google.com/spreadsheets/d/""&amp;$A344&amp;""/edit#gid=156619080"",D$3)"),"#REF!")</f>
        <v>#REF!</v>
      </c>
      <c r="E344" s="2" t="str">
        <f>IFERROR(__xludf.DUMMYFUNCTION("IMPORTRANGE(""https://docs.google.com/spreadsheets/d/""&amp;$A344&amp;""/edit#gid=156619080"",E$3)"),"#REF!")</f>
        <v>#REF!</v>
      </c>
      <c r="F344" s="2" t="str">
        <f>IFERROR(__xludf.DUMMYFUNCTION("IMPORTRANGE(""https://docs.google.com/spreadsheets/d/""&amp;$A344&amp;""/edit#gid=156619080"",F$3)"),"#REF!")</f>
        <v>#REF!</v>
      </c>
      <c r="G344" s="2" t="str">
        <f>IFERROR(__xludf.DUMMYFUNCTION("IMPORTRANGE(""https://docs.google.com/spreadsheets/d/""&amp;$A344&amp;""/edit#gid=156619080"",G$3)"),"#REF!")</f>
        <v>#REF!</v>
      </c>
      <c r="H344" s="2" t="str">
        <f>IFERROR(__xludf.DUMMYFUNCTION("IMPORTRANGE(""https://docs.google.com/spreadsheets/d/""&amp;$A344&amp;""/edit#gid=156619080"",H$3)"),"#REF!")</f>
        <v>#REF!</v>
      </c>
      <c r="I344" s="2" t="str">
        <f>IFERROR(__xludf.DUMMYFUNCTION("IMPORTRANGE(""https://docs.google.com/spreadsheets/d/""&amp;$A344&amp;""/edit#gid=156619080"",I$3)"),"#REF!")</f>
        <v>#REF!</v>
      </c>
      <c r="J344" s="2" t="str">
        <f>IFERROR(__xludf.DUMMYFUNCTION("IMPORTRANGE(""https://docs.google.com/spreadsheets/d/""&amp;$A344&amp;""/edit#gid=156619080"",J$3)"),"#REF!")</f>
        <v>#REF!</v>
      </c>
      <c r="K344" s="2" t="str">
        <f>IFERROR(__xludf.DUMMYFUNCTION("IMPORTRANGE(""https://docs.google.com/spreadsheets/d/""&amp;$A344&amp;""/edit#gid=156619080"",K$3)"),"#REF!")</f>
        <v>#REF!</v>
      </c>
      <c r="L344" s="2" t="str">
        <f>IFERROR(__xludf.DUMMYFUNCTION("IMPORTRANGE(""https://docs.google.com/spreadsheets/d/""&amp;$A344&amp;""/edit#gid=156619080"",L$3)"),"#REF!")</f>
        <v>#REF!</v>
      </c>
      <c r="M344" s="2" t="str">
        <f>IFERROR(__xludf.DUMMYFUNCTION("IMPORTRANGE(""https://docs.google.com/spreadsheets/d/""&amp;$A344&amp;""/edit#gid=156619080"",M$3)"),"#REF!")</f>
        <v>#REF!</v>
      </c>
      <c r="N344" s="2" t="str">
        <f>IFERROR(__xludf.DUMMYFUNCTION("IMPORTRANGE(""https://docs.google.com/spreadsheets/d/""&amp;$A344&amp;""/edit#gid=156619080"",N$3)"),"#REF!")</f>
        <v>#REF!</v>
      </c>
      <c r="O344" s="2" t="str">
        <f>IFERROR(__xludf.DUMMYFUNCTION("IMPORTRANGE(""https://docs.google.com/spreadsheets/d/""&amp;$A344&amp;""/edit#gid=156619080"",O$3)"),"#REF!")</f>
        <v>#REF!</v>
      </c>
      <c r="P344" s="2" t="str">
        <f>IFERROR(__xludf.DUMMYFUNCTION("IMPORTRANGE(""https://docs.google.com/spreadsheets/d/""&amp;$A344&amp;""/edit#gid=156619080"",P$3)"),"#REF!")</f>
        <v>#REF!</v>
      </c>
      <c r="Q344" s="2" t="str">
        <f>IFERROR(__xludf.DUMMYFUNCTION("IMPORTRANGE(""https://docs.google.com/spreadsheets/d/""&amp;$A344&amp;""/edit#gid=156619080"",Q$3)"),"#REF!")</f>
        <v>#REF!</v>
      </c>
      <c r="R344" s="2" t="str">
        <f>IFERROR(__xludf.DUMMYFUNCTION("IMPORTRANGE(""https://docs.google.com/spreadsheets/d/""&amp;$A344&amp;""/edit#gid=156619080"",R$3)"),"#REF!")</f>
        <v>#REF!</v>
      </c>
      <c r="S344" s="2" t="str">
        <f>IFERROR(__xludf.DUMMYFUNCTION("IMPORTRANGE(""https://docs.google.com/spreadsheets/d/""&amp;$A344&amp;""/edit#gid=156619080"",S$3)"),"#REF!")</f>
        <v>#REF!</v>
      </c>
      <c r="T344" s="2" t="str">
        <f>IFERROR(__xludf.DUMMYFUNCTION("IMPORTRANGE(""https://docs.google.com/spreadsheets/d/""&amp;$A344&amp;""/edit#gid=156619080"",T$3)"),"#REF!")</f>
        <v>#REF!</v>
      </c>
      <c r="U344" s="2" t="str">
        <f>IFERROR(__xludf.DUMMYFUNCTION("IMPORTRANGE(""https://docs.google.com/spreadsheets/d/""&amp;$A344&amp;""/edit#gid=156619080"",U$3)"),"#REF!")</f>
        <v>#REF!</v>
      </c>
      <c r="V344" s="2" t="str">
        <f>IFERROR(__xludf.DUMMYFUNCTION("IMPORTRANGE(""https://docs.google.com/spreadsheets/d/""&amp;$A344&amp;""/edit#gid=156619080"",V$3)"),"#REF!")</f>
        <v>#REF!</v>
      </c>
      <c r="W344" s="2" t="str">
        <f>IFERROR(__xludf.DUMMYFUNCTION("IMPORTRANGE(""https://docs.google.com/spreadsheets/d/""&amp;$A344&amp;""/edit#gid=156619080"",W$3)"),"#REF!")</f>
        <v>#REF!</v>
      </c>
      <c r="X344" s="2" t="str">
        <f>IFERROR(__xludf.DUMMYFUNCTION("IMPORTRANGE(""https://docs.google.com/spreadsheets/d/""&amp;$A344&amp;""/edit#gid=156619080"",X$3)"),"#REF!")</f>
        <v>#REF!</v>
      </c>
      <c r="Y344" s="2" t="str">
        <f>IFERROR(__xludf.DUMMYFUNCTION("IMPORTRANGE(""https://docs.google.com/spreadsheets/d/""&amp;$A344&amp;""/edit#gid=156619080"",Y$3)"),"#REF!")</f>
        <v>#REF!</v>
      </c>
      <c r="Z344" s="2" t="str">
        <f>IFERROR(__xludf.DUMMYFUNCTION("IMPORTRANGE(""https://docs.google.com/spreadsheets/d/""&amp;$A344&amp;""/edit#gid=156619080"",Z$3)"),"#REF!")</f>
        <v>#REF!</v>
      </c>
      <c r="AA344" s="2" t="str">
        <f>IFERROR(__xludf.DUMMYFUNCTION("IMPORTRANGE(""https://docs.google.com/spreadsheets/d/""&amp;$A344&amp;""/edit#gid=156619080"",AA$3)"),"#REF!")</f>
        <v>#REF!</v>
      </c>
      <c r="AB344" s="2" t="str">
        <f>IFERROR(__xludf.DUMMYFUNCTION("IMPORTRANGE(""https://docs.google.com/spreadsheets/d/""&amp;$A344&amp;""/edit#gid=156619080"",AB$3)"),"#REF!")</f>
        <v>#REF!</v>
      </c>
      <c r="AC344" s="2" t="str">
        <f>IFERROR(__xludf.DUMMYFUNCTION("IMPORTRANGE(""https://docs.google.com/spreadsheets/d/""&amp;$A344&amp;""/edit#gid=156619080"",AC$3)"),"#REF!")</f>
        <v>#REF!</v>
      </c>
      <c r="AD344" s="2" t="str">
        <f>IFERROR(__xludf.DUMMYFUNCTION("IMPORTRANGE(""https://docs.google.com/spreadsheets/d/""&amp;$A344&amp;""/edit#gid=156619080"",AD$3)"),"#REF!")</f>
        <v>#REF!</v>
      </c>
      <c r="AE344" s="2" t="str">
        <f>IFERROR(__xludf.DUMMYFUNCTION("IMPORTRANGE(""https://docs.google.com/spreadsheets/d/""&amp;$A344&amp;""/edit#gid=156619080"",AE$3)"),"#REF!")</f>
        <v>#REF!</v>
      </c>
      <c r="AF344" s="2" t="str">
        <f>IFERROR(__xludf.DUMMYFUNCTION("IMPORTRANGE(""https://docs.google.com/spreadsheets/d/""&amp;$A344&amp;""/edit#gid=156619080"",AF$3)"),"#REF!")</f>
        <v>#REF!</v>
      </c>
      <c r="AG344" s="2" t="str">
        <f>IFERROR(__xludf.DUMMYFUNCTION("IMPORTRANGE(""https://docs.google.com/spreadsheets/d/""&amp;$A344&amp;""/edit#gid=156619080"",AG$3)"),"#REF!")</f>
        <v>#REF!</v>
      </c>
      <c r="AH344" s="2" t="str">
        <f>IFERROR(__xludf.DUMMYFUNCTION("IMPORTRANGE(""https://docs.google.com/spreadsheets/d/""&amp;$A344&amp;""/edit#gid=156619080"",AH$3)"),"#REF!")</f>
        <v>#REF!</v>
      </c>
      <c r="AI344" s="2" t="str">
        <f>IFERROR(__xludf.DUMMYFUNCTION("IMPORTRANGE(""https://docs.google.com/spreadsheets/d/""&amp;$A344&amp;""/edit#gid=156619080"",AI$3)"),"#REF!")</f>
        <v>#REF!</v>
      </c>
      <c r="AJ344" s="2" t="str">
        <f>IFERROR(__xludf.DUMMYFUNCTION("IMPORTRANGE(""https://docs.google.com/spreadsheets/d/""&amp;$A344&amp;""/edit#gid=156619080"",AJ$3)"),"#REF!")</f>
        <v>#REF!</v>
      </c>
      <c r="AK344" s="2" t="str">
        <f>IFERROR(__xludf.DUMMYFUNCTION("IMPORTRANGE(""https://docs.google.com/spreadsheets/d/""&amp;$A344&amp;""/edit#gid=156619080"",AK$3)"),"#REF!")</f>
        <v>#REF!</v>
      </c>
      <c r="AL344" s="2" t="str">
        <f>IFERROR(__xludf.DUMMYFUNCTION("IMPORTRANGE(""https://docs.google.com/spreadsheets/d/""&amp;$A344&amp;""/edit#gid=156619080"",AL$3)"),"#REF!")</f>
        <v>#REF!</v>
      </c>
      <c r="AM344" s="2" t="str">
        <f>IFERROR(__xludf.DUMMYFUNCTION("IMPORTRANGE(""https://docs.google.com/spreadsheets/d/""&amp;$A344&amp;""/edit#gid=156619080"",AM$3)"),"#REF!")</f>
        <v>#REF!</v>
      </c>
      <c r="AN344" s="2" t="str">
        <f>IFERROR(__xludf.DUMMYFUNCTION("IMPORTRANGE(""https://docs.google.com/spreadsheets/d/""&amp;$A344&amp;""/edit#gid=156619080"",AN$3)"),"#REF!")</f>
        <v>#REF!</v>
      </c>
      <c r="AO344" s="2" t="str">
        <f>IFERROR(__xludf.DUMMYFUNCTION("IMPORTRANGE(""https://docs.google.com/spreadsheets/d/""&amp;$A344&amp;""/edit#gid=156619080"",AO$3)"),"#REF!")</f>
        <v>#REF!</v>
      </c>
      <c r="AP344" s="2" t="str">
        <f>IFERROR(__xludf.DUMMYFUNCTION("IMPORTRANGE(""https://docs.google.com/spreadsheets/d/""&amp;$A344&amp;""/edit#gid=156619080"",AP$3)"),"#REF!")</f>
        <v>#REF!</v>
      </c>
      <c r="AQ344" s="2" t="str">
        <f>IFERROR(__xludf.DUMMYFUNCTION("IMPORTRANGE(""https://docs.google.com/spreadsheets/d/""&amp;$A344&amp;""/edit#gid=156619080"",AQ$3)"),"#REF!")</f>
        <v>#REF!</v>
      </c>
      <c r="AR344" s="2" t="str">
        <f>IFERROR(__xludf.DUMMYFUNCTION("IMPORTRANGE(""https://docs.google.com/spreadsheets/d/""&amp;$A344&amp;""/edit#gid=156619080"",AR$3)"),"#REF!")</f>
        <v>#REF!</v>
      </c>
      <c r="AS344" s="19" t="str">
        <f>IFERROR(__xludf.DUMMYFUNCTION("IMPORTRANGE(""https://docs.google.com/spreadsheets/d/""&amp;$A344&amp;""/edit#gid=156619080"",AS$3)"),"#REF!")</f>
        <v>#REF!</v>
      </c>
      <c r="AT344" s="2" t="str">
        <f>IFERROR(__xludf.DUMMYFUNCTION("IMPORTRANGE(""https://docs.google.com/spreadsheets/d/""&amp;$A344&amp;""/edit#gid=156619080"",AT$3)"),"#REF!")</f>
        <v>#REF!</v>
      </c>
      <c r="AU344" s="3" t="str">
        <f>IFERROR(__xludf.DUMMYFUNCTION("IMPORTRANGE(""https://docs.google.com/spreadsheets/d/""&amp;$A344&amp;""/edit#gid=156619080"",AU$3)"),"#REF!")</f>
        <v>#REF!</v>
      </c>
      <c r="AV344" s="2" t="str">
        <f>IFERROR(__xludf.DUMMYFUNCTION("IMPORTRANGE(""https://docs.google.com/spreadsheets/d/""&amp;$A344&amp;""/edit#gid=156619080"",AV$3)"),"#REF!")</f>
        <v>#REF!</v>
      </c>
      <c r="AW344" s="19" t="str">
        <f>IFERROR(__xludf.DUMMYFUNCTION("IMPORTRANGE(""https://docs.google.com/spreadsheets/d/""&amp;$A344&amp;""/edit#gid=156619080"",AW$3)"),"#REF!")</f>
        <v>#REF!</v>
      </c>
      <c r="AX344" s="2" t="str">
        <f>IFERROR(__xludf.DUMMYFUNCTION("IMPORTRANGE(""https://docs.google.com/spreadsheets/d/""&amp;$A344&amp;""/edit#gid=156619080"",AX$3)"),"#REF!")</f>
        <v>#REF!</v>
      </c>
      <c r="AY344" s="2" t="str">
        <f>IFERROR(__xludf.DUMMYFUNCTION("IMPORTRANGE(""https://docs.google.com/spreadsheets/d/""&amp;$A344&amp;""/edit#gid=156619080"",AY$3)"),"#REF!")</f>
        <v>#REF!</v>
      </c>
      <c r="AZ344" s="2" t="str">
        <f>IFERROR(__xludf.DUMMYFUNCTION("IMPORTRANGE(""https://docs.google.com/spreadsheets/d/""&amp;$A344&amp;""/edit#gid=156619080"",AZ$3)"),"#REF!")</f>
        <v>#REF!</v>
      </c>
      <c r="BA344" s="2" t="str">
        <f>IFERROR(__xludf.DUMMYFUNCTION("IMPORTRANGE(""https://docs.google.com/spreadsheets/d/""&amp;$A344&amp;""/edit#gid=156619080"",BA$3)"),"#REF!")</f>
        <v>#REF!</v>
      </c>
      <c r="BB344" s="2" t="str">
        <f>IFERROR(__xludf.DUMMYFUNCTION("IMPORTRANGE(""https://docs.google.com/spreadsheets/d/""&amp;$A344&amp;""/edit#gid=156619080"",BB$3)"),"#REF!")</f>
        <v>#REF!</v>
      </c>
      <c r="BC344" s="2" t="str">
        <f>IFERROR(__xludf.DUMMYFUNCTION("IMPORTRANGE(""https://docs.google.com/spreadsheets/d/""&amp;$A344&amp;""/edit#gid=156619080"",BC$3)"),"#REF!")</f>
        <v>#REF!</v>
      </c>
    </row>
    <row r="345" ht="51.0" customHeight="1">
      <c r="A345" s="7" t="str">
        <f t="shared" si="5"/>
        <v>1NF7GGiFvUV_67SFnhRZMmVKg5t-3U5YFlZc0QQnueaY</v>
      </c>
      <c r="B345" s="1" t="s">
        <v>372</v>
      </c>
      <c r="C345" s="2" t="str">
        <f>IFERROR(__xludf.DUMMYFUNCTION("IMPORTRANGE(""https://docs.google.com/spreadsheets/d/""&amp;$A345&amp;""/edit#gid=156619080"",C$3)"),"#REF!")</f>
        <v>#REF!</v>
      </c>
      <c r="D345" s="2" t="str">
        <f>IFERROR(__xludf.DUMMYFUNCTION("IMPORTRANGE(""https://docs.google.com/spreadsheets/d/""&amp;$A345&amp;""/edit#gid=156619080"",D$3)"),"#REF!")</f>
        <v>#REF!</v>
      </c>
      <c r="E345" s="2" t="str">
        <f>IFERROR(__xludf.DUMMYFUNCTION("IMPORTRANGE(""https://docs.google.com/spreadsheets/d/""&amp;$A345&amp;""/edit#gid=156619080"",E$3)"),"#REF!")</f>
        <v>#REF!</v>
      </c>
      <c r="F345" s="2" t="str">
        <f>IFERROR(__xludf.DUMMYFUNCTION("IMPORTRANGE(""https://docs.google.com/spreadsheets/d/""&amp;$A345&amp;""/edit#gid=156619080"",F$3)"),"#REF!")</f>
        <v>#REF!</v>
      </c>
      <c r="G345" s="2" t="str">
        <f>IFERROR(__xludf.DUMMYFUNCTION("IMPORTRANGE(""https://docs.google.com/spreadsheets/d/""&amp;$A345&amp;""/edit#gid=156619080"",G$3)"),"#REF!")</f>
        <v>#REF!</v>
      </c>
      <c r="H345" s="2" t="str">
        <f>IFERROR(__xludf.DUMMYFUNCTION("IMPORTRANGE(""https://docs.google.com/spreadsheets/d/""&amp;$A345&amp;""/edit#gid=156619080"",H$3)"),"#REF!")</f>
        <v>#REF!</v>
      </c>
      <c r="I345" s="2" t="str">
        <f>IFERROR(__xludf.DUMMYFUNCTION("IMPORTRANGE(""https://docs.google.com/spreadsheets/d/""&amp;$A345&amp;""/edit#gid=156619080"",I$3)"),"#REF!")</f>
        <v>#REF!</v>
      </c>
      <c r="J345" s="2" t="str">
        <f>IFERROR(__xludf.DUMMYFUNCTION("IMPORTRANGE(""https://docs.google.com/spreadsheets/d/""&amp;$A345&amp;""/edit#gid=156619080"",J$3)"),"#REF!")</f>
        <v>#REF!</v>
      </c>
      <c r="K345" s="2" t="str">
        <f>IFERROR(__xludf.DUMMYFUNCTION("IMPORTRANGE(""https://docs.google.com/spreadsheets/d/""&amp;$A345&amp;""/edit#gid=156619080"",K$3)"),"#REF!")</f>
        <v>#REF!</v>
      </c>
      <c r="L345" s="2" t="str">
        <f>IFERROR(__xludf.DUMMYFUNCTION("IMPORTRANGE(""https://docs.google.com/spreadsheets/d/""&amp;$A345&amp;""/edit#gid=156619080"",L$3)"),"#REF!")</f>
        <v>#REF!</v>
      </c>
      <c r="M345" s="2" t="str">
        <f>IFERROR(__xludf.DUMMYFUNCTION("IMPORTRANGE(""https://docs.google.com/spreadsheets/d/""&amp;$A345&amp;""/edit#gid=156619080"",M$3)"),"#REF!")</f>
        <v>#REF!</v>
      </c>
      <c r="N345" s="2" t="str">
        <f>IFERROR(__xludf.DUMMYFUNCTION("IMPORTRANGE(""https://docs.google.com/spreadsheets/d/""&amp;$A345&amp;""/edit#gid=156619080"",N$3)"),"#REF!")</f>
        <v>#REF!</v>
      </c>
      <c r="O345" s="2" t="str">
        <f>IFERROR(__xludf.DUMMYFUNCTION("IMPORTRANGE(""https://docs.google.com/spreadsheets/d/""&amp;$A345&amp;""/edit#gid=156619080"",O$3)"),"#REF!")</f>
        <v>#REF!</v>
      </c>
      <c r="P345" s="2" t="str">
        <f>IFERROR(__xludf.DUMMYFUNCTION("IMPORTRANGE(""https://docs.google.com/spreadsheets/d/""&amp;$A345&amp;""/edit#gid=156619080"",P$3)"),"#REF!")</f>
        <v>#REF!</v>
      </c>
      <c r="Q345" s="2" t="str">
        <f>IFERROR(__xludf.DUMMYFUNCTION("IMPORTRANGE(""https://docs.google.com/spreadsheets/d/""&amp;$A345&amp;""/edit#gid=156619080"",Q$3)"),"#REF!")</f>
        <v>#REF!</v>
      </c>
      <c r="R345" s="2" t="str">
        <f>IFERROR(__xludf.DUMMYFUNCTION("IMPORTRANGE(""https://docs.google.com/spreadsheets/d/""&amp;$A345&amp;""/edit#gid=156619080"",R$3)"),"#REF!")</f>
        <v>#REF!</v>
      </c>
      <c r="S345" s="2" t="str">
        <f>IFERROR(__xludf.DUMMYFUNCTION("IMPORTRANGE(""https://docs.google.com/spreadsheets/d/""&amp;$A345&amp;""/edit#gid=156619080"",S$3)"),"#REF!")</f>
        <v>#REF!</v>
      </c>
      <c r="T345" s="2" t="str">
        <f>IFERROR(__xludf.DUMMYFUNCTION("IMPORTRANGE(""https://docs.google.com/spreadsheets/d/""&amp;$A345&amp;""/edit#gid=156619080"",T$3)"),"#REF!")</f>
        <v>#REF!</v>
      </c>
      <c r="U345" s="2" t="str">
        <f>IFERROR(__xludf.DUMMYFUNCTION("IMPORTRANGE(""https://docs.google.com/spreadsheets/d/""&amp;$A345&amp;""/edit#gid=156619080"",U$3)"),"#REF!")</f>
        <v>#REF!</v>
      </c>
      <c r="V345" s="2" t="str">
        <f>IFERROR(__xludf.DUMMYFUNCTION("IMPORTRANGE(""https://docs.google.com/spreadsheets/d/""&amp;$A345&amp;""/edit#gid=156619080"",V$3)"),"#REF!")</f>
        <v>#REF!</v>
      </c>
      <c r="W345" s="2" t="str">
        <f>IFERROR(__xludf.DUMMYFUNCTION("IMPORTRANGE(""https://docs.google.com/spreadsheets/d/""&amp;$A345&amp;""/edit#gid=156619080"",W$3)"),"#REF!")</f>
        <v>#REF!</v>
      </c>
      <c r="X345" s="2" t="str">
        <f>IFERROR(__xludf.DUMMYFUNCTION("IMPORTRANGE(""https://docs.google.com/spreadsheets/d/""&amp;$A345&amp;""/edit#gid=156619080"",X$3)"),"#REF!")</f>
        <v>#REF!</v>
      </c>
      <c r="Y345" s="2" t="str">
        <f>IFERROR(__xludf.DUMMYFUNCTION("IMPORTRANGE(""https://docs.google.com/spreadsheets/d/""&amp;$A345&amp;""/edit#gid=156619080"",Y$3)"),"#REF!")</f>
        <v>#REF!</v>
      </c>
      <c r="Z345" s="2" t="str">
        <f>IFERROR(__xludf.DUMMYFUNCTION("IMPORTRANGE(""https://docs.google.com/spreadsheets/d/""&amp;$A345&amp;""/edit#gid=156619080"",Z$3)"),"#REF!")</f>
        <v>#REF!</v>
      </c>
      <c r="AA345" s="2" t="str">
        <f>IFERROR(__xludf.DUMMYFUNCTION("IMPORTRANGE(""https://docs.google.com/spreadsheets/d/""&amp;$A345&amp;""/edit#gid=156619080"",AA$3)"),"#REF!")</f>
        <v>#REF!</v>
      </c>
      <c r="AB345" s="2" t="str">
        <f>IFERROR(__xludf.DUMMYFUNCTION("IMPORTRANGE(""https://docs.google.com/spreadsheets/d/""&amp;$A345&amp;""/edit#gid=156619080"",AB$3)"),"#REF!")</f>
        <v>#REF!</v>
      </c>
      <c r="AC345" s="2" t="str">
        <f>IFERROR(__xludf.DUMMYFUNCTION("IMPORTRANGE(""https://docs.google.com/spreadsheets/d/""&amp;$A345&amp;""/edit#gid=156619080"",AC$3)"),"#REF!")</f>
        <v>#REF!</v>
      </c>
      <c r="AD345" s="2" t="str">
        <f>IFERROR(__xludf.DUMMYFUNCTION("IMPORTRANGE(""https://docs.google.com/spreadsheets/d/""&amp;$A345&amp;""/edit#gid=156619080"",AD$3)"),"#REF!")</f>
        <v>#REF!</v>
      </c>
      <c r="AE345" s="2" t="str">
        <f>IFERROR(__xludf.DUMMYFUNCTION("IMPORTRANGE(""https://docs.google.com/spreadsheets/d/""&amp;$A345&amp;""/edit#gid=156619080"",AE$3)"),"#REF!")</f>
        <v>#REF!</v>
      </c>
      <c r="AF345" s="2" t="str">
        <f>IFERROR(__xludf.DUMMYFUNCTION("IMPORTRANGE(""https://docs.google.com/spreadsheets/d/""&amp;$A345&amp;""/edit#gid=156619080"",AF$3)"),"#REF!")</f>
        <v>#REF!</v>
      </c>
      <c r="AG345" s="2" t="str">
        <f>IFERROR(__xludf.DUMMYFUNCTION("IMPORTRANGE(""https://docs.google.com/spreadsheets/d/""&amp;$A345&amp;""/edit#gid=156619080"",AG$3)"),"#REF!")</f>
        <v>#REF!</v>
      </c>
      <c r="AH345" s="2" t="str">
        <f>IFERROR(__xludf.DUMMYFUNCTION("IMPORTRANGE(""https://docs.google.com/spreadsheets/d/""&amp;$A345&amp;""/edit#gid=156619080"",AH$3)"),"#REF!")</f>
        <v>#REF!</v>
      </c>
      <c r="AI345" s="2" t="str">
        <f>IFERROR(__xludf.DUMMYFUNCTION("IMPORTRANGE(""https://docs.google.com/spreadsheets/d/""&amp;$A345&amp;""/edit#gid=156619080"",AI$3)"),"#REF!")</f>
        <v>#REF!</v>
      </c>
      <c r="AJ345" s="2" t="str">
        <f>IFERROR(__xludf.DUMMYFUNCTION("IMPORTRANGE(""https://docs.google.com/spreadsheets/d/""&amp;$A345&amp;""/edit#gid=156619080"",AJ$3)"),"#REF!")</f>
        <v>#REF!</v>
      </c>
      <c r="AK345" s="2" t="str">
        <f>IFERROR(__xludf.DUMMYFUNCTION("IMPORTRANGE(""https://docs.google.com/spreadsheets/d/""&amp;$A345&amp;""/edit#gid=156619080"",AK$3)"),"#REF!")</f>
        <v>#REF!</v>
      </c>
      <c r="AL345" s="2" t="str">
        <f>IFERROR(__xludf.DUMMYFUNCTION("IMPORTRANGE(""https://docs.google.com/spreadsheets/d/""&amp;$A345&amp;""/edit#gid=156619080"",AL$3)"),"#REF!")</f>
        <v>#REF!</v>
      </c>
      <c r="AM345" s="2" t="str">
        <f>IFERROR(__xludf.DUMMYFUNCTION("IMPORTRANGE(""https://docs.google.com/spreadsheets/d/""&amp;$A345&amp;""/edit#gid=156619080"",AM$3)"),"#REF!")</f>
        <v>#REF!</v>
      </c>
      <c r="AN345" s="2" t="str">
        <f>IFERROR(__xludf.DUMMYFUNCTION("IMPORTRANGE(""https://docs.google.com/spreadsheets/d/""&amp;$A345&amp;""/edit#gid=156619080"",AN$3)"),"#REF!")</f>
        <v>#REF!</v>
      </c>
      <c r="AO345" s="2" t="str">
        <f>IFERROR(__xludf.DUMMYFUNCTION("IMPORTRANGE(""https://docs.google.com/spreadsheets/d/""&amp;$A345&amp;""/edit#gid=156619080"",AO$3)"),"#REF!")</f>
        <v>#REF!</v>
      </c>
      <c r="AP345" s="2" t="str">
        <f>IFERROR(__xludf.DUMMYFUNCTION("IMPORTRANGE(""https://docs.google.com/spreadsheets/d/""&amp;$A345&amp;""/edit#gid=156619080"",AP$3)"),"#REF!")</f>
        <v>#REF!</v>
      </c>
      <c r="AQ345" s="2" t="str">
        <f>IFERROR(__xludf.DUMMYFUNCTION("IMPORTRANGE(""https://docs.google.com/spreadsheets/d/""&amp;$A345&amp;""/edit#gid=156619080"",AQ$3)"),"#REF!")</f>
        <v>#REF!</v>
      </c>
      <c r="AR345" s="2" t="str">
        <f>IFERROR(__xludf.DUMMYFUNCTION("IMPORTRANGE(""https://docs.google.com/spreadsheets/d/""&amp;$A345&amp;""/edit#gid=156619080"",AR$3)"),"#REF!")</f>
        <v>#REF!</v>
      </c>
      <c r="AS345" s="19" t="str">
        <f>IFERROR(__xludf.DUMMYFUNCTION("IMPORTRANGE(""https://docs.google.com/spreadsheets/d/""&amp;$A345&amp;""/edit#gid=156619080"",AS$3)"),"#REF!")</f>
        <v>#REF!</v>
      </c>
      <c r="AT345" s="2" t="str">
        <f>IFERROR(__xludf.DUMMYFUNCTION("IMPORTRANGE(""https://docs.google.com/spreadsheets/d/""&amp;$A345&amp;""/edit#gid=156619080"",AT$3)"),"#REF!")</f>
        <v>#REF!</v>
      </c>
      <c r="AU345" s="3" t="str">
        <f>IFERROR(__xludf.DUMMYFUNCTION("IMPORTRANGE(""https://docs.google.com/spreadsheets/d/""&amp;$A345&amp;""/edit#gid=156619080"",AU$3)"),"#REF!")</f>
        <v>#REF!</v>
      </c>
      <c r="AV345" s="2" t="str">
        <f>IFERROR(__xludf.DUMMYFUNCTION("IMPORTRANGE(""https://docs.google.com/spreadsheets/d/""&amp;$A345&amp;""/edit#gid=156619080"",AV$3)"),"#REF!")</f>
        <v>#REF!</v>
      </c>
      <c r="AW345" s="19" t="str">
        <f>IFERROR(__xludf.DUMMYFUNCTION("IMPORTRANGE(""https://docs.google.com/spreadsheets/d/""&amp;$A345&amp;""/edit#gid=156619080"",AW$3)"),"#REF!")</f>
        <v>#REF!</v>
      </c>
      <c r="AX345" s="2" t="str">
        <f>IFERROR(__xludf.DUMMYFUNCTION("IMPORTRANGE(""https://docs.google.com/spreadsheets/d/""&amp;$A345&amp;""/edit#gid=156619080"",AX$3)"),"#REF!")</f>
        <v>#REF!</v>
      </c>
      <c r="AY345" s="2" t="str">
        <f>IFERROR(__xludf.DUMMYFUNCTION("IMPORTRANGE(""https://docs.google.com/spreadsheets/d/""&amp;$A345&amp;""/edit#gid=156619080"",AY$3)"),"#REF!")</f>
        <v>#REF!</v>
      </c>
      <c r="AZ345" s="2" t="str">
        <f>IFERROR(__xludf.DUMMYFUNCTION("IMPORTRANGE(""https://docs.google.com/spreadsheets/d/""&amp;$A345&amp;""/edit#gid=156619080"",AZ$3)"),"#REF!")</f>
        <v>#REF!</v>
      </c>
      <c r="BA345" s="2" t="str">
        <f>IFERROR(__xludf.DUMMYFUNCTION("IMPORTRANGE(""https://docs.google.com/spreadsheets/d/""&amp;$A345&amp;""/edit#gid=156619080"",BA$3)"),"#REF!")</f>
        <v>#REF!</v>
      </c>
      <c r="BB345" s="2" t="str">
        <f>IFERROR(__xludf.DUMMYFUNCTION("IMPORTRANGE(""https://docs.google.com/spreadsheets/d/""&amp;$A345&amp;""/edit#gid=156619080"",BB$3)"),"#REF!")</f>
        <v>#REF!</v>
      </c>
      <c r="BC345" s="2" t="str">
        <f>IFERROR(__xludf.DUMMYFUNCTION("IMPORTRANGE(""https://docs.google.com/spreadsheets/d/""&amp;$A345&amp;""/edit#gid=156619080"",BC$3)"),"#REF!")</f>
        <v>#REF!</v>
      </c>
    </row>
    <row r="346" ht="51.0" customHeight="1">
      <c r="A346" s="7" t="str">
        <f t="shared" si="5"/>
        <v>1wLbMiN7e94aw9NAGYCV7w0giKZSfFLAFJ11X56Z2P8A</v>
      </c>
      <c r="B346" s="1" t="s">
        <v>373</v>
      </c>
      <c r="C346" s="2" t="str">
        <f>IFERROR(__xludf.DUMMYFUNCTION("IMPORTRANGE(""https://docs.google.com/spreadsheets/d/""&amp;$A346&amp;""/edit#gid=156619080"",C$3)"),"#REF!")</f>
        <v>#REF!</v>
      </c>
      <c r="D346" s="2" t="str">
        <f>IFERROR(__xludf.DUMMYFUNCTION("IMPORTRANGE(""https://docs.google.com/spreadsheets/d/""&amp;$A346&amp;""/edit#gid=156619080"",D$3)"),"#REF!")</f>
        <v>#REF!</v>
      </c>
      <c r="E346" s="2" t="str">
        <f>IFERROR(__xludf.DUMMYFUNCTION("IMPORTRANGE(""https://docs.google.com/spreadsheets/d/""&amp;$A346&amp;""/edit#gid=156619080"",E$3)"),"#REF!")</f>
        <v>#REF!</v>
      </c>
      <c r="F346" s="2" t="str">
        <f>IFERROR(__xludf.DUMMYFUNCTION("IMPORTRANGE(""https://docs.google.com/spreadsheets/d/""&amp;$A346&amp;""/edit#gid=156619080"",F$3)"),"#REF!")</f>
        <v>#REF!</v>
      </c>
      <c r="G346" s="2" t="str">
        <f>IFERROR(__xludf.DUMMYFUNCTION("IMPORTRANGE(""https://docs.google.com/spreadsheets/d/""&amp;$A346&amp;""/edit#gid=156619080"",G$3)"),"#REF!")</f>
        <v>#REF!</v>
      </c>
      <c r="H346" s="2" t="str">
        <f>IFERROR(__xludf.DUMMYFUNCTION("IMPORTRANGE(""https://docs.google.com/spreadsheets/d/""&amp;$A346&amp;""/edit#gid=156619080"",H$3)"),"#REF!")</f>
        <v>#REF!</v>
      </c>
      <c r="I346" s="2" t="str">
        <f>IFERROR(__xludf.DUMMYFUNCTION("IMPORTRANGE(""https://docs.google.com/spreadsheets/d/""&amp;$A346&amp;""/edit#gid=156619080"",I$3)"),"#REF!")</f>
        <v>#REF!</v>
      </c>
      <c r="J346" s="2" t="str">
        <f>IFERROR(__xludf.DUMMYFUNCTION("IMPORTRANGE(""https://docs.google.com/spreadsheets/d/""&amp;$A346&amp;""/edit#gid=156619080"",J$3)"),"#REF!")</f>
        <v>#REF!</v>
      </c>
      <c r="K346" s="2" t="str">
        <f>IFERROR(__xludf.DUMMYFUNCTION("IMPORTRANGE(""https://docs.google.com/spreadsheets/d/""&amp;$A346&amp;""/edit#gid=156619080"",K$3)"),"#REF!")</f>
        <v>#REF!</v>
      </c>
      <c r="L346" s="2" t="str">
        <f>IFERROR(__xludf.DUMMYFUNCTION("IMPORTRANGE(""https://docs.google.com/spreadsheets/d/""&amp;$A346&amp;""/edit#gid=156619080"",L$3)"),"#REF!")</f>
        <v>#REF!</v>
      </c>
      <c r="M346" s="2" t="str">
        <f>IFERROR(__xludf.DUMMYFUNCTION("IMPORTRANGE(""https://docs.google.com/spreadsheets/d/""&amp;$A346&amp;""/edit#gid=156619080"",M$3)"),"#REF!")</f>
        <v>#REF!</v>
      </c>
      <c r="N346" s="2" t="str">
        <f>IFERROR(__xludf.DUMMYFUNCTION("IMPORTRANGE(""https://docs.google.com/spreadsheets/d/""&amp;$A346&amp;""/edit#gid=156619080"",N$3)"),"#REF!")</f>
        <v>#REF!</v>
      </c>
      <c r="O346" s="2" t="str">
        <f>IFERROR(__xludf.DUMMYFUNCTION("IMPORTRANGE(""https://docs.google.com/spreadsheets/d/""&amp;$A346&amp;""/edit#gid=156619080"",O$3)"),"#REF!")</f>
        <v>#REF!</v>
      </c>
      <c r="P346" s="2" t="str">
        <f>IFERROR(__xludf.DUMMYFUNCTION("IMPORTRANGE(""https://docs.google.com/spreadsheets/d/""&amp;$A346&amp;""/edit#gid=156619080"",P$3)"),"#REF!")</f>
        <v>#REF!</v>
      </c>
      <c r="Q346" s="2" t="str">
        <f>IFERROR(__xludf.DUMMYFUNCTION("IMPORTRANGE(""https://docs.google.com/spreadsheets/d/""&amp;$A346&amp;""/edit#gid=156619080"",Q$3)"),"#REF!")</f>
        <v>#REF!</v>
      </c>
      <c r="R346" s="2" t="str">
        <f>IFERROR(__xludf.DUMMYFUNCTION("IMPORTRANGE(""https://docs.google.com/spreadsheets/d/""&amp;$A346&amp;""/edit#gid=156619080"",R$3)"),"#REF!")</f>
        <v>#REF!</v>
      </c>
      <c r="S346" s="2" t="str">
        <f>IFERROR(__xludf.DUMMYFUNCTION("IMPORTRANGE(""https://docs.google.com/spreadsheets/d/""&amp;$A346&amp;""/edit#gid=156619080"",S$3)"),"#REF!")</f>
        <v>#REF!</v>
      </c>
      <c r="T346" s="2" t="str">
        <f>IFERROR(__xludf.DUMMYFUNCTION("IMPORTRANGE(""https://docs.google.com/spreadsheets/d/""&amp;$A346&amp;""/edit#gid=156619080"",T$3)"),"#REF!")</f>
        <v>#REF!</v>
      </c>
      <c r="U346" s="2" t="str">
        <f>IFERROR(__xludf.DUMMYFUNCTION("IMPORTRANGE(""https://docs.google.com/spreadsheets/d/""&amp;$A346&amp;""/edit#gid=156619080"",U$3)"),"#REF!")</f>
        <v>#REF!</v>
      </c>
      <c r="V346" s="2" t="str">
        <f>IFERROR(__xludf.DUMMYFUNCTION("IMPORTRANGE(""https://docs.google.com/spreadsheets/d/""&amp;$A346&amp;""/edit#gid=156619080"",V$3)"),"#REF!")</f>
        <v>#REF!</v>
      </c>
      <c r="W346" s="2" t="str">
        <f>IFERROR(__xludf.DUMMYFUNCTION("IMPORTRANGE(""https://docs.google.com/spreadsheets/d/""&amp;$A346&amp;""/edit#gid=156619080"",W$3)"),"#REF!")</f>
        <v>#REF!</v>
      </c>
      <c r="X346" s="2" t="str">
        <f>IFERROR(__xludf.DUMMYFUNCTION("IMPORTRANGE(""https://docs.google.com/spreadsheets/d/""&amp;$A346&amp;""/edit#gid=156619080"",X$3)"),"#REF!")</f>
        <v>#REF!</v>
      </c>
      <c r="Y346" s="2" t="str">
        <f>IFERROR(__xludf.DUMMYFUNCTION("IMPORTRANGE(""https://docs.google.com/spreadsheets/d/""&amp;$A346&amp;""/edit#gid=156619080"",Y$3)"),"#REF!")</f>
        <v>#REF!</v>
      </c>
      <c r="Z346" s="2" t="str">
        <f>IFERROR(__xludf.DUMMYFUNCTION("IMPORTRANGE(""https://docs.google.com/spreadsheets/d/""&amp;$A346&amp;""/edit#gid=156619080"",Z$3)"),"#REF!")</f>
        <v>#REF!</v>
      </c>
      <c r="AA346" s="2" t="str">
        <f>IFERROR(__xludf.DUMMYFUNCTION("IMPORTRANGE(""https://docs.google.com/spreadsheets/d/""&amp;$A346&amp;""/edit#gid=156619080"",AA$3)"),"#REF!")</f>
        <v>#REF!</v>
      </c>
      <c r="AB346" s="2" t="str">
        <f>IFERROR(__xludf.DUMMYFUNCTION("IMPORTRANGE(""https://docs.google.com/spreadsheets/d/""&amp;$A346&amp;""/edit#gid=156619080"",AB$3)"),"#REF!")</f>
        <v>#REF!</v>
      </c>
      <c r="AC346" s="2" t="str">
        <f>IFERROR(__xludf.DUMMYFUNCTION("IMPORTRANGE(""https://docs.google.com/spreadsheets/d/""&amp;$A346&amp;""/edit#gid=156619080"",AC$3)"),"#REF!")</f>
        <v>#REF!</v>
      </c>
      <c r="AD346" s="2" t="str">
        <f>IFERROR(__xludf.DUMMYFUNCTION("IMPORTRANGE(""https://docs.google.com/spreadsheets/d/""&amp;$A346&amp;""/edit#gid=156619080"",AD$3)"),"#REF!")</f>
        <v>#REF!</v>
      </c>
      <c r="AE346" s="2" t="str">
        <f>IFERROR(__xludf.DUMMYFUNCTION("IMPORTRANGE(""https://docs.google.com/spreadsheets/d/""&amp;$A346&amp;""/edit#gid=156619080"",AE$3)"),"#REF!")</f>
        <v>#REF!</v>
      </c>
      <c r="AF346" s="2" t="str">
        <f>IFERROR(__xludf.DUMMYFUNCTION("IMPORTRANGE(""https://docs.google.com/spreadsheets/d/""&amp;$A346&amp;""/edit#gid=156619080"",AF$3)"),"#REF!")</f>
        <v>#REF!</v>
      </c>
      <c r="AG346" s="2" t="str">
        <f>IFERROR(__xludf.DUMMYFUNCTION("IMPORTRANGE(""https://docs.google.com/spreadsheets/d/""&amp;$A346&amp;""/edit#gid=156619080"",AG$3)"),"#REF!")</f>
        <v>#REF!</v>
      </c>
      <c r="AH346" s="2" t="str">
        <f>IFERROR(__xludf.DUMMYFUNCTION("IMPORTRANGE(""https://docs.google.com/spreadsheets/d/""&amp;$A346&amp;""/edit#gid=156619080"",AH$3)"),"#REF!")</f>
        <v>#REF!</v>
      </c>
      <c r="AI346" s="2" t="str">
        <f>IFERROR(__xludf.DUMMYFUNCTION("IMPORTRANGE(""https://docs.google.com/spreadsheets/d/""&amp;$A346&amp;""/edit#gid=156619080"",AI$3)"),"#REF!")</f>
        <v>#REF!</v>
      </c>
      <c r="AJ346" s="2" t="str">
        <f>IFERROR(__xludf.DUMMYFUNCTION("IMPORTRANGE(""https://docs.google.com/spreadsheets/d/""&amp;$A346&amp;""/edit#gid=156619080"",AJ$3)"),"#REF!")</f>
        <v>#REF!</v>
      </c>
      <c r="AK346" s="2" t="str">
        <f>IFERROR(__xludf.DUMMYFUNCTION("IMPORTRANGE(""https://docs.google.com/spreadsheets/d/""&amp;$A346&amp;""/edit#gid=156619080"",AK$3)"),"#REF!")</f>
        <v>#REF!</v>
      </c>
      <c r="AL346" s="2" t="str">
        <f>IFERROR(__xludf.DUMMYFUNCTION("IMPORTRANGE(""https://docs.google.com/spreadsheets/d/""&amp;$A346&amp;""/edit#gid=156619080"",AL$3)"),"#REF!")</f>
        <v>#REF!</v>
      </c>
      <c r="AM346" s="2" t="str">
        <f>IFERROR(__xludf.DUMMYFUNCTION("IMPORTRANGE(""https://docs.google.com/spreadsheets/d/""&amp;$A346&amp;""/edit#gid=156619080"",AM$3)"),"#REF!")</f>
        <v>#REF!</v>
      </c>
      <c r="AN346" s="2" t="str">
        <f>IFERROR(__xludf.DUMMYFUNCTION("IMPORTRANGE(""https://docs.google.com/spreadsheets/d/""&amp;$A346&amp;""/edit#gid=156619080"",AN$3)"),"#REF!")</f>
        <v>#REF!</v>
      </c>
      <c r="AO346" s="2" t="str">
        <f>IFERROR(__xludf.DUMMYFUNCTION("IMPORTRANGE(""https://docs.google.com/spreadsheets/d/""&amp;$A346&amp;""/edit#gid=156619080"",AO$3)"),"#REF!")</f>
        <v>#REF!</v>
      </c>
      <c r="AP346" s="2" t="str">
        <f>IFERROR(__xludf.DUMMYFUNCTION("IMPORTRANGE(""https://docs.google.com/spreadsheets/d/""&amp;$A346&amp;""/edit#gid=156619080"",AP$3)"),"#REF!")</f>
        <v>#REF!</v>
      </c>
      <c r="AQ346" s="2" t="str">
        <f>IFERROR(__xludf.DUMMYFUNCTION("IMPORTRANGE(""https://docs.google.com/spreadsheets/d/""&amp;$A346&amp;""/edit#gid=156619080"",AQ$3)"),"#REF!")</f>
        <v>#REF!</v>
      </c>
      <c r="AR346" s="2" t="str">
        <f>IFERROR(__xludf.DUMMYFUNCTION("IMPORTRANGE(""https://docs.google.com/spreadsheets/d/""&amp;$A346&amp;""/edit#gid=156619080"",AR$3)"),"#REF!")</f>
        <v>#REF!</v>
      </c>
      <c r="AS346" s="19" t="str">
        <f>IFERROR(__xludf.DUMMYFUNCTION("IMPORTRANGE(""https://docs.google.com/spreadsheets/d/""&amp;$A346&amp;""/edit#gid=156619080"",AS$3)"),"#REF!")</f>
        <v>#REF!</v>
      </c>
      <c r="AT346" s="2" t="str">
        <f>IFERROR(__xludf.DUMMYFUNCTION("IMPORTRANGE(""https://docs.google.com/spreadsheets/d/""&amp;$A346&amp;""/edit#gid=156619080"",AT$3)"),"#REF!")</f>
        <v>#REF!</v>
      </c>
      <c r="AU346" s="3" t="str">
        <f>IFERROR(__xludf.DUMMYFUNCTION("IMPORTRANGE(""https://docs.google.com/spreadsheets/d/""&amp;$A346&amp;""/edit#gid=156619080"",AU$3)"),"#REF!")</f>
        <v>#REF!</v>
      </c>
      <c r="AV346" s="2" t="str">
        <f>IFERROR(__xludf.DUMMYFUNCTION("IMPORTRANGE(""https://docs.google.com/spreadsheets/d/""&amp;$A346&amp;""/edit#gid=156619080"",AV$3)"),"#REF!")</f>
        <v>#REF!</v>
      </c>
      <c r="AW346" s="19" t="str">
        <f>IFERROR(__xludf.DUMMYFUNCTION("IMPORTRANGE(""https://docs.google.com/spreadsheets/d/""&amp;$A346&amp;""/edit#gid=156619080"",AW$3)"),"#REF!")</f>
        <v>#REF!</v>
      </c>
      <c r="AX346" s="2" t="str">
        <f>IFERROR(__xludf.DUMMYFUNCTION("IMPORTRANGE(""https://docs.google.com/spreadsheets/d/""&amp;$A346&amp;""/edit#gid=156619080"",AX$3)"),"#REF!")</f>
        <v>#REF!</v>
      </c>
      <c r="AY346" s="2" t="str">
        <f>IFERROR(__xludf.DUMMYFUNCTION("IMPORTRANGE(""https://docs.google.com/spreadsheets/d/""&amp;$A346&amp;""/edit#gid=156619080"",AY$3)"),"#REF!")</f>
        <v>#REF!</v>
      </c>
      <c r="AZ346" s="2" t="str">
        <f>IFERROR(__xludf.DUMMYFUNCTION("IMPORTRANGE(""https://docs.google.com/spreadsheets/d/""&amp;$A346&amp;""/edit#gid=156619080"",AZ$3)"),"#REF!")</f>
        <v>#REF!</v>
      </c>
      <c r="BA346" s="2" t="str">
        <f>IFERROR(__xludf.DUMMYFUNCTION("IMPORTRANGE(""https://docs.google.com/spreadsheets/d/""&amp;$A346&amp;""/edit#gid=156619080"",BA$3)"),"#REF!")</f>
        <v>#REF!</v>
      </c>
      <c r="BB346" s="2" t="str">
        <f>IFERROR(__xludf.DUMMYFUNCTION("IMPORTRANGE(""https://docs.google.com/spreadsheets/d/""&amp;$A346&amp;""/edit#gid=156619080"",BB$3)"),"#REF!")</f>
        <v>#REF!</v>
      </c>
      <c r="BC346" s="2" t="str">
        <f>IFERROR(__xludf.DUMMYFUNCTION("IMPORTRANGE(""https://docs.google.com/spreadsheets/d/""&amp;$A346&amp;""/edit#gid=156619080"",BC$3)"),"#REF!")</f>
        <v>#REF!</v>
      </c>
    </row>
    <row r="347" ht="51.0" customHeight="1">
      <c r="A347" s="7" t="str">
        <f t="shared" si="5"/>
        <v>17E7YuyrIhOVoU-7UzPiaj_kv0FGpAXuD7CeQCiOFVTw</v>
      </c>
      <c r="B347" s="1" t="s">
        <v>374</v>
      </c>
      <c r="C347" s="2" t="str">
        <f>IFERROR(__xludf.DUMMYFUNCTION("IMPORTRANGE(""https://docs.google.com/spreadsheets/d/""&amp;$A347&amp;""/edit#gid=156619080"",C$3)"),"#REF!")</f>
        <v>#REF!</v>
      </c>
      <c r="D347" s="2" t="str">
        <f>IFERROR(__xludf.DUMMYFUNCTION("IMPORTRANGE(""https://docs.google.com/spreadsheets/d/""&amp;$A347&amp;""/edit#gid=156619080"",D$3)"),"#REF!")</f>
        <v>#REF!</v>
      </c>
      <c r="E347" s="2" t="str">
        <f>IFERROR(__xludf.DUMMYFUNCTION("IMPORTRANGE(""https://docs.google.com/spreadsheets/d/""&amp;$A347&amp;""/edit#gid=156619080"",E$3)"),"#REF!")</f>
        <v>#REF!</v>
      </c>
      <c r="F347" s="2" t="str">
        <f>IFERROR(__xludf.DUMMYFUNCTION("IMPORTRANGE(""https://docs.google.com/spreadsheets/d/""&amp;$A347&amp;""/edit#gid=156619080"",F$3)"),"#REF!")</f>
        <v>#REF!</v>
      </c>
      <c r="G347" s="2" t="str">
        <f>IFERROR(__xludf.DUMMYFUNCTION("IMPORTRANGE(""https://docs.google.com/spreadsheets/d/""&amp;$A347&amp;""/edit#gid=156619080"",G$3)"),"#REF!")</f>
        <v>#REF!</v>
      </c>
      <c r="H347" s="2" t="str">
        <f>IFERROR(__xludf.DUMMYFUNCTION("IMPORTRANGE(""https://docs.google.com/spreadsheets/d/""&amp;$A347&amp;""/edit#gid=156619080"",H$3)"),"#REF!")</f>
        <v>#REF!</v>
      </c>
      <c r="I347" s="2" t="str">
        <f>IFERROR(__xludf.DUMMYFUNCTION("IMPORTRANGE(""https://docs.google.com/spreadsheets/d/""&amp;$A347&amp;""/edit#gid=156619080"",I$3)"),"#REF!")</f>
        <v>#REF!</v>
      </c>
      <c r="J347" s="2" t="str">
        <f>IFERROR(__xludf.DUMMYFUNCTION("IMPORTRANGE(""https://docs.google.com/spreadsheets/d/""&amp;$A347&amp;""/edit#gid=156619080"",J$3)"),"#REF!")</f>
        <v>#REF!</v>
      </c>
      <c r="K347" s="2" t="str">
        <f>IFERROR(__xludf.DUMMYFUNCTION("IMPORTRANGE(""https://docs.google.com/spreadsheets/d/""&amp;$A347&amp;""/edit#gid=156619080"",K$3)"),"#REF!")</f>
        <v>#REF!</v>
      </c>
      <c r="L347" s="2" t="str">
        <f>IFERROR(__xludf.DUMMYFUNCTION("IMPORTRANGE(""https://docs.google.com/spreadsheets/d/""&amp;$A347&amp;""/edit#gid=156619080"",L$3)"),"#REF!")</f>
        <v>#REF!</v>
      </c>
      <c r="M347" s="2" t="str">
        <f>IFERROR(__xludf.DUMMYFUNCTION("IMPORTRANGE(""https://docs.google.com/spreadsheets/d/""&amp;$A347&amp;""/edit#gid=156619080"",M$3)"),"#REF!")</f>
        <v>#REF!</v>
      </c>
      <c r="N347" s="2" t="str">
        <f>IFERROR(__xludf.DUMMYFUNCTION("IMPORTRANGE(""https://docs.google.com/spreadsheets/d/""&amp;$A347&amp;""/edit#gid=156619080"",N$3)"),"#REF!")</f>
        <v>#REF!</v>
      </c>
      <c r="O347" s="2" t="str">
        <f>IFERROR(__xludf.DUMMYFUNCTION("IMPORTRANGE(""https://docs.google.com/spreadsheets/d/""&amp;$A347&amp;""/edit#gid=156619080"",O$3)"),"#REF!")</f>
        <v>#REF!</v>
      </c>
      <c r="P347" s="2" t="str">
        <f>IFERROR(__xludf.DUMMYFUNCTION("IMPORTRANGE(""https://docs.google.com/spreadsheets/d/""&amp;$A347&amp;""/edit#gid=156619080"",P$3)"),"#REF!")</f>
        <v>#REF!</v>
      </c>
      <c r="Q347" s="2" t="str">
        <f>IFERROR(__xludf.DUMMYFUNCTION("IMPORTRANGE(""https://docs.google.com/spreadsheets/d/""&amp;$A347&amp;""/edit#gid=156619080"",Q$3)"),"#REF!")</f>
        <v>#REF!</v>
      </c>
      <c r="R347" s="2" t="str">
        <f>IFERROR(__xludf.DUMMYFUNCTION("IMPORTRANGE(""https://docs.google.com/spreadsheets/d/""&amp;$A347&amp;""/edit#gid=156619080"",R$3)"),"#REF!")</f>
        <v>#REF!</v>
      </c>
      <c r="S347" s="2" t="str">
        <f>IFERROR(__xludf.DUMMYFUNCTION("IMPORTRANGE(""https://docs.google.com/spreadsheets/d/""&amp;$A347&amp;""/edit#gid=156619080"",S$3)"),"#REF!")</f>
        <v>#REF!</v>
      </c>
      <c r="T347" s="2" t="str">
        <f>IFERROR(__xludf.DUMMYFUNCTION("IMPORTRANGE(""https://docs.google.com/spreadsheets/d/""&amp;$A347&amp;""/edit#gid=156619080"",T$3)"),"#REF!")</f>
        <v>#REF!</v>
      </c>
      <c r="U347" s="2" t="str">
        <f>IFERROR(__xludf.DUMMYFUNCTION("IMPORTRANGE(""https://docs.google.com/spreadsheets/d/""&amp;$A347&amp;""/edit#gid=156619080"",U$3)"),"#REF!")</f>
        <v>#REF!</v>
      </c>
      <c r="V347" s="2" t="str">
        <f>IFERROR(__xludf.DUMMYFUNCTION("IMPORTRANGE(""https://docs.google.com/spreadsheets/d/""&amp;$A347&amp;""/edit#gid=156619080"",V$3)"),"#REF!")</f>
        <v>#REF!</v>
      </c>
      <c r="W347" s="2" t="str">
        <f>IFERROR(__xludf.DUMMYFUNCTION("IMPORTRANGE(""https://docs.google.com/spreadsheets/d/""&amp;$A347&amp;""/edit#gid=156619080"",W$3)"),"#REF!")</f>
        <v>#REF!</v>
      </c>
      <c r="X347" s="2" t="str">
        <f>IFERROR(__xludf.DUMMYFUNCTION("IMPORTRANGE(""https://docs.google.com/spreadsheets/d/""&amp;$A347&amp;""/edit#gid=156619080"",X$3)"),"#REF!")</f>
        <v>#REF!</v>
      </c>
      <c r="Y347" s="2" t="str">
        <f>IFERROR(__xludf.DUMMYFUNCTION("IMPORTRANGE(""https://docs.google.com/spreadsheets/d/""&amp;$A347&amp;""/edit#gid=156619080"",Y$3)"),"#REF!")</f>
        <v>#REF!</v>
      </c>
      <c r="Z347" s="2" t="str">
        <f>IFERROR(__xludf.DUMMYFUNCTION("IMPORTRANGE(""https://docs.google.com/spreadsheets/d/""&amp;$A347&amp;""/edit#gid=156619080"",Z$3)"),"#REF!")</f>
        <v>#REF!</v>
      </c>
      <c r="AA347" s="2" t="str">
        <f>IFERROR(__xludf.DUMMYFUNCTION("IMPORTRANGE(""https://docs.google.com/spreadsheets/d/""&amp;$A347&amp;""/edit#gid=156619080"",AA$3)"),"#REF!")</f>
        <v>#REF!</v>
      </c>
      <c r="AB347" s="2" t="str">
        <f>IFERROR(__xludf.DUMMYFUNCTION("IMPORTRANGE(""https://docs.google.com/spreadsheets/d/""&amp;$A347&amp;""/edit#gid=156619080"",AB$3)"),"#REF!")</f>
        <v>#REF!</v>
      </c>
      <c r="AC347" s="2" t="str">
        <f>IFERROR(__xludf.DUMMYFUNCTION("IMPORTRANGE(""https://docs.google.com/spreadsheets/d/""&amp;$A347&amp;""/edit#gid=156619080"",AC$3)"),"#REF!")</f>
        <v>#REF!</v>
      </c>
      <c r="AD347" s="2" t="str">
        <f>IFERROR(__xludf.DUMMYFUNCTION("IMPORTRANGE(""https://docs.google.com/spreadsheets/d/""&amp;$A347&amp;""/edit#gid=156619080"",AD$3)"),"#REF!")</f>
        <v>#REF!</v>
      </c>
      <c r="AE347" s="2" t="str">
        <f>IFERROR(__xludf.DUMMYFUNCTION("IMPORTRANGE(""https://docs.google.com/spreadsheets/d/""&amp;$A347&amp;""/edit#gid=156619080"",AE$3)"),"#REF!")</f>
        <v>#REF!</v>
      </c>
      <c r="AF347" s="2" t="str">
        <f>IFERROR(__xludf.DUMMYFUNCTION("IMPORTRANGE(""https://docs.google.com/spreadsheets/d/""&amp;$A347&amp;""/edit#gid=156619080"",AF$3)"),"#REF!")</f>
        <v>#REF!</v>
      </c>
      <c r="AG347" s="2" t="str">
        <f>IFERROR(__xludf.DUMMYFUNCTION("IMPORTRANGE(""https://docs.google.com/spreadsheets/d/""&amp;$A347&amp;""/edit#gid=156619080"",AG$3)"),"#REF!")</f>
        <v>#REF!</v>
      </c>
      <c r="AH347" s="2" t="str">
        <f>IFERROR(__xludf.DUMMYFUNCTION("IMPORTRANGE(""https://docs.google.com/spreadsheets/d/""&amp;$A347&amp;""/edit#gid=156619080"",AH$3)"),"#REF!")</f>
        <v>#REF!</v>
      </c>
      <c r="AI347" s="2" t="str">
        <f>IFERROR(__xludf.DUMMYFUNCTION("IMPORTRANGE(""https://docs.google.com/spreadsheets/d/""&amp;$A347&amp;""/edit#gid=156619080"",AI$3)"),"#REF!")</f>
        <v>#REF!</v>
      </c>
      <c r="AJ347" s="2" t="str">
        <f>IFERROR(__xludf.DUMMYFUNCTION("IMPORTRANGE(""https://docs.google.com/spreadsheets/d/""&amp;$A347&amp;""/edit#gid=156619080"",AJ$3)"),"#REF!")</f>
        <v>#REF!</v>
      </c>
      <c r="AK347" s="2" t="str">
        <f>IFERROR(__xludf.DUMMYFUNCTION("IMPORTRANGE(""https://docs.google.com/spreadsheets/d/""&amp;$A347&amp;""/edit#gid=156619080"",AK$3)"),"#REF!")</f>
        <v>#REF!</v>
      </c>
      <c r="AL347" s="2" t="str">
        <f>IFERROR(__xludf.DUMMYFUNCTION("IMPORTRANGE(""https://docs.google.com/spreadsheets/d/""&amp;$A347&amp;""/edit#gid=156619080"",AL$3)"),"#REF!")</f>
        <v>#REF!</v>
      </c>
      <c r="AM347" s="2" t="str">
        <f>IFERROR(__xludf.DUMMYFUNCTION("IMPORTRANGE(""https://docs.google.com/spreadsheets/d/""&amp;$A347&amp;""/edit#gid=156619080"",AM$3)"),"#REF!")</f>
        <v>#REF!</v>
      </c>
      <c r="AN347" s="2" t="str">
        <f>IFERROR(__xludf.DUMMYFUNCTION("IMPORTRANGE(""https://docs.google.com/spreadsheets/d/""&amp;$A347&amp;""/edit#gid=156619080"",AN$3)"),"#REF!")</f>
        <v>#REF!</v>
      </c>
      <c r="AO347" s="2" t="str">
        <f>IFERROR(__xludf.DUMMYFUNCTION("IMPORTRANGE(""https://docs.google.com/spreadsheets/d/""&amp;$A347&amp;""/edit#gid=156619080"",AO$3)"),"#REF!")</f>
        <v>#REF!</v>
      </c>
      <c r="AP347" s="2" t="str">
        <f>IFERROR(__xludf.DUMMYFUNCTION("IMPORTRANGE(""https://docs.google.com/spreadsheets/d/""&amp;$A347&amp;""/edit#gid=156619080"",AP$3)"),"#REF!")</f>
        <v>#REF!</v>
      </c>
      <c r="AQ347" s="2" t="str">
        <f>IFERROR(__xludf.DUMMYFUNCTION("IMPORTRANGE(""https://docs.google.com/spreadsheets/d/""&amp;$A347&amp;""/edit#gid=156619080"",AQ$3)"),"#REF!")</f>
        <v>#REF!</v>
      </c>
      <c r="AR347" s="2" t="str">
        <f>IFERROR(__xludf.DUMMYFUNCTION("IMPORTRANGE(""https://docs.google.com/spreadsheets/d/""&amp;$A347&amp;""/edit#gid=156619080"",AR$3)"),"#REF!")</f>
        <v>#REF!</v>
      </c>
      <c r="AS347" s="19" t="str">
        <f>IFERROR(__xludf.DUMMYFUNCTION("IMPORTRANGE(""https://docs.google.com/spreadsheets/d/""&amp;$A347&amp;""/edit#gid=156619080"",AS$3)"),"#REF!")</f>
        <v>#REF!</v>
      </c>
      <c r="AT347" s="2" t="str">
        <f>IFERROR(__xludf.DUMMYFUNCTION("IMPORTRANGE(""https://docs.google.com/spreadsheets/d/""&amp;$A347&amp;""/edit#gid=156619080"",AT$3)"),"#REF!")</f>
        <v>#REF!</v>
      </c>
      <c r="AU347" s="3" t="str">
        <f>IFERROR(__xludf.DUMMYFUNCTION("IMPORTRANGE(""https://docs.google.com/spreadsheets/d/""&amp;$A347&amp;""/edit#gid=156619080"",AU$3)"),"#REF!")</f>
        <v>#REF!</v>
      </c>
      <c r="AV347" s="2" t="str">
        <f>IFERROR(__xludf.DUMMYFUNCTION("IMPORTRANGE(""https://docs.google.com/spreadsheets/d/""&amp;$A347&amp;""/edit#gid=156619080"",AV$3)"),"#REF!")</f>
        <v>#REF!</v>
      </c>
      <c r="AW347" s="19" t="str">
        <f>IFERROR(__xludf.DUMMYFUNCTION("IMPORTRANGE(""https://docs.google.com/spreadsheets/d/""&amp;$A347&amp;""/edit#gid=156619080"",AW$3)"),"#REF!")</f>
        <v>#REF!</v>
      </c>
      <c r="AX347" s="2" t="str">
        <f>IFERROR(__xludf.DUMMYFUNCTION("IMPORTRANGE(""https://docs.google.com/spreadsheets/d/""&amp;$A347&amp;""/edit#gid=156619080"",AX$3)"),"#REF!")</f>
        <v>#REF!</v>
      </c>
      <c r="AY347" s="2" t="str">
        <f>IFERROR(__xludf.DUMMYFUNCTION("IMPORTRANGE(""https://docs.google.com/spreadsheets/d/""&amp;$A347&amp;""/edit#gid=156619080"",AY$3)"),"#REF!")</f>
        <v>#REF!</v>
      </c>
      <c r="AZ347" s="2" t="str">
        <f>IFERROR(__xludf.DUMMYFUNCTION("IMPORTRANGE(""https://docs.google.com/spreadsheets/d/""&amp;$A347&amp;""/edit#gid=156619080"",AZ$3)"),"#REF!")</f>
        <v>#REF!</v>
      </c>
      <c r="BA347" s="2" t="str">
        <f>IFERROR(__xludf.DUMMYFUNCTION("IMPORTRANGE(""https://docs.google.com/spreadsheets/d/""&amp;$A347&amp;""/edit#gid=156619080"",BA$3)"),"#REF!")</f>
        <v>#REF!</v>
      </c>
      <c r="BB347" s="2" t="str">
        <f>IFERROR(__xludf.DUMMYFUNCTION("IMPORTRANGE(""https://docs.google.com/spreadsheets/d/""&amp;$A347&amp;""/edit#gid=156619080"",BB$3)"),"#REF!")</f>
        <v>#REF!</v>
      </c>
      <c r="BC347" s="2" t="str">
        <f>IFERROR(__xludf.DUMMYFUNCTION("IMPORTRANGE(""https://docs.google.com/spreadsheets/d/""&amp;$A347&amp;""/edit#gid=156619080"",BC$3)"),"#REF!")</f>
        <v>#REF!</v>
      </c>
    </row>
    <row r="348" ht="51.0" customHeight="1">
      <c r="A348" s="7" t="str">
        <f t="shared" si="5"/>
        <v>148q8FJiYZf-mI7pNxsqbnW345SBMmpBfe4-zquceLsA</v>
      </c>
      <c r="B348" s="1" t="s">
        <v>375</v>
      </c>
      <c r="C348" s="2" t="str">
        <f>IFERROR(__xludf.DUMMYFUNCTION("IMPORTRANGE(""https://docs.google.com/spreadsheets/d/""&amp;$A348&amp;""/edit#gid=156619080"",C$3)"),"#REF!")</f>
        <v>#REF!</v>
      </c>
      <c r="D348" s="2" t="str">
        <f>IFERROR(__xludf.DUMMYFUNCTION("IMPORTRANGE(""https://docs.google.com/spreadsheets/d/""&amp;$A348&amp;""/edit#gid=156619080"",D$3)"),"#REF!")</f>
        <v>#REF!</v>
      </c>
      <c r="E348" s="2" t="str">
        <f>IFERROR(__xludf.DUMMYFUNCTION("IMPORTRANGE(""https://docs.google.com/spreadsheets/d/""&amp;$A348&amp;""/edit#gid=156619080"",E$3)"),"#REF!")</f>
        <v>#REF!</v>
      </c>
      <c r="F348" s="2" t="str">
        <f>IFERROR(__xludf.DUMMYFUNCTION("IMPORTRANGE(""https://docs.google.com/spreadsheets/d/""&amp;$A348&amp;""/edit#gid=156619080"",F$3)"),"#REF!")</f>
        <v>#REF!</v>
      </c>
      <c r="G348" s="2" t="str">
        <f>IFERROR(__xludf.DUMMYFUNCTION("IMPORTRANGE(""https://docs.google.com/spreadsheets/d/""&amp;$A348&amp;""/edit#gid=156619080"",G$3)"),"#REF!")</f>
        <v>#REF!</v>
      </c>
      <c r="H348" s="2" t="str">
        <f>IFERROR(__xludf.DUMMYFUNCTION("IMPORTRANGE(""https://docs.google.com/spreadsheets/d/""&amp;$A348&amp;""/edit#gid=156619080"",H$3)"),"#REF!")</f>
        <v>#REF!</v>
      </c>
      <c r="I348" s="2" t="str">
        <f>IFERROR(__xludf.DUMMYFUNCTION("IMPORTRANGE(""https://docs.google.com/spreadsheets/d/""&amp;$A348&amp;""/edit#gid=156619080"",I$3)"),"#REF!")</f>
        <v>#REF!</v>
      </c>
      <c r="J348" s="2" t="str">
        <f>IFERROR(__xludf.DUMMYFUNCTION("IMPORTRANGE(""https://docs.google.com/spreadsheets/d/""&amp;$A348&amp;""/edit#gid=156619080"",J$3)"),"#REF!")</f>
        <v>#REF!</v>
      </c>
      <c r="K348" s="2" t="str">
        <f>IFERROR(__xludf.DUMMYFUNCTION("IMPORTRANGE(""https://docs.google.com/spreadsheets/d/""&amp;$A348&amp;""/edit#gid=156619080"",K$3)"),"#REF!")</f>
        <v>#REF!</v>
      </c>
      <c r="L348" s="2" t="str">
        <f>IFERROR(__xludf.DUMMYFUNCTION("IMPORTRANGE(""https://docs.google.com/spreadsheets/d/""&amp;$A348&amp;""/edit#gid=156619080"",L$3)"),"#REF!")</f>
        <v>#REF!</v>
      </c>
      <c r="M348" s="2" t="str">
        <f>IFERROR(__xludf.DUMMYFUNCTION("IMPORTRANGE(""https://docs.google.com/spreadsheets/d/""&amp;$A348&amp;""/edit#gid=156619080"",M$3)"),"#REF!")</f>
        <v>#REF!</v>
      </c>
      <c r="N348" s="2" t="str">
        <f>IFERROR(__xludf.DUMMYFUNCTION("IMPORTRANGE(""https://docs.google.com/spreadsheets/d/""&amp;$A348&amp;""/edit#gid=156619080"",N$3)"),"#REF!")</f>
        <v>#REF!</v>
      </c>
      <c r="O348" s="2" t="str">
        <f>IFERROR(__xludf.DUMMYFUNCTION("IMPORTRANGE(""https://docs.google.com/spreadsheets/d/""&amp;$A348&amp;""/edit#gid=156619080"",O$3)"),"#REF!")</f>
        <v>#REF!</v>
      </c>
      <c r="P348" s="2" t="str">
        <f>IFERROR(__xludf.DUMMYFUNCTION("IMPORTRANGE(""https://docs.google.com/spreadsheets/d/""&amp;$A348&amp;""/edit#gid=156619080"",P$3)"),"#REF!")</f>
        <v>#REF!</v>
      </c>
      <c r="Q348" s="2" t="str">
        <f>IFERROR(__xludf.DUMMYFUNCTION("IMPORTRANGE(""https://docs.google.com/spreadsheets/d/""&amp;$A348&amp;""/edit#gid=156619080"",Q$3)"),"#REF!")</f>
        <v>#REF!</v>
      </c>
      <c r="R348" s="2" t="str">
        <f>IFERROR(__xludf.DUMMYFUNCTION("IMPORTRANGE(""https://docs.google.com/spreadsheets/d/""&amp;$A348&amp;""/edit#gid=156619080"",R$3)"),"#REF!")</f>
        <v>#REF!</v>
      </c>
      <c r="S348" s="2" t="str">
        <f>IFERROR(__xludf.DUMMYFUNCTION("IMPORTRANGE(""https://docs.google.com/spreadsheets/d/""&amp;$A348&amp;""/edit#gid=156619080"",S$3)"),"#REF!")</f>
        <v>#REF!</v>
      </c>
      <c r="T348" s="2" t="str">
        <f>IFERROR(__xludf.DUMMYFUNCTION("IMPORTRANGE(""https://docs.google.com/spreadsheets/d/""&amp;$A348&amp;""/edit#gid=156619080"",T$3)"),"#REF!")</f>
        <v>#REF!</v>
      </c>
      <c r="U348" s="2" t="str">
        <f>IFERROR(__xludf.DUMMYFUNCTION("IMPORTRANGE(""https://docs.google.com/spreadsheets/d/""&amp;$A348&amp;""/edit#gid=156619080"",U$3)"),"#REF!")</f>
        <v>#REF!</v>
      </c>
      <c r="V348" s="2" t="str">
        <f>IFERROR(__xludf.DUMMYFUNCTION("IMPORTRANGE(""https://docs.google.com/spreadsheets/d/""&amp;$A348&amp;""/edit#gid=156619080"",V$3)"),"#REF!")</f>
        <v>#REF!</v>
      </c>
      <c r="W348" s="2" t="str">
        <f>IFERROR(__xludf.DUMMYFUNCTION("IMPORTRANGE(""https://docs.google.com/spreadsheets/d/""&amp;$A348&amp;""/edit#gid=156619080"",W$3)"),"#REF!")</f>
        <v>#REF!</v>
      </c>
      <c r="X348" s="2" t="str">
        <f>IFERROR(__xludf.DUMMYFUNCTION("IMPORTRANGE(""https://docs.google.com/spreadsheets/d/""&amp;$A348&amp;""/edit#gid=156619080"",X$3)"),"#REF!")</f>
        <v>#REF!</v>
      </c>
      <c r="Y348" s="2" t="str">
        <f>IFERROR(__xludf.DUMMYFUNCTION("IMPORTRANGE(""https://docs.google.com/spreadsheets/d/""&amp;$A348&amp;""/edit#gid=156619080"",Y$3)"),"#REF!")</f>
        <v>#REF!</v>
      </c>
      <c r="Z348" s="2" t="str">
        <f>IFERROR(__xludf.DUMMYFUNCTION("IMPORTRANGE(""https://docs.google.com/spreadsheets/d/""&amp;$A348&amp;""/edit#gid=156619080"",Z$3)"),"#REF!")</f>
        <v>#REF!</v>
      </c>
      <c r="AA348" s="2" t="str">
        <f>IFERROR(__xludf.DUMMYFUNCTION("IMPORTRANGE(""https://docs.google.com/spreadsheets/d/""&amp;$A348&amp;""/edit#gid=156619080"",AA$3)"),"#REF!")</f>
        <v>#REF!</v>
      </c>
      <c r="AB348" s="2" t="str">
        <f>IFERROR(__xludf.DUMMYFUNCTION("IMPORTRANGE(""https://docs.google.com/spreadsheets/d/""&amp;$A348&amp;""/edit#gid=156619080"",AB$3)"),"#REF!")</f>
        <v>#REF!</v>
      </c>
      <c r="AC348" s="2" t="str">
        <f>IFERROR(__xludf.DUMMYFUNCTION("IMPORTRANGE(""https://docs.google.com/spreadsheets/d/""&amp;$A348&amp;""/edit#gid=156619080"",AC$3)"),"#REF!")</f>
        <v>#REF!</v>
      </c>
      <c r="AD348" s="2" t="str">
        <f>IFERROR(__xludf.DUMMYFUNCTION("IMPORTRANGE(""https://docs.google.com/spreadsheets/d/""&amp;$A348&amp;""/edit#gid=156619080"",AD$3)"),"#REF!")</f>
        <v>#REF!</v>
      </c>
      <c r="AE348" s="2" t="str">
        <f>IFERROR(__xludf.DUMMYFUNCTION("IMPORTRANGE(""https://docs.google.com/spreadsheets/d/""&amp;$A348&amp;""/edit#gid=156619080"",AE$3)"),"#REF!")</f>
        <v>#REF!</v>
      </c>
      <c r="AF348" s="2" t="str">
        <f>IFERROR(__xludf.DUMMYFUNCTION("IMPORTRANGE(""https://docs.google.com/spreadsheets/d/""&amp;$A348&amp;""/edit#gid=156619080"",AF$3)"),"#REF!")</f>
        <v>#REF!</v>
      </c>
      <c r="AG348" s="2" t="str">
        <f>IFERROR(__xludf.DUMMYFUNCTION("IMPORTRANGE(""https://docs.google.com/spreadsheets/d/""&amp;$A348&amp;""/edit#gid=156619080"",AG$3)"),"#REF!")</f>
        <v>#REF!</v>
      </c>
      <c r="AH348" s="2" t="str">
        <f>IFERROR(__xludf.DUMMYFUNCTION("IMPORTRANGE(""https://docs.google.com/spreadsheets/d/""&amp;$A348&amp;""/edit#gid=156619080"",AH$3)"),"#REF!")</f>
        <v>#REF!</v>
      </c>
      <c r="AI348" s="2" t="str">
        <f>IFERROR(__xludf.DUMMYFUNCTION("IMPORTRANGE(""https://docs.google.com/spreadsheets/d/""&amp;$A348&amp;""/edit#gid=156619080"",AI$3)"),"#REF!")</f>
        <v>#REF!</v>
      </c>
      <c r="AJ348" s="2" t="str">
        <f>IFERROR(__xludf.DUMMYFUNCTION("IMPORTRANGE(""https://docs.google.com/spreadsheets/d/""&amp;$A348&amp;""/edit#gid=156619080"",AJ$3)"),"#REF!")</f>
        <v>#REF!</v>
      </c>
      <c r="AK348" s="2" t="str">
        <f>IFERROR(__xludf.DUMMYFUNCTION("IMPORTRANGE(""https://docs.google.com/spreadsheets/d/""&amp;$A348&amp;""/edit#gid=156619080"",AK$3)"),"#REF!")</f>
        <v>#REF!</v>
      </c>
      <c r="AL348" s="2" t="str">
        <f>IFERROR(__xludf.DUMMYFUNCTION("IMPORTRANGE(""https://docs.google.com/spreadsheets/d/""&amp;$A348&amp;""/edit#gid=156619080"",AL$3)"),"#REF!")</f>
        <v>#REF!</v>
      </c>
      <c r="AM348" s="2" t="str">
        <f>IFERROR(__xludf.DUMMYFUNCTION("IMPORTRANGE(""https://docs.google.com/spreadsheets/d/""&amp;$A348&amp;""/edit#gid=156619080"",AM$3)"),"#REF!")</f>
        <v>#REF!</v>
      </c>
      <c r="AN348" s="2" t="str">
        <f>IFERROR(__xludf.DUMMYFUNCTION("IMPORTRANGE(""https://docs.google.com/spreadsheets/d/""&amp;$A348&amp;""/edit#gid=156619080"",AN$3)"),"#REF!")</f>
        <v>#REF!</v>
      </c>
      <c r="AO348" s="2" t="str">
        <f>IFERROR(__xludf.DUMMYFUNCTION("IMPORTRANGE(""https://docs.google.com/spreadsheets/d/""&amp;$A348&amp;""/edit#gid=156619080"",AO$3)"),"#REF!")</f>
        <v>#REF!</v>
      </c>
      <c r="AP348" s="2" t="str">
        <f>IFERROR(__xludf.DUMMYFUNCTION("IMPORTRANGE(""https://docs.google.com/spreadsheets/d/""&amp;$A348&amp;""/edit#gid=156619080"",AP$3)"),"#REF!")</f>
        <v>#REF!</v>
      </c>
      <c r="AQ348" s="2" t="str">
        <f>IFERROR(__xludf.DUMMYFUNCTION("IMPORTRANGE(""https://docs.google.com/spreadsheets/d/""&amp;$A348&amp;""/edit#gid=156619080"",AQ$3)"),"#REF!")</f>
        <v>#REF!</v>
      </c>
      <c r="AR348" s="2" t="str">
        <f>IFERROR(__xludf.DUMMYFUNCTION("IMPORTRANGE(""https://docs.google.com/spreadsheets/d/""&amp;$A348&amp;""/edit#gid=156619080"",AR$3)"),"#REF!")</f>
        <v>#REF!</v>
      </c>
      <c r="AS348" s="19" t="str">
        <f>IFERROR(__xludf.DUMMYFUNCTION("IMPORTRANGE(""https://docs.google.com/spreadsheets/d/""&amp;$A348&amp;""/edit#gid=156619080"",AS$3)"),"#REF!")</f>
        <v>#REF!</v>
      </c>
      <c r="AT348" s="2" t="str">
        <f>IFERROR(__xludf.DUMMYFUNCTION("IMPORTRANGE(""https://docs.google.com/spreadsheets/d/""&amp;$A348&amp;""/edit#gid=156619080"",AT$3)"),"#REF!")</f>
        <v>#REF!</v>
      </c>
      <c r="AU348" s="3" t="str">
        <f>IFERROR(__xludf.DUMMYFUNCTION("IMPORTRANGE(""https://docs.google.com/spreadsheets/d/""&amp;$A348&amp;""/edit#gid=156619080"",AU$3)"),"#REF!")</f>
        <v>#REF!</v>
      </c>
      <c r="AV348" s="2" t="str">
        <f>IFERROR(__xludf.DUMMYFUNCTION("IMPORTRANGE(""https://docs.google.com/spreadsheets/d/""&amp;$A348&amp;""/edit#gid=156619080"",AV$3)"),"#REF!")</f>
        <v>#REF!</v>
      </c>
      <c r="AW348" s="19" t="str">
        <f>IFERROR(__xludf.DUMMYFUNCTION("IMPORTRANGE(""https://docs.google.com/spreadsheets/d/""&amp;$A348&amp;""/edit#gid=156619080"",AW$3)"),"#REF!")</f>
        <v>#REF!</v>
      </c>
      <c r="AX348" s="2" t="str">
        <f>IFERROR(__xludf.DUMMYFUNCTION("IMPORTRANGE(""https://docs.google.com/spreadsheets/d/""&amp;$A348&amp;""/edit#gid=156619080"",AX$3)"),"#REF!")</f>
        <v>#REF!</v>
      </c>
      <c r="AY348" s="2" t="str">
        <f>IFERROR(__xludf.DUMMYFUNCTION("IMPORTRANGE(""https://docs.google.com/spreadsheets/d/""&amp;$A348&amp;""/edit#gid=156619080"",AY$3)"),"#REF!")</f>
        <v>#REF!</v>
      </c>
      <c r="AZ348" s="2" t="str">
        <f>IFERROR(__xludf.DUMMYFUNCTION("IMPORTRANGE(""https://docs.google.com/spreadsheets/d/""&amp;$A348&amp;""/edit#gid=156619080"",AZ$3)"),"#REF!")</f>
        <v>#REF!</v>
      </c>
      <c r="BA348" s="2" t="str">
        <f>IFERROR(__xludf.DUMMYFUNCTION("IMPORTRANGE(""https://docs.google.com/spreadsheets/d/""&amp;$A348&amp;""/edit#gid=156619080"",BA$3)"),"#REF!")</f>
        <v>#REF!</v>
      </c>
      <c r="BB348" s="2" t="str">
        <f>IFERROR(__xludf.DUMMYFUNCTION("IMPORTRANGE(""https://docs.google.com/spreadsheets/d/""&amp;$A348&amp;""/edit#gid=156619080"",BB$3)"),"#REF!")</f>
        <v>#REF!</v>
      </c>
      <c r="BC348" s="2" t="str">
        <f>IFERROR(__xludf.DUMMYFUNCTION("IMPORTRANGE(""https://docs.google.com/spreadsheets/d/""&amp;$A348&amp;""/edit#gid=156619080"",BC$3)"),"#REF!")</f>
        <v>#REF!</v>
      </c>
    </row>
    <row r="349" ht="51.0" customHeight="1">
      <c r="A349" s="7" t="str">
        <f t="shared" si="5"/>
        <v>1ZqvIHiPVOuw5VyPytEMIdI8JJu25oh06OMMaYy9ZR6g</v>
      </c>
      <c r="B349" s="1" t="s">
        <v>376</v>
      </c>
      <c r="C349" s="2" t="str">
        <f>IFERROR(__xludf.DUMMYFUNCTION("IMPORTRANGE(""https://docs.google.com/spreadsheets/d/""&amp;$A349&amp;""/edit#gid=156619080"",C$3)"),"#REF!")</f>
        <v>#REF!</v>
      </c>
      <c r="D349" s="2" t="str">
        <f>IFERROR(__xludf.DUMMYFUNCTION("IMPORTRANGE(""https://docs.google.com/spreadsheets/d/""&amp;$A349&amp;""/edit#gid=156619080"",D$3)"),"#REF!")</f>
        <v>#REF!</v>
      </c>
      <c r="E349" s="2" t="str">
        <f>IFERROR(__xludf.DUMMYFUNCTION("IMPORTRANGE(""https://docs.google.com/spreadsheets/d/""&amp;$A349&amp;""/edit#gid=156619080"",E$3)"),"#REF!")</f>
        <v>#REF!</v>
      </c>
      <c r="F349" s="2" t="str">
        <f>IFERROR(__xludf.DUMMYFUNCTION("IMPORTRANGE(""https://docs.google.com/spreadsheets/d/""&amp;$A349&amp;""/edit#gid=156619080"",F$3)"),"#REF!")</f>
        <v>#REF!</v>
      </c>
      <c r="G349" s="2" t="str">
        <f>IFERROR(__xludf.DUMMYFUNCTION("IMPORTRANGE(""https://docs.google.com/spreadsheets/d/""&amp;$A349&amp;""/edit#gid=156619080"",G$3)"),"#REF!")</f>
        <v>#REF!</v>
      </c>
      <c r="H349" s="2" t="str">
        <f>IFERROR(__xludf.DUMMYFUNCTION("IMPORTRANGE(""https://docs.google.com/spreadsheets/d/""&amp;$A349&amp;""/edit#gid=156619080"",H$3)"),"#REF!")</f>
        <v>#REF!</v>
      </c>
      <c r="I349" s="2" t="str">
        <f>IFERROR(__xludf.DUMMYFUNCTION("IMPORTRANGE(""https://docs.google.com/spreadsheets/d/""&amp;$A349&amp;""/edit#gid=156619080"",I$3)"),"#REF!")</f>
        <v>#REF!</v>
      </c>
      <c r="J349" s="2" t="str">
        <f>IFERROR(__xludf.DUMMYFUNCTION("IMPORTRANGE(""https://docs.google.com/spreadsheets/d/""&amp;$A349&amp;""/edit#gid=156619080"",J$3)"),"#REF!")</f>
        <v>#REF!</v>
      </c>
      <c r="K349" s="2" t="str">
        <f>IFERROR(__xludf.DUMMYFUNCTION("IMPORTRANGE(""https://docs.google.com/spreadsheets/d/""&amp;$A349&amp;""/edit#gid=156619080"",K$3)"),"#REF!")</f>
        <v>#REF!</v>
      </c>
      <c r="L349" s="2" t="str">
        <f>IFERROR(__xludf.DUMMYFUNCTION("IMPORTRANGE(""https://docs.google.com/spreadsheets/d/""&amp;$A349&amp;""/edit#gid=156619080"",L$3)"),"#REF!")</f>
        <v>#REF!</v>
      </c>
      <c r="M349" s="2" t="str">
        <f>IFERROR(__xludf.DUMMYFUNCTION("IMPORTRANGE(""https://docs.google.com/spreadsheets/d/""&amp;$A349&amp;""/edit#gid=156619080"",M$3)"),"#REF!")</f>
        <v>#REF!</v>
      </c>
      <c r="N349" s="2" t="str">
        <f>IFERROR(__xludf.DUMMYFUNCTION("IMPORTRANGE(""https://docs.google.com/spreadsheets/d/""&amp;$A349&amp;""/edit#gid=156619080"",N$3)"),"#REF!")</f>
        <v>#REF!</v>
      </c>
      <c r="O349" s="2" t="str">
        <f>IFERROR(__xludf.DUMMYFUNCTION("IMPORTRANGE(""https://docs.google.com/spreadsheets/d/""&amp;$A349&amp;""/edit#gid=156619080"",O$3)"),"#REF!")</f>
        <v>#REF!</v>
      </c>
      <c r="P349" s="2" t="str">
        <f>IFERROR(__xludf.DUMMYFUNCTION("IMPORTRANGE(""https://docs.google.com/spreadsheets/d/""&amp;$A349&amp;""/edit#gid=156619080"",P$3)"),"#REF!")</f>
        <v>#REF!</v>
      </c>
      <c r="Q349" s="2" t="str">
        <f>IFERROR(__xludf.DUMMYFUNCTION("IMPORTRANGE(""https://docs.google.com/spreadsheets/d/""&amp;$A349&amp;""/edit#gid=156619080"",Q$3)"),"#REF!")</f>
        <v>#REF!</v>
      </c>
      <c r="R349" s="2" t="str">
        <f>IFERROR(__xludf.DUMMYFUNCTION("IMPORTRANGE(""https://docs.google.com/spreadsheets/d/""&amp;$A349&amp;""/edit#gid=156619080"",R$3)"),"#REF!")</f>
        <v>#REF!</v>
      </c>
      <c r="S349" s="2" t="str">
        <f>IFERROR(__xludf.DUMMYFUNCTION("IMPORTRANGE(""https://docs.google.com/spreadsheets/d/""&amp;$A349&amp;""/edit#gid=156619080"",S$3)"),"#REF!")</f>
        <v>#REF!</v>
      </c>
      <c r="T349" s="2" t="str">
        <f>IFERROR(__xludf.DUMMYFUNCTION("IMPORTRANGE(""https://docs.google.com/spreadsheets/d/""&amp;$A349&amp;""/edit#gid=156619080"",T$3)"),"#REF!")</f>
        <v>#REF!</v>
      </c>
      <c r="U349" s="2" t="str">
        <f>IFERROR(__xludf.DUMMYFUNCTION("IMPORTRANGE(""https://docs.google.com/spreadsheets/d/""&amp;$A349&amp;""/edit#gid=156619080"",U$3)"),"#REF!")</f>
        <v>#REF!</v>
      </c>
      <c r="V349" s="2" t="str">
        <f>IFERROR(__xludf.DUMMYFUNCTION("IMPORTRANGE(""https://docs.google.com/spreadsheets/d/""&amp;$A349&amp;""/edit#gid=156619080"",V$3)"),"#REF!")</f>
        <v>#REF!</v>
      </c>
      <c r="W349" s="2" t="str">
        <f>IFERROR(__xludf.DUMMYFUNCTION("IMPORTRANGE(""https://docs.google.com/spreadsheets/d/""&amp;$A349&amp;""/edit#gid=156619080"",W$3)"),"#REF!")</f>
        <v>#REF!</v>
      </c>
      <c r="X349" s="2" t="str">
        <f>IFERROR(__xludf.DUMMYFUNCTION("IMPORTRANGE(""https://docs.google.com/spreadsheets/d/""&amp;$A349&amp;""/edit#gid=156619080"",X$3)"),"#REF!")</f>
        <v>#REF!</v>
      </c>
      <c r="Y349" s="2" t="str">
        <f>IFERROR(__xludf.DUMMYFUNCTION("IMPORTRANGE(""https://docs.google.com/spreadsheets/d/""&amp;$A349&amp;""/edit#gid=156619080"",Y$3)"),"#REF!")</f>
        <v>#REF!</v>
      </c>
      <c r="Z349" s="2" t="str">
        <f>IFERROR(__xludf.DUMMYFUNCTION("IMPORTRANGE(""https://docs.google.com/spreadsheets/d/""&amp;$A349&amp;""/edit#gid=156619080"",Z$3)"),"#REF!")</f>
        <v>#REF!</v>
      </c>
      <c r="AA349" s="2" t="str">
        <f>IFERROR(__xludf.DUMMYFUNCTION("IMPORTRANGE(""https://docs.google.com/spreadsheets/d/""&amp;$A349&amp;""/edit#gid=156619080"",AA$3)"),"#REF!")</f>
        <v>#REF!</v>
      </c>
      <c r="AB349" s="2" t="str">
        <f>IFERROR(__xludf.DUMMYFUNCTION("IMPORTRANGE(""https://docs.google.com/spreadsheets/d/""&amp;$A349&amp;""/edit#gid=156619080"",AB$3)"),"#REF!")</f>
        <v>#REF!</v>
      </c>
      <c r="AC349" s="2" t="str">
        <f>IFERROR(__xludf.DUMMYFUNCTION("IMPORTRANGE(""https://docs.google.com/spreadsheets/d/""&amp;$A349&amp;""/edit#gid=156619080"",AC$3)"),"#REF!")</f>
        <v>#REF!</v>
      </c>
      <c r="AD349" s="2" t="str">
        <f>IFERROR(__xludf.DUMMYFUNCTION("IMPORTRANGE(""https://docs.google.com/spreadsheets/d/""&amp;$A349&amp;""/edit#gid=156619080"",AD$3)"),"#REF!")</f>
        <v>#REF!</v>
      </c>
      <c r="AE349" s="2" t="str">
        <f>IFERROR(__xludf.DUMMYFUNCTION("IMPORTRANGE(""https://docs.google.com/spreadsheets/d/""&amp;$A349&amp;""/edit#gid=156619080"",AE$3)"),"#REF!")</f>
        <v>#REF!</v>
      </c>
      <c r="AF349" s="2" t="str">
        <f>IFERROR(__xludf.DUMMYFUNCTION("IMPORTRANGE(""https://docs.google.com/spreadsheets/d/""&amp;$A349&amp;""/edit#gid=156619080"",AF$3)"),"#REF!")</f>
        <v>#REF!</v>
      </c>
      <c r="AG349" s="2" t="str">
        <f>IFERROR(__xludf.DUMMYFUNCTION("IMPORTRANGE(""https://docs.google.com/spreadsheets/d/""&amp;$A349&amp;""/edit#gid=156619080"",AG$3)"),"#REF!")</f>
        <v>#REF!</v>
      </c>
      <c r="AH349" s="2" t="str">
        <f>IFERROR(__xludf.DUMMYFUNCTION("IMPORTRANGE(""https://docs.google.com/spreadsheets/d/""&amp;$A349&amp;""/edit#gid=156619080"",AH$3)"),"#REF!")</f>
        <v>#REF!</v>
      </c>
      <c r="AI349" s="2" t="str">
        <f>IFERROR(__xludf.DUMMYFUNCTION("IMPORTRANGE(""https://docs.google.com/spreadsheets/d/""&amp;$A349&amp;""/edit#gid=156619080"",AI$3)"),"#REF!")</f>
        <v>#REF!</v>
      </c>
      <c r="AJ349" s="2" t="str">
        <f>IFERROR(__xludf.DUMMYFUNCTION("IMPORTRANGE(""https://docs.google.com/spreadsheets/d/""&amp;$A349&amp;""/edit#gid=156619080"",AJ$3)"),"#REF!")</f>
        <v>#REF!</v>
      </c>
      <c r="AK349" s="2" t="str">
        <f>IFERROR(__xludf.DUMMYFUNCTION("IMPORTRANGE(""https://docs.google.com/spreadsheets/d/""&amp;$A349&amp;""/edit#gid=156619080"",AK$3)"),"#REF!")</f>
        <v>#REF!</v>
      </c>
      <c r="AL349" s="2" t="str">
        <f>IFERROR(__xludf.DUMMYFUNCTION("IMPORTRANGE(""https://docs.google.com/spreadsheets/d/""&amp;$A349&amp;""/edit#gid=156619080"",AL$3)"),"#REF!")</f>
        <v>#REF!</v>
      </c>
      <c r="AM349" s="2" t="str">
        <f>IFERROR(__xludf.DUMMYFUNCTION("IMPORTRANGE(""https://docs.google.com/spreadsheets/d/""&amp;$A349&amp;""/edit#gid=156619080"",AM$3)"),"#REF!")</f>
        <v>#REF!</v>
      </c>
      <c r="AN349" s="2" t="str">
        <f>IFERROR(__xludf.DUMMYFUNCTION("IMPORTRANGE(""https://docs.google.com/spreadsheets/d/""&amp;$A349&amp;""/edit#gid=156619080"",AN$3)"),"#REF!")</f>
        <v>#REF!</v>
      </c>
      <c r="AO349" s="2" t="str">
        <f>IFERROR(__xludf.DUMMYFUNCTION("IMPORTRANGE(""https://docs.google.com/spreadsheets/d/""&amp;$A349&amp;""/edit#gid=156619080"",AO$3)"),"#REF!")</f>
        <v>#REF!</v>
      </c>
      <c r="AP349" s="2" t="str">
        <f>IFERROR(__xludf.DUMMYFUNCTION("IMPORTRANGE(""https://docs.google.com/spreadsheets/d/""&amp;$A349&amp;""/edit#gid=156619080"",AP$3)"),"#REF!")</f>
        <v>#REF!</v>
      </c>
      <c r="AQ349" s="2" t="str">
        <f>IFERROR(__xludf.DUMMYFUNCTION("IMPORTRANGE(""https://docs.google.com/spreadsheets/d/""&amp;$A349&amp;""/edit#gid=156619080"",AQ$3)"),"#REF!")</f>
        <v>#REF!</v>
      </c>
      <c r="AR349" s="2" t="str">
        <f>IFERROR(__xludf.DUMMYFUNCTION("IMPORTRANGE(""https://docs.google.com/spreadsheets/d/""&amp;$A349&amp;""/edit#gid=156619080"",AR$3)"),"#REF!")</f>
        <v>#REF!</v>
      </c>
      <c r="AS349" s="19" t="str">
        <f>IFERROR(__xludf.DUMMYFUNCTION("IMPORTRANGE(""https://docs.google.com/spreadsheets/d/""&amp;$A349&amp;""/edit#gid=156619080"",AS$3)"),"#REF!")</f>
        <v>#REF!</v>
      </c>
      <c r="AT349" s="2" t="str">
        <f>IFERROR(__xludf.DUMMYFUNCTION("IMPORTRANGE(""https://docs.google.com/spreadsheets/d/""&amp;$A349&amp;""/edit#gid=156619080"",AT$3)"),"#REF!")</f>
        <v>#REF!</v>
      </c>
      <c r="AU349" s="3" t="str">
        <f>IFERROR(__xludf.DUMMYFUNCTION("IMPORTRANGE(""https://docs.google.com/spreadsheets/d/""&amp;$A349&amp;""/edit#gid=156619080"",AU$3)"),"#REF!")</f>
        <v>#REF!</v>
      </c>
      <c r="AV349" s="2" t="str">
        <f>IFERROR(__xludf.DUMMYFUNCTION("IMPORTRANGE(""https://docs.google.com/spreadsheets/d/""&amp;$A349&amp;""/edit#gid=156619080"",AV$3)"),"#REF!")</f>
        <v>#REF!</v>
      </c>
      <c r="AW349" s="19" t="str">
        <f>IFERROR(__xludf.DUMMYFUNCTION("IMPORTRANGE(""https://docs.google.com/spreadsheets/d/""&amp;$A349&amp;""/edit#gid=156619080"",AW$3)"),"#REF!")</f>
        <v>#REF!</v>
      </c>
      <c r="AX349" s="2" t="str">
        <f>IFERROR(__xludf.DUMMYFUNCTION("IMPORTRANGE(""https://docs.google.com/spreadsheets/d/""&amp;$A349&amp;""/edit#gid=156619080"",AX$3)"),"#REF!")</f>
        <v>#REF!</v>
      </c>
      <c r="AY349" s="2" t="str">
        <f>IFERROR(__xludf.DUMMYFUNCTION("IMPORTRANGE(""https://docs.google.com/spreadsheets/d/""&amp;$A349&amp;""/edit#gid=156619080"",AY$3)"),"#REF!")</f>
        <v>#REF!</v>
      </c>
      <c r="AZ349" s="2" t="str">
        <f>IFERROR(__xludf.DUMMYFUNCTION("IMPORTRANGE(""https://docs.google.com/spreadsheets/d/""&amp;$A349&amp;""/edit#gid=156619080"",AZ$3)"),"#REF!")</f>
        <v>#REF!</v>
      </c>
      <c r="BA349" s="2" t="str">
        <f>IFERROR(__xludf.DUMMYFUNCTION("IMPORTRANGE(""https://docs.google.com/spreadsheets/d/""&amp;$A349&amp;""/edit#gid=156619080"",BA$3)"),"#REF!")</f>
        <v>#REF!</v>
      </c>
      <c r="BB349" s="2" t="str">
        <f>IFERROR(__xludf.DUMMYFUNCTION("IMPORTRANGE(""https://docs.google.com/spreadsheets/d/""&amp;$A349&amp;""/edit#gid=156619080"",BB$3)"),"#REF!")</f>
        <v>#REF!</v>
      </c>
      <c r="BC349" s="2" t="str">
        <f>IFERROR(__xludf.DUMMYFUNCTION("IMPORTRANGE(""https://docs.google.com/spreadsheets/d/""&amp;$A349&amp;""/edit#gid=156619080"",BC$3)"),"#REF!")</f>
        <v>#REF!</v>
      </c>
    </row>
    <row r="350" ht="51.0" customHeight="1">
      <c r="A350" s="7" t="str">
        <f t="shared" si="5"/>
        <v>1QJ91xc1eO2Bz_OzUHW44qJljGTOM5BLPmaKJLhlh1nQ</v>
      </c>
      <c r="B350" s="1" t="s">
        <v>377</v>
      </c>
      <c r="C350" s="2" t="str">
        <f>IFERROR(__xludf.DUMMYFUNCTION("IMPORTRANGE(""https://docs.google.com/spreadsheets/d/""&amp;$A350&amp;""/edit#gid=156619080"",C$3)"),"#REF!")</f>
        <v>#REF!</v>
      </c>
      <c r="D350" s="2" t="str">
        <f>IFERROR(__xludf.DUMMYFUNCTION("IMPORTRANGE(""https://docs.google.com/spreadsheets/d/""&amp;$A350&amp;""/edit#gid=156619080"",D$3)"),"#REF!")</f>
        <v>#REF!</v>
      </c>
      <c r="E350" s="2" t="str">
        <f>IFERROR(__xludf.DUMMYFUNCTION("IMPORTRANGE(""https://docs.google.com/spreadsheets/d/""&amp;$A350&amp;""/edit#gid=156619080"",E$3)"),"#REF!")</f>
        <v>#REF!</v>
      </c>
      <c r="F350" s="2" t="str">
        <f>IFERROR(__xludf.DUMMYFUNCTION("IMPORTRANGE(""https://docs.google.com/spreadsheets/d/""&amp;$A350&amp;""/edit#gid=156619080"",F$3)"),"#REF!")</f>
        <v>#REF!</v>
      </c>
      <c r="G350" s="2" t="str">
        <f>IFERROR(__xludf.DUMMYFUNCTION("IMPORTRANGE(""https://docs.google.com/spreadsheets/d/""&amp;$A350&amp;""/edit#gid=156619080"",G$3)"),"#REF!")</f>
        <v>#REF!</v>
      </c>
      <c r="H350" s="2" t="str">
        <f>IFERROR(__xludf.DUMMYFUNCTION("IMPORTRANGE(""https://docs.google.com/spreadsheets/d/""&amp;$A350&amp;""/edit#gid=156619080"",H$3)"),"#REF!")</f>
        <v>#REF!</v>
      </c>
      <c r="I350" s="2" t="str">
        <f>IFERROR(__xludf.DUMMYFUNCTION("IMPORTRANGE(""https://docs.google.com/spreadsheets/d/""&amp;$A350&amp;""/edit#gid=156619080"",I$3)"),"#REF!")</f>
        <v>#REF!</v>
      </c>
      <c r="J350" s="2" t="str">
        <f>IFERROR(__xludf.DUMMYFUNCTION("IMPORTRANGE(""https://docs.google.com/spreadsheets/d/""&amp;$A350&amp;""/edit#gid=156619080"",J$3)"),"#REF!")</f>
        <v>#REF!</v>
      </c>
      <c r="K350" s="2" t="str">
        <f>IFERROR(__xludf.DUMMYFUNCTION("IMPORTRANGE(""https://docs.google.com/spreadsheets/d/""&amp;$A350&amp;""/edit#gid=156619080"",K$3)"),"#REF!")</f>
        <v>#REF!</v>
      </c>
      <c r="L350" s="2" t="str">
        <f>IFERROR(__xludf.DUMMYFUNCTION("IMPORTRANGE(""https://docs.google.com/spreadsheets/d/""&amp;$A350&amp;""/edit#gid=156619080"",L$3)"),"#REF!")</f>
        <v>#REF!</v>
      </c>
      <c r="M350" s="2" t="str">
        <f>IFERROR(__xludf.DUMMYFUNCTION("IMPORTRANGE(""https://docs.google.com/spreadsheets/d/""&amp;$A350&amp;""/edit#gid=156619080"",M$3)"),"#REF!")</f>
        <v>#REF!</v>
      </c>
      <c r="N350" s="2" t="str">
        <f>IFERROR(__xludf.DUMMYFUNCTION("IMPORTRANGE(""https://docs.google.com/spreadsheets/d/""&amp;$A350&amp;""/edit#gid=156619080"",N$3)"),"#REF!")</f>
        <v>#REF!</v>
      </c>
      <c r="O350" s="2" t="str">
        <f>IFERROR(__xludf.DUMMYFUNCTION("IMPORTRANGE(""https://docs.google.com/spreadsheets/d/""&amp;$A350&amp;""/edit#gid=156619080"",O$3)"),"#REF!")</f>
        <v>#REF!</v>
      </c>
      <c r="P350" s="2" t="str">
        <f>IFERROR(__xludf.DUMMYFUNCTION("IMPORTRANGE(""https://docs.google.com/spreadsheets/d/""&amp;$A350&amp;""/edit#gid=156619080"",P$3)"),"#REF!")</f>
        <v>#REF!</v>
      </c>
      <c r="Q350" s="2" t="str">
        <f>IFERROR(__xludf.DUMMYFUNCTION("IMPORTRANGE(""https://docs.google.com/spreadsheets/d/""&amp;$A350&amp;""/edit#gid=156619080"",Q$3)"),"#REF!")</f>
        <v>#REF!</v>
      </c>
      <c r="R350" s="2" t="str">
        <f>IFERROR(__xludf.DUMMYFUNCTION("IMPORTRANGE(""https://docs.google.com/spreadsheets/d/""&amp;$A350&amp;""/edit#gid=156619080"",R$3)"),"#REF!")</f>
        <v>#REF!</v>
      </c>
      <c r="S350" s="2" t="str">
        <f>IFERROR(__xludf.DUMMYFUNCTION("IMPORTRANGE(""https://docs.google.com/spreadsheets/d/""&amp;$A350&amp;""/edit#gid=156619080"",S$3)"),"#REF!")</f>
        <v>#REF!</v>
      </c>
      <c r="T350" s="2" t="str">
        <f>IFERROR(__xludf.DUMMYFUNCTION("IMPORTRANGE(""https://docs.google.com/spreadsheets/d/""&amp;$A350&amp;""/edit#gid=156619080"",T$3)"),"#REF!")</f>
        <v>#REF!</v>
      </c>
      <c r="U350" s="2" t="str">
        <f>IFERROR(__xludf.DUMMYFUNCTION("IMPORTRANGE(""https://docs.google.com/spreadsheets/d/""&amp;$A350&amp;""/edit#gid=156619080"",U$3)"),"#REF!")</f>
        <v>#REF!</v>
      </c>
      <c r="V350" s="2" t="str">
        <f>IFERROR(__xludf.DUMMYFUNCTION("IMPORTRANGE(""https://docs.google.com/spreadsheets/d/""&amp;$A350&amp;""/edit#gid=156619080"",V$3)"),"#REF!")</f>
        <v>#REF!</v>
      </c>
      <c r="W350" s="2" t="str">
        <f>IFERROR(__xludf.DUMMYFUNCTION("IMPORTRANGE(""https://docs.google.com/spreadsheets/d/""&amp;$A350&amp;""/edit#gid=156619080"",W$3)"),"#REF!")</f>
        <v>#REF!</v>
      </c>
      <c r="X350" s="2" t="str">
        <f>IFERROR(__xludf.DUMMYFUNCTION("IMPORTRANGE(""https://docs.google.com/spreadsheets/d/""&amp;$A350&amp;""/edit#gid=156619080"",X$3)"),"#REF!")</f>
        <v>#REF!</v>
      </c>
      <c r="Y350" s="2" t="str">
        <f>IFERROR(__xludf.DUMMYFUNCTION("IMPORTRANGE(""https://docs.google.com/spreadsheets/d/""&amp;$A350&amp;""/edit#gid=156619080"",Y$3)"),"#REF!")</f>
        <v>#REF!</v>
      </c>
      <c r="Z350" s="2" t="str">
        <f>IFERROR(__xludf.DUMMYFUNCTION("IMPORTRANGE(""https://docs.google.com/spreadsheets/d/""&amp;$A350&amp;""/edit#gid=156619080"",Z$3)"),"#REF!")</f>
        <v>#REF!</v>
      </c>
      <c r="AA350" s="2" t="str">
        <f>IFERROR(__xludf.DUMMYFUNCTION("IMPORTRANGE(""https://docs.google.com/spreadsheets/d/""&amp;$A350&amp;""/edit#gid=156619080"",AA$3)"),"#REF!")</f>
        <v>#REF!</v>
      </c>
      <c r="AB350" s="2" t="str">
        <f>IFERROR(__xludf.DUMMYFUNCTION("IMPORTRANGE(""https://docs.google.com/spreadsheets/d/""&amp;$A350&amp;""/edit#gid=156619080"",AB$3)"),"#REF!")</f>
        <v>#REF!</v>
      </c>
      <c r="AC350" s="2" t="str">
        <f>IFERROR(__xludf.DUMMYFUNCTION("IMPORTRANGE(""https://docs.google.com/spreadsheets/d/""&amp;$A350&amp;""/edit#gid=156619080"",AC$3)"),"#REF!")</f>
        <v>#REF!</v>
      </c>
      <c r="AD350" s="2" t="str">
        <f>IFERROR(__xludf.DUMMYFUNCTION("IMPORTRANGE(""https://docs.google.com/spreadsheets/d/""&amp;$A350&amp;""/edit#gid=156619080"",AD$3)"),"#REF!")</f>
        <v>#REF!</v>
      </c>
      <c r="AE350" s="2" t="str">
        <f>IFERROR(__xludf.DUMMYFUNCTION("IMPORTRANGE(""https://docs.google.com/spreadsheets/d/""&amp;$A350&amp;""/edit#gid=156619080"",AE$3)"),"#REF!")</f>
        <v>#REF!</v>
      </c>
      <c r="AF350" s="2" t="str">
        <f>IFERROR(__xludf.DUMMYFUNCTION("IMPORTRANGE(""https://docs.google.com/spreadsheets/d/""&amp;$A350&amp;""/edit#gid=156619080"",AF$3)"),"#REF!")</f>
        <v>#REF!</v>
      </c>
      <c r="AG350" s="2" t="str">
        <f>IFERROR(__xludf.DUMMYFUNCTION("IMPORTRANGE(""https://docs.google.com/spreadsheets/d/""&amp;$A350&amp;""/edit#gid=156619080"",AG$3)"),"#REF!")</f>
        <v>#REF!</v>
      </c>
      <c r="AH350" s="2" t="str">
        <f>IFERROR(__xludf.DUMMYFUNCTION("IMPORTRANGE(""https://docs.google.com/spreadsheets/d/""&amp;$A350&amp;""/edit#gid=156619080"",AH$3)"),"#REF!")</f>
        <v>#REF!</v>
      </c>
      <c r="AI350" s="2" t="str">
        <f>IFERROR(__xludf.DUMMYFUNCTION("IMPORTRANGE(""https://docs.google.com/spreadsheets/d/""&amp;$A350&amp;""/edit#gid=156619080"",AI$3)"),"#REF!")</f>
        <v>#REF!</v>
      </c>
      <c r="AJ350" s="2" t="str">
        <f>IFERROR(__xludf.DUMMYFUNCTION("IMPORTRANGE(""https://docs.google.com/spreadsheets/d/""&amp;$A350&amp;""/edit#gid=156619080"",AJ$3)"),"#REF!")</f>
        <v>#REF!</v>
      </c>
      <c r="AK350" s="2" t="str">
        <f>IFERROR(__xludf.DUMMYFUNCTION("IMPORTRANGE(""https://docs.google.com/spreadsheets/d/""&amp;$A350&amp;""/edit#gid=156619080"",AK$3)"),"#REF!")</f>
        <v>#REF!</v>
      </c>
      <c r="AL350" s="2" t="str">
        <f>IFERROR(__xludf.DUMMYFUNCTION("IMPORTRANGE(""https://docs.google.com/spreadsheets/d/""&amp;$A350&amp;""/edit#gid=156619080"",AL$3)"),"#REF!")</f>
        <v>#REF!</v>
      </c>
      <c r="AM350" s="2" t="str">
        <f>IFERROR(__xludf.DUMMYFUNCTION("IMPORTRANGE(""https://docs.google.com/spreadsheets/d/""&amp;$A350&amp;""/edit#gid=156619080"",AM$3)"),"#REF!")</f>
        <v>#REF!</v>
      </c>
      <c r="AN350" s="2" t="str">
        <f>IFERROR(__xludf.DUMMYFUNCTION("IMPORTRANGE(""https://docs.google.com/spreadsheets/d/""&amp;$A350&amp;""/edit#gid=156619080"",AN$3)"),"#REF!")</f>
        <v>#REF!</v>
      </c>
      <c r="AO350" s="2" t="str">
        <f>IFERROR(__xludf.DUMMYFUNCTION("IMPORTRANGE(""https://docs.google.com/spreadsheets/d/""&amp;$A350&amp;""/edit#gid=156619080"",AO$3)"),"#REF!")</f>
        <v>#REF!</v>
      </c>
      <c r="AP350" s="2" t="str">
        <f>IFERROR(__xludf.DUMMYFUNCTION("IMPORTRANGE(""https://docs.google.com/spreadsheets/d/""&amp;$A350&amp;""/edit#gid=156619080"",AP$3)"),"#REF!")</f>
        <v>#REF!</v>
      </c>
      <c r="AQ350" s="2" t="str">
        <f>IFERROR(__xludf.DUMMYFUNCTION("IMPORTRANGE(""https://docs.google.com/spreadsheets/d/""&amp;$A350&amp;""/edit#gid=156619080"",AQ$3)"),"#REF!")</f>
        <v>#REF!</v>
      </c>
      <c r="AR350" s="2" t="str">
        <f>IFERROR(__xludf.DUMMYFUNCTION("IMPORTRANGE(""https://docs.google.com/spreadsheets/d/""&amp;$A350&amp;""/edit#gid=156619080"",AR$3)"),"#REF!")</f>
        <v>#REF!</v>
      </c>
      <c r="AS350" s="19" t="str">
        <f>IFERROR(__xludf.DUMMYFUNCTION("IMPORTRANGE(""https://docs.google.com/spreadsheets/d/""&amp;$A350&amp;""/edit#gid=156619080"",AS$3)"),"#REF!")</f>
        <v>#REF!</v>
      </c>
      <c r="AT350" s="2" t="str">
        <f>IFERROR(__xludf.DUMMYFUNCTION("IMPORTRANGE(""https://docs.google.com/spreadsheets/d/""&amp;$A350&amp;""/edit#gid=156619080"",AT$3)"),"#REF!")</f>
        <v>#REF!</v>
      </c>
      <c r="AU350" s="3" t="str">
        <f>IFERROR(__xludf.DUMMYFUNCTION("IMPORTRANGE(""https://docs.google.com/spreadsheets/d/""&amp;$A350&amp;""/edit#gid=156619080"",AU$3)"),"#REF!")</f>
        <v>#REF!</v>
      </c>
      <c r="AV350" s="2" t="str">
        <f>IFERROR(__xludf.DUMMYFUNCTION("IMPORTRANGE(""https://docs.google.com/spreadsheets/d/""&amp;$A350&amp;""/edit#gid=156619080"",AV$3)"),"#REF!")</f>
        <v>#REF!</v>
      </c>
      <c r="AW350" s="19" t="str">
        <f>IFERROR(__xludf.DUMMYFUNCTION("IMPORTRANGE(""https://docs.google.com/spreadsheets/d/""&amp;$A350&amp;""/edit#gid=156619080"",AW$3)"),"#REF!")</f>
        <v>#REF!</v>
      </c>
      <c r="AX350" s="2" t="str">
        <f>IFERROR(__xludf.DUMMYFUNCTION("IMPORTRANGE(""https://docs.google.com/spreadsheets/d/""&amp;$A350&amp;""/edit#gid=156619080"",AX$3)"),"#REF!")</f>
        <v>#REF!</v>
      </c>
      <c r="AY350" s="2" t="str">
        <f>IFERROR(__xludf.DUMMYFUNCTION("IMPORTRANGE(""https://docs.google.com/spreadsheets/d/""&amp;$A350&amp;""/edit#gid=156619080"",AY$3)"),"#REF!")</f>
        <v>#REF!</v>
      </c>
      <c r="AZ350" s="2" t="str">
        <f>IFERROR(__xludf.DUMMYFUNCTION("IMPORTRANGE(""https://docs.google.com/spreadsheets/d/""&amp;$A350&amp;""/edit#gid=156619080"",AZ$3)"),"#REF!")</f>
        <v>#REF!</v>
      </c>
      <c r="BA350" s="2" t="str">
        <f>IFERROR(__xludf.DUMMYFUNCTION("IMPORTRANGE(""https://docs.google.com/spreadsheets/d/""&amp;$A350&amp;""/edit#gid=156619080"",BA$3)"),"#REF!")</f>
        <v>#REF!</v>
      </c>
      <c r="BB350" s="2" t="str">
        <f>IFERROR(__xludf.DUMMYFUNCTION("IMPORTRANGE(""https://docs.google.com/spreadsheets/d/""&amp;$A350&amp;""/edit#gid=156619080"",BB$3)"),"#REF!")</f>
        <v>#REF!</v>
      </c>
      <c r="BC350" s="2" t="str">
        <f>IFERROR(__xludf.DUMMYFUNCTION("IMPORTRANGE(""https://docs.google.com/spreadsheets/d/""&amp;$A350&amp;""/edit#gid=156619080"",BC$3)"),"#REF!")</f>
        <v>#REF!</v>
      </c>
    </row>
    <row r="351" ht="51.0" customHeight="1">
      <c r="A351" s="7" t="str">
        <f t="shared" si="5"/>
        <v>1k_Q1DPtkwQSo53S5VZShKA5xS24p3g9HtwM9mqhtP-E</v>
      </c>
      <c r="B351" s="1" t="s">
        <v>378</v>
      </c>
      <c r="C351" s="2" t="str">
        <f>IFERROR(__xludf.DUMMYFUNCTION("IMPORTRANGE(""https://docs.google.com/spreadsheets/d/""&amp;$A351&amp;""/edit#gid=156619080"",C$3)"),"#REF!")</f>
        <v>#REF!</v>
      </c>
      <c r="D351" s="2" t="str">
        <f>IFERROR(__xludf.DUMMYFUNCTION("IMPORTRANGE(""https://docs.google.com/spreadsheets/d/""&amp;$A351&amp;""/edit#gid=156619080"",D$3)"),"#REF!")</f>
        <v>#REF!</v>
      </c>
      <c r="E351" s="2" t="str">
        <f>IFERROR(__xludf.DUMMYFUNCTION("IMPORTRANGE(""https://docs.google.com/spreadsheets/d/""&amp;$A351&amp;""/edit#gid=156619080"",E$3)"),"#REF!")</f>
        <v>#REF!</v>
      </c>
      <c r="F351" s="2" t="str">
        <f>IFERROR(__xludf.DUMMYFUNCTION("IMPORTRANGE(""https://docs.google.com/spreadsheets/d/""&amp;$A351&amp;""/edit#gid=156619080"",F$3)"),"#REF!")</f>
        <v>#REF!</v>
      </c>
      <c r="G351" s="2" t="str">
        <f>IFERROR(__xludf.DUMMYFUNCTION("IMPORTRANGE(""https://docs.google.com/spreadsheets/d/""&amp;$A351&amp;""/edit#gid=156619080"",G$3)"),"#REF!")</f>
        <v>#REF!</v>
      </c>
      <c r="H351" s="2" t="str">
        <f>IFERROR(__xludf.DUMMYFUNCTION("IMPORTRANGE(""https://docs.google.com/spreadsheets/d/""&amp;$A351&amp;""/edit#gid=156619080"",H$3)"),"#REF!")</f>
        <v>#REF!</v>
      </c>
      <c r="I351" s="2" t="str">
        <f>IFERROR(__xludf.DUMMYFUNCTION("IMPORTRANGE(""https://docs.google.com/spreadsheets/d/""&amp;$A351&amp;""/edit#gid=156619080"",I$3)"),"#REF!")</f>
        <v>#REF!</v>
      </c>
      <c r="J351" s="2" t="str">
        <f>IFERROR(__xludf.DUMMYFUNCTION("IMPORTRANGE(""https://docs.google.com/spreadsheets/d/""&amp;$A351&amp;""/edit#gid=156619080"",J$3)"),"#REF!")</f>
        <v>#REF!</v>
      </c>
      <c r="K351" s="2" t="str">
        <f>IFERROR(__xludf.DUMMYFUNCTION("IMPORTRANGE(""https://docs.google.com/spreadsheets/d/""&amp;$A351&amp;""/edit#gid=156619080"",K$3)"),"#REF!")</f>
        <v>#REF!</v>
      </c>
      <c r="L351" s="2" t="str">
        <f>IFERROR(__xludf.DUMMYFUNCTION("IMPORTRANGE(""https://docs.google.com/spreadsheets/d/""&amp;$A351&amp;""/edit#gid=156619080"",L$3)"),"#REF!")</f>
        <v>#REF!</v>
      </c>
      <c r="M351" s="2" t="str">
        <f>IFERROR(__xludf.DUMMYFUNCTION("IMPORTRANGE(""https://docs.google.com/spreadsheets/d/""&amp;$A351&amp;""/edit#gid=156619080"",M$3)"),"#REF!")</f>
        <v>#REF!</v>
      </c>
      <c r="N351" s="2" t="str">
        <f>IFERROR(__xludf.DUMMYFUNCTION("IMPORTRANGE(""https://docs.google.com/spreadsheets/d/""&amp;$A351&amp;""/edit#gid=156619080"",N$3)"),"#REF!")</f>
        <v>#REF!</v>
      </c>
      <c r="O351" s="2" t="str">
        <f>IFERROR(__xludf.DUMMYFUNCTION("IMPORTRANGE(""https://docs.google.com/spreadsheets/d/""&amp;$A351&amp;""/edit#gid=156619080"",O$3)"),"#REF!")</f>
        <v>#REF!</v>
      </c>
      <c r="P351" s="2" t="str">
        <f>IFERROR(__xludf.DUMMYFUNCTION("IMPORTRANGE(""https://docs.google.com/spreadsheets/d/""&amp;$A351&amp;""/edit#gid=156619080"",P$3)"),"#REF!")</f>
        <v>#REF!</v>
      </c>
      <c r="Q351" s="2" t="str">
        <f>IFERROR(__xludf.DUMMYFUNCTION("IMPORTRANGE(""https://docs.google.com/spreadsheets/d/""&amp;$A351&amp;""/edit#gid=156619080"",Q$3)"),"#REF!")</f>
        <v>#REF!</v>
      </c>
      <c r="R351" s="2" t="str">
        <f>IFERROR(__xludf.DUMMYFUNCTION("IMPORTRANGE(""https://docs.google.com/spreadsheets/d/""&amp;$A351&amp;""/edit#gid=156619080"",R$3)"),"#REF!")</f>
        <v>#REF!</v>
      </c>
      <c r="S351" s="2" t="str">
        <f>IFERROR(__xludf.DUMMYFUNCTION("IMPORTRANGE(""https://docs.google.com/spreadsheets/d/""&amp;$A351&amp;""/edit#gid=156619080"",S$3)"),"#REF!")</f>
        <v>#REF!</v>
      </c>
      <c r="T351" s="2" t="str">
        <f>IFERROR(__xludf.DUMMYFUNCTION("IMPORTRANGE(""https://docs.google.com/spreadsheets/d/""&amp;$A351&amp;""/edit#gid=156619080"",T$3)"),"#REF!")</f>
        <v>#REF!</v>
      </c>
      <c r="U351" s="2" t="str">
        <f>IFERROR(__xludf.DUMMYFUNCTION("IMPORTRANGE(""https://docs.google.com/spreadsheets/d/""&amp;$A351&amp;""/edit#gid=156619080"",U$3)"),"#REF!")</f>
        <v>#REF!</v>
      </c>
      <c r="V351" s="2" t="str">
        <f>IFERROR(__xludf.DUMMYFUNCTION("IMPORTRANGE(""https://docs.google.com/spreadsheets/d/""&amp;$A351&amp;""/edit#gid=156619080"",V$3)"),"#REF!")</f>
        <v>#REF!</v>
      </c>
      <c r="W351" s="2" t="str">
        <f>IFERROR(__xludf.DUMMYFUNCTION("IMPORTRANGE(""https://docs.google.com/spreadsheets/d/""&amp;$A351&amp;""/edit#gid=156619080"",W$3)"),"#REF!")</f>
        <v>#REF!</v>
      </c>
      <c r="X351" s="2" t="str">
        <f>IFERROR(__xludf.DUMMYFUNCTION("IMPORTRANGE(""https://docs.google.com/spreadsheets/d/""&amp;$A351&amp;""/edit#gid=156619080"",X$3)"),"#REF!")</f>
        <v>#REF!</v>
      </c>
      <c r="Y351" s="2" t="str">
        <f>IFERROR(__xludf.DUMMYFUNCTION("IMPORTRANGE(""https://docs.google.com/spreadsheets/d/""&amp;$A351&amp;""/edit#gid=156619080"",Y$3)"),"#REF!")</f>
        <v>#REF!</v>
      </c>
      <c r="Z351" s="2" t="str">
        <f>IFERROR(__xludf.DUMMYFUNCTION("IMPORTRANGE(""https://docs.google.com/spreadsheets/d/""&amp;$A351&amp;""/edit#gid=156619080"",Z$3)"),"#REF!")</f>
        <v>#REF!</v>
      </c>
      <c r="AA351" s="2" t="str">
        <f>IFERROR(__xludf.DUMMYFUNCTION("IMPORTRANGE(""https://docs.google.com/spreadsheets/d/""&amp;$A351&amp;""/edit#gid=156619080"",AA$3)"),"#REF!")</f>
        <v>#REF!</v>
      </c>
      <c r="AB351" s="2" t="str">
        <f>IFERROR(__xludf.DUMMYFUNCTION("IMPORTRANGE(""https://docs.google.com/spreadsheets/d/""&amp;$A351&amp;""/edit#gid=156619080"",AB$3)"),"#REF!")</f>
        <v>#REF!</v>
      </c>
      <c r="AC351" s="2" t="str">
        <f>IFERROR(__xludf.DUMMYFUNCTION("IMPORTRANGE(""https://docs.google.com/spreadsheets/d/""&amp;$A351&amp;""/edit#gid=156619080"",AC$3)"),"#REF!")</f>
        <v>#REF!</v>
      </c>
      <c r="AD351" s="2" t="str">
        <f>IFERROR(__xludf.DUMMYFUNCTION("IMPORTRANGE(""https://docs.google.com/spreadsheets/d/""&amp;$A351&amp;""/edit#gid=156619080"",AD$3)"),"#REF!")</f>
        <v>#REF!</v>
      </c>
      <c r="AE351" s="2" t="str">
        <f>IFERROR(__xludf.DUMMYFUNCTION("IMPORTRANGE(""https://docs.google.com/spreadsheets/d/""&amp;$A351&amp;""/edit#gid=156619080"",AE$3)"),"#REF!")</f>
        <v>#REF!</v>
      </c>
      <c r="AF351" s="2" t="str">
        <f>IFERROR(__xludf.DUMMYFUNCTION("IMPORTRANGE(""https://docs.google.com/spreadsheets/d/""&amp;$A351&amp;""/edit#gid=156619080"",AF$3)"),"#REF!")</f>
        <v>#REF!</v>
      </c>
      <c r="AG351" s="2" t="str">
        <f>IFERROR(__xludf.DUMMYFUNCTION("IMPORTRANGE(""https://docs.google.com/spreadsheets/d/""&amp;$A351&amp;""/edit#gid=156619080"",AG$3)"),"#REF!")</f>
        <v>#REF!</v>
      </c>
      <c r="AH351" s="2" t="str">
        <f>IFERROR(__xludf.DUMMYFUNCTION("IMPORTRANGE(""https://docs.google.com/spreadsheets/d/""&amp;$A351&amp;""/edit#gid=156619080"",AH$3)"),"#REF!")</f>
        <v>#REF!</v>
      </c>
      <c r="AI351" s="2" t="str">
        <f>IFERROR(__xludf.DUMMYFUNCTION("IMPORTRANGE(""https://docs.google.com/spreadsheets/d/""&amp;$A351&amp;""/edit#gid=156619080"",AI$3)"),"#REF!")</f>
        <v>#REF!</v>
      </c>
      <c r="AJ351" s="2" t="str">
        <f>IFERROR(__xludf.DUMMYFUNCTION("IMPORTRANGE(""https://docs.google.com/spreadsheets/d/""&amp;$A351&amp;""/edit#gid=156619080"",AJ$3)"),"#REF!")</f>
        <v>#REF!</v>
      </c>
      <c r="AK351" s="2" t="str">
        <f>IFERROR(__xludf.DUMMYFUNCTION("IMPORTRANGE(""https://docs.google.com/spreadsheets/d/""&amp;$A351&amp;""/edit#gid=156619080"",AK$3)"),"#REF!")</f>
        <v>#REF!</v>
      </c>
      <c r="AL351" s="2" t="str">
        <f>IFERROR(__xludf.DUMMYFUNCTION("IMPORTRANGE(""https://docs.google.com/spreadsheets/d/""&amp;$A351&amp;""/edit#gid=156619080"",AL$3)"),"#REF!")</f>
        <v>#REF!</v>
      </c>
      <c r="AM351" s="2" t="str">
        <f>IFERROR(__xludf.DUMMYFUNCTION("IMPORTRANGE(""https://docs.google.com/spreadsheets/d/""&amp;$A351&amp;""/edit#gid=156619080"",AM$3)"),"#REF!")</f>
        <v>#REF!</v>
      </c>
      <c r="AN351" s="2" t="str">
        <f>IFERROR(__xludf.DUMMYFUNCTION("IMPORTRANGE(""https://docs.google.com/spreadsheets/d/""&amp;$A351&amp;""/edit#gid=156619080"",AN$3)"),"#REF!")</f>
        <v>#REF!</v>
      </c>
      <c r="AO351" s="2" t="str">
        <f>IFERROR(__xludf.DUMMYFUNCTION("IMPORTRANGE(""https://docs.google.com/spreadsheets/d/""&amp;$A351&amp;""/edit#gid=156619080"",AO$3)"),"#REF!")</f>
        <v>#REF!</v>
      </c>
      <c r="AP351" s="2" t="str">
        <f>IFERROR(__xludf.DUMMYFUNCTION("IMPORTRANGE(""https://docs.google.com/spreadsheets/d/""&amp;$A351&amp;""/edit#gid=156619080"",AP$3)"),"#REF!")</f>
        <v>#REF!</v>
      </c>
      <c r="AQ351" s="2" t="str">
        <f>IFERROR(__xludf.DUMMYFUNCTION("IMPORTRANGE(""https://docs.google.com/spreadsheets/d/""&amp;$A351&amp;""/edit#gid=156619080"",AQ$3)"),"#REF!")</f>
        <v>#REF!</v>
      </c>
      <c r="AR351" s="2" t="str">
        <f>IFERROR(__xludf.DUMMYFUNCTION("IMPORTRANGE(""https://docs.google.com/spreadsheets/d/""&amp;$A351&amp;""/edit#gid=156619080"",AR$3)"),"#REF!")</f>
        <v>#REF!</v>
      </c>
      <c r="AS351" s="19" t="str">
        <f>IFERROR(__xludf.DUMMYFUNCTION("IMPORTRANGE(""https://docs.google.com/spreadsheets/d/""&amp;$A351&amp;""/edit#gid=156619080"",AS$3)"),"#REF!")</f>
        <v>#REF!</v>
      </c>
      <c r="AT351" s="2" t="str">
        <f>IFERROR(__xludf.DUMMYFUNCTION("IMPORTRANGE(""https://docs.google.com/spreadsheets/d/""&amp;$A351&amp;""/edit#gid=156619080"",AT$3)"),"#REF!")</f>
        <v>#REF!</v>
      </c>
      <c r="AU351" s="3" t="str">
        <f>IFERROR(__xludf.DUMMYFUNCTION("IMPORTRANGE(""https://docs.google.com/spreadsheets/d/""&amp;$A351&amp;""/edit#gid=156619080"",AU$3)"),"#REF!")</f>
        <v>#REF!</v>
      </c>
      <c r="AV351" s="2" t="str">
        <f>IFERROR(__xludf.DUMMYFUNCTION("IMPORTRANGE(""https://docs.google.com/spreadsheets/d/""&amp;$A351&amp;""/edit#gid=156619080"",AV$3)"),"#REF!")</f>
        <v>#REF!</v>
      </c>
      <c r="AW351" s="19" t="str">
        <f>IFERROR(__xludf.DUMMYFUNCTION("IMPORTRANGE(""https://docs.google.com/spreadsheets/d/""&amp;$A351&amp;""/edit#gid=156619080"",AW$3)"),"#REF!")</f>
        <v>#REF!</v>
      </c>
      <c r="AX351" s="2" t="str">
        <f>IFERROR(__xludf.DUMMYFUNCTION("IMPORTRANGE(""https://docs.google.com/spreadsheets/d/""&amp;$A351&amp;""/edit#gid=156619080"",AX$3)"),"#REF!")</f>
        <v>#REF!</v>
      </c>
      <c r="AY351" s="2" t="str">
        <f>IFERROR(__xludf.DUMMYFUNCTION("IMPORTRANGE(""https://docs.google.com/spreadsheets/d/""&amp;$A351&amp;""/edit#gid=156619080"",AY$3)"),"#REF!")</f>
        <v>#REF!</v>
      </c>
      <c r="AZ351" s="2" t="str">
        <f>IFERROR(__xludf.DUMMYFUNCTION("IMPORTRANGE(""https://docs.google.com/spreadsheets/d/""&amp;$A351&amp;""/edit#gid=156619080"",AZ$3)"),"#REF!")</f>
        <v>#REF!</v>
      </c>
      <c r="BA351" s="2" t="str">
        <f>IFERROR(__xludf.DUMMYFUNCTION("IMPORTRANGE(""https://docs.google.com/spreadsheets/d/""&amp;$A351&amp;""/edit#gid=156619080"",BA$3)"),"#REF!")</f>
        <v>#REF!</v>
      </c>
      <c r="BB351" s="2" t="str">
        <f>IFERROR(__xludf.DUMMYFUNCTION("IMPORTRANGE(""https://docs.google.com/spreadsheets/d/""&amp;$A351&amp;""/edit#gid=156619080"",BB$3)"),"#REF!")</f>
        <v>#REF!</v>
      </c>
      <c r="BC351" s="2" t="str">
        <f>IFERROR(__xludf.DUMMYFUNCTION("IMPORTRANGE(""https://docs.google.com/spreadsheets/d/""&amp;$A351&amp;""/edit#gid=156619080"",BC$3)"),"#REF!")</f>
        <v>#REF!</v>
      </c>
    </row>
    <row r="352" ht="51.0" customHeight="1">
      <c r="A352" s="7" t="str">
        <f t="shared" si="5"/>
        <v>1g4iatNe366UwYHPURgUdUP8ivxPUWpthXjXhvphn85U</v>
      </c>
      <c r="B352" s="1" t="s">
        <v>379</v>
      </c>
      <c r="C352" s="2" t="str">
        <f>IFERROR(__xludf.DUMMYFUNCTION("IMPORTRANGE(""https://docs.google.com/spreadsheets/d/""&amp;$A352&amp;""/edit#gid=156619080"",C$3)"),"#REF!")</f>
        <v>#REF!</v>
      </c>
      <c r="D352" s="2" t="str">
        <f>IFERROR(__xludf.DUMMYFUNCTION("IMPORTRANGE(""https://docs.google.com/spreadsheets/d/""&amp;$A352&amp;""/edit#gid=156619080"",D$3)"),"#REF!")</f>
        <v>#REF!</v>
      </c>
      <c r="E352" s="2" t="str">
        <f>IFERROR(__xludf.DUMMYFUNCTION("IMPORTRANGE(""https://docs.google.com/spreadsheets/d/""&amp;$A352&amp;""/edit#gid=156619080"",E$3)"),"#REF!")</f>
        <v>#REF!</v>
      </c>
      <c r="F352" s="2" t="str">
        <f>IFERROR(__xludf.DUMMYFUNCTION("IMPORTRANGE(""https://docs.google.com/spreadsheets/d/""&amp;$A352&amp;""/edit#gid=156619080"",F$3)"),"#REF!")</f>
        <v>#REF!</v>
      </c>
      <c r="G352" s="2" t="str">
        <f>IFERROR(__xludf.DUMMYFUNCTION("IMPORTRANGE(""https://docs.google.com/spreadsheets/d/""&amp;$A352&amp;""/edit#gid=156619080"",G$3)"),"#REF!")</f>
        <v>#REF!</v>
      </c>
      <c r="H352" s="2" t="str">
        <f>IFERROR(__xludf.DUMMYFUNCTION("IMPORTRANGE(""https://docs.google.com/spreadsheets/d/""&amp;$A352&amp;""/edit#gid=156619080"",H$3)"),"#REF!")</f>
        <v>#REF!</v>
      </c>
      <c r="I352" s="2" t="str">
        <f>IFERROR(__xludf.DUMMYFUNCTION("IMPORTRANGE(""https://docs.google.com/spreadsheets/d/""&amp;$A352&amp;""/edit#gid=156619080"",I$3)"),"#REF!")</f>
        <v>#REF!</v>
      </c>
      <c r="J352" s="2" t="str">
        <f>IFERROR(__xludf.DUMMYFUNCTION("IMPORTRANGE(""https://docs.google.com/spreadsheets/d/""&amp;$A352&amp;""/edit#gid=156619080"",J$3)"),"#REF!")</f>
        <v>#REF!</v>
      </c>
      <c r="K352" s="2" t="str">
        <f>IFERROR(__xludf.DUMMYFUNCTION("IMPORTRANGE(""https://docs.google.com/spreadsheets/d/""&amp;$A352&amp;""/edit#gid=156619080"",K$3)"),"#REF!")</f>
        <v>#REF!</v>
      </c>
      <c r="L352" s="2" t="str">
        <f>IFERROR(__xludf.DUMMYFUNCTION("IMPORTRANGE(""https://docs.google.com/spreadsheets/d/""&amp;$A352&amp;""/edit#gid=156619080"",L$3)"),"#REF!")</f>
        <v>#REF!</v>
      </c>
      <c r="M352" s="2" t="str">
        <f>IFERROR(__xludf.DUMMYFUNCTION("IMPORTRANGE(""https://docs.google.com/spreadsheets/d/""&amp;$A352&amp;""/edit#gid=156619080"",M$3)"),"#REF!")</f>
        <v>#REF!</v>
      </c>
      <c r="N352" s="2" t="str">
        <f>IFERROR(__xludf.DUMMYFUNCTION("IMPORTRANGE(""https://docs.google.com/spreadsheets/d/""&amp;$A352&amp;""/edit#gid=156619080"",N$3)"),"#REF!")</f>
        <v>#REF!</v>
      </c>
      <c r="O352" s="2" t="str">
        <f>IFERROR(__xludf.DUMMYFUNCTION("IMPORTRANGE(""https://docs.google.com/spreadsheets/d/""&amp;$A352&amp;""/edit#gid=156619080"",O$3)"),"#REF!")</f>
        <v>#REF!</v>
      </c>
      <c r="P352" s="2" t="str">
        <f>IFERROR(__xludf.DUMMYFUNCTION("IMPORTRANGE(""https://docs.google.com/spreadsheets/d/""&amp;$A352&amp;""/edit#gid=156619080"",P$3)"),"#REF!")</f>
        <v>#REF!</v>
      </c>
      <c r="Q352" s="2" t="str">
        <f>IFERROR(__xludf.DUMMYFUNCTION("IMPORTRANGE(""https://docs.google.com/spreadsheets/d/""&amp;$A352&amp;""/edit#gid=156619080"",Q$3)"),"#REF!")</f>
        <v>#REF!</v>
      </c>
      <c r="R352" s="2" t="str">
        <f>IFERROR(__xludf.DUMMYFUNCTION("IMPORTRANGE(""https://docs.google.com/spreadsheets/d/""&amp;$A352&amp;""/edit#gid=156619080"",R$3)"),"#REF!")</f>
        <v>#REF!</v>
      </c>
      <c r="S352" s="2" t="str">
        <f>IFERROR(__xludf.DUMMYFUNCTION("IMPORTRANGE(""https://docs.google.com/spreadsheets/d/""&amp;$A352&amp;""/edit#gid=156619080"",S$3)"),"#REF!")</f>
        <v>#REF!</v>
      </c>
      <c r="T352" s="2" t="str">
        <f>IFERROR(__xludf.DUMMYFUNCTION("IMPORTRANGE(""https://docs.google.com/spreadsheets/d/""&amp;$A352&amp;""/edit#gid=156619080"",T$3)"),"#REF!")</f>
        <v>#REF!</v>
      </c>
      <c r="U352" s="2" t="str">
        <f>IFERROR(__xludf.DUMMYFUNCTION("IMPORTRANGE(""https://docs.google.com/spreadsheets/d/""&amp;$A352&amp;""/edit#gid=156619080"",U$3)"),"#REF!")</f>
        <v>#REF!</v>
      </c>
      <c r="V352" s="2" t="str">
        <f>IFERROR(__xludf.DUMMYFUNCTION("IMPORTRANGE(""https://docs.google.com/spreadsheets/d/""&amp;$A352&amp;""/edit#gid=156619080"",V$3)"),"#REF!")</f>
        <v>#REF!</v>
      </c>
      <c r="W352" s="2" t="str">
        <f>IFERROR(__xludf.DUMMYFUNCTION("IMPORTRANGE(""https://docs.google.com/spreadsheets/d/""&amp;$A352&amp;""/edit#gid=156619080"",W$3)"),"#REF!")</f>
        <v>#REF!</v>
      </c>
      <c r="X352" s="2" t="str">
        <f>IFERROR(__xludf.DUMMYFUNCTION("IMPORTRANGE(""https://docs.google.com/spreadsheets/d/""&amp;$A352&amp;""/edit#gid=156619080"",X$3)"),"#REF!")</f>
        <v>#REF!</v>
      </c>
      <c r="Y352" s="2" t="str">
        <f>IFERROR(__xludf.DUMMYFUNCTION("IMPORTRANGE(""https://docs.google.com/spreadsheets/d/""&amp;$A352&amp;""/edit#gid=156619080"",Y$3)"),"#REF!")</f>
        <v>#REF!</v>
      </c>
      <c r="Z352" s="2" t="str">
        <f>IFERROR(__xludf.DUMMYFUNCTION("IMPORTRANGE(""https://docs.google.com/spreadsheets/d/""&amp;$A352&amp;""/edit#gid=156619080"",Z$3)"),"#REF!")</f>
        <v>#REF!</v>
      </c>
      <c r="AA352" s="2" t="str">
        <f>IFERROR(__xludf.DUMMYFUNCTION("IMPORTRANGE(""https://docs.google.com/spreadsheets/d/""&amp;$A352&amp;""/edit#gid=156619080"",AA$3)"),"#REF!")</f>
        <v>#REF!</v>
      </c>
      <c r="AB352" s="2" t="str">
        <f>IFERROR(__xludf.DUMMYFUNCTION("IMPORTRANGE(""https://docs.google.com/spreadsheets/d/""&amp;$A352&amp;""/edit#gid=156619080"",AB$3)"),"#REF!")</f>
        <v>#REF!</v>
      </c>
      <c r="AC352" s="2" t="str">
        <f>IFERROR(__xludf.DUMMYFUNCTION("IMPORTRANGE(""https://docs.google.com/spreadsheets/d/""&amp;$A352&amp;""/edit#gid=156619080"",AC$3)"),"#REF!")</f>
        <v>#REF!</v>
      </c>
      <c r="AD352" s="2" t="str">
        <f>IFERROR(__xludf.DUMMYFUNCTION("IMPORTRANGE(""https://docs.google.com/spreadsheets/d/""&amp;$A352&amp;""/edit#gid=156619080"",AD$3)"),"#REF!")</f>
        <v>#REF!</v>
      </c>
      <c r="AE352" s="2" t="str">
        <f>IFERROR(__xludf.DUMMYFUNCTION("IMPORTRANGE(""https://docs.google.com/spreadsheets/d/""&amp;$A352&amp;""/edit#gid=156619080"",AE$3)"),"#REF!")</f>
        <v>#REF!</v>
      </c>
      <c r="AF352" s="2" t="str">
        <f>IFERROR(__xludf.DUMMYFUNCTION("IMPORTRANGE(""https://docs.google.com/spreadsheets/d/""&amp;$A352&amp;""/edit#gid=156619080"",AF$3)"),"#REF!")</f>
        <v>#REF!</v>
      </c>
      <c r="AG352" s="2" t="str">
        <f>IFERROR(__xludf.DUMMYFUNCTION("IMPORTRANGE(""https://docs.google.com/spreadsheets/d/""&amp;$A352&amp;""/edit#gid=156619080"",AG$3)"),"#REF!")</f>
        <v>#REF!</v>
      </c>
      <c r="AH352" s="2" t="str">
        <f>IFERROR(__xludf.DUMMYFUNCTION("IMPORTRANGE(""https://docs.google.com/spreadsheets/d/""&amp;$A352&amp;""/edit#gid=156619080"",AH$3)"),"#REF!")</f>
        <v>#REF!</v>
      </c>
      <c r="AI352" s="2" t="str">
        <f>IFERROR(__xludf.DUMMYFUNCTION("IMPORTRANGE(""https://docs.google.com/spreadsheets/d/""&amp;$A352&amp;""/edit#gid=156619080"",AI$3)"),"#REF!")</f>
        <v>#REF!</v>
      </c>
      <c r="AJ352" s="2" t="str">
        <f>IFERROR(__xludf.DUMMYFUNCTION("IMPORTRANGE(""https://docs.google.com/spreadsheets/d/""&amp;$A352&amp;""/edit#gid=156619080"",AJ$3)"),"#REF!")</f>
        <v>#REF!</v>
      </c>
      <c r="AK352" s="2" t="str">
        <f>IFERROR(__xludf.DUMMYFUNCTION("IMPORTRANGE(""https://docs.google.com/spreadsheets/d/""&amp;$A352&amp;""/edit#gid=156619080"",AK$3)"),"#REF!")</f>
        <v>#REF!</v>
      </c>
      <c r="AL352" s="2" t="str">
        <f>IFERROR(__xludf.DUMMYFUNCTION("IMPORTRANGE(""https://docs.google.com/spreadsheets/d/""&amp;$A352&amp;""/edit#gid=156619080"",AL$3)"),"#REF!")</f>
        <v>#REF!</v>
      </c>
      <c r="AM352" s="2" t="str">
        <f>IFERROR(__xludf.DUMMYFUNCTION("IMPORTRANGE(""https://docs.google.com/spreadsheets/d/""&amp;$A352&amp;""/edit#gid=156619080"",AM$3)"),"#REF!")</f>
        <v>#REF!</v>
      </c>
      <c r="AN352" s="2" t="str">
        <f>IFERROR(__xludf.DUMMYFUNCTION("IMPORTRANGE(""https://docs.google.com/spreadsheets/d/""&amp;$A352&amp;""/edit#gid=156619080"",AN$3)"),"#REF!")</f>
        <v>#REF!</v>
      </c>
      <c r="AO352" s="2" t="str">
        <f>IFERROR(__xludf.DUMMYFUNCTION("IMPORTRANGE(""https://docs.google.com/spreadsheets/d/""&amp;$A352&amp;""/edit#gid=156619080"",AO$3)"),"#REF!")</f>
        <v>#REF!</v>
      </c>
      <c r="AP352" s="2" t="str">
        <f>IFERROR(__xludf.DUMMYFUNCTION("IMPORTRANGE(""https://docs.google.com/spreadsheets/d/""&amp;$A352&amp;""/edit#gid=156619080"",AP$3)"),"#REF!")</f>
        <v>#REF!</v>
      </c>
      <c r="AQ352" s="2" t="str">
        <f>IFERROR(__xludf.DUMMYFUNCTION("IMPORTRANGE(""https://docs.google.com/spreadsheets/d/""&amp;$A352&amp;""/edit#gid=156619080"",AQ$3)"),"#REF!")</f>
        <v>#REF!</v>
      </c>
      <c r="AR352" s="2" t="str">
        <f>IFERROR(__xludf.DUMMYFUNCTION("IMPORTRANGE(""https://docs.google.com/spreadsheets/d/""&amp;$A352&amp;""/edit#gid=156619080"",AR$3)"),"#REF!")</f>
        <v>#REF!</v>
      </c>
      <c r="AS352" s="19" t="str">
        <f>IFERROR(__xludf.DUMMYFUNCTION("IMPORTRANGE(""https://docs.google.com/spreadsheets/d/""&amp;$A352&amp;""/edit#gid=156619080"",AS$3)"),"#REF!")</f>
        <v>#REF!</v>
      </c>
      <c r="AT352" s="2" t="str">
        <f>IFERROR(__xludf.DUMMYFUNCTION("IMPORTRANGE(""https://docs.google.com/spreadsheets/d/""&amp;$A352&amp;""/edit#gid=156619080"",AT$3)"),"#REF!")</f>
        <v>#REF!</v>
      </c>
      <c r="AU352" s="3" t="str">
        <f>IFERROR(__xludf.DUMMYFUNCTION("IMPORTRANGE(""https://docs.google.com/spreadsheets/d/""&amp;$A352&amp;""/edit#gid=156619080"",AU$3)"),"#REF!")</f>
        <v>#REF!</v>
      </c>
      <c r="AV352" s="2" t="str">
        <f>IFERROR(__xludf.DUMMYFUNCTION("IMPORTRANGE(""https://docs.google.com/spreadsheets/d/""&amp;$A352&amp;""/edit#gid=156619080"",AV$3)"),"#REF!")</f>
        <v>#REF!</v>
      </c>
      <c r="AW352" s="19" t="str">
        <f>IFERROR(__xludf.DUMMYFUNCTION("IMPORTRANGE(""https://docs.google.com/spreadsheets/d/""&amp;$A352&amp;""/edit#gid=156619080"",AW$3)"),"#REF!")</f>
        <v>#REF!</v>
      </c>
      <c r="AX352" s="2" t="str">
        <f>IFERROR(__xludf.DUMMYFUNCTION("IMPORTRANGE(""https://docs.google.com/spreadsheets/d/""&amp;$A352&amp;""/edit#gid=156619080"",AX$3)"),"#REF!")</f>
        <v>#REF!</v>
      </c>
      <c r="AY352" s="2" t="str">
        <f>IFERROR(__xludf.DUMMYFUNCTION("IMPORTRANGE(""https://docs.google.com/spreadsheets/d/""&amp;$A352&amp;""/edit#gid=156619080"",AY$3)"),"#REF!")</f>
        <v>#REF!</v>
      </c>
      <c r="AZ352" s="2" t="str">
        <f>IFERROR(__xludf.DUMMYFUNCTION("IMPORTRANGE(""https://docs.google.com/spreadsheets/d/""&amp;$A352&amp;""/edit#gid=156619080"",AZ$3)"),"#REF!")</f>
        <v>#REF!</v>
      </c>
      <c r="BA352" s="2" t="str">
        <f>IFERROR(__xludf.DUMMYFUNCTION("IMPORTRANGE(""https://docs.google.com/spreadsheets/d/""&amp;$A352&amp;""/edit#gid=156619080"",BA$3)"),"#REF!")</f>
        <v>#REF!</v>
      </c>
      <c r="BB352" s="2" t="str">
        <f>IFERROR(__xludf.DUMMYFUNCTION("IMPORTRANGE(""https://docs.google.com/spreadsheets/d/""&amp;$A352&amp;""/edit#gid=156619080"",BB$3)"),"#REF!")</f>
        <v>#REF!</v>
      </c>
      <c r="BC352" s="2" t="str">
        <f>IFERROR(__xludf.DUMMYFUNCTION("IMPORTRANGE(""https://docs.google.com/spreadsheets/d/""&amp;$A352&amp;""/edit#gid=156619080"",BC$3)"),"#REF!")</f>
        <v>#REF!</v>
      </c>
    </row>
    <row r="353" ht="51.0" customHeight="1">
      <c r="A353" s="7" t="str">
        <f t="shared" si="5"/>
        <v>1Lphhn1f9TRc2ShMRxF7F-NwuG8Cp2jYAb4YOpe5jnY0</v>
      </c>
      <c r="B353" s="1" t="s">
        <v>380</v>
      </c>
      <c r="C353" s="2" t="str">
        <f>IFERROR(__xludf.DUMMYFUNCTION("IMPORTRANGE(""https://docs.google.com/spreadsheets/d/""&amp;$A353&amp;""/edit#gid=156619080"",C$3)"),"#REF!")</f>
        <v>#REF!</v>
      </c>
      <c r="D353" s="2" t="str">
        <f>IFERROR(__xludf.DUMMYFUNCTION("IMPORTRANGE(""https://docs.google.com/spreadsheets/d/""&amp;$A353&amp;""/edit#gid=156619080"",D$3)"),"#REF!")</f>
        <v>#REF!</v>
      </c>
      <c r="E353" s="2" t="str">
        <f>IFERROR(__xludf.DUMMYFUNCTION("IMPORTRANGE(""https://docs.google.com/spreadsheets/d/""&amp;$A353&amp;""/edit#gid=156619080"",E$3)"),"#REF!")</f>
        <v>#REF!</v>
      </c>
      <c r="F353" s="2" t="str">
        <f>IFERROR(__xludf.DUMMYFUNCTION("IMPORTRANGE(""https://docs.google.com/spreadsheets/d/""&amp;$A353&amp;""/edit#gid=156619080"",F$3)"),"#REF!")</f>
        <v>#REF!</v>
      </c>
      <c r="G353" s="2" t="str">
        <f>IFERROR(__xludf.DUMMYFUNCTION("IMPORTRANGE(""https://docs.google.com/spreadsheets/d/""&amp;$A353&amp;""/edit#gid=156619080"",G$3)"),"#REF!")</f>
        <v>#REF!</v>
      </c>
      <c r="H353" s="2" t="str">
        <f>IFERROR(__xludf.DUMMYFUNCTION("IMPORTRANGE(""https://docs.google.com/spreadsheets/d/""&amp;$A353&amp;""/edit#gid=156619080"",H$3)"),"#REF!")</f>
        <v>#REF!</v>
      </c>
      <c r="I353" s="2" t="str">
        <f>IFERROR(__xludf.DUMMYFUNCTION("IMPORTRANGE(""https://docs.google.com/spreadsheets/d/""&amp;$A353&amp;""/edit#gid=156619080"",I$3)"),"#REF!")</f>
        <v>#REF!</v>
      </c>
      <c r="J353" s="2" t="str">
        <f>IFERROR(__xludf.DUMMYFUNCTION("IMPORTRANGE(""https://docs.google.com/spreadsheets/d/""&amp;$A353&amp;""/edit#gid=156619080"",J$3)"),"#REF!")</f>
        <v>#REF!</v>
      </c>
      <c r="K353" s="2" t="str">
        <f>IFERROR(__xludf.DUMMYFUNCTION("IMPORTRANGE(""https://docs.google.com/spreadsheets/d/""&amp;$A353&amp;""/edit#gid=156619080"",K$3)"),"#REF!")</f>
        <v>#REF!</v>
      </c>
      <c r="L353" s="2" t="str">
        <f>IFERROR(__xludf.DUMMYFUNCTION("IMPORTRANGE(""https://docs.google.com/spreadsheets/d/""&amp;$A353&amp;""/edit#gid=156619080"",L$3)"),"#REF!")</f>
        <v>#REF!</v>
      </c>
      <c r="M353" s="2" t="str">
        <f>IFERROR(__xludf.DUMMYFUNCTION("IMPORTRANGE(""https://docs.google.com/spreadsheets/d/""&amp;$A353&amp;""/edit#gid=156619080"",M$3)"),"#REF!")</f>
        <v>#REF!</v>
      </c>
      <c r="N353" s="2" t="str">
        <f>IFERROR(__xludf.DUMMYFUNCTION("IMPORTRANGE(""https://docs.google.com/spreadsheets/d/""&amp;$A353&amp;""/edit#gid=156619080"",N$3)"),"#REF!")</f>
        <v>#REF!</v>
      </c>
      <c r="O353" s="2" t="str">
        <f>IFERROR(__xludf.DUMMYFUNCTION("IMPORTRANGE(""https://docs.google.com/spreadsheets/d/""&amp;$A353&amp;""/edit#gid=156619080"",O$3)"),"#REF!")</f>
        <v>#REF!</v>
      </c>
      <c r="P353" s="2" t="str">
        <f>IFERROR(__xludf.DUMMYFUNCTION("IMPORTRANGE(""https://docs.google.com/spreadsheets/d/""&amp;$A353&amp;""/edit#gid=156619080"",P$3)"),"#REF!")</f>
        <v>#REF!</v>
      </c>
      <c r="Q353" s="2" t="str">
        <f>IFERROR(__xludf.DUMMYFUNCTION("IMPORTRANGE(""https://docs.google.com/spreadsheets/d/""&amp;$A353&amp;""/edit#gid=156619080"",Q$3)"),"#REF!")</f>
        <v>#REF!</v>
      </c>
      <c r="R353" s="2" t="str">
        <f>IFERROR(__xludf.DUMMYFUNCTION("IMPORTRANGE(""https://docs.google.com/spreadsheets/d/""&amp;$A353&amp;""/edit#gid=156619080"",R$3)"),"#REF!")</f>
        <v>#REF!</v>
      </c>
      <c r="S353" s="2" t="str">
        <f>IFERROR(__xludf.DUMMYFUNCTION("IMPORTRANGE(""https://docs.google.com/spreadsheets/d/""&amp;$A353&amp;""/edit#gid=156619080"",S$3)"),"#REF!")</f>
        <v>#REF!</v>
      </c>
      <c r="T353" s="2" t="str">
        <f>IFERROR(__xludf.DUMMYFUNCTION("IMPORTRANGE(""https://docs.google.com/spreadsheets/d/""&amp;$A353&amp;""/edit#gid=156619080"",T$3)"),"#REF!")</f>
        <v>#REF!</v>
      </c>
      <c r="U353" s="2" t="str">
        <f>IFERROR(__xludf.DUMMYFUNCTION("IMPORTRANGE(""https://docs.google.com/spreadsheets/d/""&amp;$A353&amp;""/edit#gid=156619080"",U$3)"),"#REF!")</f>
        <v>#REF!</v>
      </c>
      <c r="V353" s="2" t="str">
        <f>IFERROR(__xludf.DUMMYFUNCTION("IMPORTRANGE(""https://docs.google.com/spreadsheets/d/""&amp;$A353&amp;""/edit#gid=156619080"",V$3)"),"#REF!")</f>
        <v>#REF!</v>
      </c>
      <c r="W353" s="2" t="str">
        <f>IFERROR(__xludf.DUMMYFUNCTION("IMPORTRANGE(""https://docs.google.com/spreadsheets/d/""&amp;$A353&amp;""/edit#gid=156619080"",W$3)"),"#REF!")</f>
        <v>#REF!</v>
      </c>
      <c r="X353" s="2" t="str">
        <f>IFERROR(__xludf.DUMMYFUNCTION("IMPORTRANGE(""https://docs.google.com/spreadsheets/d/""&amp;$A353&amp;""/edit#gid=156619080"",X$3)"),"#REF!")</f>
        <v>#REF!</v>
      </c>
      <c r="Y353" s="2" t="str">
        <f>IFERROR(__xludf.DUMMYFUNCTION("IMPORTRANGE(""https://docs.google.com/spreadsheets/d/""&amp;$A353&amp;""/edit#gid=156619080"",Y$3)"),"#REF!")</f>
        <v>#REF!</v>
      </c>
      <c r="Z353" s="2" t="str">
        <f>IFERROR(__xludf.DUMMYFUNCTION("IMPORTRANGE(""https://docs.google.com/spreadsheets/d/""&amp;$A353&amp;""/edit#gid=156619080"",Z$3)"),"#REF!")</f>
        <v>#REF!</v>
      </c>
      <c r="AA353" s="2" t="str">
        <f>IFERROR(__xludf.DUMMYFUNCTION("IMPORTRANGE(""https://docs.google.com/spreadsheets/d/""&amp;$A353&amp;""/edit#gid=156619080"",AA$3)"),"#REF!")</f>
        <v>#REF!</v>
      </c>
      <c r="AB353" s="2" t="str">
        <f>IFERROR(__xludf.DUMMYFUNCTION("IMPORTRANGE(""https://docs.google.com/spreadsheets/d/""&amp;$A353&amp;""/edit#gid=156619080"",AB$3)"),"#REF!")</f>
        <v>#REF!</v>
      </c>
      <c r="AC353" s="2" t="str">
        <f>IFERROR(__xludf.DUMMYFUNCTION("IMPORTRANGE(""https://docs.google.com/spreadsheets/d/""&amp;$A353&amp;""/edit#gid=156619080"",AC$3)"),"#REF!")</f>
        <v>#REF!</v>
      </c>
      <c r="AD353" s="2" t="str">
        <f>IFERROR(__xludf.DUMMYFUNCTION("IMPORTRANGE(""https://docs.google.com/spreadsheets/d/""&amp;$A353&amp;""/edit#gid=156619080"",AD$3)"),"#REF!")</f>
        <v>#REF!</v>
      </c>
      <c r="AE353" s="2" t="str">
        <f>IFERROR(__xludf.DUMMYFUNCTION("IMPORTRANGE(""https://docs.google.com/spreadsheets/d/""&amp;$A353&amp;""/edit#gid=156619080"",AE$3)"),"#REF!")</f>
        <v>#REF!</v>
      </c>
      <c r="AF353" s="2" t="str">
        <f>IFERROR(__xludf.DUMMYFUNCTION("IMPORTRANGE(""https://docs.google.com/spreadsheets/d/""&amp;$A353&amp;""/edit#gid=156619080"",AF$3)"),"#REF!")</f>
        <v>#REF!</v>
      </c>
      <c r="AG353" s="2" t="str">
        <f>IFERROR(__xludf.DUMMYFUNCTION("IMPORTRANGE(""https://docs.google.com/spreadsheets/d/""&amp;$A353&amp;""/edit#gid=156619080"",AG$3)"),"#REF!")</f>
        <v>#REF!</v>
      </c>
      <c r="AH353" s="2" t="str">
        <f>IFERROR(__xludf.DUMMYFUNCTION("IMPORTRANGE(""https://docs.google.com/spreadsheets/d/""&amp;$A353&amp;""/edit#gid=156619080"",AH$3)"),"#REF!")</f>
        <v>#REF!</v>
      </c>
      <c r="AI353" s="2" t="str">
        <f>IFERROR(__xludf.DUMMYFUNCTION("IMPORTRANGE(""https://docs.google.com/spreadsheets/d/""&amp;$A353&amp;""/edit#gid=156619080"",AI$3)"),"#REF!")</f>
        <v>#REF!</v>
      </c>
      <c r="AJ353" s="2" t="str">
        <f>IFERROR(__xludf.DUMMYFUNCTION("IMPORTRANGE(""https://docs.google.com/spreadsheets/d/""&amp;$A353&amp;""/edit#gid=156619080"",AJ$3)"),"#REF!")</f>
        <v>#REF!</v>
      </c>
      <c r="AK353" s="2" t="str">
        <f>IFERROR(__xludf.DUMMYFUNCTION("IMPORTRANGE(""https://docs.google.com/spreadsheets/d/""&amp;$A353&amp;""/edit#gid=156619080"",AK$3)"),"#REF!")</f>
        <v>#REF!</v>
      </c>
      <c r="AL353" s="2" t="str">
        <f>IFERROR(__xludf.DUMMYFUNCTION("IMPORTRANGE(""https://docs.google.com/spreadsheets/d/""&amp;$A353&amp;""/edit#gid=156619080"",AL$3)"),"#REF!")</f>
        <v>#REF!</v>
      </c>
      <c r="AM353" s="2" t="str">
        <f>IFERROR(__xludf.DUMMYFUNCTION("IMPORTRANGE(""https://docs.google.com/spreadsheets/d/""&amp;$A353&amp;""/edit#gid=156619080"",AM$3)"),"#REF!")</f>
        <v>#REF!</v>
      </c>
      <c r="AN353" s="2" t="str">
        <f>IFERROR(__xludf.DUMMYFUNCTION("IMPORTRANGE(""https://docs.google.com/spreadsheets/d/""&amp;$A353&amp;""/edit#gid=156619080"",AN$3)"),"#REF!")</f>
        <v>#REF!</v>
      </c>
      <c r="AO353" s="2" t="str">
        <f>IFERROR(__xludf.DUMMYFUNCTION("IMPORTRANGE(""https://docs.google.com/spreadsheets/d/""&amp;$A353&amp;""/edit#gid=156619080"",AO$3)"),"#REF!")</f>
        <v>#REF!</v>
      </c>
      <c r="AP353" s="2" t="str">
        <f>IFERROR(__xludf.DUMMYFUNCTION("IMPORTRANGE(""https://docs.google.com/spreadsheets/d/""&amp;$A353&amp;""/edit#gid=156619080"",AP$3)"),"#REF!")</f>
        <v>#REF!</v>
      </c>
      <c r="AQ353" s="2" t="str">
        <f>IFERROR(__xludf.DUMMYFUNCTION("IMPORTRANGE(""https://docs.google.com/spreadsheets/d/""&amp;$A353&amp;""/edit#gid=156619080"",AQ$3)"),"#REF!")</f>
        <v>#REF!</v>
      </c>
      <c r="AR353" s="2" t="str">
        <f>IFERROR(__xludf.DUMMYFUNCTION("IMPORTRANGE(""https://docs.google.com/spreadsheets/d/""&amp;$A353&amp;""/edit#gid=156619080"",AR$3)"),"#REF!")</f>
        <v>#REF!</v>
      </c>
      <c r="AS353" s="19" t="str">
        <f>IFERROR(__xludf.DUMMYFUNCTION("IMPORTRANGE(""https://docs.google.com/spreadsheets/d/""&amp;$A353&amp;""/edit#gid=156619080"",AS$3)"),"#REF!")</f>
        <v>#REF!</v>
      </c>
      <c r="AT353" s="2" t="str">
        <f>IFERROR(__xludf.DUMMYFUNCTION("IMPORTRANGE(""https://docs.google.com/spreadsheets/d/""&amp;$A353&amp;""/edit#gid=156619080"",AT$3)"),"#REF!")</f>
        <v>#REF!</v>
      </c>
      <c r="AU353" s="3" t="str">
        <f>IFERROR(__xludf.DUMMYFUNCTION("IMPORTRANGE(""https://docs.google.com/spreadsheets/d/""&amp;$A353&amp;""/edit#gid=156619080"",AU$3)"),"#REF!")</f>
        <v>#REF!</v>
      </c>
      <c r="AV353" s="2" t="str">
        <f>IFERROR(__xludf.DUMMYFUNCTION("IMPORTRANGE(""https://docs.google.com/spreadsheets/d/""&amp;$A353&amp;""/edit#gid=156619080"",AV$3)"),"#REF!")</f>
        <v>#REF!</v>
      </c>
      <c r="AW353" s="19" t="str">
        <f>IFERROR(__xludf.DUMMYFUNCTION("IMPORTRANGE(""https://docs.google.com/spreadsheets/d/""&amp;$A353&amp;""/edit#gid=156619080"",AW$3)"),"#REF!")</f>
        <v>#REF!</v>
      </c>
      <c r="AX353" s="2" t="str">
        <f>IFERROR(__xludf.DUMMYFUNCTION("IMPORTRANGE(""https://docs.google.com/spreadsheets/d/""&amp;$A353&amp;""/edit#gid=156619080"",AX$3)"),"#REF!")</f>
        <v>#REF!</v>
      </c>
      <c r="AY353" s="2" t="str">
        <f>IFERROR(__xludf.DUMMYFUNCTION("IMPORTRANGE(""https://docs.google.com/spreadsheets/d/""&amp;$A353&amp;""/edit#gid=156619080"",AY$3)"),"#REF!")</f>
        <v>#REF!</v>
      </c>
      <c r="AZ353" s="2" t="str">
        <f>IFERROR(__xludf.DUMMYFUNCTION("IMPORTRANGE(""https://docs.google.com/spreadsheets/d/""&amp;$A353&amp;""/edit#gid=156619080"",AZ$3)"),"#REF!")</f>
        <v>#REF!</v>
      </c>
      <c r="BA353" s="2" t="str">
        <f>IFERROR(__xludf.DUMMYFUNCTION("IMPORTRANGE(""https://docs.google.com/spreadsheets/d/""&amp;$A353&amp;""/edit#gid=156619080"",BA$3)"),"#REF!")</f>
        <v>#REF!</v>
      </c>
      <c r="BB353" s="2" t="str">
        <f>IFERROR(__xludf.DUMMYFUNCTION("IMPORTRANGE(""https://docs.google.com/spreadsheets/d/""&amp;$A353&amp;""/edit#gid=156619080"",BB$3)"),"#REF!")</f>
        <v>#REF!</v>
      </c>
      <c r="BC353" s="2" t="str">
        <f>IFERROR(__xludf.DUMMYFUNCTION("IMPORTRANGE(""https://docs.google.com/spreadsheets/d/""&amp;$A353&amp;""/edit#gid=156619080"",BC$3)"),"#REF!")</f>
        <v>#REF!</v>
      </c>
    </row>
    <row r="354" ht="51.0" customHeight="1">
      <c r="A354" s="7" t="str">
        <f t="shared" si="5"/>
        <v>1uWPhyZWmL5MQPFrR6m-dmNq3WaKVo7koqculpIRFzOI</v>
      </c>
      <c r="B354" s="1" t="s">
        <v>381</v>
      </c>
      <c r="C354" s="2" t="str">
        <f>IFERROR(__xludf.DUMMYFUNCTION("IMPORTRANGE(""https://docs.google.com/spreadsheets/d/""&amp;$A354&amp;""/edit#gid=156619080"",C$3)"),"#REF!")</f>
        <v>#REF!</v>
      </c>
      <c r="D354" s="2" t="str">
        <f>IFERROR(__xludf.DUMMYFUNCTION("IMPORTRANGE(""https://docs.google.com/spreadsheets/d/""&amp;$A354&amp;""/edit#gid=156619080"",D$3)"),"#REF!")</f>
        <v>#REF!</v>
      </c>
      <c r="E354" s="2" t="str">
        <f>IFERROR(__xludf.DUMMYFUNCTION("IMPORTRANGE(""https://docs.google.com/spreadsheets/d/""&amp;$A354&amp;""/edit#gid=156619080"",E$3)"),"#REF!")</f>
        <v>#REF!</v>
      </c>
      <c r="F354" s="2" t="str">
        <f>IFERROR(__xludf.DUMMYFUNCTION("IMPORTRANGE(""https://docs.google.com/spreadsheets/d/""&amp;$A354&amp;""/edit#gid=156619080"",F$3)"),"#REF!")</f>
        <v>#REF!</v>
      </c>
      <c r="G354" s="2" t="str">
        <f>IFERROR(__xludf.DUMMYFUNCTION("IMPORTRANGE(""https://docs.google.com/spreadsheets/d/""&amp;$A354&amp;""/edit#gid=156619080"",G$3)"),"#REF!")</f>
        <v>#REF!</v>
      </c>
      <c r="H354" s="2" t="str">
        <f>IFERROR(__xludf.DUMMYFUNCTION("IMPORTRANGE(""https://docs.google.com/spreadsheets/d/""&amp;$A354&amp;""/edit#gid=156619080"",H$3)"),"#REF!")</f>
        <v>#REF!</v>
      </c>
      <c r="I354" s="2" t="str">
        <f>IFERROR(__xludf.DUMMYFUNCTION("IMPORTRANGE(""https://docs.google.com/spreadsheets/d/""&amp;$A354&amp;""/edit#gid=156619080"",I$3)"),"#REF!")</f>
        <v>#REF!</v>
      </c>
      <c r="J354" s="2" t="str">
        <f>IFERROR(__xludf.DUMMYFUNCTION("IMPORTRANGE(""https://docs.google.com/spreadsheets/d/""&amp;$A354&amp;""/edit#gid=156619080"",J$3)"),"#REF!")</f>
        <v>#REF!</v>
      </c>
      <c r="K354" s="2" t="str">
        <f>IFERROR(__xludf.DUMMYFUNCTION("IMPORTRANGE(""https://docs.google.com/spreadsheets/d/""&amp;$A354&amp;""/edit#gid=156619080"",K$3)"),"#REF!")</f>
        <v>#REF!</v>
      </c>
      <c r="L354" s="2" t="str">
        <f>IFERROR(__xludf.DUMMYFUNCTION("IMPORTRANGE(""https://docs.google.com/spreadsheets/d/""&amp;$A354&amp;""/edit#gid=156619080"",L$3)"),"#REF!")</f>
        <v>#REF!</v>
      </c>
      <c r="M354" s="2" t="str">
        <f>IFERROR(__xludf.DUMMYFUNCTION("IMPORTRANGE(""https://docs.google.com/spreadsheets/d/""&amp;$A354&amp;""/edit#gid=156619080"",M$3)"),"#REF!")</f>
        <v>#REF!</v>
      </c>
      <c r="N354" s="2" t="str">
        <f>IFERROR(__xludf.DUMMYFUNCTION("IMPORTRANGE(""https://docs.google.com/spreadsheets/d/""&amp;$A354&amp;""/edit#gid=156619080"",N$3)"),"#REF!")</f>
        <v>#REF!</v>
      </c>
      <c r="O354" s="2" t="str">
        <f>IFERROR(__xludf.DUMMYFUNCTION("IMPORTRANGE(""https://docs.google.com/spreadsheets/d/""&amp;$A354&amp;""/edit#gid=156619080"",O$3)"),"#REF!")</f>
        <v>#REF!</v>
      </c>
      <c r="P354" s="2" t="str">
        <f>IFERROR(__xludf.DUMMYFUNCTION("IMPORTRANGE(""https://docs.google.com/spreadsheets/d/""&amp;$A354&amp;""/edit#gid=156619080"",P$3)"),"#REF!")</f>
        <v>#REF!</v>
      </c>
      <c r="Q354" s="2" t="str">
        <f>IFERROR(__xludf.DUMMYFUNCTION("IMPORTRANGE(""https://docs.google.com/spreadsheets/d/""&amp;$A354&amp;""/edit#gid=156619080"",Q$3)"),"#REF!")</f>
        <v>#REF!</v>
      </c>
      <c r="R354" s="2" t="str">
        <f>IFERROR(__xludf.DUMMYFUNCTION("IMPORTRANGE(""https://docs.google.com/spreadsheets/d/""&amp;$A354&amp;""/edit#gid=156619080"",R$3)"),"#REF!")</f>
        <v>#REF!</v>
      </c>
      <c r="S354" s="2" t="str">
        <f>IFERROR(__xludf.DUMMYFUNCTION("IMPORTRANGE(""https://docs.google.com/spreadsheets/d/""&amp;$A354&amp;""/edit#gid=156619080"",S$3)"),"#REF!")</f>
        <v>#REF!</v>
      </c>
      <c r="T354" s="2" t="str">
        <f>IFERROR(__xludf.DUMMYFUNCTION("IMPORTRANGE(""https://docs.google.com/spreadsheets/d/""&amp;$A354&amp;""/edit#gid=156619080"",T$3)"),"#REF!")</f>
        <v>#REF!</v>
      </c>
      <c r="U354" s="2" t="str">
        <f>IFERROR(__xludf.DUMMYFUNCTION("IMPORTRANGE(""https://docs.google.com/spreadsheets/d/""&amp;$A354&amp;""/edit#gid=156619080"",U$3)"),"#REF!")</f>
        <v>#REF!</v>
      </c>
      <c r="V354" s="2" t="str">
        <f>IFERROR(__xludf.DUMMYFUNCTION("IMPORTRANGE(""https://docs.google.com/spreadsheets/d/""&amp;$A354&amp;""/edit#gid=156619080"",V$3)"),"#REF!")</f>
        <v>#REF!</v>
      </c>
      <c r="W354" s="2" t="str">
        <f>IFERROR(__xludf.DUMMYFUNCTION("IMPORTRANGE(""https://docs.google.com/spreadsheets/d/""&amp;$A354&amp;""/edit#gid=156619080"",W$3)"),"#REF!")</f>
        <v>#REF!</v>
      </c>
      <c r="X354" s="2" t="str">
        <f>IFERROR(__xludf.DUMMYFUNCTION("IMPORTRANGE(""https://docs.google.com/spreadsheets/d/""&amp;$A354&amp;""/edit#gid=156619080"",X$3)"),"#REF!")</f>
        <v>#REF!</v>
      </c>
      <c r="Y354" s="2" t="str">
        <f>IFERROR(__xludf.DUMMYFUNCTION("IMPORTRANGE(""https://docs.google.com/spreadsheets/d/""&amp;$A354&amp;""/edit#gid=156619080"",Y$3)"),"#REF!")</f>
        <v>#REF!</v>
      </c>
      <c r="Z354" s="2" t="str">
        <f>IFERROR(__xludf.DUMMYFUNCTION("IMPORTRANGE(""https://docs.google.com/spreadsheets/d/""&amp;$A354&amp;""/edit#gid=156619080"",Z$3)"),"#REF!")</f>
        <v>#REF!</v>
      </c>
      <c r="AA354" s="2" t="str">
        <f>IFERROR(__xludf.DUMMYFUNCTION("IMPORTRANGE(""https://docs.google.com/spreadsheets/d/""&amp;$A354&amp;""/edit#gid=156619080"",AA$3)"),"#REF!")</f>
        <v>#REF!</v>
      </c>
      <c r="AB354" s="2" t="str">
        <f>IFERROR(__xludf.DUMMYFUNCTION("IMPORTRANGE(""https://docs.google.com/spreadsheets/d/""&amp;$A354&amp;""/edit#gid=156619080"",AB$3)"),"#REF!")</f>
        <v>#REF!</v>
      </c>
      <c r="AC354" s="2" t="str">
        <f>IFERROR(__xludf.DUMMYFUNCTION("IMPORTRANGE(""https://docs.google.com/spreadsheets/d/""&amp;$A354&amp;""/edit#gid=156619080"",AC$3)"),"#REF!")</f>
        <v>#REF!</v>
      </c>
      <c r="AD354" s="2" t="str">
        <f>IFERROR(__xludf.DUMMYFUNCTION("IMPORTRANGE(""https://docs.google.com/spreadsheets/d/""&amp;$A354&amp;""/edit#gid=156619080"",AD$3)"),"#REF!")</f>
        <v>#REF!</v>
      </c>
      <c r="AE354" s="2" t="str">
        <f>IFERROR(__xludf.DUMMYFUNCTION("IMPORTRANGE(""https://docs.google.com/spreadsheets/d/""&amp;$A354&amp;""/edit#gid=156619080"",AE$3)"),"#REF!")</f>
        <v>#REF!</v>
      </c>
      <c r="AF354" s="2" t="str">
        <f>IFERROR(__xludf.DUMMYFUNCTION("IMPORTRANGE(""https://docs.google.com/spreadsheets/d/""&amp;$A354&amp;""/edit#gid=156619080"",AF$3)"),"#REF!")</f>
        <v>#REF!</v>
      </c>
      <c r="AG354" s="2" t="str">
        <f>IFERROR(__xludf.DUMMYFUNCTION("IMPORTRANGE(""https://docs.google.com/spreadsheets/d/""&amp;$A354&amp;""/edit#gid=156619080"",AG$3)"),"#REF!")</f>
        <v>#REF!</v>
      </c>
      <c r="AH354" s="2" t="str">
        <f>IFERROR(__xludf.DUMMYFUNCTION("IMPORTRANGE(""https://docs.google.com/spreadsheets/d/""&amp;$A354&amp;""/edit#gid=156619080"",AH$3)"),"#REF!")</f>
        <v>#REF!</v>
      </c>
      <c r="AI354" s="2" t="str">
        <f>IFERROR(__xludf.DUMMYFUNCTION("IMPORTRANGE(""https://docs.google.com/spreadsheets/d/""&amp;$A354&amp;""/edit#gid=156619080"",AI$3)"),"#REF!")</f>
        <v>#REF!</v>
      </c>
      <c r="AJ354" s="2" t="str">
        <f>IFERROR(__xludf.DUMMYFUNCTION("IMPORTRANGE(""https://docs.google.com/spreadsheets/d/""&amp;$A354&amp;""/edit#gid=156619080"",AJ$3)"),"#REF!")</f>
        <v>#REF!</v>
      </c>
      <c r="AK354" s="2" t="str">
        <f>IFERROR(__xludf.DUMMYFUNCTION("IMPORTRANGE(""https://docs.google.com/spreadsheets/d/""&amp;$A354&amp;""/edit#gid=156619080"",AK$3)"),"#REF!")</f>
        <v>#REF!</v>
      </c>
      <c r="AL354" s="2" t="str">
        <f>IFERROR(__xludf.DUMMYFUNCTION("IMPORTRANGE(""https://docs.google.com/spreadsheets/d/""&amp;$A354&amp;""/edit#gid=156619080"",AL$3)"),"#REF!")</f>
        <v>#REF!</v>
      </c>
      <c r="AM354" s="2" t="str">
        <f>IFERROR(__xludf.DUMMYFUNCTION("IMPORTRANGE(""https://docs.google.com/spreadsheets/d/""&amp;$A354&amp;""/edit#gid=156619080"",AM$3)"),"#REF!")</f>
        <v>#REF!</v>
      </c>
      <c r="AN354" s="2" t="str">
        <f>IFERROR(__xludf.DUMMYFUNCTION("IMPORTRANGE(""https://docs.google.com/spreadsheets/d/""&amp;$A354&amp;""/edit#gid=156619080"",AN$3)"),"#REF!")</f>
        <v>#REF!</v>
      </c>
      <c r="AO354" s="2" t="str">
        <f>IFERROR(__xludf.DUMMYFUNCTION("IMPORTRANGE(""https://docs.google.com/spreadsheets/d/""&amp;$A354&amp;""/edit#gid=156619080"",AO$3)"),"#REF!")</f>
        <v>#REF!</v>
      </c>
      <c r="AP354" s="2" t="str">
        <f>IFERROR(__xludf.DUMMYFUNCTION("IMPORTRANGE(""https://docs.google.com/spreadsheets/d/""&amp;$A354&amp;""/edit#gid=156619080"",AP$3)"),"#REF!")</f>
        <v>#REF!</v>
      </c>
      <c r="AQ354" s="2" t="str">
        <f>IFERROR(__xludf.DUMMYFUNCTION("IMPORTRANGE(""https://docs.google.com/spreadsheets/d/""&amp;$A354&amp;""/edit#gid=156619080"",AQ$3)"),"#REF!")</f>
        <v>#REF!</v>
      </c>
      <c r="AR354" s="2" t="str">
        <f>IFERROR(__xludf.DUMMYFUNCTION("IMPORTRANGE(""https://docs.google.com/spreadsheets/d/""&amp;$A354&amp;""/edit#gid=156619080"",AR$3)"),"#REF!")</f>
        <v>#REF!</v>
      </c>
      <c r="AS354" s="19" t="str">
        <f>IFERROR(__xludf.DUMMYFUNCTION("IMPORTRANGE(""https://docs.google.com/spreadsheets/d/""&amp;$A354&amp;""/edit#gid=156619080"",AS$3)"),"#REF!")</f>
        <v>#REF!</v>
      </c>
      <c r="AT354" s="2" t="str">
        <f>IFERROR(__xludf.DUMMYFUNCTION("IMPORTRANGE(""https://docs.google.com/spreadsheets/d/""&amp;$A354&amp;""/edit#gid=156619080"",AT$3)"),"#REF!")</f>
        <v>#REF!</v>
      </c>
      <c r="AU354" s="3" t="str">
        <f>IFERROR(__xludf.DUMMYFUNCTION("IMPORTRANGE(""https://docs.google.com/spreadsheets/d/""&amp;$A354&amp;""/edit#gid=156619080"",AU$3)"),"#REF!")</f>
        <v>#REF!</v>
      </c>
      <c r="AV354" s="2" t="str">
        <f>IFERROR(__xludf.DUMMYFUNCTION("IMPORTRANGE(""https://docs.google.com/spreadsheets/d/""&amp;$A354&amp;""/edit#gid=156619080"",AV$3)"),"#REF!")</f>
        <v>#REF!</v>
      </c>
      <c r="AW354" s="19" t="str">
        <f>IFERROR(__xludf.DUMMYFUNCTION("IMPORTRANGE(""https://docs.google.com/spreadsheets/d/""&amp;$A354&amp;""/edit#gid=156619080"",AW$3)"),"#REF!")</f>
        <v>#REF!</v>
      </c>
      <c r="AX354" s="2" t="str">
        <f>IFERROR(__xludf.DUMMYFUNCTION("IMPORTRANGE(""https://docs.google.com/spreadsheets/d/""&amp;$A354&amp;""/edit#gid=156619080"",AX$3)"),"#REF!")</f>
        <v>#REF!</v>
      </c>
      <c r="AY354" s="2" t="str">
        <f>IFERROR(__xludf.DUMMYFUNCTION("IMPORTRANGE(""https://docs.google.com/spreadsheets/d/""&amp;$A354&amp;""/edit#gid=156619080"",AY$3)"),"#REF!")</f>
        <v>#REF!</v>
      </c>
      <c r="AZ354" s="2" t="str">
        <f>IFERROR(__xludf.DUMMYFUNCTION("IMPORTRANGE(""https://docs.google.com/spreadsheets/d/""&amp;$A354&amp;""/edit#gid=156619080"",AZ$3)"),"#REF!")</f>
        <v>#REF!</v>
      </c>
      <c r="BA354" s="2" t="str">
        <f>IFERROR(__xludf.DUMMYFUNCTION("IMPORTRANGE(""https://docs.google.com/spreadsheets/d/""&amp;$A354&amp;""/edit#gid=156619080"",BA$3)"),"#REF!")</f>
        <v>#REF!</v>
      </c>
      <c r="BB354" s="2" t="str">
        <f>IFERROR(__xludf.DUMMYFUNCTION("IMPORTRANGE(""https://docs.google.com/spreadsheets/d/""&amp;$A354&amp;""/edit#gid=156619080"",BB$3)"),"#REF!")</f>
        <v>#REF!</v>
      </c>
      <c r="BC354" s="2" t="str">
        <f>IFERROR(__xludf.DUMMYFUNCTION("IMPORTRANGE(""https://docs.google.com/spreadsheets/d/""&amp;$A354&amp;""/edit#gid=156619080"",BC$3)"),"#REF!")</f>
        <v>#REF!</v>
      </c>
    </row>
    <row r="355" ht="51.0" customHeight="1">
      <c r="A355" s="7" t="str">
        <f t="shared" si="5"/>
        <v>1q01oX2Q3OamOt7ZQZQxaecu-PhZ-uNWjQJEQdqrgPms</v>
      </c>
      <c r="B355" s="1" t="s">
        <v>382</v>
      </c>
      <c r="C355" s="2" t="str">
        <f>IFERROR(__xludf.DUMMYFUNCTION("IMPORTRANGE(""https://docs.google.com/spreadsheets/d/""&amp;$A355&amp;""/edit#gid=156619080"",C$3)"),"#REF!")</f>
        <v>#REF!</v>
      </c>
      <c r="D355" s="2" t="str">
        <f>IFERROR(__xludf.DUMMYFUNCTION("IMPORTRANGE(""https://docs.google.com/spreadsheets/d/""&amp;$A355&amp;""/edit#gid=156619080"",D$3)"),"#REF!")</f>
        <v>#REF!</v>
      </c>
      <c r="E355" s="2" t="str">
        <f>IFERROR(__xludf.DUMMYFUNCTION("IMPORTRANGE(""https://docs.google.com/spreadsheets/d/""&amp;$A355&amp;""/edit#gid=156619080"",E$3)"),"#REF!")</f>
        <v>#REF!</v>
      </c>
      <c r="F355" s="2" t="str">
        <f>IFERROR(__xludf.DUMMYFUNCTION("IMPORTRANGE(""https://docs.google.com/spreadsheets/d/""&amp;$A355&amp;""/edit#gid=156619080"",F$3)"),"#REF!")</f>
        <v>#REF!</v>
      </c>
      <c r="G355" s="2" t="str">
        <f>IFERROR(__xludf.DUMMYFUNCTION("IMPORTRANGE(""https://docs.google.com/spreadsheets/d/""&amp;$A355&amp;""/edit#gid=156619080"",G$3)"),"#REF!")</f>
        <v>#REF!</v>
      </c>
      <c r="H355" s="2" t="str">
        <f>IFERROR(__xludf.DUMMYFUNCTION("IMPORTRANGE(""https://docs.google.com/spreadsheets/d/""&amp;$A355&amp;""/edit#gid=156619080"",H$3)"),"#REF!")</f>
        <v>#REF!</v>
      </c>
      <c r="I355" s="2" t="str">
        <f>IFERROR(__xludf.DUMMYFUNCTION("IMPORTRANGE(""https://docs.google.com/spreadsheets/d/""&amp;$A355&amp;""/edit#gid=156619080"",I$3)"),"#REF!")</f>
        <v>#REF!</v>
      </c>
      <c r="J355" s="2" t="str">
        <f>IFERROR(__xludf.DUMMYFUNCTION("IMPORTRANGE(""https://docs.google.com/spreadsheets/d/""&amp;$A355&amp;""/edit#gid=156619080"",J$3)"),"#REF!")</f>
        <v>#REF!</v>
      </c>
      <c r="K355" s="2" t="str">
        <f>IFERROR(__xludf.DUMMYFUNCTION("IMPORTRANGE(""https://docs.google.com/spreadsheets/d/""&amp;$A355&amp;""/edit#gid=156619080"",K$3)"),"#REF!")</f>
        <v>#REF!</v>
      </c>
      <c r="L355" s="2" t="str">
        <f>IFERROR(__xludf.DUMMYFUNCTION("IMPORTRANGE(""https://docs.google.com/spreadsheets/d/""&amp;$A355&amp;""/edit#gid=156619080"",L$3)"),"#REF!")</f>
        <v>#REF!</v>
      </c>
      <c r="M355" s="2" t="str">
        <f>IFERROR(__xludf.DUMMYFUNCTION("IMPORTRANGE(""https://docs.google.com/spreadsheets/d/""&amp;$A355&amp;""/edit#gid=156619080"",M$3)"),"#REF!")</f>
        <v>#REF!</v>
      </c>
      <c r="N355" s="2" t="str">
        <f>IFERROR(__xludf.DUMMYFUNCTION("IMPORTRANGE(""https://docs.google.com/spreadsheets/d/""&amp;$A355&amp;""/edit#gid=156619080"",N$3)"),"#REF!")</f>
        <v>#REF!</v>
      </c>
      <c r="O355" s="2" t="str">
        <f>IFERROR(__xludf.DUMMYFUNCTION("IMPORTRANGE(""https://docs.google.com/spreadsheets/d/""&amp;$A355&amp;""/edit#gid=156619080"",O$3)"),"#REF!")</f>
        <v>#REF!</v>
      </c>
      <c r="P355" s="2" t="str">
        <f>IFERROR(__xludf.DUMMYFUNCTION("IMPORTRANGE(""https://docs.google.com/spreadsheets/d/""&amp;$A355&amp;""/edit#gid=156619080"",P$3)"),"#REF!")</f>
        <v>#REF!</v>
      </c>
      <c r="Q355" s="2" t="str">
        <f>IFERROR(__xludf.DUMMYFUNCTION("IMPORTRANGE(""https://docs.google.com/spreadsheets/d/""&amp;$A355&amp;""/edit#gid=156619080"",Q$3)"),"#REF!")</f>
        <v>#REF!</v>
      </c>
      <c r="R355" s="2" t="str">
        <f>IFERROR(__xludf.DUMMYFUNCTION("IMPORTRANGE(""https://docs.google.com/spreadsheets/d/""&amp;$A355&amp;""/edit#gid=156619080"",R$3)"),"#REF!")</f>
        <v>#REF!</v>
      </c>
      <c r="S355" s="2" t="str">
        <f>IFERROR(__xludf.DUMMYFUNCTION("IMPORTRANGE(""https://docs.google.com/spreadsheets/d/""&amp;$A355&amp;""/edit#gid=156619080"",S$3)"),"#REF!")</f>
        <v>#REF!</v>
      </c>
      <c r="T355" s="2" t="str">
        <f>IFERROR(__xludf.DUMMYFUNCTION("IMPORTRANGE(""https://docs.google.com/spreadsheets/d/""&amp;$A355&amp;""/edit#gid=156619080"",T$3)"),"#REF!")</f>
        <v>#REF!</v>
      </c>
      <c r="U355" s="2" t="str">
        <f>IFERROR(__xludf.DUMMYFUNCTION("IMPORTRANGE(""https://docs.google.com/spreadsheets/d/""&amp;$A355&amp;""/edit#gid=156619080"",U$3)"),"#REF!")</f>
        <v>#REF!</v>
      </c>
      <c r="V355" s="2" t="str">
        <f>IFERROR(__xludf.DUMMYFUNCTION("IMPORTRANGE(""https://docs.google.com/spreadsheets/d/""&amp;$A355&amp;""/edit#gid=156619080"",V$3)"),"#REF!")</f>
        <v>#REF!</v>
      </c>
      <c r="W355" s="2" t="str">
        <f>IFERROR(__xludf.DUMMYFUNCTION("IMPORTRANGE(""https://docs.google.com/spreadsheets/d/""&amp;$A355&amp;""/edit#gid=156619080"",W$3)"),"#REF!")</f>
        <v>#REF!</v>
      </c>
      <c r="X355" s="2" t="str">
        <f>IFERROR(__xludf.DUMMYFUNCTION("IMPORTRANGE(""https://docs.google.com/spreadsheets/d/""&amp;$A355&amp;""/edit#gid=156619080"",X$3)"),"#REF!")</f>
        <v>#REF!</v>
      </c>
      <c r="Y355" s="2" t="str">
        <f>IFERROR(__xludf.DUMMYFUNCTION("IMPORTRANGE(""https://docs.google.com/spreadsheets/d/""&amp;$A355&amp;""/edit#gid=156619080"",Y$3)"),"#REF!")</f>
        <v>#REF!</v>
      </c>
      <c r="Z355" s="2" t="str">
        <f>IFERROR(__xludf.DUMMYFUNCTION("IMPORTRANGE(""https://docs.google.com/spreadsheets/d/""&amp;$A355&amp;""/edit#gid=156619080"",Z$3)"),"#REF!")</f>
        <v>#REF!</v>
      </c>
      <c r="AA355" s="2" t="str">
        <f>IFERROR(__xludf.DUMMYFUNCTION("IMPORTRANGE(""https://docs.google.com/spreadsheets/d/""&amp;$A355&amp;""/edit#gid=156619080"",AA$3)"),"#REF!")</f>
        <v>#REF!</v>
      </c>
      <c r="AB355" s="2" t="str">
        <f>IFERROR(__xludf.DUMMYFUNCTION("IMPORTRANGE(""https://docs.google.com/spreadsheets/d/""&amp;$A355&amp;""/edit#gid=156619080"",AB$3)"),"#REF!")</f>
        <v>#REF!</v>
      </c>
      <c r="AC355" s="2" t="str">
        <f>IFERROR(__xludf.DUMMYFUNCTION("IMPORTRANGE(""https://docs.google.com/spreadsheets/d/""&amp;$A355&amp;""/edit#gid=156619080"",AC$3)"),"#REF!")</f>
        <v>#REF!</v>
      </c>
      <c r="AD355" s="2" t="str">
        <f>IFERROR(__xludf.DUMMYFUNCTION("IMPORTRANGE(""https://docs.google.com/spreadsheets/d/""&amp;$A355&amp;""/edit#gid=156619080"",AD$3)"),"#REF!")</f>
        <v>#REF!</v>
      </c>
      <c r="AE355" s="2" t="str">
        <f>IFERROR(__xludf.DUMMYFUNCTION("IMPORTRANGE(""https://docs.google.com/spreadsheets/d/""&amp;$A355&amp;""/edit#gid=156619080"",AE$3)"),"#REF!")</f>
        <v>#REF!</v>
      </c>
      <c r="AF355" s="2" t="str">
        <f>IFERROR(__xludf.DUMMYFUNCTION("IMPORTRANGE(""https://docs.google.com/spreadsheets/d/""&amp;$A355&amp;""/edit#gid=156619080"",AF$3)"),"#REF!")</f>
        <v>#REF!</v>
      </c>
      <c r="AG355" s="2" t="str">
        <f>IFERROR(__xludf.DUMMYFUNCTION("IMPORTRANGE(""https://docs.google.com/spreadsheets/d/""&amp;$A355&amp;""/edit#gid=156619080"",AG$3)"),"#REF!")</f>
        <v>#REF!</v>
      </c>
      <c r="AH355" s="2" t="str">
        <f>IFERROR(__xludf.DUMMYFUNCTION("IMPORTRANGE(""https://docs.google.com/spreadsheets/d/""&amp;$A355&amp;""/edit#gid=156619080"",AH$3)"),"#REF!")</f>
        <v>#REF!</v>
      </c>
      <c r="AI355" s="2" t="str">
        <f>IFERROR(__xludf.DUMMYFUNCTION("IMPORTRANGE(""https://docs.google.com/spreadsheets/d/""&amp;$A355&amp;""/edit#gid=156619080"",AI$3)"),"#REF!")</f>
        <v>#REF!</v>
      </c>
      <c r="AJ355" s="2" t="str">
        <f>IFERROR(__xludf.DUMMYFUNCTION("IMPORTRANGE(""https://docs.google.com/spreadsheets/d/""&amp;$A355&amp;""/edit#gid=156619080"",AJ$3)"),"#REF!")</f>
        <v>#REF!</v>
      </c>
      <c r="AK355" s="2" t="str">
        <f>IFERROR(__xludf.DUMMYFUNCTION("IMPORTRANGE(""https://docs.google.com/spreadsheets/d/""&amp;$A355&amp;""/edit#gid=156619080"",AK$3)"),"#REF!")</f>
        <v>#REF!</v>
      </c>
      <c r="AL355" s="2" t="str">
        <f>IFERROR(__xludf.DUMMYFUNCTION("IMPORTRANGE(""https://docs.google.com/spreadsheets/d/""&amp;$A355&amp;""/edit#gid=156619080"",AL$3)"),"#REF!")</f>
        <v>#REF!</v>
      </c>
      <c r="AM355" s="2" t="str">
        <f>IFERROR(__xludf.DUMMYFUNCTION("IMPORTRANGE(""https://docs.google.com/spreadsheets/d/""&amp;$A355&amp;""/edit#gid=156619080"",AM$3)"),"#REF!")</f>
        <v>#REF!</v>
      </c>
      <c r="AN355" s="2" t="str">
        <f>IFERROR(__xludf.DUMMYFUNCTION("IMPORTRANGE(""https://docs.google.com/spreadsheets/d/""&amp;$A355&amp;""/edit#gid=156619080"",AN$3)"),"#REF!")</f>
        <v>#REF!</v>
      </c>
      <c r="AO355" s="2" t="str">
        <f>IFERROR(__xludf.DUMMYFUNCTION("IMPORTRANGE(""https://docs.google.com/spreadsheets/d/""&amp;$A355&amp;""/edit#gid=156619080"",AO$3)"),"#REF!")</f>
        <v>#REF!</v>
      </c>
      <c r="AP355" s="2" t="str">
        <f>IFERROR(__xludf.DUMMYFUNCTION("IMPORTRANGE(""https://docs.google.com/spreadsheets/d/""&amp;$A355&amp;""/edit#gid=156619080"",AP$3)"),"#REF!")</f>
        <v>#REF!</v>
      </c>
      <c r="AQ355" s="2" t="str">
        <f>IFERROR(__xludf.DUMMYFUNCTION("IMPORTRANGE(""https://docs.google.com/spreadsheets/d/""&amp;$A355&amp;""/edit#gid=156619080"",AQ$3)"),"#REF!")</f>
        <v>#REF!</v>
      </c>
      <c r="AR355" s="2" t="str">
        <f>IFERROR(__xludf.DUMMYFUNCTION("IMPORTRANGE(""https://docs.google.com/spreadsheets/d/""&amp;$A355&amp;""/edit#gid=156619080"",AR$3)"),"#REF!")</f>
        <v>#REF!</v>
      </c>
      <c r="AS355" s="19" t="str">
        <f>IFERROR(__xludf.DUMMYFUNCTION("IMPORTRANGE(""https://docs.google.com/spreadsheets/d/""&amp;$A355&amp;""/edit#gid=156619080"",AS$3)"),"#REF!")</f>
        <v>#REF!</v>
      </c>
      <c r="AT355" s="2" t="str">
        <f>IFERROR(__xludf.DUMMYFUNCTION("IMPORTRANGE(""https://docs.google.com/spreadsheets/d/""&amp;$A355&amp;""/edit#gid=156619080"",AT$3)"),"#REF!")</f>
        <v>#REF!</v>
      </c>
      <c r="AU355" s="3" t="str">
        <f>IFERROR(__xludf.DUMMYFUNCTION("IMPORTRANGE(""https://docs.google.com/spreadsheets/d/""&amp;$A355&amp;""/edit#gid=156619080"",AU$3)"),"#REF!")</f>
        <v>#REF!</v>
      </c>
      <c r="AV355" s="2" t="str">
        <f>IFERROR(__xludf.DUMMYFUNCTION("IMPORTRANGE(""https://docs.google.com/spreadsheets/d/""&amp;$A355&amp;""/edit#gid=156619080"",AV$3)"),"#REF!")</f>
        <v>#REF!</v>
      </c>
      <c r="AW355" s="19" t="str">
        <f>IFERROR(__xludf.DUMMYFUNCTION("IMPORTRANGE(""https://docs.google.com/spreadsheets/d/""&amp;$A355&amp;""/edit#gid=156619080"",AW$3)"),"#REF!")</f>
        <v>#REF!</v>
      </c>
      <c r="AX355" s="2" t="str">
        <f>IFERROR(__xludf.DUMMYFUNCTION("IMPORTRANGE(""https://docs.google.com/spreadsheets/d/""&amp;$A355&amp;""/edit#gid=156619080"",AX$3)"),"#REF!")</f>
        <v>#REF!</v>
      </c>
      <c r="AY355" s="2" t="str">
        <f>IFERROR(__xludf.DUMMYFUNCTION("IMPORTRANGE(""https://docs.google.com/spreadsheets/d/""&amp;$A355&amp;""/edit#gid=156619080"",AY$3)"),"#REF!")</f>
        <v>#REF!</v>
      </c>
      <c r="AZ355" s="2" t="str">
        <f>IFERROR(__xludf.DUMMYFUNCTION("IMPORTRANGE(""https://docs.google.com/spreadsheets/d/""&amp;$A355&amp;""/edit#gid=156619080"",AZ$3)"),"#REF!")</f>
        <v>#REF!</v>
      </c>
      <c r="BA355" s="2" t="str">
        <f>IFERROR(__xludf.DUMMYFUNCTION("IMPORTRANGE(""https://docs.google.com/spreadsheets/d/""&amp;$A355&amp;""/edit#gid=156619080"",BA$3)"),"#REF!")</f>
        <v>#REF!</v>
      </c>
      <c r="BB355" s="2" t="str">
        <f>IFERROR(__xludf.DUMMYFUNCTION("IMPORTRANGE(""https://docs.google.com/spreadsheets/d/""&amp;$A355&amp;""/edit#gid=156619080"",BB$3)"),"#REF!")</f>
        <v>#REF!</v>
      </c>
      <c r="BC355" s="2" t="str">
        <f>IFERROR(__xludf.DUMMYFUNCTION("IMPORTRANGE(""https://docs.google.com/spreadsheets/d/""&amp;$A355&amp;""/edit#gid=156619080"",BC$3)"),"#REF!")</f>
        <v>#REF!</v>
      </c>
    </row>
    <row r="356" ht="51.0" customHeight="1">
      <c r="A356" s="7" t="str">
        <f t="shared" si="5"/>
        <v>14FWHy78jcaz5LMmbSEwolTS_uAWAzslX7gF_4liOnos</v>
      </c>
      <c r="B356" s="1" t="s">
        <v>383</v>
      </c>
      <c r="C356" s="2" t="str">
        <f>IFERROR(__xludf.DUMMYFUNCTION("IMPORTRANGE(""https://docs.google.com/spreadsheets/d/""&amp;$A356&amp;""/edit#gid=156619080"",C$3)"),"#REF!")</f>
        <v>#REF!</v>
      </c>
      <c r="D356" s="2" t="str">
        <f>IFERROR(__xludf.DUMMYFUNCTION("IMPORTRANGE(""https://docs.google.com/spreadsheets/d/""&amp;$A356&amp;""/edit#gid=156619080"",D$3)"),"#REF!")</f>
        <v>#REF!</v>
      </c>
      <c r="E356" s="2" t="str">
        <f>IFERROR(__xludf.DUMMYFUNCTION("IMPORTRANGE(""https://docs.google.com/spreadsheets/d/""&amp;$A356&amp;""/edit#gid=156619080"",E$3)"),"#REF!")</f>
        <v>#REF!</v>
      </c>
      <c r="F356" s="2" t="str">
        <f>IFERROR(__xludf.DUMMYFUNCTION("IMPORTRANGE(""https://docs.google.com/spreadsheets/d/""&amp;$A356&amp;""/edit#gid=156619080"",F$3)"),"#REF!")</f>
        <v>#REF!</v>
      </c>
      <c r="G356" s="2" t="str">
        <f>IFERROR(__xludf.DUMMYFUNCTION("IMPORTRANGE(""https://docs.google.com/spreadsheets/d/""&amp;$A356&amp;""/edit#gid=156619080"",G$3)"),"#REF!")</f>
        <v>#REF!</v>
      </c>
      <c r="H356" s="2" t="str">
        <f>IFERROR(__xludf.DUMMYFUNCTION("IMPORTRANGE(""https://docs.google.com/spreadsheets/d/""&amp;$A356&amp;""/edit#gid=156619080"",H$3)"),"#REF!")</f>
        <v>#REF!</v>
      </c>
      <c r="I356" s="2" t="str">
        <f>IFERROR(__xludf.DUMMYFUNCTION("IMPORTRANGE(""https://docs.google.com/spreadsheets/d/""&amp;$A356&amp;""/edit#gid=156619080"",I$3)"),"#REF!")</f>
        <v>#REF!</v>
      </c>
      <c r="J356" s="2" t="str">
        <f>IFERROR(__xludf.DUMMYFUNCTION("IMPORTRANGE(""https://docs.google.com/spreadsheets/d/""&amp;$A356&amp;""/edit#gid=156619080"",J$3)"),"#REF!")</f>
        <v>#REF!</v>
      </c>
      <c r="K356" s="2" t="str">
        <f>IFERROR(__xludf.DUMMYFUNCTION("IMPORTRANGE(""https://docs.google.com/spreadsheets/d/""&amp;$A356&amp;""/edit#gid=156619080"",K$3)"),"#REF!")</f>
        <v>#REF!</v>
      </c>
      <c r="L356" s="2" t="str">
        <f>IFERROR(__xludf.DUMMYFUNCTION("IMPORTRANGE(""https://docs.google.com/spreadsheets/d/""&amp;$A356&amp;""/edit#gid=156619080"",L$3)"),"#REF!")</f>
        <v>#REF!</v>
      </c>
      <c r="M356" s="2" t="str">
        <f>IFERROR(__xludf.DUMMYFUNCTION("IMPORTRANGE(""https://docs.google.com/spreadsheets/d/""&amp;$A356&amp;""/edit#gid=156619080"",M$3)"),"#REF!")</f>
        <v>#REF!</v>
      </c>
      <c r="N356" s="2" t="str">
        <f>IFERROR(__xludf.DUMMYFUNCTION("IMPORTRANGE(""https://docs.google.com/spreadsheets/d/""&amp;$A356&amp;""/edit#gid=156619080"",N$3)"),"#REF!")</f>
        <v>#REF!</v>
      </c>
      <c r="O356" s="2" t="str">
        <f>IFERROR(__xludf.DUMMYFUNCTION("IMPORTRANGE(""https://docs.google.com/spreadsheets/d/""&amp;$A356&amp;""/edit#gid=156619080"",O$3)"),"#REF!")</f>
        <v>#REF!</v>
      </c>
      <c r="P356" s="2" t="str">
        <f>IFERROR(__xludf.DUMMYFUNCTION("IMPORTRANGE(""https://docs.google.com/spreadsheets/d/""&amp;$A356&amp;""/edit#gid=156619080"",P$3)"),"#REF!")</f>
        <v>#REF!</v>
      </c>
      <c r="Q356" s="2" t="str">
        <f>IFERROR(__xludf.DUMMYFUNCTION("IMPORTRANGE(""https://docs.google.com/spreadsheets/d/""&amp;$A356&amp;""/edit#gid=156619080"",Q$3)"),"#REF!")</f>
        <v>#REF!</v>
      </c>
      <c r="R356" s="2" t="str">
        <f>IFERROR(__xludf.DUMMYFUNCTION("IMPORTRANGE(""https://docs.google.com/spreadsheets/d/""&amp;$A356&amp;""/edit#gid=156619080"",R$3)"),"#REF!")</f>
        <v>#REF!</v>
      </c>
      <c r="S356" s="2" t="str">
        <f>IFERROR(__xludf.DUMMYFUNCTION("IMPORTRANGE(""https://docs.google.com/spreadsheets/d/""&amp;$A356&amp;""/edit#gid=156619080"",S$3)"),"#REF!")</f>
        <v>#REF!</v>
      </c>
      <c r="T356" s="2" t="str">
        <f>IFERROR(__xludf.DUMMYFUNCTION("IMPORTRANGE(""https://docs.google.com/spreadsheets/d/""&amp;$A356&amp;""/edit#gid=156619080"",T$3)"),"#REF!")</f>
        <v>#REF!</v>
      </c>
      <c r="U356" s="2" t="str">
        <f>IFERROR(__xludf.DUMMYFUNCTION("IMPORTRANGE(""https://docs.google.com/spreadsheets/d/""&amp;$A356&amp;""/edit#gid=156619080"",U$3)"),"#REF!")</f>
        <v>#REF!</v>
      </c>
      <c r="V356" s="2" t="str">
        <f>IFERROR(__xludf.DUMMYFUNCTION("IMPORTRANGE(""https://docs.google.com/spreadsheets/d/""&amp;$A356&amp;""/edit#gid=156619080"",V$3)"),"#REF!")</f>
        <v>#REF!</v>
      </c>
      <c r="W356" s="2" t="str">
        <f>IFERROR(__xludf.DUMMYFUNCTION("IMPORTRANGE(""https://docs.google.com/spreadsheets/d/""&amp;$A356&amp;""/edit#gid=156619080"",W$3)"),"#REF!")</f>
        <v>#REF!</v>
      </c>
      <c r="X356" s="2" t="str">
        <f>IFERROR(__xludf.DUMMYFUNCTION("IMPORTRANGE(""https://docs.google.com/spreadsheets/d/""&amp;$A356&amp;""/edit#gid=156619080"",X$3)"),"#REF!")</f>
        <v>#REF!</v>
      </c>
      <c r="Y356" s="2" t="str">
        <f>IFERROR(__xludf.DUMMYFUNCTION("IMPORTRANGE(""https://docs.google.com/spreadsheets/d/""&amp;$A356&amp;""/edit#gid=156619080"",Y$3)"),"#REF!")</f>
        <v>#REF!</v>
      </c>
      <c r="Z356" s="2" t="str">
        <f>IFERROR(__xludf.DUMMYFUNCTION("IMPORTRANGE(""https://docs.google.com/spreadsheets/d/""&amp;$A356&amp;""/edit#gid=156619080"",Z$3)"),"#REF!")</f>
        <v>#REF!</v>
      </c>
      <c r="AA356" s="2" t="str">
        <f>IFERROR(__xludf.DUMMYFUNCTION("IMPORTRANGE(""https://docs.google.com/spreadsheets/d/""&amp;$A356&amp;""/edit#gid=156619080"",AA$3)"),"#REF!")</f>
        <v>#REF!</v>
      </c>
      <c r="AB356" s="2" t="str">
        <f>IFERROR(__xludf.DUMMYFUNCTION("IMPORTRANGE(""https://docs.google.com/spreadsheets/d/""&amp;$A356&amp;""/edit#gid=156619080"",AB$3)"),"#REF!")</f>
        <v>#REF!</v>
      </c>
      <c r="AC356" s="2" t="str">
        <f>IFERROR(__xludf.DUMMYFUNCTION("IMPORTRANGE(""https://docs.google.com/spreadsheets/d/""&amp;$A356&amp;""/edit#gid=156619080"",AC$3)"),"#REF!")</f>
        <v>#REF!</v>
      </c>
      <c r="AD356" s="2" t="str">
        <f>IFERROR(__xludf.DUMMYFUNCTION("IMPORTRANGE(""https://docs.google.com/spreadsheets/d/""&amp;$A356&amp;""/edit#gid=156619080"",AD$3)"),"#REF!")</f>
        <v>#REF!</v>
      </c>
      <c r="AE356" s="2" t="str">
        <f>IFERROR(__xludf.DUMMYFUNCTION("IMPORTRANGE(""https://docs.google.com/spreadsheets/d/""&amp;$A356&amp;""/edit#gid=156619080"",AE$3)"),"#REF!")</f>
        <v>#REF!</v>
      </c>
      <c r="AF356" s="2" t="str">
        <f>IFERROR(__xludf.DUMMYFUNCTION("IMPORTRANGE(""https://docs.google.com/spreadsheets/d/""&amp;$A356&amp;""/edit#gid=156619080"",AF$3)"),"#REF!")</f>
        <v>#REF!</v>
      </c>
      <c r="AG356" s="2" t="str">
        <f>IFERROR(__xludf.DUMMYFUNCTION("IMPORTRANGE(""https://docs.google.com/spreadsheets/d/""&amp;$A356&amp;""/edit#gid=156619080"",AG$3)"),"#REF!")</f>
        <v>#REF!</v>
      </c>
      <c r="AH356" s="2" t="str">
        <f>IFERROR(__xludf.DUMMYFUNCTION("IMPORTRANGE(""https://docs.google.com/spreadsheets/d/""&amp;$A356&amp;""/edit#gid=156619080"",AH$3)"),"#REF!")</f>
        <v>#REF!</v>
      </c>
      <c r="AI356" s="2" t="str">
        <f>IFERROR(__xludf.DUMMYFUNCTION("IMPORTRANGE(""https://docs.google.com/spreadsheets/d/""&amp;$A356&amp;""/edit#gid=156619080"",AI$3)"),"#REF!")</f>
        <v>#REF!</v>
      </c>
      <c r="AJ356" s="2" t="str">
        <f>IFERROR(__xludf.DUMMYFUNCTION("IMPORTRANGE(""https://docs.google.com/spreadsheets/d/""&amp;$A356&amp;""/edit#gid=156619080"",AJ$3)"),"#REF!")</f>
        <v>#REF!</v>
      </c>
      <c r="AK356" s="2" t="str">
        <f>IFERROR(__xludf.DUMMYFUNCTION("IMPORTRANGE(""https://docs.google.com/spreadsheets/d/""&amp;$A356&amp;""/edit#gid=156619080"",AK$3)"),"#REF!")</f>
        <v>#REF!</v>
      </c>
      <c r="AL356" s="2" t="str">
        <f>IFERROR(__xludf.DUMMYFUNCTION("IMPORTRANGE(""https://docs.google.com/spreadsheets/d/""&amp;$A356&amp;""/edit#gid=156619080"",AL$3)"),"#REF!")</f>
        <v>#REF!</v>
      </c>
      <c r="AM356" s="2" t="str">
        <f>IFERROR(__xludf.DUMMYFUNCTION("IMPORTRANGE(""https://docs.google.com/spreadsheets/d/""&amp;$A356&amp;""/edit#gid=156619080"",AM$3)"),"#REF!")</f>
        <v>#REF!</v>
      </c>
      <c r="AN356" s="2" t="str">
        <f>IFERROR(__xludf.DUMMYFUNCTION("IMPORTRANGE(""https://docs.google.com/spreadsheets/d/""&amp;$A356&amp;""/edit#gid=156619080"",AN$3)"),"#REF!")</f>
        <v>#REF!</v>
      </c>
      <c r="AO356" s="2" t="str">
        <f>IFERROR(__xludf.DUMMYFUNCTION("IMPORTRANGE(""https://docs.google.com/spreadsheets/d/""&amp;$A356&amp;""/edit#gid=156619080"",AO$3)"),"#REF!")</f>
        <v>#REF!</v>
      </c>
      <c r="AP356" s="2" t="str">
        <f>IFERROR(__xludf.DUMMYFUNCTION("IMPORTRANGE(""https://docs.google.com/spreadsheets/d/""&amp;$A356&amp;""/edit#gid=156619080"",AP$3)"),"#REF!")</f>
        <v>#REF!</v>
      </c>
      <c r="AQ356" s="2" t="str">
        <f>IFERROR(__xludf.DUMMYFUNCTION("IMPORTRANGE(""https://docs.google.com/spreadsheets/d/""&amp;$A356&amp;""/edit#gid=156619080"",AQ$3)"),"#REF!")</f>
        <v>#REF!</v>
      </c>
      <c r="AR356" s="2" t="str">
        <f>IFERROR(__xludf.DUMMYFUNCTION("IMPORTRANGE(""https://docs.google.com/spreadsheets/d/""&amp;$A356&amp;""/edit#gid=156619080"",AR$3)"),"#REF!")</f>
        <v>#REF!</v>
      </c>
      <c r="AS356" s="19" t="str">
        <f>IFERROR(__xludf.DUMMYFUNCTION("IMPORTRANGE(""https://docs.google.com/spreadsheets/d/""&amp;$A356&amp;""/edit#gid=156619080"",AS$3)"),"#REF!")</f>
        <v>#REF!</v>
      </c>
      <c r="AT356" s="2" t="str">
        <f>IFERROR(__xludf.DUMMYFUNCTION("IMPORTRANGE(""https://docs.google.com/spreadsheets/d/""&amp;$A356&amp;""/edit#gid=156619080"",AT$3)"),"#REF!")</f>
        <v>#REF!</v>
      </c>
      <c r="AU356" s="3" t="str">
        <f>IFERROR(__xludf.DUMMYFUNCTION("IMPORTRANGE(""https://docs.google.com/spreadsheets/d/""&amp;$A356&amp;""/edit#gid=156619080"",AU$3)"),"#REF!")</f>
        <v>#REF!</v>
      </c>
      <c r="AV356" s="2" t="str">
        <f>IFERROR(__xludf.DUMMYFUNCTION("IMPORTRANGE(""https://docs.google.com/spreadsheets/d/""&amp;$A356&amp;""/edit#gid=156619080"",AV$3)"),"#REF!")</f>
        <v>#REF!</v>
      </c>
      <c r="AW356" s="19" t="str">
        <f>IFERROR(__xludf.DUMMYFUNCTION("IMPORTRANGE(""https://docs.google.com/spreadsheets/d/""&amp;$A356&amp;""/edit#gid=156619080"",AW$3)"),"#REF!")</f>
        <v>#REF!</v>
      </c>
      <c r="AX356" s="2" t="str">
        <f>IFERROR(__xludf.DUMMYFUNCTION("IMPORTRANGE(""https://docs.google.com/spreadsheets/d/""&amp;$A356&amp;""/edit#gid=156619080"",AX$3)"),"#REF!")</f>
        <v>#REF!</v>
      </c>
      <c r="AY356" s="2" t="str">
        <f>IFERROR(__xludf.DUMMYFUNCTION("IMPORTRANGE(""https://docs.google.com/spreadsheets/d/""&amp;$A356&amp;""/edit#gid=156619080"",AY$3)"),"#REF!")</f>
        <v>#REF!</v>
      </c>
      <c r="AZ356" s="2" t="str">
        <f>IFERROR(__xludf.DUMMYFUNCTION("IMPORTRANGE(""https://docs.google.com/spreadsheets/d/""&amp;$A356&amp;""/edit#gid=156619080"",AZ$3)"),"#REF!")</f>
        <v>#REF!</v>
      </c>
      <c r="BA356" s="2" t="str">
        <f>IFERROR(__xludf.DUMMYFUNCTION("IMPORTRANGE(""https://docs.google.com/spreadsheets/d/""&amp;$A356&amp;""/edit#gid=156619080"",BA$3)"),"#REF!")</f>
        <v>#REF!</v>
      </c>
      <c r="BB356" s="2" t="str">
        <f>IFERROR(__xludf.DUMMYFUNCTION("IMPORTRANGE(""https://docs.google.com/spreadsheets/d/""&amp;$A356&amp;""/edit#gid=156619080"",BB$3)"),"#REF!")</f>
        <v>#REF!</v>
      </c>
      <c r="BC356" s="2" t="str">
        <f>IFERROR(__xludf.DUMMYFUNCTION("IMPORTRANGE(""https://docs.google.com/spreadsheets/d/""&amp;$A356&amp;""/edit#gid=156619080"",BC$3)"),"#REF!")</f>
        <v>#REF!</v>
      </c>
    </row>
    <row r="357" ht="51.0" customHeight="1">
      <c r="A357" s="7" t="str">
        <f t="shared" si="5"/>
        <v>1WYW_EouuY402y-AnceLoyX69SdKO063i8xREPVEn960</v>
      </c>
      <c r="B357" s="1" t="s">
        <v>384</v>
      </c>
      <c r="C357" s="2" t="str">
        <f>IFERROR(__xludf.DUMMYFUNCTION("IMPORTRANGE(""https://docs.google.com/spreadsheets/d/""&amp;$A357&amp;""/edit#gid=156619080"",C$3)"),"#REF!")</f>
        <v>#REF!</v>
      </c>
      <c r="D357" s="2" t="str">
        <f>IFERROR(__xludf.DUMMYFUNCTION("IMPORTRANGE(""https://docs.google.com/spreadsheets/d/""&amp;$A357&amp;""/edit#gid=156619080"",D$3)"),"#REF!")</f>
        <v>#REF!</v>
      </c>
      <c r="E357" s="2" t="str">
        <f>IFERROR(__xludf.DUMMYFUNCTION("IMPORTRANGE(""https://docs.google.com/spreadsheets/d/""&amp;$A357&amp;""/edit#gid=156619080"",E$3)"),"#REF!")</f>
        <v>#REF!</v>
      </c>
      <c r="F357" s="2" t="str">
        <f>IFERROR(__xludf.DUMMYFUNCTION("IMPORTRANGE(""https://docs.google.com/spreadsheets/d/""&amp;$A357&amp;""/edit#gid=156619080"",F$3)"),"#REF!")</f>
        <v>#REF!</v>
      </c>
      <c r="G357" s="2" t="str">
        <f>IFERROR(__xludf.DUMMYFUNCTION("IMPORTRANGE(""https://docs.google.com/spreadsheets/d/""&amp;$A357&amp;""/edit#gid=156619080"",G$3)"),"#REF!")</f>
        <v>#REF!</v>
      </c>
      <c r="H357" s="2" t="str">
        <f>IFERROR(__xludf.DUMMYFUNCTION("IMPORTRANGE(""https://docs.google.com/spreadsheets/d/""&amp;$A357&amp;""/edit#gid=156619080"",H$3)"),"#REF!")</f>
        <v>#REF!</v>
      </c>
      <c r="I357" s="2" t="str">
        <f>IFERROR(__xludf.DUMMYFUNCTION("IMPORTRANGE(""https://docs.google.com/spreadsheets/d/""&amp;$A357&amp;""/edit#gid=156619080"",I$3)"),"#REF!")</f>
        <v>#REF!</v>
      </c>
      <c r="J357" s="2" t="str">
        <f>IFERROR(__xludf.DUMMYFUNCTION("IMPORTRANGE(""https://docs.google.com/spreadsheets/d/""&amp;$A357&amp;""/edit#gid=156619080"",J$3)"),"#REF!")</f>
        <v>#REF!</v>
      </c>
      <c r="K357" s="2" t="str">
        <f>IFERROR(__xludf.DUMMYFUNCTION("IMPORTRANGE(""https://docs.google.com/spreadsheets/d/""&amp;$A357&amp;""/edit#gid=156619080"",K$3)"),"#REF!")</f>
        <v>#REF!</v>
      </c>
      <c r="L357" s="2" t="str">
        <f>IFERROR(__xludf.DUMMYFUNCTION("IMPORTRANGE(""https://docs.google.com/spreadsheets/d/""&amp;$A357&amp;""/edit#gid=156619080"",L$3)"),"#REF!")</f>
        <v>#REF!</v>
      </c>
      <c r="M357" s="2" t="str">
        <f>IFERROR(__xludf.DUMMYFUNCTION("IMPORTRANGE(""https://docs.google.com/spreadsheets/d/""&amp;$A357&amp;""/edit#gid=156619080"",M$3)"),"#REF!")</f>
        <v>#REF!</v>
      </c>
      <c r="N357" s="2" t="str">
        <f>IFERROR(__xludf.DUMMYFUNCTION("IMPORTRANGE(""https://docs.google.com/spreadsheets/d/""&amp;$A357&amp;""/edit#gid=156619080"",N$3)"),"#REF!")</f>
        <v>#REF!</v>
      </c>
      <c r="O357" s="2" t="str">
        <f>IFERROR(__xludf.DUMMYFUNCTION("IMPORTRANGE(""https://docs.google.com/spreadsheets/d/""&amp;$A357&amp;""/edit#gid=156619080"",O$3)"),"#REF!")</f>
        <v>#REF!</v>
      </c>
      <c r="P357" s="2" t="str">
        <f>IFERROR(__xludf.DUMMYFUNCTION("IMPORTRANGE(""https://docs.google.com/spreadsheets/d/""&amp;$A357&amp;""/edit#gid=156619080"",P$3)"),"#REF!")</f>
        <v>#REF!</v>
      </c>
      <c r="Q357" s="2" t="str">
        <f>IFERROR(__xludf.DUMMYFUNCTION("IMPORTRANGE(""https://docs.google.com/spreadsheets/d/""&amp;$A357&amp;""/edit#gid=156619080"",Q$3)"),"#REF!")</f>
        <v>#REF!</v>
      </c>
      <c r="R357" s="2" t="str">
        <f>IFERROR(__xludf.DUMMYFUNCTION("IMPORTRANGE(""https://docs.google.com/spreadsheets/d/""&amp;$A357&amp;""/edit#gid=156619080"",R$3)"),"#REF!")</f>
        <v>#REF!</v>
      </c>
      <c r="S357" s="2" t="str">
        <f>IFERROR(__xludf.DUMMYFUNCTION("IMPORTRANGE(""https://docs.google.com/spreadsheets/d/""&amp;$A357&amp;""/edit#gid=156619080"",S$3)"),"#REF!")</f>
        <v>#REF!</v>
      </c>
      <c r="T357" s="2" t="str">
        <f>IFERROR(__xludf.DUMMYFUNCTION("IMPORTRANGE(""https://docs.google.com/spreadsheets/d/""&amp;$A357&amp;""/edit#gid=156619080"",T$3)"),"#REF!")</f>
        <v>#REF!</v>
      </c>
      <c r="U357" s="2" t="str">
        <f>IFERROR(__xludf.DUMMYFUNCTION("IMPORTRANGE(""https://docs.google.com/spreadsheets/d/""&amp;$A357&amp;""/edit#gid=156619080"",U$3)"),"#REF!")</f>
        <v>#REF!</v>
      </c>
      <c r="V357" s="2" t="str">
        <f>IFERROR(__xludf.DUMMYFUNCTION("IMPORTRANGE(""https://docs.google.com/spreadsheets/d/""&amp;$A357&amp;""/edit#gid=156619080"",V$3)"),"#REF!")</f>
        <v>#REF!</v>
      </c>
      <c r="W357" s="2" t="str">
        <f>IFERROR(__xludf.DUMMYFUNCTION("IMPORTRANGE(""https://docs.google.com/spreadsheets/d/""&amp;$A357&amp;""/edit#gid=156619080"",W$3)"),"#REF!")</f>
        <v>#REF!</v>
      </c>
      <c r="X357" s="2" t="str">
        <f>IFERROR(__xludf.DUMMYFUNCTION("IMPORTRANGE(""https://docs.google.com/spreadsheets/d/""&amp;$A357&amp;""/edit#gid=156619080"",X$3)"),"#REF!")</f>
        <v>#REF!</v>
      </c>
      <c r="Y357" s="2" t="str">
        <f>IFERROR(__xludf.DUMMYFUNCTION("IMPORTRANGE(""https://docs.google.com/spreadsheets/d/""&amp;$A357&amp;""/edit#gid=156619080"",Y$3)"),"#REF!")</f>
        <v>#REF!</v>
      </c>
      <c r="Z357" s="2" t="str">
        <f>IFERROR(__xludf.DUMMYFUNCTION("IMPORTRANGE(""https://docs.google.com/spreadsheets/d/""&amp;$A357&amp;""/edit#gid=156619080"",Z$3)"),"#REF!")</f>
        <v>#REF!</v>
      </c>
      <c r="AA357" s="2" t="str">
        <f>IFERROR(__xludf.DUMMYFUNCTION("IMPORTRANGE(""https://docs.google.com/spreadsheets/d/""&amp;$A357&amp;""/edit#gid=156619080"",AA$3)"),"#REF!")</f>
        <v>#REF!</v>
      </c>
      <c r="AB357" s="2" t="str">
        <f>IFERROR(__xludf.DUMMYFUNCTION("IMPORTRANGE(""https://docs.google.com/spreadsheets/d/""&amp;$A357&amp;""/edit#gid=156619080"",AB$3)"),"#REF!")</f>
        <v>#REF!</v>
      </c>
      <c r="AC357" s="2" t="str">
        <f>IFERROR(__xludf.DUMMYFUNCTION("IMPORTRANGE(""https://docs.google.com/spreadsheets/d/""&amp;$A357&amp;""/edit#gid=156619080"",AC$3)"),"#REF!")</f>
        <v>#REF!</v>
      </c>
      <c r="AD357" s="2" t="str">
        <f>IFERROR(__xludf.DUMMYFUNCTION("IMPORTRANGE(""https://docs.google.com/spreadsheets/d/""&amp;$A357&amp;""/edit#gid=156619080"",AD$3)"),"#REF!")</f>
        <v>#REF!</v>
      </c>
      <c r="AE357" s="2" t="str">
        <f>IFERROR(__xludf.DUMMYFUNCTION("IMPORTRANGE(""https://docs.google.com/spreadsheets/d/""&amp;$A357&amp;""/edit#gid=156619080"",AE$3)"),"#REF!")</f>
        <v>#REF!</v>
      </c>
      <c r="AF357" s="2" t="str">
        <f>IFERROR(__xludf.DUMMYFUNCTION("IMPORTRANGE(""https://docs.google.com/spreadsheets/d/""&amp;$A357&amp;""/edit#gid=156619080"",AF$3)"),"#REF!")</f>
        <v>#REF!</v>
      </c>
      <c r="AG357" s="2" t="str">
        <f>IFERROR(__xludf.DUMMYFUNCTION("IMPORTRANGE(""https://docs.google.com/spreadsheets/d/""&amp;$A357&amp;""/edit#gid=156619080"",AG$3)"),"#REF!")</f>
        <v>#REF!</v>
      </c>
      <c r="AH357" s="2" t="str">
        <f>IFERROR(__xludf.DUMMYFUNCTION("IMPORTRANGE(""https://docs.google.com/spreadsheets/d/""&amp;$A357&amp;""/edit#gid=156619080"",AH$3)"),"#REF!")</f>
        <v>#REF!</v>
      </c>
      <c r="AI357" s="2" t="str">
        <f>IFERROR(__xludf.DUMMYFUNCTION("IMPORTRANGE(""https://docs.google.com/spreadsheets/d/""&amp;$A357&amp;""/edit#gid=156619080"",AI$3)"),"#REF!")</f>
        <v>#REF!</v>
      </c>
      <c r="AJ357" s="2" t="str">
        <f>IFERROR(__xludf.DUMMYFUNCTION("IMPORTRANGE(""https://docs.google.com/spreadsheets/d/""&amp;$A357&amp;""/edit#gid=156619080"",AJ$3)"),"#REF!")</f>
        <v>#REF!</v>
      </c>
      <c r="AK357" s="2" t="str">
        <f>IFERROR(__xludf.DUMMYFUNCTION("IMPORTRANGE(""https://docs.google.com/spreadsheets/d/""&amp;$A357&amp;""/edit#gid=156619080"",AK$3)"),"#REF!")</f>
        <v>#REF!</v>
      </c>
      <c r="AL357" s="2" t="str">
        <f>IFERROR(__xludf.DUMMYFUNCTION("IMPORTRANGE(""https://docs.google.com/spreadsheets/d/""&amp;$A357&amp;""/edit#gid=156619080"",AL$3)"),"#REF!")</f>
        <v>#REF!</v>
      </c>
      <c r="AM357" s="2" t="str">
        <f>IFERROR(__xludf.DUMMYFUNCTION("IMPORTRANGE(""https://docs.google.com/spreadsheets/d/""&amp;$A357&amp;""/edit#gid=156619080"",AM$3)"),"#REF!")</f>
        <v>#REF!</v>
      </c>
      <c r="AN357" s="2" t="str">
        <f>IFERROR(__xludf.DUMMYFUNCTION("IMPORTRANGE(""https://docs.google.com/spreadsheets/d/""&amp;$A357&amp;""/edit#gid=156619080"",AN$3)"),"#REF!")</f>
        <v>#REF!</v>
      </c>
      <c r="AO357" s="2" t="str">
        <f>IFERROR(__xludf.DUMMYFUNCTION("IMPORTRANGE(""https://docs.google.com/spreadsheets/d/""&amp;$A357&amp;""/edit#gid=156619080"",AO$3)"),"#REF!")</f>
        <v>#REF!</v>
      </c>
      <c r="AP357" s="2" t="str">
        <f>IFERROR(__xludf.DUMMYFUNCTION("IMPORTRANGE(""https://docs.google.com/spreadsheets/d/""&amp;$A357&amp;""/edit#gid=156619080"",AP$3)"),"#REF!")</f>
        <v>#REF!</v>
      </c>
      <c r="AQ357" s="2" t="str">
        <f>IFERROR(__xludf.DUMMYFUNCTION("IMPORTRANGE(""https://docs.google.com/spreadsheets/d/""&amp;$A357&amp;""/edit#gid=156619080"",AQ$3)"),"#REF!")</f>
        <v>#REF!</v>
      </c>
      <c r="AR357" s="2" t="str">
        <f>IFERROR(__xludf.DUMMYFUNCTION("IMPORTRANGE(""https://docs.google.com/spreadsheets/d/""&amp;$A357&amp;""/edit#gid=156619080"",AR$3)"),"#REF!")</f>
        <v>#REF!</v>
      </c>
      <c r="AS357" s="19" t="str">
        <f>IFERROR(__xludf.DUMMYFUNCTION("IMPORTRANGE(""https://docs.google.com/spreadsheets/d/""&amp;$A357&amp;""/edit#gid=156619080"",AS$3)"),"#REF!")</f>
        <v>#REF!</v>
      </c>
      <c r="AT357" s="2" t="str">
        <f>IFERROR(__xludf.DUMMYFUNCTION("IMPORTRANGE(""https://docs.google.com/spreadsheets/d/""&amp;$A357&amp;""/edit#gid=156619080"",AT$3)"),"#REF!")</f>
        <v>#REF!</v>
      </c>
      <c r="AU357" s="3" t="str">
        <f>IFERROR(__xludf.DUMMYFUNCTION("IMPORTRANGE(""https://docs.google.com/spreadsheets/d/""&amp;$A357&amp;""/edit#gid=156619080"",AU$3)"),"#REF!")</f>
        <v>#REF!</v>
      </c>
      <c r="AV357" s="2" t="str">
        <f>IFERROR(__xludf.DUMMYFUNCTION("IMPORTRANGE(""https://docs.google.com/spreadsheets/d/""&amp;$A357&amp;""/edit#gid=156619080"",AV$3)"),"#REF!")</f>
        <v>#REF!</v>
      </c>
      <c r="AW357" s="19" t="str">
        <f>IFERROR(__xludf.DUMMYFUNCTION("IMPORTRANGE(""https://docs.google.com/spreadsheets/d/""&amp;$A357&amp;""/edit#gid=156619080"",AW$3)"),"#REF!")</f>
        <v>#REF!</v>
      </c>
      <c r="AX357" s="2" t="str">
        <f>IFERROR(__xludf.DUMMYFUNCTION("IMPORTRANGE(""https://docs.google.com/spreadsheets/d/""&amp;$A357&amp;""/edit#gid=156619080"",AX$3)"),"#REF!")</f>
        <v>#REF!</v>
      </c>
      <c r="AY357" s="2" t="str">
        <f>IFERROR(__xludf.DUMMYFUNCTION("IMPORTRANGE(""https://docs.google.com/spreadsheets/d/""&amp;$A357&amp;""/edit#gid=156619080"",AY$3)"),"#REF!")</f>
        <v>#REF!</v>
      </c>
      <c r="AZ357" s="2" t="str">
        <f>IFERROR(__xludf.DUMMYFUNCTION("IMPORTRANGE(""https://docs.google.com/spreadsheets/d/""&amp;$A357&amp;""/edit#gid=156619080"",AZ$3)"),"#REF!")</f>
        <v>#REF!</v>
      </c>
      <c r="BA357" s="2" t="str">
        <f>IFERROR(__xludf.DUMMYFUNCTION("IMPORTRANGE(""https://docs.google.com/spreadsheets/d/""&amp;$A357&amp;""/edit#gid=156619080"",BA$3)"),"#REF!")</f>
        <v>#REF!</v>
      </c>
      <c r="BB357" s="2" t="str">
        <f>IFERROR(__xludf.DUMMYFUNCTION("IMPORTRANGE(""https://docs.google.com/spreadsheets/d/""&amp;$A357&amp;""/edit#gid=156619080"",BB$3)"),"#REF!")</f>
        <v>#REF!</v>
      </c>
      <c r="BC357" s="2" t="str">
        <f>IFERROR(__xludf.DUMMYFUNCTION("IMPORTRANGE(""https://docs.google.com/spreadsheets/d/""&amp;$A357&amp;""/edit#gid=156619080"",BC$3)"),"#REF!")</f>
        <v>#REF!</v>
      </c>
    </row>
    <row r="358" ht="51.0" customHeight="1">
      <c r="A358" s="7" t="str">
        <f t="shared" si="5"/>
        <v>1W2gyAW6IlqmlBRy8lN_c_PBUA5XToqC6q6FqB7jJ2VA</v>
      </c>
      <c r="B358" s="1" t="s">
        <v>385</v>
      </c>
      <c r="C358" s="2" t="str">
        <f>IFERROR(__xludf.DUMMYFUNCTION("IMPORTRANGE(""https://docs.google.com/spreadsheets/d/""&amp;$A358&amp;""/edit#gid=156619080"",C$3)"),"#REF!")</f>
        <v>#REF!</v>
      </c>
      <c r="D358" s="2" t="str">
        <f>IFERROR(__xludf.DUMMYFUNCTION("IMPORTRANGE(""https://docs.google.com/spreadsheets/d/""&amp;$A358&amp;""/edit#gid=156619080"",D$3)"),"#REF!")</f>
        <v>#REF!</v>
      </c>
      <c r="E358" s="2" t="str">
        <f>IFERROR(__xludf.DUMMYFUNCTION("IMPORTRANGE(""https://docs.google.com/spreadsheets/d/""&amp;$A358&amp;""/edit#gid=156619080"",E$3)"),"#REF!")</f>
        <v>#REF!</v>
      </c>
      <c r="F358" s="2" t="str">
        <f>IFERROR(__xludf.DUMMYFUNCTION("IMPORTRANGE(""https://docs.google.com/spreadsheets/d/""&amp;$A358&amp;""/edit#gid=156619080"",F$3)"),"#REF!")</f>
        <v>#REF!</v>
      </c>
      <c r="G358" s="2" t="str">
        <f>IFERROR(__xludf.DUMMYFUNCTION("IMPORTRANGE(""https://docs.google.com/spreadsheets/d/""&amp;$A358&amp;""/edit#gid=156619080"",G$3)"),"#REF!")</f>
        <v>#REF!</v>
      </c>
      <c r="H358" s="2" t="str">
        <f>IFERROR(__xludf.DUMMYFUNCTION("IMPORTRANGE(""https://docs.google.com/spreadsheets/d/""&amp;$A358&amp;""/edit#gid=156619080"",H$3)"),"#REF!")</f>
        <v>#REF!</v>
      </c>
      <c r="I358" s="2" t="str">
        <f>IFERROR(__xludf.DUMMYFUNCTION("IMPORTRANGE(""https://docs.google.com/spreadsheets/d/""&amp;$A358&amp;""/edit#gid=156619080"",I$3)"),"#REF!")</f>
        <v>#REF!</v>
      </c>
      <c r="J358" s="2" t="str">
        <f>IFERROR(__xludf.DUMMYFUNCTION("IMPORTRANGE(""https://docs.google.com/spreadsheets/d/""&amp;$A358&amp;""/edit#gid=156619080"",J$3)"),"#REF!")</f>
        <v>#REF!</v>
      </c>
      <c r="K358" s="2" t="str">
        <f>IFERROR(__xludf.DUMMYFUNCTION("IMPORTRANGE(""https://docs.google.com/spreadsheets/d/""&amp;$A358&amp;""/edit#gid=156619080"",K$3)"),"#REF!")</f>
        <v>#REF!</v>
      </c>
      <c r="L358" s="2" t="str">
        <f>IFERROR(__xludf.DUMMYFUNCTION("IMPORTRANGE(""https://docs.google.com/spreadsheets/d/""&amp;$A358&amp;""/edit#gid=156619080"",L$3)"),"#REF!")</f>
        <v>#REF!</v>
      </c>
      <c r="M358" s="2" t="str">
        <f>IFERROR(__xludf.DUMMYFUNCTION("IMPORTRANGE(""https://docs.google.com/spreadsheets/d/""&amp;$A358&amp;""/edit#gid=156619080"",M$3)"),"#REF!")</f>
        <v>#REF!</v>
      </c>
      <c r="N358" s="2" t="str">
        <f>IFERROR(__xludf.DUMMYFUNCTION("IMPORTRANGE(""https://docs.google.com/spreadsheets/d/""&amp;$A358&amp;""/edit#gid=156619080"",N$3)"),"#REF!")</f>
        <v>#REF!</v>
      </c>
      <c r="O358" s="2" t="str">
        <f>IFERROR(__xludf.DUMMYFUNCTION("IMPORTRANGE(""https://docs.google.com/spreadsheets/d/""&amp;$A358&amp;""/edit#gid=156619080"",O$3)"),"#REF!")</f>
        <v>#REF!</v>
      </c>
      <c r="P358" s="2" t="str">
        <f>IFERROR(__xludf.DUMMYFUNCTION("IMPORTRANGE(""https://docs.google.com/spreadsheets/d/""&amp;$A358&amp;""/edit#gid=156619080"",P$3)"),"#REF!")</f>
        <v>#REF!</v>
      </c>
      <c r="Q358" s="2" t="str">
        <f>IFERROR(__xludf.DUMMYFUNCTION("IMPORTRANGE(""https://docs.google.com/spreadsheets/d/""&amp;$A358&amp;""/edit#gid=156619080"",Q$3)"),"#REF!")</f>
        <v>#REF!</v>
      </c>
      <c r="R358" s="2" t="str">
        <f>IFERROR(__xludf.DUMMYFUNCTION("IMPORTRANGE(""https://docs.google.com/spreadsheets/d/""&amp;$A358&amp;""/edit#gid=156619080"",R$3)"),"#REF!")</f>
        <v>#REF!</v>
      </c>
      <c r="S358" s="2" t="str">
        <f>IFERROR(__xludf.DUMMYFUNCTION("IMPORTRANGE(""https://docs.google.com/spreadsheets/d/""&amp;$A358&amp;""/edit#gid=156619080"",S$3)"),"#REF!")</f>
        <v>#REF!</v>
      </c>
      <c r="T358" s="2" t="str">
        <f>IFERROR(__xludf.DUMMYFUNCTION("IMPORTRANGE(""https://docs.google.com/spreadsheets/d/""&amp;$A358&amp;""/edit#gid=156619080"",T$3)"),"#REF!")</f>
        <v>#REF!</v>
      </c>
      <c r="U358" s="2" t="str">
        <f>IFERROR(__xludf.DUMMYFUNCTION("IMPORTRANGE(""https://docs.google.com/spreadsheets/d/""&amp;$A358&amp;""/edit#gid=156619080"",U$3)"),"#REF!")</f>
        <v>#REF!</v>
      </c>
      <c r="V358" s="2" t="str">
        <f>IFERROR(__xludf.DUMMYFUNCTION("IMPORTRANGE(""https://docs.google.com/spreadsheets/d/""&amp;$A358&amp;""/edit#gid=156619080"",V$3)"),"#REF!")</f>
        <v>#REF!</v>
      </c>
      <c r="W358" s="2" t="str">
        <f>IFERROR(__xludf.DUMMYFUNCTION("IMPORTRANGE(""https://docs.google.com/spreadsheets/d/""&amp;$A358&amp;""/edit#gid=156619080"",W$3)"),"#REF!")</f>
        <v>#REF!</v>
      </c>
      <c r="X358" s="2" t="str">
        <f>IFERROR(__xludf.DUMMYFUNCTION("IMPORTRANGE(""https://docs.google.com/spreadsheets/d/""&amp;$A358&amp;""/edit#gid=156619080"",X$3)"),"#REF!")</f>
        <v>#REF!</v>
      </c>
      <c r="Y358" s="2" t="str">
        <f>IFERROR(__xludf.DUMMYFUNCTION("IMPORTRANGE(""https://docs.google.com/spreadsheets/d/""&amp;$A358&amp;""/edit#gid=156619080"",Y$3)"),"#REF!")</f>
        <v>#REF!</v>
      </c>
      <c r="Z358" s="2" t="str">
        <f>IFERROR(__xludf.DUMMYFUNCTION("IMPORTRANGE(""https://docs.google.com/spreadsheets/d/""&amp;$A358&amp;""/edit#gid=156619080"",Z$3)"),"#REF!")</f>
        <v>#REF!</v>
      </c>
      <c r="AA358" s="2" t="str">
        <f>IFERROR(__xludf.DUMMYFUNCTION("IMPORTRANGE(""https://docs.google.com/spreadsheets/d/""&amp;$A358&amp;""/edit#gid=156619080"",AA$3)"),"#REF!")</f>
        <v>#REF!</v>
      </c>
      <c r="AB358" s="2" t="str">
        <f>IFERROR(__xludf.DUMMYFUNCTION("IMPORTRANGE(""https://docs.google.com/spreadsheets/d/""&amp;$A358&amp;""/edit#gid=156619080"",AB$3)"),"#REF!")</f>
        <v>#REF!</v>
      </c>
      <c r="AC358" s="2" t="str">
        <f>IFERROR(__xludf.DUMMYFUNCTION("IMPORTRANGE(""https://docs.google.com/spreadsheets/d/""&amp;$A358&amp;""/edit#gid=156619080"",AC$3)"),"#REF!")</f>
        <v>#REF!</v>
      </c>
      <c r="AD358" s="2" t="str">
        <f>IFERROR(__xludf.DUMMYFUNCTION("IMPORTRANGE(""https://docs.google.com/spreadsheets/d/""&amp;$A358&amp;""/edit#gid=156619080"",AD$3)"),"#REF!")</f>
        <v>#REF!</v>
      </c>
      <c r="AE358" s="2" t="str">
        <f>IFERROR(__xludf.DUMMYFUNCTION("IMPORTRANGE(""https://docs.google.com/spreadsheets/d/""&amp;$A358&amp;""/edit#gid=156619080"",AE$3)"),"#REF!")</f>
        <v>#REF!</v>
      </c>
      <c r="AF358" s="2" t="str">
        <f>IFERROR(__xludf.DUMMYFUNCTION("IMPORTRANGE(""https://docs.google.com/spreadsheets/d/""&amp;$A358&amp;""/edit#gid=156619080"",AF$3)"),"#REF!")</f>
        <v>#REF!</v>
      </c>
      <c r="AG358" s="2" t="str">
        <f>IFERROR(__xludf.DUMMYFUNCTION("IMPORTRANGE(""https://docs.google.com/spreadsheets/d/""&amp;$A358&amp;""/edit#gid=156619080"",AG$3)"),"#REF!")</f>
        <v>#REF!</v>
      </c>
      <c r="AH358" s="2" t="str">
        <f>IFERROR(__xludf.DUMMYFUNCTION("IMPORTRANGE(""https://docs.google.com/spreadsheets/d/""&amp;$A358&amp;""/edit#gid=156619080"",AH$3)"),"#REF!")</f>
        <v>#REF!</v>
      </c>
      <c r="AI358" s="2" t="str">
        <f>IFERROR(__xludf.DUMMYFUNCTION("IMPORTRANGE(""https://docs.google.com/spreadsheets/d/""&amp;$A358&amp;""/edit#gid=156619080"",AI$3)"),"#REF!")</f>
        <v>#REF!</v>
      </c>
      <c r="AJ358" s="2" t="str">
        <f>IFERROR(__xludf.DUMMYFUNCTION("IMPORTRANGE(""https://docs.google.com/spreadsheets/d/""&amp;$A358&amp;""/edit#gid=156619080"",AJ$3)"),"#REF!")</f>
        <v>#REF!</v>
      </c>
      <c r="AK358" s="2" t="str">
        <f>IFERROR(__xludf.DUMMYFUNCTION("IMPORTRANGE(""https://docs.google.com/spreadsheets/d/""&amp;$A358&amp;""/edit#gid=156619080"",AK$3)"),"#REF!")</f>
        <v>#REF!</v>
      </c>
      <c r="AL358" s="2" t="str">
        <f>IFERROR(__xludf.DUMMYFUNCTION("IMPORTRANGE(""https://docs.google.com/spreadsheets/d/""&amp;$A358&amp;""/edit#gid=156619080"",AL$3)"),"#REF!")</f>
        <v>#REF!</v>
      </c>
      <c r="AM358" s="2" t="str">
        <f>IFERROR(__xludf.DUMMYFUNCTION("IMPORTRANGE(""https://docs.google.com/spreadsheets/d/""&amp;$A358&amp;""/edit#gid=156619080"",AM$3)"),"#REF!")</f>
        <v>#REF!</v>
      </c>
      <c r="AN358" s="2" t="str">
        <f>IFERROR(__xludf.DUMMYFUNCTION("IMPORTRANGE(""https://docs.google.com/spreadsheets/d/""&amp;$A358&amp;""/edit#gid=156619080"",AN$3)"),"#REF!")</f>
        <v>#REF!</v>
      </c>
      <c r="AO358" s="2" t="str">
        <f>IFERROR(__xludf.DUMMYFUNCTION("IMPORTRANGE(""https://docs.google.com/spreadsheets/d/""&amp;$A358&amp;""/edit#gid=156619080"",AO$3)"),"#REF!")</f>
        <v>#REF!</v>
      </c>
      <c r="AP358" s="2" t="str">
        <f>IFERROR(__xludf.DUMMYFUNCTION("IMPORTRANGE(""https://docs.google.com/spreadsheets/d/""&amp;$A358&amp;""/edit#gid=156619080"",AP$3)"),"#REF!")</f>
        <v>#REF!</v>
      </c>
      <c r="AQ358" s="2" t="str">
        <f>IFERROR(__xludf.DUMMYFUNCTION("IMPORTRANGE(""https://docs.google.com/spreadsheets/d/""&amp;$A358&amp;""/edit#gid=156619080"",AQ$3)"),"#REF!")</f>
        <v>#REF!</v>
      </c>
      <c r="AR358" s="2" t="str">
        <f>IFERROR(__xludf.DUMMYFUNCTION("IMPORTRANGE(""https://docs.google.com/spreadsheets/d/""&amp;$A358&amp;""/edit#gid=156619080"",AR$3)"),"#REF!")</f>
        <v>#REF!</v>
      </c>
      <c r="AS358" s="19" t="str">
        <f>IFERROR(__xludf.DUMMYFUNCTION("IMPORTRANGE(""https://docs.google.com/spreadsheets/d/""&amp;$A358&amp;""/edit#gid=156619080"",AS$3)"),"#REF!")</f>
        <v>#REF!</v>
      </c>
      <c r="AT358" s="2" t="str">
        <f>IFERROR(__xludf.DUMMYFUNCTION("IMPORTRANGE(""https://docs.google.com/spreadsheets/d/""&amp;$A358&amp;""/edit#gid=156619080"",AT$3)"),"#REF!")</f>
        <v>#REF!</v>
      </c>
      <c r="AU358" s="3" t="str">
        <f>IFERROR(__xludf.DUMMYFUNCTION("IMPORTRANGE(""https://docs.google.com/spreadsheets/d/""&amp;$A358&amp;""/edit#gid=156619080"",AU$3)"),"#REF!")</f>
        <v>#REF!</v>
      </c>
      <c r="AV358" s="2" t="str">
        <f>IFERROR(__xludf.DUMMYFUNCTION("IMPORTRANGE(""https://docs.google.com/spreadsheets/d/""&amp;$A358&amp;""/edit#gid=156619080"",AV$3)"),"#REF!")</f>
        <v>#REF!</v>
      </c>
      <c r="AW358" s="19" t="str">
        <f>IFERROR(__xludf.DUMMYFUNCTION("IMPORTRANGE(""https://docs.google.com/spreadsheets/d/""&amp;$A358&amp;""/edit#gid=156619080"",AW$3)"),"#REF!")</f>
        <v>#REF!</v>
      </c>
      <c r="AX358" s="2" t="str">
        <f>IFERROR(__xludf.DUMMYFUNCTION("IMPORTRANGE(""https://docs.google.com/spreadsheets/d/""&amp;$A358&amp;""/edit#gid=156619080"",AX$3)"),"#REF!")</f>
        <v>#REF!</v>
      </c>
      <c r="AY358" s="2" t="str">
        <f>IFERROR(__xludf.DUMMYFUNCTION("IMPORTRANGE(""https://docs.google.com/spreadsheets/d/""&amp;$A358&amp;""/edit#gid=156619080"",AY$3)"),"#REF!")</f>
        <v>#REF!</v>
      </c>
      <c r="AZ358" s="2" t="str">
        <f>IFERROR(__xludf.DUMMYFUNCTION("IMPORTRANGE(""https://docs.google.com/spreadsheets/d/""&amp;$A358&amp;""/edit#gid=156619080"",AZ$3)"),"#REF!")</f>
        <v>#REF!</v>
      </c>
      <c r="BA358" s="2" t="str">
        <f>IFERROR(__xludf.DUMMYFUNCTION("IMPORTRANGE(""https://docs.google.com/spreadsheets/d/""&amp;$A358&amp;""/edit#gid=156619080"",BA$3)"),"#REF!")</f>
        <v>#REF!</v>
      </c>
      <c r="BB358" s="2" t="str">
        <f>IFERROR(__xludf.DUMMYFUNCTION("IMPORTRANGE(""https://docs.google.com/spreadsheets/d/""&amp;$A358&amp;""/edit#gid=156619080"",BB$3)"),"#REF!")</f>
        <v>#REF!</v>
      </c>
      <c r="BC358" s="2" t="str">
        <f>IFERROR(__xludf.DUMMYFUNCTION("IMPORTRANGE(""https://docs.google.com/spreadsheets/d/""&amp;$A358&amp;""/edit#gid=156619080"",BC$3)"),"#REF!")</f>
        <v>#REF!</v>
      </c>
    </row>
    <row r="359" ht="51.0" customHeight="1">
      <c r="A359" s="7" t="str">
        <f t="shared" si="5"/>
        <v>1V6UuBapm5GPD1yre9DAdXDGWETnTAjagQJGsHHo-bsA</v>
      </c>
      <c r="B359" s="1" t="s">
        <v>386</v>
      </c>
      <c r="C359" s="2" t="str">
        <f>IFERROR(__xludf.DUMMYFUNCTION("IMPORTRANGE(""https://docs.google.com/spreadsheets/d/""&amp;$A359&amp;""/edit#gid=156619080"",C$3)"),"#REF!")</f>
        <v>#REF!</v>
      </c>
      <c r="D359" s="2" t="str">
        <f>IFERROR(__xludf.DUMMYFUNCTION("IMPORTRANGE(""https://docs.google.com/spreadsheets/d/""&amp;$A359&amp;""/edit#gid=156619080"",D$3)"),"#REF!")</f>
        <v>#REF!</v>
      </c>
      <c r="E359" s="2" t="str">
        <f>IFERROR(__xludf.DUMMYFUNCTION("IMPORTRANGE(""https://docs.google.com/spreadsheets/d/""&amp;$A359&amp;""/edit#gid=156619080"",E$3)"),"#REF!")</f>
        <v>#REF!</v>
      </c>
      <c r="F359" s="2" t="str">
        <f>IFERROR(__xludf.DUMMYFUNCTION("IMPORTRANGE(""https://docs.google.com/spreadsheets/d/""&amp;$A359&amp;""/edit#gid=156619080"",F$3)"),"#REF!")</f>
        <v>#REF!</v>
      </c>
      <c r="G359" s="2" t="str">
        <f>IFERROR(__xludf.DUMMYFUNCTION("IMPORTRANGE(""https://docs.google.com/spreadsheets/d/""&amp;$A359&amp;""/edit#gid=156619080"",G$3)"),"#REF!")</f>
        <v>#REF!</v>
      </c>
      <c r="H359" s="2" t="str">
        <f>IFERROR(__xludf.DUMMYFUNCTION("IMPORTRANGE(""https://docs.google.com/spreadsheets/d/""&amp;$A359&amp;""/edit#gid=156619080"",H$3)"),"#REF!")</f>
        <v>#REF!</v>
      </c>
      <c r="I359" s="2" t="str">
        <f>IFERROR(__xludf.DUMMYFUNCTION("IMPORTRANGE(""https://docs.google.com/spreadsheets/d/""&amp;$A359&amp;""/edit#gid=156619080"",I$3)"),"#REF!")</f>
        <v>#REF!</v>
      </c>
      <c r="J359" s="2" t="str">
        <f>IFERROR(__xludf.DUMMYFUNCTION("IMPORTRANGE(""https://docs.google.com/spreadsheets/d/""&amp;$A359&amp;""/edit#gid=156619080"",J$3)"),"#REF!")</f>
        <v>#REF!</v>
      </c>
      <c r="K359" s="2" t="str">
        <f>IFERROR(__xludf.DUMMYFUNCTION("IMPORTRANGE(""https://docs.google.com/spreadsheets/d/""&amp;$A359&amp;""/edit#gid=156619080"",K$3)"),"#REF!")</f>
        <v>#REF!</v>
      </c>
      <c r="L359" s="2" t="str">
        <f>IFERROR(__xludf.DUMMYFUNCTION("IMPORTRANGE(""https://docs.google.com/spreadsheets/d/""&amp;$A359&amp;""/edit#gid=156619080"",L$3)"),"#REF!")</f>
        <v>#REF!</v>
      </c>
      <c r="M359" s="2" t="str">
        <f>IFERROR(__xludf.DUMMYFUNCTION("IMPORTRANGE(""https://docs.google.com/spreadsheets/d/""&amp;$A359&amp;""/edit#gid=156619080"",M$3)"),"#REF!")</f>
        <v>#REF!</v>
      </c>
      <c r="N359" s="2" t="str">
        <f>IFERROR(__xludf.DUMMYFUNCTION("IMPORTRANGE(""https://docs.google.com/spreadsheets/d/""&amp;$A359&amp;""/edit#gid=156619080"",N$3)"),"#REF!")</f>
        <v>#REF!</v>
      </c>
      <c r="O359" s="2" t="str">
        <f>IFERROR(__xludf.DUMMYFUNCTION("IMPORTRANGE(""https://docs.google.com/spreadsheets/d/""&amp;$A359&amp;""/edit#gid=156619080"",O$3)"),"#REF!")</f>
        <v>#REF!</v>
      </c>
      <c r="P359" s="2" t="str">
        <f>IFERROR(__xludf.DUMMYFUNCTION("IMPORTRANGE(""https://docs.google.com/spreadsheets/d/""&amp;$A359&amp;""/edit#gid=156619080"",P$3)"),"#REF!")</f>
        <v>#REF!</v>
      </c>
      <c r="Q359" s="2" t="str">
        <f>IFERROR(__xludf.DUMMYFUNCTION("IMPORTRANGE(""https://docs.google.com/spreadsheets/d/""&amp;$A359&amp;""/edit#gid=156619080"",Q$3)"),"#REF!")</f>
        <v>#REF!</v>
      </c>
      <c r="R359" s="2" t="str">
        <f>IFERROR(__xludf.DUMMYFUNCTION("IMPORTRANGE(""https://docs.google.com/spreadsheets/d/""&amp;$A359&amp;""/edit#gid=156619080"",R$3)"),"#REF!")</f>
        <v>#REF!</v>
      </c>
      <c r="S359" s="2" t="str">
        <f>IFERROR(__xludf.DUMMYFUNCTION("IMPORTRANGE(""https://docs.google.com/spreadsheets/d/""&amp;$A359&amp;""/edit#gid=156619080"",S$3)"),"#REF!")</f>
        <v>#REF!</v>
      </c>
      <c r="T359" s="2" t="str">
        <f>IFERROR(__xludf.DUMMYFUNCTION("IMPORTRANGE(""https://docs.google.com/spreadsheets/d/""&amp;$A359&amp;""/edit#gid=156619080"",T$3)"),"#REF!")</f>
        <v>#REF!</v>
      </c>
      <c r="U359" s="2" t="str">
        <f>IFERROR(__xludf.DUMMYFUNCTION("IMPORTRANGE(""https://docs.google.com/spreadsheets/d/""&amp;$A359&amp;""/edit#gid=156619080"",U$3)"),"#REF!")</f>
        <v>#REF!</v>
      </c>
      <c r="V359" s="2" t="str">
        <f>IFERROR(__xludf.DUMMYFUNCTION("IMPORTRANGE(""https://docs.google.com/spreadsheets/d/""&amp;$A359&amp;""/edit#gid=156619080"",V$3)"),"#REF!")</f>
        <v>#REF!</v>
      </c>
      <c r="W359" s="2" t="str">
        <f>IFERROR(__xludf.DUMMYFUNCTION("IMPORTRANGE(""https://docs.google.com/spreadsheets/d/""&amp;$A359&amp;""/edit#gid=156619080"",W$3)"),"#REF!")</f>
        <v>#REF!</v>
      </c>
      <c r="X359" s="2" t="str">
        <f>IFERROR(__xludf.DUMMYFUNCTION("IMPORTRANGE(""https://docs.google.com/spreadsheets/d/""&amp;$A359&amp;""/edit#gid=156619080"",X$3)"),"#REF!")</f>
        <v>#REF!</v>
      </c>
      <c r="Y359" s="2" t="str">
        <f>IFERROR(__xludf.DUMMYFUNCTION("IMPORTRANGE(""https://docs.google.com/spreadsheets/d/""&amp;$A359&amp;""/edit#gid=156619080"",Y$3)"),"#REF!")</f>
        <v>#REF!</v>
      </c>
      <c r="Z359" s="2" t="str">
        <f>IFERROR(__xludf.DUMMYFUNCTION("IMPORTRANGE(""https://docs.google.com/spreadsheets/d/""&amp;$A359&amp;""/edit#gid=156619080"",Z$3)"),"#REF!")</f>
        <v>#REF!</v>
      </c>
      <c r="AA359" s="2" t="str">
        <f>IFERROR(__xludf.DUMMYFUNCTION("IMPORTRANGE(""https://docs.google.com/spreadsheets/d/""&amp;$A359&amp;""/edit#gid=156619080"",AA$3)"),"#REF!")</f>
        <v>#REF!</v>
      </c>
      <c r="AB359" s="2" t="str">
        <f>IFERROR(__xludf.DUMMYFUNCTION("IMPORTRANGE(""https://docs.google.com/spreadsheets/d/""&amp;$A359&amp;""/edit#gid=156619080"",AB$3)"),"#REF!")</f>
        <v>#REF!</v>
      </c>
      <c r="AC359" s="2" t="str">
        <f>IFERROR(__xludf.DUMMYFUNCTION("IMPORTRANGE(""https://docs.google.com/spreadsheets/d/""&amp;$A359&amp;""/edit#gid=156619080"",AC$3)"),"#REF!")</f>
        <v>#REF!</v>
      </c>
      <c r="AD359" s="2" t="str">
        <f>IFERROR(__xludf.DUMMYFUNCTION("IMPORTRANGE(""https://docs.google.com/spreadsheets/d/""&amp;$A359&amp;""/edit#gid=156619080"",AD$3)"),"#REF!")</f>
        <v>#REF!</v>
      </c>
      <c r="AE359" s="2" t="str">
        <f>IFERROR(__xludf.DUMMYFUNCTION("IMPORTRANGE(""https://docs.google.com/spreadsheets/d/""&amp;$A359&amp;""/edit#gid=156619080"",AE$3)"),"#REF!")</f>
        <v>#REF!</v>
      </c>
      <c r="AF359" s="2" t="str">
        <f>IFERROR(__xludf.DUMMYFUNCTION("IMPORTRANGE(""https://docs.google.com/spreadsheets/d/""&amp;$A359&amp;""/edit#gid=156619080"",AF$3)"),"#REF!")</f>
        <v>#REF!</v>
      </c>
      <c r="AG359" s="2" t="str">
        <f>IFERROR(__xludf.DUMMYFUNCTION("IMPORTRANGE(""https://docs.google.com/spreadsheets/d/""&amp;$A359&amp;""/edit#gid=156619080"",AG$3)"),"#REF!")</f>
        <v>#REF!</v>
      </c>
      <c r="AH359" s="2" t="str">
        <f>IFERROR(__xludf.DUMMYFUNCTION("IMPORTRANGE(""https://docs.google.com/spreadsheets/d/""&amp;$A359&amp;""/edit#gid=156619080"",AH$3)"),"#REF!")</f>
        <v>#REF!</v>
      </c>
      <c r="AI359" s="2" t="str">
        <f>IFERROR(__xludf.DUMMYFUNCTION("IMPORTRANGE(""https://docs.google.com/spreadsheets/d/""&amp;$A359&amp;""/edit#gid=156619080"",AI$3)"),"#REF!")</f>
        <v>#REF!</v>
      </c>
      <c r="AJ359" s="2" t="str">
        <f>IFERROR(__xludf.DUMMYFUNCTION("IMPORTRANGE(""https://docs.google.com/spreadsheets/d/""&amp;$A359&amp;""/edit#gid=156619080"",AJ$3)"),"#REF!")</f>
        <v>#REF!</v>
      </c>
      <c r="AK359" s="2" t="str">
        <f>IFERROR(__xludf.DUMMYFUNCTION("IMPORTRANGE(""https://docs.google.com/spreadsheets/d/""&amp;$A359&amp;""/edit#gid=156619080"",AK$3)"),"#REF!")</f>
        <v>#REF!</v>
      </c>
      <c r="AL359" s="2" t="str">
        <f>IFERROR(__xludf.DUMMYFUNCTION("IMPORTRANGE(""https://docs.google.com/spreadsheets/d/""&amp;$A359&amp;""/edit#gid=156619080"",AL$3)"),"#REF!")</f>
        <v>#REF!</v>
      </c>
      <c r="AM359" s="2" t="str">
        <f>IFERROR(__xludf.DUMMYFUNCTION("IMPORTRANGE(""https://docs.google.com/spreadsheets/d/""&amp;$A359&amp;""/edit#gid=156619080"",AM$3)"),"#REF!")</f>
        <v>#REF!</v>
      </c>
      <c r="AN359" s="2" t="str">
        <f>IFERROR(__xludf.DUMMYFUNCTION("IMPORTRANGE(""https://docs.google.com/spreadsheets/d/""&amp;$A359&amp;""/edit#gid=156619080"",AN$3)"),"#REF!")</f>
        <v>#REF!</v>
      </c>
      <c r="AO359" s="2" t="str">
        <f>IFERROR(__xludf.DUMMYFUNCTION("IMPORTRANGE(""https://docs.google.com/spreadsheets/d/""&amp;$A359&amp;""/edit#gid=156619080"",AO$3)"),"#REF!")</f>
        <v>#REF!</v>
      </c>
      <c r="AP359" s="2" t="str">
        <f>IFERROR(__xludf.DUMMYFUNCTION("IMPORTRANGE(""https://docs.google.com/spreadsheets/d/""&amp;$A359&amp;""/edit#gid=156619080"",AP$3)"),"#REF!")</f>
        <v>#REF!</v>
      </c>
      <c r="AQ359" s="2" t="str">
        <f>IFERROR(__xludf.DUMMYFUNCTION("IMPORTRANGE(""https://docs.google.com/spreadsheets/d/""&amp;$A359&amp;""/edit#gid=156619080"",AQ$3)"),"#REF!")</f>
        <v>#REF!</v>
      </c>
      <c r="AR359" s="2" t="str">
        <f>IFERROR(__xludf.DUMMYFUNCTION("IMPORTRANGE(""https://docs.google.com/spreadsheets/d/""&amp;$A359&amp;""/edit#gid=156619080"",AR$3)"),"#REF!")</f>
        <v>#REF!</v>
      </c>
      <c r="AS359" s="19" t="str">
        <f>IFERROR(__xludf.DUMMYFUNCTION("IMPORTRANGE(""https://docs.google.com/spreadsheets/d/""&amp;$A359&amp;""/edit#gid=156619080"",AS$3)"),"#REF!")</f>
        <v>#REF!</v>
      </c>
      <c r="AT359" s="2" t="str">
        <f>IFERROR(__xludf.DUMMYFUNCTION("IMPORTRANGE(""https://docs.google.com/spreadsheets/d/""&amp;$A359&amp;""/edit#gid=156619080"",AT$3)"),"#REF!")</f>
        <v>#REF!</v>
      </c>
      <c r="AU359" s="3" t="str">
        <f>IFERROR(__xludf.DUMMYFUNCTION("IMPORTRANGE(""https://docs.google.com/spreadsheets/d/""&amp;$A359&amp;""/edit#gid=156619080"",AU$3)"),"#REF!")</f>
        <v>#REF!</v>
      </c>
      <c r="AV359" s="2" t="str">
        <f>IFERROR(__xludf.DUMMYFUNCTION("IMPORTRANGE(""https://docs.google.com/spreadsheets/d/""&amp;$A359&amp;""/edit#gid=156619080"",AV$3)"),"#REF!")</f>
        <v>#REF!</v>
      </c>
      <c r="AW359" s="19" t="str">
        <f>IFERROR(__xludf.DUMMYFUNCTION("IMPORTRANGE(""https://docs.google.com/spreadsheets/d/""&amp;$A359&amp;""/edit#gid=156619080"",AW$3)"),"#REF!")</f>
        <v>#REF!</v>
      </c>
      <c r="AX359" s="2" t="str">
        <f>IFERROR(__xludf.DUMMYFUNCTION("IMPORTRANGE(""https://docs.google.com/spreadsheets/d/""&amp;$A359&amp;""/edit#gid=156619080"",AX$3)"),"#REF!")</f>
        <v>#REF!</v>
      </c>
      <c r="AY359" s="2" t="str">
        <f>IFERROR(__xludf.DUMMYFUNCTION("IMPORTRANGE(""https://docs.google.com/spreadsheets/d/""&amp;$A359&amp;""/edit#gid=156619080"",AY$3)"),"#REF!")</f>
        <v>#REF!</v>
      </c>
      <c r="AZ359" s="2" t="str">
        <f>IFERROR(__xludf.DUMMYFUNCTION("IMPORTRANGE(""https://docs.google.com/spreadsheets/d/""&amp;$A359&amp;""/edit#gid=156619080"",AZ$3)"),"#REF!")</f>
        <v>#REF!</v>
      </c>
      <c r="BA359" s="2" t="str">
        <f>IFERROR(__xludf.DUMMYFUNCTION("IMPORTRANGE(""https://docs.google.com/spreadsheets/d/""&amp;$A359&amp;""/edit#gid=156619080"",BA$3)"),"#REF!")</f>
        <v>#REF!</v>
      </c>
      <c r="BB359" s="2" t="str">
        <f>IFERROR(__xludf.DUMMYFUNCTION("IMPORTRANGE(""https://docs.google.com/spreadsheets/d/""&amp;$A359&amp;""/edit#gid=156619080"",BB$3)"),"#REF!")</f>
        <v>#REF!</v>
      </c>
      <c r="BC359" s="2" t="str">
        <f>IFERROR(__xludf.DUMMYFUNCTION("IMPORTRANGE(""https://docs.google.com/spreadsheets/d/""&amp;$A359&amp;""/edit#gid=156619080"",BC$3)"),"#REF!")</f>
        <v>#REF!</v>
      </c>
    </row>
    <row r="360" ht="51.0" customHeight="1">
      <c r="A360" s="7" t="str">
        <f t="shared" si="5"/>
        <v>1DbHcF-7Eysx4XamxL5ZbkKwL2j4lpBcBigZqbeA8UrI</v>
      </c>
      <c r="B360" s="1" t="s">
        <v>387</v>
      </c>
      <c r="C360" s="2" t="str">
        <f>IFERROR(__xludf.DUMMYFUNCTION("IMPORTRANGE(""https://docs.google.com/spreadsheets/d/""&amp;$A360&amp;""/edit#gid=156619080"",C$3)"),"#REF!")</f>
        <v>#REF!</v>
      </c>
      <c r="D360" s="2" t="str">
        <f>IFERROR(__xludf.DUMMYFUNCTION("IMPORTRANGE(""https://docs.google.com/spreadsheets/d/""&amp;$A360&amp;""/edit#gid=156619080"",D$3)"),"#REF!")</f>
        <v>#REF!</v>
      </c>
      <c r="E360" s="2" t="str">
        <f>IFERROR(__xludf.DUMMYFUNCTION("IMPORTRANGE(""https://docs.google.com/spreadsheets/d/""&amp;$A360&amp;""/edit#gid=156619080"",E$3)"),"#REF!")</f>
        <v>#REF!</v>
      </c>
      <c r="F360" s="2" t="str">
        <f>IFERROR(__xludf.DUMMYFUNCTION("IMPORTRANGE(""https://docs.google.com/spreadsheets/d/""&amp;$A360&amp;""/edit#gid=156619080"",F$3)"),"#REF!")</f>
        <v>#REF!</v>
      </c>
      <c r="G360" s="2" t="str">
        <f>IFERROR(__xludf.DUMMYFUNCTION("IMPORTRANGE(""https://docs.google.com/spreadsheets/d/""&amp;$A360&amp;""/edit#gid=156619080"",G$3)"),"#REF!")</f>
        <v>#REF!</v>
      </c>
      <c r="H360" s="2" t="str">
        <f>IFERROR(__xludf.DUMMYFUNCTION("IMPORTRANGE(""https://docs.google.com/spreadsheets/d/""&amp;$A360&amp;""/edit#gid=156619080"",H$3)"),"#REF!")</f>
        <v>#REF!</v>
      </c>
      <c r="I360" s="2" t="str">
        <f>IFERROR(__xludf.DUMMYFUNCTION("IMPORTRANGE(""https://docs.google.com/spreadsheets/d/""&amp;$A360&amp;""/edit#gid=156619080"",I$3)"),"#REF!")</f>
        <v>#REF!</v>
      </c>
      <c r="J360" s="2" t="str">
        <f>IFERROR(__xludf.DUMMYFUNCTION("IMPORTRANGE(""https://docs.google.com/spreadsheets/d/""&amp;$A360&amp;""/edit#gid=156619080"",J$3)"),"#REF!")</f>
        <v>#REF!</v>
      </c>
      <c r="K360" s="2" t="str">
        <f>IFERROR(__xludf.DUMMYFUNCTION("IMPORTRANGE(""https://docs.google.com/spreadsheets/d/""&amp;$A360&amp;""/edit#gid=156619080"",K$3)"),"#REF!")</f>
        <v>#REF!</v>
      </c>
      <c r="L360" s="2" t="str">
        <f>IFERROR(__xludf.DUMMYFUNCTION("IMPORTRANGE(""https://docs.google.com/spreadsheets/d/""&amp;$A360&amp;""/edit#gid=156619080"",L$3)"),"#REF!")</f>
        <v>#REF!</v>
      </c>
      <c r="M360" s="2" t="str">
        <f>IFERROR(__xludf.DUMMYFUNCTION("IMPORTRANGE(""https://docs.google.com/spreadsheets/d/""&amp;$A360&amp;""/edit#gid=156619080"",M$3)"),"#REF!")</f>
        <v>#REF!</v>
      </c>
      <c r="N360" s="2" t="str">
        <f>IFERROR(__xludf.DUMMYFUNCTION("IMPORTRANGE(""https://docs.google.com/spreadsheets/d/""&amp;$A360&amp;""/edit#gid=156619080"",N$3)"),"#REF!")</f>
        <v>#REF!</v>
      </c>
      <c r="O360" s="2" t="str">
        <f>IFERROR(__xludf.DUMMYFUNCTION("IMPORTRANGE(""https://docs.google.com/spreadsheets/d/""&amp;$A360&amp;""/edit#gid=156619080"",O$3)"),"#REF!")</f>
        <v>#REF!</v>
      </c>
      <c r="P360" s="2" t="str">
        <f>IFERROR(__xludf.DUMMYFUNCTION("IMPORTRANGE(""https://docs.google.com/spreadsheets/d/""&amp;$A360&amp;""/edit#gid=156619080"",P$3)"),"#REF!")</f>
        <v>#REF!</v>
      </c>
      <c r="Q360" s="2" t="str">
        <f>IFERROR(__xludf.DUMMYFUNCTION("IMPORTRANGE(""https://docs.google.com/spreadsheets/d/""&amp;$A360&amp;""/edit#gid=156619080"",Q$3)"),"#REF!")</f>
        <v>#REF!</v>
      </c>
      <c r="R360" s="2" t="str">
        <f>IFERROR(__xludf.DUMMYFUNCTION("IMPORTRANGE(""https://docs.google.com/spreadsheets/d/""&amp;$A360&amp;""/edit#gid=156619080"",R$3)"),"#REF!")</f>
        <v>#REF!</v>
      </c>
      <c r="S360" s="2" t="str">
        <f>IFERROR(__xludf.DUMMYFUNCTION("IMPORTRANGE(""https://docs.google.com/spreadsheets/d/""&amp;$A360&amp;""/edit#gid=156619080"",S$3)"),"#REF!")</f>
        <v>#REF!</v>
      </c>
      <c r="T360" s="2" t="str">
        <f>IFERROR(__xludf.DUMMYFUNCTION("IMPORTRANGE(""https://docs.google.com/spreadsheets/d/""&amp;$A360&amp;""/edit#gid=156619080"",T$3)"),"#REF!")</f>
        <v>#REF!</v>
      </c>
      <c r="U360" s="2" t="str">
        <f>IFERROR(__xludf.DUMMYFUNCTION("IMPORTRANGE(""https://docs.google.com/spreadsheets/d/""&amp;$A360&amp;""/edit#gid=156619080"",U$3)"),"#REF!")</f>
        <v>#REF!</v>
      </c>
      <c r="V360" s="2" t="str">
        <f>IFERROR(__xludf.DUMMYFUNCTION("IMPORTRANGE(""https://docs.google.com/spreadsheets/d/""&amp;$A360&amp;""/edit#gid=156619080"",V$3)"),"#REF!")</f>
        <v>#REF!</v>
      </c>
      <c r="W360" s="2" t="str">
        <f>IFERROR(__xludf.DUMMYFUNCTION("IMPORTRANGE(""https://docs.google.com/spreadsheets/d/""&amp;$A360&amp;""/edit#gid=156619080"",W$3)"),"#REF!")</f>
        <v>#REF!</v>
      </c>
      <c r="X360" s="2" t="str">
        <f>IFERROR(__xludf.DUMMYFUNCTION("IMPORTRANGE(""https://docs.google.com/spreadsheets/d/""&amp;$A360&amp;""/edit#gid=156619080"",X$3)"),"#REF!")</f>
        <v>#REF!</v>
      </c>
      <c r="Y360" s="2" t="str">
        <f>IFERROR(__xludf.DUMMYFUNCTION("IMPORTRANGE(""https://docs.google.com/spreadsheets/d/""&amp;$A360&amp;""/edit#gid=156619080"",Y$3)"),"#REF!")</f>
        <v>#REF!</v>
      </c>
      <c r="Z360" s="2" t="str">
        <f>IFERROR(__xludf.DUMMYFUNCTION("IMPORTRANGE(""https://docs.google.com/spreadsheets/d/""&amp;$A360&amp;""/edit#gid=156619080"",Z$3)"),"#REF!")</f>
        <v>#REF!</v>
      </c>
      <c r="AA360" s="2" t="str">
        <f>IFERROR(__xludf.DUMMYFUNCTION("IMPORTRANGE(""https://docs.google.com/spreadsheets/d/""&amp;$A360&amp;""/edit#gid=156619080"",AA$3)"),"#REF!")</f>
        <v>#REF!</v>
      </c>
      <c r="AB360" s="2" t="str">
        <f>IFERROR(__xludf.DUMMYFUNCTION("IMPORTRANGE(""https://docs.google.com/spreadsheets/d/""&amp;$A360&amp;""/edit#gid=156619080"",AB$3)"),"#REF!")</f>
        <v>#REF!</v>
      </c>
      <c r="AC360" s="2" t="str">
        <f>IFERROR(__xludf.DUMMYFUNCTION("IMPORTRANGE(""https://docs.google.com/spreadsheets/d/""&amp;$A360&amp;""/edit#gid=156619080"",AC$3)"),"#REF!")</f>
        <v>#REF!</v>
      </c>
      <c r="AD360" s="2" t="str">
        <f>IFERROR(__xludf.DUMMYFUNCTION("IMPORTRANGE(""https://docs.google.com/spreadsheets/d/""&amp;$A360&amp;""/edit#gid=156619080"",AD$3)"),"#REF!")</f>
        <v>#REF!</v>
      </c>
      <c r="AE360" s="2" t="str">
        <f>IFERROR(__xludf.DUMMYFUNCTION("IMPORTRANGE(""https://docs.google.com/spreadsheets/d/""&amp;$A360&amp;""/edit#gid=156619080"",AE$3)"),"#REF!")</f>
        <v>#REF!</v>
      </c>
      <c r="AF360" s="2" t="str">
        <f>IFERROR(__xludf.DUMMYFUNCTION("IMPORTRANGE(""https://docs.google.com/spreadsheets/d/""&amp;$A360&amp;""/edit#gid=156619080"",AF$3)"),"#REF!")</f>
        <v>#REF!</v>
      </c>
      <c r="AG360" s="2" t="str">
        <f>IFERROR(__xludf.DUMMYFUNCTION("IMPORTRANGE(""https://docs.google.com/spreadsheets/d/""&amp;$A360&amp;""/edit#gid=156619080"",AG$3)"),"#REF!")</f>
        <v>#REF!</v>
      </c>
      <c r="AH360" s="2" t="str">
        <f>IFERROR(__xludf.DUMMYFUNCTION("IMPORTRANGE(""https://docs.google.com/spreadsheets/d/""&amp;$A360&amp;""/edit#gid=156619080"",AH$3)"),"#REF!")</f>
        <v>#REF!</v>
      </c>
      <c r="AI360" s="2" t="str">
        <f>IFERROR(__xludf.DUMMYFUNCTION("IMPORTRANGE(""https://docs.google.com/spreadsheets/d/""&amp;$A360&amp;""/edit#gid=156619080"",AI$3)"),"#REF!")</f>
        <v>#REF!</v>
      </c>
      <c r="AJ360" s="2" t="str">
        <f>IFERROR(__xludf.DUMMYFUNCTION("IMPORTRANGE(""https://docs.google.com/spreadsheets/d/""&amp;$A360&amp;""/edit#gid=156619080"",AJ$3)"),"#REF!")</f>
        <v>#REF!</v>
      </c>
      <c r="AK360" s="2" t="str">
        <f>IFERROR(__xludf.DUMMYFUNCTION("IMPORTRANGE(""https://docs.google.com/spreadsheets/d/""&amp;$A360&amp;""/edit#gid=156619080"",AK$3)"),"#REF!")</f>
        <v>#REF!</v>
      </c>
      <c r="AL360" s="2" t="str">
        <f>IFERROR(__xludf.DUMMYFUNCTION("IMPORTRANGE(""https://docs.google.com/spreadsheets/d/""&amp;$A360&amp;""/edit#gid=156619080"",AL$3)"),"#REF!")</f>
        <v>#REF!</v>
      </c>
      <c r="AM360" s="2" t="str">
        <f>IFERROR(__xludf.DUMMYFUNCTION("IMPORTRANGE(""https://docs.google.com/spreadsheets/d/""&amp;$A360&amp;""/edit#gid=156619080"",AM$3)"),"#REF!")</f>
        <v>#REF!</v>
      </c>
      <c r="AN360" s="2" t="str">
        <f>IFERROR(__xludf.DUMMYFUNCTION("IMPORTRANGE(""https://docs.google.com/spreadsheets/d/""&amp;$A360&amp;""/edit#gid=156619080"",AN$3)"),"#REF!")</f>
        <v>#REF!</v>
      </c>
      <c r="AO360" s="2" t="str">
        <f>IFERROR(__xludf.DUMMYFUNCTION("IMPORTRANGE(""https://docs.google.com/spreadsheets/d/""&amp;$A360&amp;""/edit#gid=156619080"",AO$3)"),"#REF!")</f>
        <v>#REF!</v>
      </c>
      <c r="AP360" s="2" t="str">
        <f>IFERROR(__xludf.DUMMYFUNCTION("IMPORTRANGE(""https://docs.google.com/spreadsheets/d/""&amp;$A360&amp;""/edit#gid=156619080"",AP$3)"),"#REF!")</f>
        <v>#REF!</v>
      </c>
      <c r="AQ360" s="2" t="str">
        <f>IFERROR(__xludf.DUMMYFUNCTION("IMPORTRANGE(""https://docs.google.com/spreadsheets/d/""&amp;$A360&amp;""/edit#gid=156619080"",AQ$3)"),"#REF!")</f>
        <v>#REF!</v>
      </c>
      <c r="AR360" s="2" t="str">
        <f>IFERROR(__xludf.DUMMYFUNCTION("IMPORTRANGE(""https://docs.google.com/spreadsheets/d/""&amp;$A360&amp;""/edit#gid=156619080"",AR$3)"),"#REF!")</f>
        <v>#REF!</v>
      </c>
      <c r="AS360" s="19" t="str">
        <f>IFERROR(__xludf.DUMMYFUNCTION("IMPORTRANGE(""https://docs.google.com/spreadsheets/d/""&amp;$A360&amp;""/edit#gid=156619080"",AS$3)"),"#REF!")</f>
        <v>#REF!</v>
      </c>
      <c r="AT360" s="2" t="str">
        <f>IFERROR(__xludf.DUMMYFUNCTION("IMPORTRANGE(""https://docs.google.com/spreadsheets/d/""&amp;$A360&amp;""/edit#gid=156619080"",AT$3)"),"#REF!")</f>
        <v>#REF!</v>
      </c>
      <c r="AU360" s="3" t="str">
        <f>IFERROR(__xludf.DUMMYFUNCTION("IMPORTRANGE(""https://docs.google.com/spreadsheets/d/""&amp;$A360&amp;""/edit#gid=156619080"",AU$3)"),"#REF!")</f>
        <v>#REF!</v>
      </c>
      <c r="AV360" s="2" t="str">
        <f>IFERROR(__xludf.DUMMYFUNCTION("IMPORTRANGE(""https://docs.google.com/spreadsheets/d/""&amp;$A360&amp;""/edit#gid=156619080"",AV$3)"),"#REF!")</f>
        <v>#REF!</v>
      </c>
      <c r="AW360" s="19" t="str">
        <f>IFERROR(__xludf.DUMMYFUNCTION("IMPORTRANGE(""https://docs.google.com/spreadsheets/d/""&amp;$A360&amp;""/edit#gid=156619080"",AW$3)"),"#REF!")</f>
        <v>#REF!</v>
      </c>
      <c r="AX360" s="2" t="str">
        <f>IFERROR(__xludf.DUMMYFUNCTION("IMPORTRANGE(""https://docs.google.com/spreadsheets/d/""&amp;$A360&amp;""/edit#gid=156619080"",AX$3)"),"#REF!")</f>
        <v>#REF!</v>
      </c>
      <c r="AY360" s="2" t="str">
        <f>IFERROR(__xludf.DUMMYFUNCTION("IMPORTRANGE(""https://docs.google.com/spreadsheets/d/""&amp;$A360&amp;""/edit#gid=156619080"",AY$3)"),"#REF!")</f>
        <v>#REF!</v>
      </c>
      <c r="AZ360" s="2" t="str">
        <f>IFERROR(__xludf.DUMMYFUNCTION("IMPORTRANGE(""https://docs.google.com/spreadsheets/d/""&amp;$A360&amp;""/edit#gid=156619080"",AZ$3)"),"#REF!")</f>
        <v>#REF!</v>
      </c>
      <c r="BA360" s="2" t="str">
        <f>IFERROR(__xludf.DUMMYFUNCTION("IMPORTRANGE(""https://docs.google.com/spreadsheets/d/""&amp;$A360&amp;""/edit#gid=156619080"",BA$3)"),"#REF!")</f>
        <v>#REF!</v>
      </c>
      <c r="BB360" s="2" t="str">
        <f>IFERROR(__xludf.DUMMYFUNCTION("IMPORTRANGE(""https://docs.google.com/spreadsheets/d/""&amp;$A360&amp;""/edit#gid=156619080"",BB$3)"),"#REF!")</f>
        <v>#REF!</v>
      </c>
      <c r="BC360" s="2" t="str">
        <f>IFERROR(__xludf.DUMMYFUNCTION("IMPORTRANGE(""https://docs.google.com/spreadsheets/d/""&amp;$A360&amp;""/edit#gid=156619080"",BC$3)"),"#REF!")</f>
        <v>#REF!</v>
      </c>
    </row>
    <row r="361" ht="51.0" customHeight="1">
      <c r="A361" s="7" t="str">
        <f t="shared" si="5"/>
        <v>1CtbGNlr8QNVFL-ZG4NIr4O2yAdaNqsjgSCw1eavA2JY</v>
      </c>
      <c r="B361" s="1" t="s">
        <v>388</v>
      </c>
      <c r="C361" s="2" t="str">
        <f>IFERROR(__xludf.DUMMYFUNCTION("IMPORTRANGE(""https://docs.google.com/spreadsheets/d/""&amp;$A361&amp;""/edit#gid=156619080"",C$3)"),"#REF!")</f>
        <v>#REF!</v>
      </c>
      <c r="D361" s="2" t="str">
        <f>IFERROR(__xludf.DUMMYFUNCTION("IMPORTRANGE(""https://docs.google.com/spreadsheets/d/""&amp;$A361&amp;""/edit#gid=156619080"",D$3)"),"#REF!")</f>
        <v>#REF!</v>
      </c>
      <c r="E361" s="2" t="str">
        <f>IFERROR(__xludf.DUMMYFUNCTION("IMPORTRANGE(""https://docs.google.com/spreadsheets/d/""&amp;$A361&amp;""/edit#gid=156619080"",E$3)"),"#REF!")</f>
        <v>#REF!</v>
      </c>
      <c r="F361" s="2" t="str">
        <f>IFERROR(__xludf.DUMMYFUNCTION("IMPORTRANGE(""https://docs.google.com/spreadsheets/d/""&amp;$A361&amp;""/edit#gid=156619080"",F$3)"),"#REF!")</f>
        <v>#REF!</v>
      </c>
      <c r="G361" s="2" t="str">
        <f>IFERROR(__xludf.DUMMYFUNCTION("IMPORTRANGE(""https://docs.google.com/spreadsheets/d/""&amp;$A361&amp;""/edit#gid=156619080"",G$3)"),"#REF!")</f>
        <v>#REF!</v>
      </c>
      <c r="H361" s="2" t="str">
        <f>IFERROR(__xludf.DUMMYFUNCTION("IMPORTRANGE(""https://docs.google.com/spreadsheets/d/""&amp;$A361&amp;""/edit#gid=156619080"",H$3)"),"#REF!")</f>
        <v>#REF!</v>
      </c>
      <c r="I361" s="2" t="str">
        <f>IFERROR(__xludf.DUMMYFUNCTION("IMPORTRANGE(""https://docs.google.com/spreadsheets/d/""&amp;$A361&amp;""/edit#gid=156619080"",I$3)"),"#REF!")</f>
        <v>#REF!</v>
      </c>
      <c r="J361" s="2" t="str">
        <f>IFERROR(__xludf.DUMMYFUNCTION("IMPORTRANGE(""https://docs.google.com/spreadsheets/d/""&amp;$A361&amp;""/edit#gid=156619080"",J$3)"),"#REF!")</f>
        <v>#REF!</v>
      </c>
      <c r="K361" s="2" t="str">
        <f>IFERROR(__xludf.DUMMYFUNCTION("IMPORTRANGE(""https://docs.google.com/spreadsheets/d/""&amp;$A361&amp;""/edit#gid=156619080"",K$3)"),"#REF!")</f>
        <v>#REF!</v>
      </c>
      <c r="L361" s="2" t="str">
        <f>IFERROR(__xludf.DUMMYFUNCTION("IMPORTRANGE(""https://docs.google.com/spreadsheets/d/""&amp;$A361&amp;""/edit#gid=156619080"",L$3)"),"#REF!")</f>
        <v>#REF!</v>
      </c>
      <c r="M361" s="2" t="str">
        <f>IFERROR(__xludf.DUMMYFUNCTION("IMPORTRANGE(""https://docs.google.com/spreadsheets/d/""&amp;$A361&amp;""/edit#gid=156619080"",M$3)"),"#REF!")</f>
        <v>#REF!</v>
      </c>
      <c r="N361" s="2" t="str">
        <f>IFERROR(__xludf.DUMMYFUNCTION("IMPORTRANGE(""https://docs.google.com/spreadsheets/d/""&amp;$A361&amp;""/edit#gid=156619080"",N$3)"),"#REF!")</f>
        <v>#REF!</v>
      </c>
      <c r="O361" s="2" t="str">
        <f>IFERROR(__xludf.DUMMYFUNCTION("IMPORTRANGE(""https://docs.google.com/spreadsheets/d/""&amp;$A361&amp;""/edit#gid=156619080"",O$3)"),"#REF!")</f>
        <v>#REF!</v>
      </c>
      <c r="P361" s="2" t="str">
        <f>IFERROR(__xludf.DUMMYFUNCTION("IMPORTRANGE(""https://docs.google.com/spreadsheets/d/""&amp;$A361&amp;""/edit#gid=156619080"",P$3)"),"#REF!")</f>
        <v>#REF!</v>
      </c>
      <c r="Q361" s="2" t="str">
        <f>IFERROR(__xludf.DUMMYFUNCTION("IMPORTRANGE(""https://docs.google.com/spreadsheets/d/""&amp;$A361&amp;""/edit#gid=156619080"",Q$3)"),"#REF!")</f>
        <v>#REF!</v>
      </c>
      <c r="R361" s="2" t="str">
        <f>IFERROR(__xludf.DUMMYFUNCTION("IMPORTRANGE(""https://docs.google.com/spreadsheets/d/""&amp;$A361&amp;""/edit#gid=156619080"",R$3)"),"#REF!")</f>
        <v>#REF!</v>
      </c>
      <c r="S361" s="2" t="str">
        <f>IFERROR(__xludf.DUMMYFUNCTION("IMPORTRANGE(""https://docs.google.com/spreadsheets/d/""&amp;$A361&amp;""/edit#gid=156619080"",S$3)"),"#REF!")</f>
        <v>#REF!</v>
      </c>
      <c r="T361" s="2" t="str">
        <f>IFERROR(__xludf.DUMMYFUNCTION("IMPORTRANGE(""https://docs.google.com/spreadsheets/d/""&amp;$A361&amp;""/edit#gid=156619080"",T$3)"),"#REF!")</f>
        <v>#REF!</v>
      </c>
      <c r="U361" s="2" t="str">
        <f>IFERROR(__xludf.DUMMYFUNCTION("IMPORTRANGE(""https://docs.google.com/spreadsheets/d/""&amp;$A361&amp;""/edit#gid=156619080"",U$3)"),"#REF!")</f>
        <v>#REF!</v>
      </c>
      <c r="V361" s="2" t="str">
        <f>IFERROR(__xludf.DUMMYFUNCTION("IMPORTRANGE(""https://docs.google.com/spreadsheets/d/""&amp;$A361&amp;""/edit#gid=156619080"",V$3)"),"#REF!")</f>
        <v>#REF!</v>
      </c>
      <c r="W361" s="2" t="str">
        <f>IFERROR(__xludf.DUMMYFUNCTION("IMPORTRANGE(""https://docs.google.com/spreadsheets/d/""&amp;$A361&amp;""/edit#gid=156619080"",W$3)"),"#REF!")</f>
        <v>#REF!</v>
      </c>
      <c r="X361" s="2" t="str">
        <f>IFERROR(__xludf.DUMMYFUNCTION("IMPORTRANGE(""https://docs.google.com/spreadsheets/d/""&amp;$A361&amp;""/edit#gid=156619080"",X$3)"),"#REF!")</f>
        <v>#REF!</v>
      </c>
      <c r="Y361" s="2" t="str">
        <f>IFERROR(__xludf.DUMMYFUNCTION("IMPORTRANGE(""https://docs.google.com/spreadsheets/d/""&amp;$A361&amp;""/edit#gid=156619080"",Y$3)"),"#REF!")</f>
        <v>#REF!</v>
      </c>
      <c r="Z361" s="2" t="str">
        <f>IFERROR(__xludf.DUMMYFUNCTION("IMPORTRANGE(""https://docs.google.com/spreadsheets/d/""&amp;$A361&amp;""/edit#gid=156619080"",Z$3)"),"#REF!")</f>
        <v>#REF!</v>
      </c>
      <c r="AA361" s="2" t="str">
        <f>IFERROR(__xludf.DUMMYFUNCTION("IMPORTRANGE(""https://docs.google.com/spreadsheets/d/""&amp;$A361&amp;""/edit#gid=156619080"",AA$3)"),"#REF!")</f>
        <v>#REF!</v>
      </c>
      <c r="AB361" s="2" t="str">
        <f>IFERROR(__xludf.DUMMYFUNCTION("IMPORTRANGE(""https://docs.google.com/spreadsheets/d/""&amp;$A361&amp;""/edit#gid=156619080"",AB$3)"),"#REF!")</f>
        <v>#REF!</v>
      </c>
      <c r="AC361" s="2" t="str">
        <f>IFERROR(__xludf.DUMMYFUNCTION("IMPORTRANGE(""https://docs.google.com/spreadsheets/d/""&amp;$A361&amp;""/edit#gid=156619080"",AC$3)"),"#REF!")</f>
        <v>#REF!</v>
      </c>
      <c r="AD361" s="2" t="str">
        <f>IFERROR(__xludf.DUMMYFUNCTION("IMPORTRANGE(""https://docs.google.com/spreadsheets/d/""&amp;$A361&amp;""/edit#gid=156619080"",AD$3)"),"#REF!")</f>
        <v>#REF!</v>
      </c>
      <c r="AE361" s="2" t="str">
        <f>IFERROR(__xludf.DUMMYFUNCTION("IMPORTRANGE(""https://docs.google.com/spreadsheets/d/""&amp;$A361&amp;""/edit#gid=156619080"",AE$3)"),"#REF!")</f>
        <v>#REF!</v>
      </c>
      <c r="AF361" s="2" t="str">
        <f>IFERROR(__xludf.DUMMYFUNCTION("IMPORTRANGE(""https://docs.google.com/spreadsheets/d/""&amp;$A361&amp;""/edit#gid=156619080"",AF$3)"),"#REF!")</f>
        <v>#REF!</v>
      </c>
      <c r="AG361" s="2" t="str">
        <f>IFERROR(__xludf.DUMMYFUNCTION("IMPORTRANGE(""https://docs.google.com/spreadsheets/d/""&amp;$A361&amp;""/edit#gid=156619080"",AG$3)"),"#REF!")</f>
        <v>#REF!</v>
      </c>
      <c r="AH361" s="2" t="str">
        <f>IFERROR(__xludf.DUMMYFUNCTION("IMPORTRANGE(""https://docs.google.com/spreadsheets/d/""&amp;$A361&amp;""/edit#gid=156619080"",AH$3)"),"#REF!")</f>
        <v>#REF!</v>
      </c>
      <c r="AI361" s="2" t="str">
        <f>IFERROR(__xludf.DUMMYFUNCTION("IMPORTRANGE(""https://docs.google.com/spreadsheets/d/""&amp;$A361&amp;""/edit#gid=156619080"",AI$3)"),"#REF!")</f>
        <v>#REF!</v>
      </c>
      <c r="AJ361" s="2" t="str">
        <f>IFERROR(__xludf.DUMMYFUNCTION("IMPORTRANGE(""https://docs.google.com/spreadsheets/d/""&amp;$A361&amp;""/edit#gid=156619080"",AJ$3)"),"#REF!")</f>
        <v>#REF!</v>
      </c>
      <c r="AK361" s="2" t="str">
        <f>IFERROR(__xludf.DUMMYFUNCTION("IMPORTRANGE(""https://docs.google.com/spreadsheets/d/""&amp;$A361&amp;""/edit#gid=156619080"",AK$3)"),"#REF!")</f>
        <v>#REF!</v>
      </c>
      <c r="AL361" s="2" t="str">
        <f>IFERROR(__xludf.DUMMYFUNCTION("IMPORTRANGE(""https://docs.google.com/spreadsheets/d/""&amp;$A361&amp;""/edit#gid=156619080"",AL$3)"),"#REF!")</f>
        <v>#REF!</v>
      </c>
      <c r="AM361" s="2" t="str">
        <f>IFERROR(__xludf.DUMMYFUNCTION("IMPORTRANGE(""https://docs.google.com/spreadsheets/d/""&amp;$A361&amp;""/edit#gid=156619080"",AM$3)"),"#REF!")</f>
        <v>#REF!</v>
      </c>
      <c r="AN361" s="2" t="str">
        <f>IFERROR(__xludf.DUMMYFUNCTION("IMPORTRANGE(""https://docs.google.com/spreadsheets/d/""&amp;$A361&amp;""/edit#gid=156619080"",AN$3)"),"#REF!")</f>
        <v>#REF!</v>
      </c>
      <c r="AO361" s="2" t="str">
        <f>IFERROR(__xludf.DUMMYFUNCTION("IMPORTRANGE(""https://docs.google.com/spreadsheets/d/""&amp;$A361&amp;""/edit#gid=156619080"",AO$3)"),"#REF!")</f>
        <v>#REF!</v>
      </c>
      <c r="AP361" s="2" t="str">
        <f>IFERROR(__xludf.DUMMYFUNCTION("IMPORTRANGE(""https://docs.google.com/spreadsheets/d/""&amp;$A361&amp;""/edit#gid=156619080"",AP$3)"),"#REF!")</f>
        <v>#REF!</v>
      </c>
      <c r="AQ361" s="2" t="str">
        <f>IFERROR(__xludf.DUMMYFUNCTION("IMPORTRANGE(""https://docs.google.com/spreadsheets/d/""&amp;$A361&amp;""/edit#gid=156619080"",AQ$3)"),"#REF!")</f>
        <v>#REF!</v>
      </c>
      <c r="AR361" s="2" t="str">
        <f>IFERROR(__xludf.DUMMYFUNCTION("IMPORTRANGE(""https://docs.google.com/spreadsheets/d/""&amp;$A361&amp;""/edit#gid=156619080"",AR$3)"),"#REF!")</f>
        <v>#REF!</v>
      </c>
      <c r="AS361" s="19" t="str">
        <f>IFERROR(__xludf.DUMMYFUNCTION("IMPORTRANGE(""https://docs.google.com/spreadsheets/d/""&amp;$A361&amp;""/edit#gid=156619080"",AS$3)"),"#REF!")</f>
        <v>#REF!</v>
      </c>
      <c r="AT361" s="2" t="str">
        <f>IFERROR(__xludf.DUMMYFUNCTION("IMPORTRANGE(""https://docs.google.com/spreadsheets/d/""&amp;$A361&amp;""/edit#gid=156619080"",AT$3)"),"#REF!")</f>
        <v>#REF!</v>
      </c>
      <c r="AU361" s="3" t="str">
        <f>IFERROR(__xludf.DUMMYFUNCTION("IMPORTRANGE(""https://docs.google.com/spreadsheets/d/""&amp;$A361&amp;""/edit#gid=156619080"",AU$3)"),"#REF!")</f>
        <v>#REF!</v>
      </c>
      <c r="AV361" s="2" t="str">
        <f>IFERROR(__xludf.DUMMYFUNCTION("IMPORTRANGE(""https://docs.google.com/spreadsheets/d/""&amp;$A361&amp;""/edit#gid=156619080"",AV$3)"),"#REF!")</f>
        <v>#REF!</v>
      </c>
      <c r="AW361" s="19" t="str">
        <f>IFERROR(__xludf.DUMMYFUNCTION("IMPORTRANGE(""https://docs.google.com/spreadsheets/d/""&amp;$A361&amp;""/edit#gid=156619080"",AW$3)"),"#REF!")</f>
        <v>#REF!</v>
      </c>
      <c r="AX361" s="2" t="str">
        <f>IFERROR(__xludf.DUMMYFUNCTION("IMPORTRANGE(""https://docs.google.com/spreadsheets/d/""&amp;$A361&amp;""/edit#gid=156619080"",AX$3)"),"#REF!")</f>
        <v>#REF!</v>
      </c>
      <c r="AY361" s="2" t="str">
        <f>IFERROR(__xludf.DUMMYFUNCTION("IMPORTRANGE(""https://docs.google.com/spreadsheets/d/""&amp;$A361&amp;""/edit#gid=156619080"",AY$3)"),"#REF!")</f>
        <v>#REF!</v>
      </c>
      <c r="AZ361" s="2" t="str">
        <f>IFERROR(__xludf.DUMMYFUNCTION("IMPORTRANGE(""https://docs.google.com/spreadsheets/d/""&amp;$A361&amp;""/edit#gid=156619080"",AZ$3)"),"#REF!")</f>
        <v>#REF!</v>
      </c>
      <c r="BA361" s="2" t="str">
        <f>IFERROR(__xludf.DUMMYFUNCTION("IMPORTRANGE(""https://docs.google.com/spreadsheets/d/""&amp;$A361&amp;""/edit#gid=156619080"",BA$3)"),"#REF!")</f>
        <v>#REF!</v>
      </c>
      <c r="BB361" s="2" t="str">
        <f>IFERROR(__xludf.DUMMYFUNCTION("IMPORTRANGE(""https://docs.google.com/spreadsheets/d/""&amp;$A361&amp;""/edit#gid=156619080"",BB$3)"),"#REF!")</f>
        <v>#REF!</v>
      </c>
      <c r="BC361" s="2" t="str">
        <f>IFERROR(__xludf.DUMMYFUNCTION("IMPORTRANGE(""https://docs.google.com/spreadsheets/d/""&amp;$A361&amp;""/edit#gid=156619080"",BC$3)"),"#REF!")</f>
        <v>#REF!</v>
      </c>
    </row>
    <row r="362" ht="51.0" customHeight="1">
      <c r="A362" s="7" t="str">
        <f t="shared" si="5"/>
        <v>1fgIHlcu5_qyW8JmL_9o4zC5ZYPsGj9hvzLZWCpbKhYM</v>
      </c>
      <c r="B362" s="1" t="s">
        <v>389</v>
      </c>
      <c r="C362" s="2" t="str">
        <f>IFERROR(__xludf.DUMMYFUNCTION("IMPORTRANGE(""https://docs.google.com/spreadsheets/d/""&amp;$A362&amp;""/edit#gid=156619080"",C$3)"),"#REF!")</f>
        <v>#REF!</v>
      </c>
      <c r="D362" s="2" t="str">
        <f>IFERROR(__xludf.DUMMYFUNCTION("IMPORTRANGE(""https://docs.google.com/spreadsheets/d/""&amp;$A362&amp;""/edit#gid=156619080"",D$3)"),"#REF!")</f>
        <v>#REF!</v>
      </c>
      <c r="E362" s="2" t="str">
        <f>IFERROR(__xludf.DUMMYFUNCTION("IMPORTRANGE(""https://docs.google.com/spreadsheets/d/""&amp;$A362&amp;""/edit#gid=156619080"",E$3)"),"#REF!")</f>
        <v>#REF!</v>
      </c>
      <c r="F362" s="2" t="str">
        <f>IFERROR(__xludf.DUMMYFUNCTION("IMPORTRANGE(""https://docs.google.com/spreadsheets/d/""&amp;$A362&amp;""/edit#gid=156619080"",F$3)"),"#REF!")</f>
        <v>#REF!</v>
      </c>
      <c r="G362" s="2" t="str">
        <f>IFERROR(__xludf.DUMMYFUNCTION("IMPORTRANGE(""https://docs.google.com/spreadsheets/d/""&amp;$A362&amp;""/edit#gid=156619080"",G$3)"),"#REF!")</f>
        <v>#REF!</v>
      </c>
      <c r="H362" s="2" t="str">
        <f>IFERROR(__xludf.DUMMYFUNCTION("IMPORTRANGE(""https://docs.google.com/spreadsheets/d/""&amp;$A362&amp;""/edit#gid=156619080"",H$3)"),"#REF!")</f>
        <v>#REF!</v>
      </c>
      <c r="I362" s="2" t="str">
        <f>IFERROR(__xludf.DUMMYFUNCTION("IMPORTRANGE(""https://docs.google.com/spreadsheets/d/""&amp;$A362&amp;""/edit#gid=156619080"",I$3)"),"#REF!")</f>
        <v>#REF!</v>
      </c>
      <c r="J362" s="2" t="str">
        <f>IFERROR(__xludf.DUMMYFUNCTION("IMPORTRANGE(""https://docs.google.com/spreadsheets/d/""&amp;$A362&amp;""/edit#gid=156619080"",J$3)"),"#REF!")</f>
        <v>#REF!</v>
      </c>
      <c r="K362" s="2" t="str">
        <f>IFERROR(__xludf.DUMMYFUNCTION("IMPORTRANGE(""https://docs.google.com/spreadsheets/d/""&amp;$A362&amp;""/edit#gid=156619080"",K$3)"),"#REF!")</f>
        <v>#REF!</v>
      </c>
      <c r="L362" s="2" t="str">
        <f>IFERROR(__xludf.DUMMYFUNCTION("IMPORTRANGE(""https://docs.google.com/spreadsheets/d/""&amp;$A362&amp;""/edit#gid=156619080"",L$3)"),"#REF!")</f>
        <v>#REF!</v>
      </c>
      <c r="M362" s="2" t="str">
        <f>IFERROR(__xludf.DUMMYFUNCTION("IMPORTRANGE(""https://docs.google.com/spreadsheets/d/""&amp;$A362&amp;""/edit#gid=156619080"",M$3)"),"#REF!")</f>
        <v>#REF!</v>
      </c>
      <c r="N362" s="2" t="str">
        <f>IFERROR(__xludf.DUMMYFUNCTION("IMPORTRANGE(""https://docs.google.com/spreadsheets/d/""&amp;$A362&amp;""/edit#gid=156619080"",N$3)"),"#REF!")</f>
        <v>#REF!</v>
      </c>
      <c r="O362" s="2" t="str">
        <f>IFERROR(__xludf.DUMMYFUNCTION("IMPORTRANGE(""https://docs.google.com/spreadsheets/d/""&amp;$A362&amp;""/edit#gid=156619080"",O$3)"),"#REF!")</f>
        <v>#REF!</v>
      </c>
      <c r="P362" s="2" t="str">
        <f>IFERROR(__xludf.DUMMYFUNCTION("IMPORTRANGE(""https://docs.google.com/spreadsheets/d/""&amp;$A362&amp;""/edit#gid=156619080"",P$3)"),"#REF!")</f>
        <v>#REF!</v>
      </c>
      <c r="Q362" s="2" t="str">
        <f>IFERROR(__xludf.DUMMYFUNCTION("IMPORTRANGE(""https://docs.google.com/spreadsheets/d/""&amp;$A362&amp;""/edit#gid=156619080"",Q$3)"),"#REF!")</f>
        <v>#REF!</v>
      </c>
      <c r="R362" s="2" t="str">
        <f>IFERROR(__xludf.DUMMYFUNCTION("IMPORTRANGE(""https://docs.google.com/spreadsheets/d/""&amp;$A362&amp;""/edit#gid=156619080"",R$3)"),"#REF!")</f>
        <v>#REF!</v>
      </c>
      <c r="S362" s="2" t="str">
        <f>IFERROR(__xludf.DUMMYFUNCTION("IMPORTRANGE(""https://docs.google.com/spreadsheets/d/""&amp;$A362&amp;""/edit#gid=156619080"",S$3)"),"#REF!")</f>
        <v>#REF!</v>
      </c>
      <c r="T362" s="2" t="str">
        <f>IFERROR(__xludf.DUMMYFUNCTION("IMPORTRANGE(""https://docs.google.com/spreadsheets/d/""&amp;$A362&amp;""/edit#gid=156619080"",T$3)"),"#REF!")</f>
        <v>#REF!</v>
      </c>
      <c r="U362" s="2" t="str">
        <f>IFERROR(__xludf.DUMMYFUNCTION("IMPORTRANGE(""https://docs.google.com/spreadsheets/d/""&amp;$A362&amp;""/edit#gid=156619080"",U$3)"),"#REF!")</f>
        <v>#REF!</v>
      </c>
      <c r="V362" s="2" t="str">
        <f>IFERROR(__xludf.DUMMYFUNCTION("IMPORTRANGE(""https://docs.google.com/spreadsheets/d/""&amp;$A362&amp;""/edit#gid=156619080"",V$3)"),"#REF!")</f>
        <v>#REF!</v>
      </c>
      <c r="W362" s="2" t="str">
        <f>IFERROR(__xludf.DUMMYFUNCTION("IMPORTRANGE(""https://docs.google.com/spreadsheets/d/""&amp;$A362&amp;""/edit#gid=156619080"",W$3)"),"#REF!")</f>
        <v>#REF!</v>
      </c>
      <c r="X362" s="2" t="str">
        <f>IFERROR(__xludf.DUMMYFUNCTION("IMPORTRANGE(""https://docs.google.com/spreadsheets/d/""&amp;$A362&amp;""/edit#gid=156619080"",X$3)"),"#REF!")</f>
        <v>#REF!</v>
      </c>
      <c r="Y362" s="2" t="str">
        <f>IFERROR(__xludf.DUMMYFUNCTION("IMPORTRANGE(""https://docs.google.com/spreadsheets/d/""&amp;$A362&amp;""/edit#gid=156619080"",Y$3)"),"#REF!")</f>
        <v>#REF!</v>
      </c>
      <c r="Z362" s="2" t="str">
        <f>IFERROR(__xludf.DUMMYFUNCTION("IMPORTRANGE(""https://docs.google.com/spreadsheets/d/""&amp;$A362&amp;""/edit#gid=156619080"",Z$3)"),"#REF!")</f>
        <v>#REF!</v>
      </c>
      <c r="AA362" s="2" t="str">
        <f>IFERROR(__xludf.DUMMYFUNCTION("IMPORTRANGE(""https://docs.google.com/spreadsheets/d/""&amp;$A362&amp;""/edit#gid=156619080"",AA$3)"),"#REF!")</f>
        <v>#REF!</v>
      </c>
      <c r="AB362" s="2" t="str">
        <f>IFERROR(__xludf.DUMMYFUNCTION("IMPORTRANGE(""https://docs.google.com/spreadsheets/d/""&amp;$A362&amp;""/edit#gid=156619080"",AB$3)"),"#REF!")</f>
        <v>#REF!</v>
      </c>
      <c r="AC362" s="2" t="str">
        <f>IFERROR(__xludf.DUMMYFUNCTION("IMPORTRANGE(""https://docs.google.com/spreadsheets/d/""&amp;$A362&amp;""/edit#gid=156619080"",AC$3)"),"#REF!")</f>
        <v>#REF!</v>
      </c>
      <c r="AD362" s="2" t="str">
        <f>IFERROR(__xludf.DUMMYFUNCTION("IMPORTRANGE(""https://docs.google.com/spreadsheets/d/""&amp;$A362&amp;""/edit#gid=156619080"",AD$3)"),"#REF!")</f>
        <v>#REF!</v>
      </c>
      <c r="AE362" s="2" t="str">
        <f>IFERROR(__xludf.DUMMYFUNCTION("IMPORTRANGE(""https://docs.google.com/spreadsheets/d/""&amp;$A362&amp;""/edit#gid=156619080"",AE$3)"),"#REF!")</f>
        <v>#REF!</v>
      </c>
      <c r="AF362" s="2" t="str">
        <f>IFERROR(__xludf.DUMMYFUNCTION("IMPORTRANGE(""https://docs.google.com/spreadsheets/d/""&amp;$A362&amp;""/edit#gid=156619080"",AF$3)"),"#REF!")</f>
        <v>#REF!</v>
      </c>
      <c r="AG362" s="2" t="str">
        <f>IFERROR(__xludf.DUMMYFUNCTION("IMPORTRANGE(""https://docs.google.com/spreadsheets/d/""&amp;$A362&amp;""/edit#gid=156619080"",AG$3)"),"#REF!")</f>
        <v>#REF!</v>
      </c>
      <c r="AH362" s="2" t="str">
        <f>IFERROR(__xludf.DUMMYFUNCTION("IMPORTRANGE(""https://docs.google.com/spreadsheets/d/""&amp;$A362&amp;""/edit#gid=156619080"",AH$3)"),"#REF!")</f>
        <v>#REF!</v>
      </c>
      <c r="AI362" s="2" t="str">
        <f>IFERROR(__xludf.DUMMYFUNCTION("IMPORTRANGE(""https://docs.google.com/spreadsheets/d/""&amp;$A362&amp;""/edit#gid=156619080"",AI$3)"),"#REF!")</f>
        <v>#REF!</v>
      </c>
      <c r="AJ362" s="2" t="str">
        <f>IFERROR(__xludf.DUMMYFUNCTION("IMPORTRANGE(""https://docs.google.com/spreadsheets/d/""&amp;$A362&amp;""/edit#gid=156619080"",AJ$3)"),"#REF!")</f>
        <v>#REF!</v>
      </c>
      <c r="AK362" s="2" t="str">
        <f>IFERROR(__xludf.DUMMYFUNCTION("IMPORTRANGE(""https://docs.google.com/spreadsheets/d/""&amp;$A362&amp;""/edit#gid=156619080"",AK$3)"),"#REF!")</f>
        <v>#REF!</v>
      </c>
      <c r="AL362" s="2" t="str">
        <f>IFERROR(__xludf.DUMMYFUNCTION("IMPORTRANGE(""https://docs.google.com/spreadsheets/d/""&amp;$A362&amp;""/edit#gid=156619080"",AL$3)"),"#REF!")</f>
        <v>#REF!</v>
      </c>
      <c r="AM362" s="2" t="str">
        <f>IFERROR(__xludf.DUMMYFUNCTION("IMPORTRANGE(""https://docs.google.com/spreadsheets/d/""&amp;$A362&amp;""/edit#gid=156619080"",AM$3)"),"#REF!")</f>
        <v>#REF!</v>
      </c>
      <c r="AN362" s="2" t="str">
        <f>IFERROR(__xludf.DUMMYFUNCTION("IMPORTRANGE(""https://docs.google.com/spreadsheets/d/""&amp;$A362&amp;""/edit#gid=156619080"",AN$3)"),"#REF!")</f>
        <v>#REF!</v>
      </c>
      <c r="AO362" s="2" t="str">
        <f>IFERROR(__xludf.DUMMYFUNCTION("IMPORTRANGE(""https://docs.google.com/spreadsheets/d/""&amp;$A362&amp;""/edit#gid=156619080"",AO$3)"),"#REF!")</f>
        <v>#REF!</v>
      </c>
      <c r="AP362" s="2" t="str">
        <f>IFERROR(__xludf.DUMMYFUNCTION("IMPORTRANGE(""https://docs.google.com/spreadsheets/d/""&amp;$A362&amp;""/edit#gid=156619080"",AP$3)"),"#REF!")</f>
        <v>#REF!</v>
      </c>
      <c r="AQ362" s="2" t="str">
        <f>IFERROR(__xludf.DUMMYFUNCTION("IMPORTRANGE(""https://docs.google.com/spreadsheets/d/""&amp;$A362&amp;""/edit#gid=156619080"",AQ$3)"),"#REF!")</f>
        <v>#REF!</v>
      </c>
      <c r="AR362" s="2" t="str">
        <f>IFERROR(__xludf.DUMMYFUNCTION("IMPORTRANGE(""https://docs.google.com/spreadsheets/d/""&amp;$A362&amp;""/edit#gid=156619080"",AR$3)"),"#REF!")</f>
        <v>#REF!</v>
      </c>
      <c r="AS362" s="19" t="str">
        <f>IFERROR(__xludf.DUMMYFUNCTION("IMPORTRANGE(""https://docs.google.com/spreadsheets/d/""&amp;$A362&amp;""/edit#gid=156619080"",AS$3)"),"#REF!")</f>
        <v>#REF!</v>
      </c>
      <c r="AT362" s="2" t="str">
        <f>IFERROR(__xludf.DUMMYFUNCTION("IMPORTRANGE(""https://docs.google.com/spreadsheets/d/""&amp;$A362&amp;""/edit#gid=156619080"",AT$3)"),"#REF!")</f>
        <v>#REF!</v>
      </c>
      <c r="AU362" s="3" t="str">
        <f>IFERROR(__xludf.DUMMYFUNCTION("IMPORTRANGE(""https://docs.google.com/spreadsheets/d/""&amp;$A362&amp;""/edit#gid=156619080"",AU$3)"),"#REF!")</f>
        <v>#REF!</v>
      </c>
      <c r="AV362" s="2" t="str">
        <f>IFERROR(__xludf.DUMMYFUNCTION("IMPORTRANGE(""https://docs.google.com/spreadsheets/d/""&amp;$A362&amp;""/edit#gid=156619080"",AV$3)"),"#REF!")</f>
        <v>#REF!</v>
      </c>
      <c r="AW362" s="19" t="str">
        <f>IFERROR(__xludf.DUMMYFUNCTION("IMPORTRANGE(""https://docs.google.com/spreadsheets/d/""&amp;$A362&amp;""/edit#gid=156619080"",AW$3)"),"#REF!")</f>
        <v>#REF!</v>
      </c>
      <c r="AX362" s="2" t="str">
        <f>IFERROR(__xludf.DUMMYFUNCTION("IMPORTRANGE(""https://docs.google.com/spreadsheets/d/""&amp;$A362&amp;""/edit#gid=156619080"",AX$3)"),"#REF!")</f>
        <v>#REF!</v>
      </c>
      <c r="AY362" s="2" t="str">
        <f>IFERROR(__xludf.DUMMYFUNCTION("IMPORTRANGE(""https://docs.google.com/spreadsheets/d/""&amp;$A362&amp;""/edit#gid=156619080"",AY$3)"),"#REF!")</f>
        <v>#REF!</v>
      </c>
      <c r="AZ362" s="2" t="str">
        <f>IFERROR(__xludf.DUMMYFUNCTION("IMPORTRANGE(""https://docs.google.com/spreadsheets/d/""&amp;$A362&amp;""/edit#gid=156619080"",AZ$3)"),"#REF!")</f>
        <v>#REF!</v>
      </c>
      <c r="BA362" s="2" t="str">
        <f>IFERROR(__xludf.DUMMYFUNCTION("IMPORTRANGE(""https://docs.google.com/spreadsheets/d/""&amp;$A362&amp;""/edit#gid=156619080"",BA$3)"),"#REF!")</f>
        <v>#REF!</v>
      </c>
      <c r="BB362" s="2" t="str">
        <f>IFERROR(__xludf.DUMMYFUNCTION("IMPORTRANGE(""https://docs.google.com/spreadsheets/d/""&amp;$A362&amp;""/edit#gid=156619080"",BB$3)"),"#REF!")</f>
        <v>#REF!</v>
      </c>
      <c r="BC362" s="2" t="str">
        <f>IFERROR(__xludf.DUMMYFUNCTION("IMPORTRANGE(""https://docs.google.com/spreadsheets/d/""&amp;$A362&amp;""/edit#gid=156619080"",BC$3)"),"#REF!")</f>
        <v>#REF!</v>
      </c>
    </row>
    <row r="363" ht="51.0" customHeight="1">
      <c r="A363" s="7" t="str">
        <f t="shared" si="5"/>
        <v>1-0t7AEQ1VmlxdCz1UjSAfCEKwVXB68Kr0Mt3Z1SKnMI</v>
      </c>
      <c r="B363" s="1" t="s">
        <v>390</v>
      </c>
      <c r="C363" s="2" t="str">
        <f>IFERROR(__xludf.DUMMYFUNCTION("IMPORTRANGE(""https://docs.google.com/spreadsheets/d/""&amp;$A363&amp;""/edit#gid=156619080"",C$3)"),"#REF!")</f>
        <v>#REF!</v>
      </c>
      <c r="D363" s="2" t="str">
        <f>IFERROR(__xludf.DUMMYFUNCTION("IMPORTRANGE(""https://docs.google.com/spreadsheets/d/""&amp;$A363&amp;""/edit#gid=156619080"",D$3)"),"#REF!")</f>
        <v>#REF!</v>
      </c>
      <c r="E363" s="2" t="str">
        <f>IFERROR(__xludf.DUMMYFUNCTION("IMPORTRANGE(""https://docs.google.com/spreadsheets/d/""&amp;$A363&amp;""/edit#gid=156619080"",E$3)"),"#REF!")</f>
        <v>#REF!</v>
      </c>
      <c r="F363" s="2" t="str">
        <f>IFERROR(__xludf.DUMMYFUNCTION("IMPORTRANGE(""https://docs.google.com/spreadsheets/d/""&amp;$A363&amp;""/edit#gid=156619080"",F$3)"),"#REF!")</f>
        <v>#REF!</v>
      </c>
      <c r="G363" s="2" t="str">
        <f>IFERROR(__xludf.DUMMYFUNCTION("IMPORTRANGE(""https://docs.google.com/spreadsheets/d/""&amp;$A363&amp;""/edit#gid=156619080"",G$3)"),"#REF!")</f>
        <v>#REF!</v>
      </c>
      <c r="H363" s="2" t="str">
        <f>IFERROR(__xludf.DUMMYFUNCTION("IMPORTRANGE(""https://docs.google.com/spreadsheets/d/""&amp;$A363&amp;""/edit#gid=156619080"",H$3)"),"#REF!")</f>
        <v>#REF!</v>
      </c>
      <c r="I363" s="2" t="str">
        <f>IFERROR(__xludf.DUMMYFUNCTION("IMPORTRANGE(""https://docs.google.com/spreadsheets/d/""&amp;$A363&amp;""/edit#gid=156619080"",I$3)"),"#REF!")</f>
        <v>#REF!</v>
      </c>
      <c r="J363" s="2" t="str">
        <f>IFERROR(__xludf.DUMMYFUNCTION("IMPORTRANGE(""https://docs.google.com/spreadsheets/d/""&amp;$A363&amp;""/edit#gid=156619080"",J$3)"),"#REF!")</f>
        <v>#REF!</v>
      </c>
      <c r="K363" s="2" t="str">
        <f>IFERROR(__xludf.DUMMYFUNCTION("IMPORTRANGE(""https://docs.google.com/spreadsheets/d/""&amp;$A363&amp;""/edit#gid=156619080"",K$3)"),"#REF!")</f>
        <v>#REF!</v>
      </c>
      <c r="L363" s="2" t="str">
        <f>IFERROR(__xludf.DUMMYFUNCTION("IMPORTRANGE(""https://docs.google.com/spreadsheets/d/""&amp;$A363&amp;""/edit#gid=156619080"",L$3)"),"#REF!")</f>
        <v>#REF!</v>
      </c>
      <c r="M363" s="2" t="str">
        <f>IFERROR(__xludf.DUMMYFUNCTION("IMPORTRANGE(""https://docs.google.com/spreadsheets/d/""&amp;$A363&amp;""/edit#gid=156619080"",M$3)"),"#REF!")</f>
        <v>#REF!</v>
      </c>
      <c r="N363" s="2" t="str">
        <f>IFERROR(__xludf.DUMMYFUNCTION("IMPORTRANGE(""https://docs.google.com/spreadsheets/d/""&amp;$A363&amp;""/edit#gid=156619080"",N$3)"),"#REF!")</f>
        <v>#REF!</v>
      </c>
      <c r="O363" s="2" t="str">
        <f>IFERROR(__xludf.DUMMYFUNCTION("IMPORTRANGE(""https://docs.google.com/spreadsheets/d/""&amp;$A363&amp;""/edit#gid=156619080"",O$3)"),"#REF!")</f>
        <v>#REF!</v>
      </c>
      <c r="P363" s="2" t="str">
        <f>IFERROR(__xludf.DUMMYFUNCTION("IMPORTRANGE(""https://docs.google.com/spreadsheets/d/""&amp;$A363&amp;""/edit#gid=156619080"",P$3)"),"#REF!")</f>
        <v>#REF!</v>
      </c>
      <c r="Q363" s="2" t="str">
        <f>IFERROR(__xludf.DUMMYFUNCTION("IMPORTRANGE(""https://docs.google.com/spreadsheets/d/""&amp;$A363&amp;""/edit#gid=156619080"",Q$3)"),"#REF!")</f>
        <v>#REF!</v>
      </c>
      <c r="R363" s="2" t="str">
        <f>IFERROR(__xludf.DUMMYFUNCTION("IMPORTRANGE(""https://docs.google.com/spreadsheets/d/""&amp;$A363&amp;""/edit#gid=156619080"",R$3)"),"#REF!")</f>
        <v>#REF!</v>
      </c>
      <c r="S363" s="2" t="str">
        <f>IFERROR(__xludf.DUMMYFUNCTION("IMPORTRANGE(""https://docs.google.com/spreadsheets/d/""&amp;$A363&amp;""/edit#gid=156619080"",S$3)"),"#REF!")</f>
        <v>#REF!</v>
      </c>
      <c r="T363" s="2" t="str">
        <f>IFERROR(__xludf.DUMMYFUNCTION("IMPORTRANGE(""https://docs.google.com/spreadsheets/d/""&amp;$A363&amp;""/edit#gid=156619080"",T$3)"),"#REF!")</f>
        <v>#REF!</v>
      </c>
      <c r="U363" s="2" t="str">
        <f>IFERROR(__xludf.DUMMYFUNCTION("IMPORTRANGE(""https://docs.google.com/spreadsheets/d/""&amp;$A363&amp;""/edit#gid=156619080"",U$3)"),"#REF!")</f>
        <v>#REF!</v>
      </c>
      <c r="V363" s="2" t="str">
        <f>IFERROR(__xludf.DUMMYFUNCTION("IMPORTRANGE(""https://docs.google.com/spreadsheets/d/""&amp;$A363&amp;""/edit#gid=156619080"",V$3)"),"#REF!")</f>
        <v>#REF!</v>
      </c>
      <c r="W363" s="2" t="str">
        <f>IFERROR(__xludf.DUMMYFUNCTION("IMPORTRANGE(""https://docs.google.com/spreadsheets/d/""&amp;$A363&amp;""/edit#gid=156619080"",W$3)"),"#REF!")</f>
        <v>#REF!</v>
      </c>
      <c r="X363" s="2" t="str">
        <f>IFERROR(__xludf.DUMMYFUNCTION("IMPORTRANGE(""https://docs.google.com/spreadsheets/d/""&amp;$A363&amp;""/edit#gid=156619080"",X$3)"),"#REF!")</f>
        <v>#REF!</v>
      </c>
      <c r="Y363" s="2" t="str">
        <f>IFERROR(__xludf.DUMMYFUNCTION("IMPORTRANGE(""https://docs.google.com/spreadsheets/d/""&amp;$A363&amp;""/edit#gid=156619080"",Y$3)"),"#REF!")</f>
        <v>#REF!</v>
      </c>
      <c r="Z363" s="2" t="str">
        <f>IFERROR(__xludf.DUMMYFUNCTION("IMPORTRANGE(""https://docs.google.com/spreadsheets/d/""&amp;$A363&amp;""/edit#gid=156619080"",Z$3)"),"#REF!")</f>
        <v>#REF!</v>
      </c>
      <c r="AA363" s="2" t="str">
        <f>IFERROR(__xludf.DUMMYFUNCTION("IMPORTRANGE(""https://docs.google.com/spreadsheets/d/""&amp;$A363&amp;""/edit#gid=156619080"",AA$3)"),"#REF!")</f>
        <v>#REF!</v>
      </c>
      <c r="AB363" s="2" t="str">
        <f>IFERROR(__xludf.DUMMYFUNCTION("IMPORTRANGE(""https://docs.google.com/spreadsheets/d/""&amp;$A363&amp;""/edit#gid=156619080"",AB$3)"),"#REF!")</f>
        <v>#REF!</v>
      </c>
      <c r="AC363" s="2" t="str">
        <f>IFERROR(__xludf.DUMMYFUNCTION("IMPORTRANGE(""https://docs.google.com/spreadsheets/d/""&amp;$A363&amp;""/edit#gid=156619080"",AC$3)"),"#REF!")</f>
        <v>#REF!</v>
      </c>
      <c r="AD363" s="2" t="str">
        <f>IFERROR(__xludf.DUMMYFUNCTION("IMPORTRANGE(""https://docs.google.com/spreadsheets/d/""&amp;$A363&amp;""/edit#gid=156619080"",AD$3)"),"#REF!")</f>
        <v>#REF!</v>
      </c>
      <c r="AE363" s="2" t="str">
        <f>IFERROR(__xludf.DUMMYFUNCTION("IMPORTRANGE(""https://docs.google.com/spreadsheets/d/""&amp;$A363&amp;""/edit#gid=156619080"",AE$3)"),"#REF!")</f>
        <v>#REF!</v>
      </c>
      <c r="AF363" s="2" t="str">
        <f>IFERROR(__xludf.DUMMYFUNCTION("IMPORTRANGE(""https://docs.google.com/spreadsheets/d/""&amp;$A363&amp;""/edit#gid=156619080"",AF$3)"),"#REF!")</f>
        <v>#REF!</v>
      </c>
      <c r="AG363" s="2" t="str">
        <f>IFERROR(__xludf.DUMMYFUNCTION("IMPORTRANGE(""https://docs.google.com/spreadsheets/d/""&amp;$A363&amp;""/edit#gid=156619080"",AG$3)"),"#REF!")</f>
        <v>#REF!</v>
      </c>
      <c r="AH363" s="2" t="str">
        <f>IFERROR(__xludf.DUMMYFUNCTION("IMPORTRANGE(""https://docs.google.com/spreadsheets/d/""&amp;$A363&amp;""/edit#gid=156619080"",AH$3)"),"#REF!")</f>
        <v>#REF!</v>
      </c>
      <c r="AI363" s="2" t="str">
        <f>IFERROR(__xludf.DUMMYFUNCTION("IMPORTRANGE(""https://docs.google.com/spreadsheets/d/""&amp;$A363&amp;""/edit#gid=156619080"",AI$3)"),"#REF!")</f>
        <v>#REF!</v>
      </c>
      <c r="AJ363" s="2" t="str">
        <f>IFERROR(__xludf.DUMMYFUNCTION("IMPORTRANGE(""https://docs.google.com/spreadsheets/d/""&amp;$A363&amp;""/edit#gid=156619080"",AJ$3)"),"#REF!")</f>
        <v>#REF!</v>
      </c>
      <c r="AK363" s="2" t="str">
        <f>IFERROR(__xludf.DUMMYFUNCTION("IMPORTRANGE(""https://docs.google.com/spreadsheets/d/""&amp;$A363&amp;""/edit#gid=156619080"",AK$3)"),"#REF!")</f>
        <v>#REF!</v>
      </c>
      <c r="AL363" s="2" t="str">
        <f>IFERROR(__xludf.DUMMYFUNCTION("IMPORTRANGE(""https://docs.google.com/spreadsheets/d/""&amp;$A363&amp;""/edit#gid=156619080"",AL$3)"),"#REF!")</f>
        <v>#REF!</v>
      </c>
      <c r="AM363" s="2" t="str">
        <f>IFERROR(__xludf.DUMMYFUNCTION("IMPORTRANGE(""https://docs.google.com/spreadsheets/d/""&amp;$A363&amp;""/edit#gid=156619080"",AM$3)"),"#REF!")</f>
        <v>#REF!</v>
      </c>
      <c r="AN363" s="2" t="str">
        <f>IFERROR(__xludf.DUMMYFUNCTION("IMPORTRANGE(""https://docs.google.com/spreadsheets/d/""&amp;$A363&amp;""/edit#gid=156619080"",AN$3)"),"#REF!")</f>
        <v>#REF!</v>
      </c>
      <c r="AO363" s="2" t="str">
        <f>IFERROR(__xludf.DUMMYFUNCTION("IMPORTRANGE(""https://docs.google.com/spreadsheets/d/""&amp;$A363&amp;""/edit#gid=156619080"",AO$3)"),"#REF!")</f>
        <v>#REF!</v>
      </c>
      <c r="AP363" s="2" t="str">
        <f>IFERROR(__xludf.DUMMYFUNCTION("IMPORTRANGE(""https://docs.google.com/spreadsheets/d/""&amp;$A363&amp;""/edit#gid=156619080"",AP$3)"),"#REF!")</f>
        <v>#REF!</v>
      </c>
      <c r="AQ363" s="2" t="str">
        <f>IFERROR(__xludf.DUMMYFUNCTION("IMPORTRANGE(""https://docs.google.com/spreadsheets/d/""&amp;$A363&amp;""/edit#gid=156619080"",AQ$3)"),"#REF!")</f>
        <v>#REF!</v>
      </c>
      <c r="AR363" s="2" t="str">
        <f>IFERROR(__xludf.DUMMYFUNCTION("IMPORTRANGE(""https://docs.google.com/spreadsheets/d/""&amp;$A363&amp;""/edit#gid=156619080"",AR$3)"),"#REF!")</f>
        <v>#REF!</v>
      </c>
      <c r="AS363" s="19" t="str">
        <f>IFERROR(__xludf.DUMMYFUNCTION("IMPORTRANGE(""https://docs.google.com/spreadsheets/d/""&amp;$A363&amp;""/edit#gid=156619080"",AS$3)"),"#REF!")</f>
        <v>#REF!</v>
      </c>
      <c r="AT363" s="2" t="str">
        <f>IFERROR(__xludf.DUMMYFUNCTION("IMPORTRANGE(""https://docs.google.com/spreadsheets/d/""&amp;$A363&amp;""/edit#gid=156619080"",AT$3)"),"#REF!")</f>
        <v>#REF!</v>
      </c>
      <c r="AU363" s="3" t="str">
        <f>IFERROR(__xludf.DUMMYFUNCTION("IMPORTRANGE(""https://docs.google.com/spreadsheets/d/""&amp;$A363&amp;""/edit#gid=156619080"",AU$3)"),"#REF!")</f>
        <v>#REF!</v>
      </c>
      <c r="AV363" s="2" t="str">
        <f>IFERROR(__xludf.DUMMYFUNCTION("IMPORTRANGE(""https://docs.google.com/spreadsheets/d/""&amp;$A363&amp;""/edit#gid=156619080"",AV$3)"),"#REF!")</f>
        <v>#REF!</v>
      </c>
      <c r="AW363" s="19" t="str">
        <f>IFERROR(__xludf.DUMMYFUNCTION("IMPORTRANGE(""https://docs.google.com/spreadsheets/d/""&amp;$A363&amp;""/edit#gid=156619080"",AW$3)"),"#REF!")</f>
        <v>#REF!</v>
      </c>
      <c r="AX363" s="2" t="str">
        <f>IFERROR(__xludf.DUMMYFUNCTION("IMPORTRANGE(""https://docs.google.com/spreadsheets/d/""&amp;$A363&amp;""/edit#gid=156619080"",AX$3)"),"#REF!")</f>
        <v>#REF!</v>
      </c>
      <c r="AY363" s="2" t="str">
        <f>IFERROR(__xludf.DUMMYFUNCTION("IMPORTRANGE(""https://docs.google.com/spreadsheets/d/""&amp;$A363&amp;""/edit#gid=156619080"",AY$3)"),"#REF!")</f>
        <v>#REF!</v>
      </c>
      <c r="AZ363" s="2" t="str">
        <f>IFERROR(__xludf.DUMMYFUNCTION("IMPORTRANGE(""https://docs.google.com/spreadsheets/d/""&amp;$A363&amp;""/edit#gid=156619080"",AZ$3)"),"#REF!")</f>
        <v>#REF!</v>
      </c>
      <c r="BA363" s="2" t="str">
        <f>IFERROR(__xludf.DUMMYFUNCTION("IMPORTRANGE(""https://docs.google.com/spreadsheets/d/""&amp;$A363&amp;""/edit#gid=156619080"",BA$3)"),"#REF!")</f>
        <v>#REF!</v>
      </c>
      <c r="BB363" s="2" t="str">
        <f>IFERROR(__xludf.DUMMYFUNCTION("IMPORTRANGE(""https://docs.google.com/spreadsheets/d/""&amp;$A363&amp;""/edit#gid=156619080"",BB$3)"),"#REF!")</f>
        <v>#REF!</v>
      </c>
      <c r="BC363" s="2" t="str">
        <f>IFERROR(__xludf.DUMMYFUNCTION("IMPORTRANGE(""https://docs.google.com/spreadsheets/d/""&amp;$A363&amp;""/edit#gid=156619080"",BC$3)"),"#REF!")</f>
        <v>#REF!</v>
      </c>
    </row>
    <row r="364" ht="51.0" customHeight="1">
      <c r="A364" s="7" t="str">
        <f t="shared" si="5"/>
        <v>1pIxDm5ZBqxyLrWx7swXxhhYSoD-IwKBb35en2IlmeBE</v>
      </c>
      <c r="B364" s="1" t="s">
        <v>391</v>
      </c>
      <c r="C364" s="2" t="str">
        <f>IFERROR(__xludf.DUMMYFUNCTION("IMPORTRANGE(""https://docs.google.com/spreadsheets/d/""&amp;$A364&amp;""/edit#gid=156619080"",C$3)"),"#REF!")</f>
        <v>#REF!</v>
      </c>
      <c r="D364" s="2" t="str">
        <f>IFERROR(__xludf.DUMMYFUNCTION("IMPORTRANGE(""https://docs.google.com/spreadsheets/d/""&amp;$A364&amp;""/edit#gid=156619080"",D$3)"),"#REF!")</f>
        <v>#REF!</v>
      </c>
      <c r="E364" s="2" t="str">
        <f>IFERROR(__xludf.DUMMYFUNCTION("IMPORTRANGE(""https://docs.google.com/spreadsheets/d/""&amp;$A364&amp;""/edit#gid=156619080"",E$3)"),"#REF!")</f>
        <v>#REF!</v>
      </c>
      <c r="F364" s="2" t="str">
        <f>IFERROR(__xludf.DUMMYFUNCTION("IMPORTRANGE(""https://docs.google.com/spreadsheets/d/""&amp;$A364&amp;""/edit#gid=156619080"",F$3)"),"#REF!")</f>
        <v>#REF!</v>
      </c>
      <c r="G364" s="2" t="str">
        <f>IFERROR(__xludf.DUMMYFUNCTION("IMPORTRANGE(""https://docs.google.com/spreadsheets/d/""&amp;$A364&amp;""/edit#gid=156619080"",G$3)"),"#REF!")</f>
        <v>#REF!</v>
      </c>
      <c r="H364" s="2" t="str">
        <f>IFERROR(__xludf.DUMMYFUNCTION("IMPORTRANGE(""https://docs.google.com/spreadsheets/d/""&amp;$A364&amp;""/edit#gid=156619080"",H$3)"),"#REF!")</f>
        <v>#REF!</v>
      </c>
      <c r="I364" s="2" t="str">
        <f>IFERROR(__xludf.DUMMYFUNCTION("IMPORTRANGE(""https://docs.google.com/spreadsheets/d/""&amp;$A364&amp;""/edit#gid=156619080"",I$3)"),"#REF!")</f>
        <v>#REF!</v>
      </c>
      <c r="J364" s="2" t="str">
        <f>IFERROR(__xludf.DUMMYFUNCTION("IMPORTRANGE(""https://docs.google.com/spreadsheets/d/""&amp;$A364&amp;""/edit#gid=156619080"",J$3)"),"#REF!")</f>
        <v>#REF!</v>
      </c>
      <c r="K364" s="2" t="str">
        <f>IFERROR(__xludf.DUMMYFUNCTION("IMPORTRANGE(""https://docs.google.com/spreadsheets/d/""&amp;$A364&amp;""/edit#gid=156619080"",K$3)"),"#REF!")</f>
        <v>#REF!</v>
      </c>
      <c r="L364" s="2" t="str">
        <f>IFERROR(__xludf.DUMMYFUNCTION("IMPORTRANGE(""https://docs.google.com/spreadsheets/d/""&amp;$A364&amp;""/edit#gid=156619080"",L$3)"),"#REF!")</f>
        <v>#REF!</v>
      </c>
      <c r="M364" s="2" t="str">
        <f>IFERROR(__xludf.DUMMYFUNCTION("IMPORTRANGE(""https://docs.google.com/spreadsheets/d/""&amp;$A364&amp;""/edit#gid=156619080"",M$3)"),"#REF!")</f>
        <v>#REF!</v>
      </c>
      <c r="N364" s="2" t="str">
        <f>IFERROR(__xludf.DUMMYFUNCTION("IMPORTRANGE(""https://docs.google.com/spreadsheets/d/""&amp;$A364&amp;""/edit#gid=156619080"",N$3)"),"#REF!")</f>
        <v>#REF!</v>
      </c>
      <c r="O364" s="2" t="str">
        <f>IFERROR(__xludf.DUMMYFUNCTION("IMPORTRANGE(""https://docs.google.com/spreadsheets/d/""&amp;$A364&amp;""/edit#gid=156619080"",O$3)"),"#REF!")</f>
        <v>#REF!</v>
      </c>
      <c r="P364" s="2" t="str">
        <f>IFERROR(__xludf.DUMMYFUNCTION("IMPORTRANGE(""https://docs.google.com/spreadsheets/d/""&amp;$A364&amp;""/edit#gid=156619080"",P$3)"),"#REF!")</f>
        <v>#REF!</v>
      </c>
      <c r="Q364" s="2" t="str">
        <f>IFERROR(__xludf.DUMMYFUNCTION("IMPORTRANGE(""https://docs.google.com/spreadsheets/d/""&amp;$A364&amp;""/edit#gid=156619080"",Q$3)"),"#REF!")</f>
        <v>#REF!</v>
      </c>
      <c r="R364" s="2" t="str">
        <f>IFERROR(__xludf.DUMMYFUNCTION("IMPORTRANGE(""https://docs.google.com/spreadsheets/d/""&amp;$A364&amp;""/edit#gid=156619080"",R$3)"),"#REF!")</f>
        <v>#REF!</v>
      </c>
      <c r="S364" s="2" t="str">
        <f>IFERROR(__xludf.DUMMYFUNCTION("IMPORTRANGE(""https://docs.google.com/spreadsheets/d/""&amp;$A364&amp;""/edit#gid=156619080"",S$3)"),"#REF!")</f>
        <v>#REF!</v>
      </c>
      <c r="T364" s="2" t="str">
        <f>IFERROR(__xludf.DUMMYFUNCTION("IMPORTRANGE(""https://docs.google.com/spreadsheets/d/""&amp;$A364&amp;""/edit#gid=156619080"",T$3)"),"#REF!")</f>
        <v>#REF!</v>
      </c>
      <c r="U364" s="2" t="str">
        <f>IFERROR(__xludf.DUMMYFUNCTION("IMPORTRANGE(""https://docs.google.com/spreadsheets/d/""&amp;$A364&amp;""/edit#gid=156619080"",U$3)"),"#REF!")</f>
        <v>#REF!</v>
      </c>
      <c r="V364" s="2" t="str">
        <f>IFERROR(__xludf.DUMMYFUNCTION("IMPORTRANGE(""https://docs.google.com/spreadsheets/d/""&amp;$A364&amp;""/edit#gid=156619080"",V$3)"),"#REF!")</f>
        <v>#REF!</v>
      </c>
      <c r="W364" s="2" t="str">
        <f>IFERROR(__xludf.DUMMYFUNCTION("IMPORTRANGE(""https://docs.google.com/spreadsheets/d/""&amp;$A364&amp;""/edit#gid=156619080"",W$3)"),"#REF!")</f>
        <v>#REF!</v>
      </c>
      <c r="X364" s="2" t="str">
        <f>IFERROR(__xludf.DUMMYFUNCTION("IMPORTRANGE(""https://docs.google.com/spreadsheets/d/""&amp;$A364&amp;""/edit#gid=156619080"",X$3)"),"#REF!")</f>
        <v>#REF!</v>
      </c>
      <c r="Y364" s="2" t="str">
        <f>IFERROR(__xludf.DUMMYFUNCTION("IMPORTRANGE(""https://docs.google.com/spreadsheets/d/""&amp;$A364&amp;""/edit#gid=156619080"",Y$3)"),"#REF!")</f>
        <v>#REF!</v>
      </c>
      <c r="Z364" s="2" t="str">
        <f>IFERROR(__xludf.DUMMYFUNCTION("IMPORTRANGE(""https://docs.google.com/spreadsheets/d/""&amp;$A364&amp;""/edit#gid=156619080"",Z$3)"),"#REF!")</f>
        <v>#REF!</v>
      </c>
      <c r="AA364" s="2" t="str">
        <f>IFERROR(__xludf.DUMMYFUNCTION("IMPORTRANGE(""https://docs.google.com/spreadsheets/d/""&amp;$A364&amp;""/edit#gid=156619080"",AA$3)"),"#REF!")</f>
        <v>#REF!</v>
      </c>
      <c r="AB364" s="2" t="str">
        <f>IFERROR(__xludf.DUMMYFUNCTION("IMPORTRANGE(""https://docs.google.com/spreadsheets/d/""&amp;$A364&amp;""/edit#gid=156619080"",AB$3)"),"#REF!")</f>
        <v>#REF!</v>
      </c>
      <c r="AC364" s="2" t="str">
        <f>IFERROR(__xludf.DUMMYFUNCTION("IMPORTRANGE(""https://docs.google.com/spreadsheets/d/""&amp;$A364&amp;""/edit#gid=156619080"",AC$3)"),"#REF!")</f>
        <v>#REF!</v>
      </c>
      <c r="AD364" s="2" t="str">
        <f>IFERROR(__xludf.DUMMYFUNCTION("IMPORTRANGE(""https://docs.google.com/spreadsheets/d/""&amp;$A364&amp;""/edit#gid=156619080"",AD$3)"),"#REF!")</f>
        <v>#REF!</v>
      </c>
      <c r="AE364" s="2" t="str">
        <f>IFERROR(__xludf.DUMMYFUNCTION("IMPORTRANGE(""https://docs.google.com/spreadsheets/d/""&amp;$A364&amp;""/edit#gid=156619080"",AE$3)"),"#REF!")</f>
        <v>#REF!</v>
      </c>
      <c r="AF364" s="2" t="str">
        <f>IFERROR(__xludf.DUMMYFUNCTION("IMPORTRANGE(""https://docs.google.com/spreadsheets/d/""&amp;$A364&amp;""/edit#gid=156619080"",AF$3)"),"#REF!")</f>
        <v>#REF!</v>
      </c>
      <c r="AG364" s="2" t="str">
        <f>IFERROR(__xludf.DUMMYFUNCTION("IMPORTRANGE(""https://docs.google.com/spreadsheets/d/""&amp;$A364&amp;""/edit#gid=156619080"",AG$3)"),"#REF!")</f>
        <v>#REF!</v>
      </c>
      <c r="AH364" s="2" t="str">
        <f>IFERROR(__xludf.DUMMYFUNCTION("IMPORTRANGE(""https://docs.google.com/spreadsheets/d/""&amp;$A364&amp;""/edit#gid=156619080"",AH$3)"),"#REF!")</f>
        <v>#REF!</v>
      </c>
      <c r="AI364" s="2" t="str">
        <f>IFERROR(__xludf.DUMMYFUNCTION("IMPORTRANGE(""https://docs.google.com/spreadsheets/d/""&amp;$A364&amp;""/edit#gid=156619080"",AI$3)"),"#REF!")</f>
        <v>#REF!</v>
      </c>
      <c r="AJ364" s="2" t="str">
        <f>IFERROR(__xludf.DUMMYFUNCTION("IMPORTRANGE(""https://docs.google.com/spreadsheets/d/""&amp;$A364&amp;""/edit#gid=156619080"",AJ$3)"),"#REF!")</f>
        <v>#REF!</v>
      </c>
      <c r="AK364" s="2" t="str">
        <f>IFERROR(__xludf.DUMMYFUNCTION("IMPORTRANGE(""https://docs.google.com/spreadsheets/d/""&amp;$A364&amp;""/edit#gid=156619080"",AK$3)"),"#REF!")</f>
        <v>#REF!</v>
      </c>
      <c r="AL364" s="2" t="str">
        <f>IFERROR(__xludf.DUMMYFUNCTION("IMPORTRANGE(""https://docs.google.com/spreadsheets/d/""&amp;$A364&amp;""/edit#gid=156619080"",AL$3)"),"#REF!")</f>
        <v>#REF!</v>
      </c>
      <c r="AM364" s="2" t="str">
        <f>IFERROR(__xludf.DUMMYFUNCTION("IMPORTRANGE(""https://docs.google.com/spreadsheets/d/""&amp;$A364&amp;""/edit#gid=156619080"",AM$3)"),"#REF!")</f>
        <v>#REF!</v>
      </c>
      <c r="AN364" s="2" t="str">
        <f>IFERROR(__xludf.DUMMYFUNCTION("IMPORTRANGE(""https://docs.google.com/spreadsheets/d/""&amp;$A364&amp;""/edit#gid=156619080"",AN$3)"),"#REF!")</f>
        <v>#REF!</v>
      </c>
      <c r="AO364" s="2" t="str">
        <f>IFERROR(__xludf.DUMMYFUNCTION("IMPORTRANGE(""https://docs.google.com/spreadsheets/d/""&amp;$A364&amp;""/edit#gid=156619080"",AO$3)"),"#REF!")</f>
        <v>#REF!</v>
      </c>
      <c r="AP364" s="2" t="str">
        <f>IFERROR(__xludf.DUMMYFUNCTION("IMPORTRANGE(""https://docs.google.com/spreadsheets/d/""&amp;$A364&amp;""/edit#gid=156619080"",AP$3)"),"#REF!")</f>
        <v>#REF!</v>
      </c>
      <c r="AQ364" s="2" t="str">
        <f>IFERROR(__xludf.DUMMYFUNCTION("IMPORTRANGE(""https://docs.google.com/spreadsheets/d/""&amp;$A364&amp;""/edit#gid=156619080"",AQ$3)"),"#REF!")</f>
        <v>#REF!</v>
      </c>
      <c r="AR364" s="2" t="str">
        <f>IFERROR(__xludf.DUMMYFUNCTION("IMPORTRANGE(""https://docs.google.com/spreadsheets/d/""&amp;$A364&amp;""/edit#gid=156619080"",AR$3)"),"#REF!")</f>
        <v>#REF!</v>
      </c>
      <c r="AS364" s="19" t="str">
        <f>IFERROR(__xludf.DUMMYFUNCTION("IMPORTRANGE(""https://docs.google.com/spreadsheets/d/""&amp;$A364&amp;""/edit#gid=156619080"",AS$3)"),"#REF!")</f>
        <v>#REF!</v>
      </c>
      <c r="AT364" s="2" t="str">
        <f>IFERROR(__xludf.DUMMYFUNCTION("IMPORTRANGE(""https://docs.google.com/spreadsheets/d/""&amp;$A364&amp;""/edit#gid=156619080"",AT$3)"),"#REF!")</f>
        <v>#REF!</v>
      </c>
      <c r="AU364" s="3" t="str">
        <f>IFERROR(__xludf.DUMMYFUNCTION("IMPORTRANGE(""https://docs.google.com/spreadsheets/d/""&amp;$A364&amp;""/edit#gid=156619080"",AU$3)"),"#REF!")</f>
        <v>#REF!</v>
      </c>
      <c r="AV364" s="2" t="str">
        <f>IFERROR(__xludf.DUMMYFUNCTION("IMPORTRANGE(""https://docs.google.com/spreadsheets/d/""&amp;$A364&amp;""/edit#gid=156619080"",AV$3)"),"#REF!")</f>
        <v>#REF!</v>
      </c>
      <c r="AW364" s="19" t="str">
        <f>IFERROR(__xludf.DUMMYFUNCTION("IMPORTRANGE(""https://docs.google.com/spreadsheets/d/""&amp;$A364&amp;""/edit#gid=156619080"",AW$3)"),"#REF!")</f>
        <v>#REF!</v>
      </c>
      <c r="AX364" s="2" t="str">
        <f>IFERROR(__xludf.DUMMYFUNCTION("IMPORTRANGE(""https://docs.google.com/spreadsheets/d/""&amp;$A364&amp;""/edit#gid=156619080"",AX$3)"),"#REF!")</f>
        <v>#REF!</v>
      </c>
      <c r="AY364" s="2" t="str">
        <f>IFERROR(__xludf.DUMMYFUNCTION("IMPORTRANGE(""https://docs.google.com/spreadsheets/d/""&amp;$A364&amp;""/edit#gid=156619080"",AY$3)"),"#REF!")</f>
        <v>#REF!</v>
      </c>
      <c r="AZ364" s="2" t="str">
        <f>IFERROR(__xludf.DUMMYFUNCTION("IMPORTRANGE(""https://docs.google.com/spreadsheets/d/""&amp;$A364&amp;""/edit#gid=156619080"",AZ$3)"),"#REF!")</f>
        <v>#REF!</v>
      </c>
      <c r="BA364" s="2" t="str">
        <f>IFERROR(__xludf.DUMMYFUNCTION("IMPORTRANGE(""https://docs.google.com/spreadsheets/d/""&amp;$A364&amp;""/edit#gid=156619080"",BA$3)"),"#REF!")</f>
        <v>#REF!</v>
      </c>
      <c r="BB364" s="2" t="str">
        <f>IFERROR(__xludf.DUMMYFUNCTION("IMPORTRANGE(""https://docs.google.com/spreadsheets/d/""&amp;$A364&amp;""/edit#gid=156619080"",BB$3)"),"#REF!")</f>
        <v>#REF!</v>
      </c>
      <c r="BC364" s="2" t="str">
        <f>IFERROR(__xludf.DUMMYFUNCTION("IMPORTRANGE(""https://docs.google.com/spreadsheets/d/""&amp;$A364&amp;""/edit#gid=156619080"",BC$3)"),"#REF!")</f>
        <v>#REF!</v>
      </c>
    </row>
    <row r="365" ht="51.0" customHeight="1">
      <c r="A365" s="7" t="str">
        <f t="shared" si="5"/>
        <v>1M3IVDl-Pga7KTslEQN9u_ZHmYssTeQUq9iE-I2_XxNc</v>
      </c>
      <c r="B365" s="1" t="s">
        <v>392</v>
      </c>
      <c r="C365" s="2" t="str">
        <f>IFERROR(__xludf.DUMMYFUNCTION("IMPORTRANGE(""https://docs.google.com/spreadsheets/d/""&amp;$A365&amp;""/edit#gid=156619080"",C$3)"),"#REF!")</f>
        <v>#REF!</v>
      </c>
      <c r="D365" s="2" t="str">
        <f>IFERROR(__xludf.DUMMYFUNCTION("IMPORTRANGE(""https://docs.google.com/spreadsheets/d/""&amp;$A365&amp;""/edit#gid=156619080"",D$3)"),"#REF!")</f>
        <v>#REF!</v>
      </c>
      <c r="E365" s="2" t="str">
        <f>IFERROR(__xludf.DUMMYFUNCTION("IMPORTRANGE(""https://docs.google.com/spreadsheets/d/""&amp;$A365&amp;""/edit#gid=156619080"",E$3)"),"#REF!")</f>
        <v>#REF!</v>
      </c>
      <c r="F365" s="2" t="str">
        <f>IFERROR(__xludf.DUMMYFUNCTION("IMPORTRANGE(""https://docs.google.com/spreadsheets/d/""&amp;$A365&amp;""/edit#gid=156619080"",F$3)"),"#REF!")</f>
        <v>#REF!</v>
      </c>
      <c r="G365" s="2" t="str">
        <f>IFERROR(__xludf.DUMMYFUNCTION("IMPORTRANGE(""https://docs.google.com/spreadsheets/d/""&amp;$A365&amp;""/edit#gid=156619080"",G$3)"),"#REF!")</f>
        <v>#REF!</v>
      </c>
      <c r="H365" s="2" t="str">
        <f>IFERROR(__xludf.DUMMYFUNCTION("IMPORTRANGE(""https://docs.google.com/spreadsheets/d/""&amp;$A365&amp;""/edit#gid=156619080"",H$3)"),"#REF!")</f>
        <v>#REF!</v>
      </c>
      <c r="I365" s="2" t="str">
        <f>IFERROR(__xludf.DUMMYFUNCTION("IMPORTRANGE(""https://docs.google.com/spreadsheets/d/""&amp;$A365&amp;""/edit#gid=156619080"",I$3)"),"#REF!")</f>
        <v>#REF!</v>
      </c>
      <c r="J365" s="2" t="str">
        <f>IFERROR(__xludf.DUMMYFUNCTION("IMPORTRANGE(""https://docs.google.com/spreadsheets/d/""&amp;$A365&amp;""/edit#gid=156619080"",J$3)"),"#REF!")</f>
        <v>#REF!</v>
      </c>
      <c r="K365" s="2" t="str">
        <f>IFERROR(__xludf.DUMMYFUNCTION("IMPORTRANGE(""https://docs.google.com/spreadsheets/d/""&amp;$A365&amp;""/edit#gid=156619080"",K$3)"),"#REF!")</f>
        <v>#REF!</v>
      </c>
      <c r="L365" s="2" t="str">
        <f>IFERROR(__xludf.DUMMYFUNCTION("IMPORTRANGE(""https://docs.google.com/spreadsheets/d/""&amp;$A365&amp;""/edit#gid=156619080"",L$3)"),"#REF!")</f>
        <v>#REF!</v>
      </c>
      <c r="M365" s="2" t="str">
        <f>IFERROR(__xludf.DUMMYFUNCTION("IMPORTRANGE(""https://docs.google.com/spreadsheets/d/""&amp;$A365&amp;""/edit#gid=156619080"",M$3)"),"#REF!")</f>
        <v>#REF!</v>
      </c>
      <c r="N365" s="2" t="str">
        <f>IFERROR(__xludf.DUMMYFUNCTION("IMPORTRANGE(""https://docs.google.com/spreadsheets/d/""&amp;$A365&amp;""/edit#gid=156619080"",N$3)"),"#REF!")</f>
        <v>#REF!</v>
      </c>
      <c r="O365" s="2" t="str">
        <f>IFERROR(__xludf.DUMMYFUNCTION("IMPORTRANGE(""https://docs.google.com/spreadsheets/d/""&amp;$A365&amp;""/edit#gid=156619080"",O$3)"),"#REF!")</f>
        <v>#REF!</v>
      </c>
      <c r="P365" s="2" t="str">
        <f>IFERROR(__xludf.DUMMYFUNCTION("IMPORTRANGE(""https://docs.google.com/spreadsheets/d/""&amp;$A365&amp;""/edit#gid=156619080"",P$3)"),"#REF!")</f>
        <v>#REF!</v>
      </c>
      <c r="Q365" s="2" t="str">
        <f>IFERROR(__xludf.DUMMYFUNCTION("IMPORTRANGE(""https://docs.google.com/spreadsheets/d/""&amp;$A365&amp;""/edit#gid=156619080"",Q$3)"),"#REF!")</f>
        <v>#REF!</v>
      </c>
      <c r="R365" s="2" t="str">
        <f>IFERROR(__xludf.DUMMYFUNCTION("IMPORTRANGE(""https://docs.google.com/spreadsheets/d/""&amp;$A365&amp;""/edit#gid=156619080"",R$3)"),"#REF!")</f>
        <v>#REF!</v>
      </c>
      <c r="S365" s="2" t="str">
        <f>IFERROR(__xludf.DUMMYFUNCTION("IMPORTRANGE(""https://docs.google.com/spreadsheets/d/""&amp;$A365&amp;""/edit#gid=156619080"",S$3)"),"#REF!")</f>
        <v>#REF!</v>
      </c>
      <c r="T365" s="2" t="str">
        <f>IFERROR(__xludf.DUMMYFUNCTION("IMPORTRANGE(""https://docs.google.com/spreadsheets/d/""&amp;$A365&amp;""/edit#gid=156619080"",T$3)"),"#REF!")</f>
        <v>#REF!</v>
      </c>
      <c r="U365" s="2" t="str">
        <f>IFERROR(__xludf.DUMMYFUNCTION("IMPORTRANGE(""https://docs.google.com/spreadsheets/d/""&amp;$A365&amp;""/edit#gid=156619080"",U$3)"),"#REF!")</f>
        <v>#REF!</v>
      </c>
      <c r="V365" s="2" t="str">
        <f>IFERROR(__xludf.DUMMYFUNCTION("IMPORTRANGE(""https://docs.google.com/spreadsheets/d/""&amp;$A365&amp;""/edit#gid=156619080"",V$3)"),"#REF!")</f>
        <v>#REF!</v>
      </c>
      <c r="W365" s="2" t="str">
        <f>IFERROR(__xludf.DUMMYFUNCTION("IMPORTRANGE(""https://docs.google.com/spreadsheets/d/""&amp;$A365&amp;""/edit#gid=156619080"",W$3)"),"#REF!")</f>
        <v>#REF!</v>
      </c>
      <c r="X365" s="2" t="str">
        <f>IFERROR(__xludf.DUMMYFUNCTION("IMPORTRANGE(""https://docs.google.com/spreadsheets/d/""&amp;$A365&amp;""/edit#gid=156619080"",X$3)"),"#REF!")</f>
        <v>#REF!</v>
      </c>
      <c r="Y365" s="2" t="str">
        <f>IFERROR(__xludf.DUMMYFUNCTION("IMPORTRANGE(""https://docs.google.com/spreadsheets/d/""&amp;$A365&amp;""/edit#gid=156619080"",Y$3)"),"#REF!")</f>
        <v>#REF!</v>
      </c>
      <c r="Z365" s="2" t="str">
        <f>IFERROR(__xludf.DUMMYFUNCTION("IMPORTRANGE(""https://docs.google.com/spreadsheets/d/""&amp;$A365&amp;""/edit#gid=156619080"",Z$3)"),"#REF!")</f>
        <v>#REF!</v>
      </c>
      <c r="AA365" s="2" t="str">
        <f>IFERROR(__xludf.DUMMYFUNCTION("IMPORTRANGE(""https://docs.google.com/spreadsheets/d/""&amp;$A365&amp;""/edit#gid=156619080"",AA$3)"),"#REF!")</f>
        <v>#REF!</v>
      </c>
      <c r="AB365" s="2" t="str">
        <f>IFERROR(__xludf.DUMMYFUNCTION("IMPORTRANGE(""https://docs.google.com/spreadsheets/d/""&amp;$A365&amp;""/edit#gid=156619080"",AB$3)"),"#REF!")</f>
        <v>#REF!</v>
      </c>
      <c r="AC365" s="2" t="str">
        <f>IFERROR(__xludf.DUMMYFUNCTION("IMPORTRANGE(""https://docs.google.com/spreadsheets/d/""&amp;$A365&amp;""/edit#gid=156619080"",AC$3)"),"#REF!")</f>
        <v>#REF!</v>
      </c>
      <c r="AD365" s="2" t="str">
        <f>IFERROR(__xludf.DUMMYFUNCTION("IMPORTRANGE(""https://docs.google.com/spreadsheets/d/""&amp;$A365&amp;""/edit#gid=156619080"",AD$3)"),"#REF!")</f>
        <v>#REF!</v>
      </c>
      <c r="AE365" s="2" t="str">
        <f>IFERROR(__xludf.DUMMYFUNCTION("IMPORTRANGE(""https://docs.google.com/spreadsheets/d/""&amp;$A365&amp;""/edit#gid=156619080"",AE$3)"),"#REF!")</f>
        <v>#REF!</v>
      </c>
      <c r="AF365" s="2" t="str">
        <f>IFERROR(__xludf.DUMMYFUNCTION("IMPORTRANGE(""https://docs.google.com/spreadsheets/d/""&amp;$A365&amp;""/edit#gid=156619080"",AF$3)"),"#REF!")</f>
        <v>#REF!</v>
      </c>
      <c r="AG365" s="2" t="str">
        <f>IFERROR(__xludf.DUMMYFUNCTION("IMPORTRANGE(""https://docs.google.com/spreadsheets/d/""&amp;$A365&amp;""/edit#gid=156619080"",AG$3)"),"#REF!")</f>
        <v>#REF!</v>
      </c>
      <c r="AH365" s="2" t="str">
        <f>IFERROR(__xludf.DUMMYFUNCTION("IMPORTRANGE(""https://docs.google.com/spreadsheets/d/""&amp;$A365&amp;""/edit#gid=156619080"",AH$3)"),"#REF!")</f>
        <v>#REF!</v>
      </c>
      <c r="AI365" s="2" t="str">
        <f>IFERROR(__xludf.DUMMYFUNCTION("IMPORTRANGE(""https://docs.google.com/spreadsheets/d/""&amp;$A365&amp;""/edit#gid=156619080"",AI$3)"),"#REF!")</f>
        <v>#REF!</v>
      </c>
      <c r="AJ365" s="2" t="str">
        <f>IFERROR(__xludf.DUMMYFUNCTION("IMPORTRANGE(""https://docs.google.com/spreadsheets/d/""&amp;$A365&amp;""/edit#gid=156619080"",AJ$3)"),"#REF!")</f>
        <v>#REF!</v>
      </c>
      <c r="AK365" s="2" t="str">
        <f>IFERROR(__xludf.DUMMYFUNCTION("IMPORTRANGE(""https://docs.google.com/spreadsheets/d/""&amp;$A365&amp;""/edit#gid=156619080"",AK$3)"),"#REF!")</f>
        <v>#REF!</v>
      </c>
      <c r="AL365" s="2" t="str">
        <f>IFERROR(__xludf.DUMMYFUNCTION("IMPORTRANGE(""https://docs.google.com/spreadsheets/d/""&amp;$A365&amp;""/edit#gid=156619080"",AL$3)"),"#REF!")</f>
        <v>#REF!</v>
      </c>
      <c r="AM365" s="2" t="str">
        <f>IFERROR(__xludf.DUMMYFUNCTION("IMPORTRANGE(""https://docs.google.com/spreadsheets/d/""&amp;$A365&amp;""/edit#gid=156619080"",AM$3)"),"#REF!")</f>
        <v>#REF!</v>
      </c>
      <c r="AN365" s="2" t="str">
        <f>IFERROR(__xludf.DUMMYFUNCTION("IMPORTRANGE(""https://docs.google.com/spreadsheets/d/""&amp;$A365&amp;""/edit#gid=156619080"",AN$3)"),"#REF!")</f>
        <v>#REF!</v>
      </c>
      <c r="AO365" s="2" t="str">
        <f>IFERROR(__xludf.DUMMYFUNCTION("IMPORTRANGE(""https://docs.google.com/spreadsheets/d/""&amp;$A365&amp;""/edit#gid=156619080"",AO$3)"),"#REF!")</f>
        <v>#REF!</v>
      </c>
      <c r="AP365" s="2" t="str">
        <f>IFERROR(__xludf.DUMMYFUNCTION("IMPORTRANGE(""https://docs.google.com/spreadsheets/d/""&amp;$A365&amp;""/edit#gid=156619080"",AP$3)"),"#REF!")</f>
        <v>#REF!</v>
      </c>
      <c r="AQ365" s="2" t="str">
        <f>IFERROR(__xludf.DUMMYFUNCTION("IMPORTRANGE(""https://docs.google.com/spreadsheets/d/""&amp;$A365&amp;""/edit#gid=156619080"",AQ$3)"),"#REF!")</f>
        <v>#REF!</v>
      </c>
      <c r="AR365" s="2" t="str">
        <f>IFERROR(__xludf.DUMMYFUNCTION("IMPORTRANGE(""https://docs.google.com/spreadsheets/d/""&amp;$A365&amp;""/edit#gid=156619080"",AR$3)"),"#REF!")</f>
        <v>#REF!</v>
      </c>
      <c r="AS365" s="19" t="str">
        <f>IFERROR(__xludf.DUMMYFUNCTION("IMPORTRANGE(""https://docs.google.com/spreadsheets/d/""&amp;$A365&amp;""/edit#gid=156619080"",AS$3)"),"#REF!")</f>
        <v>#REF!</v>
      </c>
      <c r="AT365" s="2" t="str">
        <f>IFERROR(__xludf.DUMMYFUNCTION("IMPORTRANGE(""https://docs.google.com/spreadsheets/d/""&amp;$A365&amp;""/edit#gid=156619080"",AT$3)"),"#REF!")</f>
        <v>#REF!</v>
      </c>
      <c r="AU365" s="3" t="str">
        <f>IFERROR(__xludf.DUMMYFUNCTION("IMPORTRANGE(""https://docs.google.com/spreadsheets/d/""&amp;$A365&amp;""/edit#gid=156619080"",AU$3)"),"#REF!")</f>
        <v>#REF!</v>
      </c>
      <c r="AV365" s="2" t="str">
        <f>IFERROR(__xludf.DUMMYFUNCTION("IMPORTRANGE(""https://docs.google.com/spreadsheets/d/""&amp;$A365&amp;""/edit#gid=156619080"",AV$3)"),"#REF!")</f>
        <v>#REF!</v>
      </c>
      <c r="AW365" s="19" t="str">
        <f>IFERROR(__xludf.DUMMYFUNCTION("IMPORTRANGE(""https://docs.google.com/spreadsheets/d/""&amp;$A365&amp;""/edit#gid=156619080"",AW$3)"),"#REF!")</f>
        <v>#REF!</v>
      </c>
      <c r="AX365" s="2" t="str">
        <f>IFERROR(__xludf.DUMMYFUNCTION("IMPORTRANGE(""https://docs.google.com/spreadsheets/d/""&amp;$A365&amp;""/edit#gid=156619080"",AX$3)"),"#REF!")</f>
        <v>#REF!</v>
      </c>
      <c r="AY365" s="2" t="str">
        <f>IFERROR(__xludf.DUMMYFUNCTION("IMPORTRANGE(""https://docs.google.com/spreadsheets/d/""&amp;$A365&amp;""/edit#gid=156619080"",AY$3)"),"#REF!")</f>
        <v>#REF!</v>
      </c>
      <c r="AZ365" s="2" t="str">
        <f>IFERROR(__xludf.DUMMYFUNCTION("IMPORTRANGE(""https://docs.google.com/spreadsheets/d/""&amp;$A365&amp;""/edit#gid=156619080"",AZ$3)"),"#REF!")</f>
        <v>#REF!</v>
      </c>
      <c r="BA365" s="2" t="str">
        <f>IFERROR(__xludf.DUMMYFUNCTION("IMPORTRANGE(""https://docs.google.com/spreadsheets/d/""&amp;$A365&amp;""/edit#gid=156619080"",BA$3)"),"#REF!")</f>
        <v>#REF!</v>
      </c>
      <c r="BB365" s="2" t="str">
        <f>IFERROR(__xludf.DUMMYFUNCTION("IMPORTRANGE(""https://docs.google.com/spreadsheets/d/""&amp;$A365&amp;""/edit#gid=156619080"",BB$3)"),"#REF!")</f>
        <v>#REF!</v>
      </c>
      <c r="BC365" s="2" t="str">
        <f>IFERROR(__xludf.DUMMYFUNCTION("IMPORTRANGE(""https://docs.google.com/spreadsheets/d/""&amp;$A365&amp;""/edit#gid=156619080"",BC$3)"),"#REF!")</f>
        <v>#REF!</v>
      </c>
    </row>
    <row r="366" ht="51.0" customHeight="1">
      <c r="A366" s="7" t="str">
        <f t="shared" si="5"/>
        <v>1eRCwVnqM_Iy-e4zdAcl6Le3QN5ssLmXb82ie6E-H3L8</v>
      </c>
      <c r="B366" s="1" t="s">
        <v>393</v>
      </c>
      <c r="C366" s="2" t="str">
        <f>IFERROR(__xludf.DUMMYFUNCTION("IMPORTRANGE(""https://docs.google.com/spreadsheets/d/""&amp;$A366&amp;""/edit#gid=156619080"",C$3)"),"#REF!")</f>
        <v>#REF!</v>
      </c>
      <c r="D366" s="2" t="str">
        <f>IFERROR(__xludf.DUMMYFUNCTION("IMPORTRANGE(""https://docs.google.com/spreadsheets/d/""&amp;$A366&amp;""/edit#gid=156619080"",D$3)"),"#REF!")</f>
        <v>#REF!</v>
      </c>
      <c r="E366" s="2" t="str">
        <f>IFERROR(__xludf.DUMMYFUNCTION("IMPORTRANGE(""https://docs.google.com/spreadsheets/d/""&amp;$A366&amp;""/edit#gid=156619080"",E$3)"),"#REF!")</f>
        <v>#REF!</v>
      </c>
      <c r="F366" s="2" t="str">
        <f>IFERROR(__xludf.DUMMYFUNCTION("IMPORTRANGE(""https://docs.google.com/spreadsheets/d/""&amp;$A366&amp;""/edit#gid=156619080"",F$3)"),"#REF!")</f>
        <v>#REF!</v>
      </c>
      <c r="G366" s="2" t="str">
        <f>IFERROR(__xludf.DUMMYFUNCTION("IMPORTRANGE(""https://docs.google.com/spreadsheets/d/""&amp;$A366&amp;""/edit#gid=156619080"",G$3)"),"#REF!")</f>
        <v>#REF!</v>
      </c>
      <c r="H366" s="2" t="str">
        <f>IFERROR(__xludf.DUMMYFUNCTION("IMPORTRANGE(""https://docs.google.com/spreadsheets/d/""&amp;$A366&amp;""/edit#gid=156619080"",H$3)"),"#REF!")</f>
        <v>#REF!</v>
      </c>
      <c r="I366" s="2" t="str">
        <f>IFERROR(__xludf.DUMMYFUNCTION("IMPORTRANGE(""https://docs.google.com/spreadsheets/d/""&amp;$A366&amp;""/edit#gid=156619080"",I$3)"),"#REF!")</f>
        <v>#REF!</v>
      </c>
      <c r="J366" s="2" t="str">
        <f>IFERROR(__xludf.DUMMYFUNCTION("IMPORTRANGE(""https://docs.google.com/spreadsheets/d/""&amp;$A366&amp;""/edit#gid=156619080"",J$3)"),"#REF!")</f>
        <v>#REF!</v>
      </c>
      <c r="K366" s="2" t="str">
        <f>IFERROR(__xludf.DUMMYFUNCTION("IMPORTRANGE(""https://docs.google.com/spreadsheets/d/""&amp;$A366&amp;""/edit#gid=156619080"",K$3)"),"#REF!")</f>
        <v>#REF!</v>
      </c>
      <c r="L366" s="2" t="str">
        <f>IFERROR(__xludf.DUMMYFUNCTION("IMPORTRANGE(""https://docs.google.com/spreadsheets/d/""&amp;$A366&amp;""/edit#gid=156619080"",L$3)"),"#REF!")</f>
        <v>#REF!</v>
      </c>
      <c r="M366" s="2" t="str">
        <f>IFERROR(__xludf.DUMMYFUNCTION("IMPORTRANGE(""https://docs.google.com/spreadsheets/d/""&amp;$A366&amp;""/edit#gid=156619080"",M$3)"),"#REF!")</f>
        <v>#REF!</v>
      </c>
      <c r="N366" s="2" t="str">
        <f>IFERROR(__xludf.DUMMYFUNCTION("IMPORTRANGE(""https://docs.google.com/spreadsheets/d/""&amp;$A366&amp;""/edit#gid=156619080"",N$3)"),"#REF!")</f>
        <v>#REF!</v>
      </c>
      <c r="O366" s="2" t="str">
        <f>IFERROR(__xludf.DUMMYFUNCTION("IMPORTRANGE(""https://docs.google.com/spreadsheets/d/""&amp;$A366&amp;""/edit#gid=156619080"",O$3)"),"#REF!")</f>
        <v>#REF!</v>
      </c>
      <c r="P366" s="2" t="str">
        <f>IFERROR(__xludf.DUMMYFUNCTION("IMPORTRANGE(""https://docs.google.com/spreadsheets/d/""&amp;$A366&amp;""/edit#gid=156619080"",P$3)"),"#REF!")</f>
        <v>#REF!</v>
      </c>
      <c r="Q366" s="2" t="str">
        <f>IFERROR(__xludf.DUMMYFUNCTION("IMPORTRANGE(""https://docs.google.com/spreadsheets/d/""&amp;$A366&amp;""/edit#gid=156619080"",Q$3)"),"#REF!")</f>
        <v>#REF!</v>
      </c>
      <c r="R366" s="2" t="str">
        <f>IFERROR(__xludf.DUMMYFUNCTION("IMPORTRANGE(""https://docs.google.com/spreadsheets/d/""&amp;$A366&amp;""/edit#gid=156619080"",R$3)"),"#REF!")</f>
        <v>#REF!</v>
      </c>
      <c r="S366" s="2" t="str">
        <f>IFERROR(__xludf.DUMMYFUNCTION("IMPORTRANGE(""https://docs.google.com/spreadsheets/d/""&amp;$A366&amp;""/edit#gid=156619080"",S$3)"),"#REF!")</f>
        <v>#REF!</v>
      </c>
      <c r="T366" s="2" t="str">
        <f>IFERROR(__xludf.DUMMYFUNCTION("IMPORTRANGE(""https://docs.google.com/spreadsheets/d/""&amp;$A366&amp;""/edit#gid=156619080"",T$3)"),"#REF!")</f>
        <v>#REF!</v>
      </c>
      <c r="U366" s="2" t="str">
        <f>IFERROR(__xludf.DUMMYFUNCTION("IMPORTRANGE(""https://docs.google.com/spreadsheets/d/""&amp;$A366&amp;""/edit#gid=156619080"",U$3)"),"#REF!")</f>
        <v>#REF!</v>
      </c>
      <c r="V366" s="2" t="str">
        <f>IFERROR(__xludf.DUMMYFUNCTION("IMPORTRANGE(""https://docs.google.com/spreadsheets/d/""&amp;$A366&amp;""/edit#gid=156619080"",V$3)"),"#REF!")</f>
        <v>#REF!</v>
      </c>
      <c r="W366" s="2" t="str">
        <f>IFERROR(__xludf.DUMMYFUNCTION("IMPORTRANGE(""https://docs.google.com/spreadsheets/d/""&amp;$A366&amp;""/edit#gid=156619080"",W$3)"),"#REF!")</f>
        <v>#REF!</v>
      </c>
      <c r="X366" s="2" t="str">
        <f>IFERROR(__xludf.DUMMYFUNCTION("IMPORTRANGE(""https://docs.google.com/spreadsheets/d/""&amp;$A366&amp;""/edit#gid=156619080"",X$3)"),"#REF!")</f>
        <v>#REF!</v>
      </c>
      <c r="Y366" s="2" t="str">
        <f>IFERROR(__xludf.DUMMYFUNCTION("IMPORTRANGE(""https://docs.google.com/spreadsheets/d/""&amp;$A366&amp;""/edit#gid=156619080"",Y$3)"),"#REF!")</f>
        <v>#REF!</v>
      </c>
      <c r="Z366" s="2" t="str">
        <f>IFERROR(__xludf.DUMMYFUNCTION("IMPORTRANGE(""https://docs.google.com/spreadsheets/d/""&amp;$A366&amp;""/edit#gid=156619080"",Z$3)"),"#REF!")</f>
        <v>#REF!</v>
      </c>
      <c r="AA366" s="2" t="str">
        <f>IFERROR(__xludf.DUMMYFUNCTION("IMPORTRANGE(""https://docs.google.com/spreadsheets/d/""&amp;$A366&amp;""/edit#gid=156619080"",AA$3)"),"#REF!")</f>
        <v>#REF!</v>
      </c>
      <c r="AB366" s="2" t="str">
        <f>IFERROR(__xludf.DUMMYFUNCTION("IMPORTRANGE(""https://docs.google.com/spreadsheets/d/""&amp;$A366&amp;""/edit#gid=156619080"",AB$3)"),"#REF!")</f>
        <v>#REF!</v>
      </c>
      <c r="AC366" s="2" t="str">
        <f>IFERROR(__xludf.DUMMYFUNCTION("IMPORTRANGE(""https://docs.google.com/spreadsheets/d/""&amp;$A366&amp;""/edit#gid=156619080"",AC$3)"),"#REF!")</f>
        <v>#REF!</v>
      </c>
      <c r="AD366" s="2" t="str">
        <f>IFERROR(__xludf.DUMMYFUNCTION("IMPORTRANGE(""https://docs.google.com/spreadsheets/d/""&amp;$A366&amp;""/edit#gid=156619080"",AD$3)"),"#REF!")</f>
        <v>#REF!</v>
      </c>
      <c r="AE366" s="2" t="str">
        <f>IFERROR(__xludf.DUMMYFUNCTION("IMPORTRANGE(""https://docs.google.com/spreadsheets/d/""&amp;$A366&amp;""/edit#gid=156619080"",AE$3)"),"#REF!")</f>
        <v>#REF!</v>
      </c>
      <c r="AF366" s="2" t="str">
        <f>IFERROR(__xludf.DUMMYFUNCTION("IMPORTRANGE(""https://docs.google.com/spreadsheets/d/""&amp;$A366&amp;""/edit#gid=156619080"",AF$3)"),"#REF!")</f>
        <v>#REF!</v>
      </c>
      <c r="AG366" s="2" t="str">
        <f>IFERROR(__xludf.DUMMYFUNCTION("IMPORTRANGE(""https://docs.google.com/spreadsheets/d/""&amp;$A366&amp;""/edit#gid=156619080"",AG$3)"),"#REF!")</f>
        <v>#REF!</v>
      </c>
      <c r="AH366" s="2" t="str">
        <f>IFERROR(__xludf.DUMMYFUNCTION("IMPORTRANGE(""https://docs.google.com/spreadsheets/d/""&amp;$A366&amp;""/edit#gid=156619080"",AH$3)"),"#REF!")</f>
        <v>#REF!</v>
      </c>
      <c r="AI366" s="2" t="str">
        <f>IFERROR(__xludf.DUMMYFUNCTION("IMPORTRANGE(""https://docs.google.com/spreadsheets/d/""&amp;$A366&amp;""/edit#gid=156619080"",AI$3)"),"#REF!")</f>
        <v>#REF!</v>
      </c>
      <c r="AJ366" s="2" t="str">
        <f>IFERROR(__xludf.DUMMYFUNCTION("IMPORTRANGE(""https://docs.google.com/spreadsheets/d/""&amp;$A366&amp;""/edit#gid=156619080"",AJ$3)"),"#REF!")</f>
        <v>#REF!</v>
      </c>
      <c r="AK366" s="2" t="str">
        <f>IFERROR(__xludf.DUMMYFUNCTION("IMPORTRANGE(""https://docs.google.com/spreadsheets/d/""&amp;$A366&amp;""/edit#gid=156619080"",AK$3)"),"#REF!")</f>
        <v>#REF!</v>
      </c>
      <c r="AL366" s="2" t="str">
        <f>IFERROR(__xludf.DUMMYFUNCTION("IMPORTRANGE(""https://docs.google.com/spreadsheets/d/""&amp;$A366&amp;""/edit#gid=156619080"",AL$3)"),"#REF!")</f>
        <v>#REF!</v>
      </c>
      <c r="AM366" s="2" t="str">
        <f>IFERROR(__xludf.DUMMYFUNCTION("IMPORTRANGE(""https://docs.google.com/spreadsheets/d/""&amp;$A366&amp;""/edit#gid=156619080"",AM$3)"),"#REF!")</f>
        <v>#REF!</v>
      </c>
      <c r="AN366" s="2" t="str">
        <f>IFERROR(__xludf.DUMMYFUNCTION("IMPORTRANGE(""https://docs.google.com/spreadsheets/d/""&amp;$A366&amp;""/edit#gid=156619080"",AN$3)"),"#REF!")</f>
        <v>#REF!</v>
      </c>
      <c r="AO366" s="2" t="str">
        <f>IFERROR(__xludf.DUMMYFUNCTION("IMPORTRANGE(""https://docs.google.com/spreadsheets/d/""&amp;$A366&amp;""/edit#gid=156619080"",AO$3)"),"#REF!")</f>
        <v>#REF!</v>
      </c>
      <c r="AP366" s="2" t="str">
        <f>IFERROR(__xludf.DUMMYFUNCTION("IMPORTRANGE(""https://docs.google.com/spreadsheets/d/""&amp;$A366&amp;""/edit#gid=156619080"",AP$3)"),"#REF!")</f>
        <v>#REF!</v>
      </c>
      <c r="AQ366" s="2" t="str">
        <f>IFERROR(__xludf.DUMMYFUNCTION("IMPORTRANGE(""https://docs.google.com/spreadsheets/d/""&amp;$A366&amp;""/edit#gid=156619080"",AQ$3)"),"#REF!")</f>
        <v>#REF!</v>
      </c>
      <c r="AR366" s="2" t="str">
        <f>IFERROR(__xludf.DUMMYFUNCTION("IMPORTRANGE(""https://docs.google.com/spreadsheets/d/""&amp;$A366&amp;""/edit#gid=156619080"",AR$3)"),"#REF!")</f>
        <v>#REF!</v>
      </c>
      <c r="AS366" s="19" t="str">
        <f>IFERROR(__xludf.DUMMYFUNCTION("IMPORTRANGE(""https://docs.google.com/spreadsheets/d/""&amp;$A366&amp;""/edit#gid=156619080"",AS$3)"),"#REF!")</f>
        <v>#REF!</v>
      </c>
      <c r="AT366" s="2" t="str">
        <f>IFERROR(__xludf.DUMMYFUNCTION("IMPORTRANGE(""https://docs.google.com/spreadsheets/d/""&amp;$A366&amp;""/edit#gid=156619080"",AT$3)"),"#REF!")</f>
        <v>#REF!</v>
      </c>
      <c r="AU366" s="3" t="str">
        <f>IFERROR(__xludf.DUMMYFUNCTION("IMPORTRANGE(""https://docs.google.com/spreadsheets/d/""&amp;$A366&amp;""/edit#gid=156619080"",AU$3)"),"#REF!")</f>
        <v>#REF!</v>
      </c>
      <c r="AV366" s="2" t="str">
        <f>IFERROR(__xludf.DUMMYFUNCTION("IMPORTRANGE(""https://docs.google.com/spreadsheets/d/""&amp;$A366&amp;""/edit#gid=156619080"",AV$3)"),"#REF!")</f>
        <v>#REF!</v>
      </c>
      <c r="AW366" s="19" t="str">
        <f>IFERROR(__xludf.DUMMYFUNCTION("IMPORTRANGE(""https://docs.google.com/spreadsheets/d/""&amp;$A366&amp;""/edit#gid=156619080"",AW$3)"),"#REF!")</f>
        <v>#REF!</v>
      </c>
      <c r="AX366" s="2" t="str">
        <f>IFERROR(__xludf.DUMMYFUNCTION("IMPORTRANGE(""https://docs.google.com/spreadsheets/d/""&amp;$A366&amp;""/edit#gid=156619080"",AX$3)"),"#REF!")</f>
        <v>#REF!</v>
      </c>
      <c r="AY366" s="2" t="str">
        <f>IFERROR(__xludf.DUMMYFUNCTION("IMPORTRANGE(""https://docs.google.com/spreadsheets/d/""&amp;$A366&amp;""/edit#gid=156619080"",AY$3)"),"#REF!")</f>
        <v>#REF!</v>
      </c>
      <c r="AZ366" s="2" t="str">
        <f>IFERROR(__xludf.DUMMYFUNCTION("IMPORTRANGE(""https://docs.google.com/spreadsheets/d/""&amp;$A366&amp;""/edit#gid=156619080"",AZ$3)"),"#REF!")</f>
        <v>#REF!</v>
      </c>
      <c r="BA366" s="2" t="str">
        <f>IFERROR(__xludf.DUMMYFUNCTION("IMPORTRANGE(""https://docs.google.com/spreadsheets/d/""&amp;$A366&amp;""/edit#gid=156619080"",BA$3)"),"#REF!")</f>
        <v>#REF!</v>
      </c>
      <c r="BB366" s="2" t="str">
        <f>IFERROR(__xludf.DUMMYFUNCTION("IMPORTRANGE(""https://docs.google.com/spreadsheets/d/""&amp;$A366&amp;""/edit#gid=156619080"",BB$3)"),"#REF!")</f>
        <v>#REF!</v>
      </c>
      <c r="BC366" s="2" t="str">
        <f>IFERROR(__xludf.DUMMYFUNCTION("IMPORTRANGE(""https://docs.google.com/spreadsheets/d/""&amp;$A366&amp;""/edit#gid=156619080"",BC$3)"),"#REF!")</f>
        <v>#REF!</v>
      </c>
    </row>
    <row r="367" ht="51.0" customHeight="1">
      <c r="A367" s="7" t="str">
        <f t="shared" si="5"/>
        <v>1iRSNY0E5FjCgV2YrnopgNLwFEHOplyebbsRpPujs--A</v>
      </c>
      <c r="B367" s="1" t="s">
        <v>394</v>
      </c>
      <c r="C367" s="2" t="str">
        <f>IFERROR(__xludf.DUMMYFUNCTION("IMPORTRANGE(""https://docs.google.com/spreadsheets/d/""&amp;$A367&amp;""/edit#gid=156619080"",C$3)"),"#REF!")</f>
        <v>#REF!</v>
      </c>
      <c r="D367" s="2" t="str">
        <f>IFERROR(__xludf.DUMMYFUNCTION("IMPORTRANGE(""https://docs.google.com/spreadsheets/d/""&amp;$A367&amp;""/edit#gid=156619080"",D$3)"),"#REF!")</f>
        <v>#REF!</v>
      </c>
      <c r="E367" s="2" t="str">
        <f>IFERROR(__xludf.DUMMYFUNCTION("IMPORTRANGE(""https://docs.google.com/spreadsheets/d/""&amp;$A367&amp;""/edit#gid=156619080"",E$3)"),"#REF!")</f>
        <v>#REF!</v>
      </c>
      <c r="F367" s="2" t="str">
        <f>IFERROR(__xludf.DUMMYFUNCTION("IMPORTRANGE(""https://docs.google.com/spreadsheets/d/""&amp;$A367&amp;""/edit#gid=156619080"",F$3)"),"#REF!")</f>
        <v>#REF!</v>
      </c>
      <c r="G367" s="2" t="str">
        <f>IFERROR(__xludf.DUMMYFUNCTION("IMPORTRANGE(""https://docs.google.com/spreadsheets/d/""&amp;$A367&amp;""/edit#gid=156619080"",G$3)"),"#REF!")</f>
        <v>#REF!</v>
      </c>
      <c r="H367" s="2" t="str">
        <f>IFERROR(__xludf.DUMMYFUNCTION("IMPORTRANGE(""https://docs.google.com/spreadsheets/d/""&amp;$A367&amp;""/edit#gid=156619080"",H$3)"),"#REF!")</f>
        <v>#REF!</v>
      </c>
      <c r="I367" s="2" t="str">
        <f>IFERROR(__xludf.DUMMYFUNCTION("IMPORTRANGE(""https://docs.google.com/spreadsheets/d/""&amp;$A367&amp;""/edit#gid=156619080"",I$3)"),"#REF!")</f>
        <v>#REF!</v>
      </c>
      <c r="J367" s="2" t="str">
        <f>IFERROR(__xludf.DUMMYFUNCTION("IMPORTRANGE(""https://docs.google.com/spreadsheets/d/""&amp;$A367&amp;""/edit#gid=156619080"",J$3)"),"#REF!")</f>
        <v>#REF!</v>
      </c>
      <c r="K367" s="2" t="str">
        <f>IFERROR(__xludf.DUMMYFUNCTION("IMPORTRANGE(""https://docs.google.com/spreadsheets/d/""&amp;$A367&amp;""/edit#gid=156619080"",K$3)"),"#REF!")</f>
        <v>#REF!</v>
      </c>
      <c r="L367" s="2" t="str">
        <f>IFERROR(__xludf.DUMMYFUNCTION("IMPORTRANGE(""https://docs.google.com/spreadsheets/d/""&amp;$A367&amp;""/edit#gid=156619080"",L$3)"),"#REF!")</f>
        <v>#REF!</v>
      </c>
      <c r="M367" s="2" t="str">
        <f>IFERROR(__xludf.DUMMYFUNCTION("IMPORTRANGE(""https://docs.google.com/spreadsheets/d/""&amp;$A367&amp;""/edit#gid=156619080"",M$3)"),"#REF!")</f>
        <v>#REF!</v>
      </c>
      <c r="N367" s="2" t="str">
        <f>IFERROR(__xludf.DUMMYFUNCTION("IMPORTRANGE(""https://docs.google.com/spreadsheets/d/""&amp;$A367&amp;""/edit#gid=156619080"",N$3)"),"#REF!")</f>
        <v>#REF!</v>
      </c>
      <c r="O367" s="2" t="str">
        <f>IFERROR(__xludf.DUMMYFUNCTION("IMPORTRANGE(""https://docs.google.com/spreadsheets/d/""&amp;$A367&amp;""/edit#gid=156619080"",O$3)"),"#REF!")</f>
        <v>#REF!</v>
      </c>
      <c r="P367" s="2" t="str">
        <f>IFERROR(__xludf.DUMMYFUNCTION("IMPORTRANGE(""https://docs.google.com/spreadsheets/d/""&amp;$A367&amp;""/edit#gid=156619080"",P$3)"),"#REF!")</f>
        <v>#REF!</v>
      </c>
      <c r="Q367" s="2" t="str">
        <f>IFERROR(__xludf.DUMMYFUNCTION("IMPORTRANGE(""https://docs.google.com/spreadsheets/d/""&amp;$A367&amp;""/edit#gid=156619080"",Q$3)"),"#REF!")</f>
        <v>#REF!</v>
      </c>
      <c r="R367" s="2" t="str">
        <f>IFERROR(__xludf.DUMMYFUNCTION("IMPORTRANGE(""https://docs.google.com/spreadsheets/d/""&amp;$A367&amp;""/edit#gid=156619080"",R$3)"),"#REF!")</f>
        <v>#REF!</v>
      </c>
      <c r="S367" s="2" t="str">
        <f>IFERROR(__xludf.DUMMYFUNCTION("IMPORTRANGE(""https://docs.google.com/spreadsheets/d/""&amp;$A367&amp;""/edit#gid=156619080"",S$3)"),"#REF!")</f>
        <v>#REF!</v>
      </c>
      <c r="T367" s="2" t="str">
        <f>IFERROR(__xludf.DUMMYFUNCTION("IMPORTRANGE(""https://docs.google.com/spreadsheets/d/""&amp;$A367&amp;""/edit#gid=156619080"",T$3)"),"#REF!")</f>
        <v>#REF!</v>
      </c>
      <c r="U367" s="2" t="str">
        <f>IFERROR(__xludf.DUMMYFUNCTION("IMPORTRANGE(""https://docs.google.com/spreadsheets/d/""&amp;$A367&amp;""/edit#gid=156619080"",U$3)"),"#REF!")</f>
        <v>#REF!</v>
      </c>
      <c r="V367" s="2" t="str">
        <f>IFERROR(__xludf.DUMMYFUNCTION("IMPORTRANGE(""https://docs.google.com/spreadsheets/d/""&amp;$A367&amp;""/edit#gid=156619080"",V$3)"),"#REF!")</f>
        <v>#REF!</v>
      </c>
      <c r="W367" s="2" t="str">
        <f>IFERROR(__xludf.DUMMYFUNCTION("IMPORTRANGE(""https://docs.google.com/spreadsheets/d/""&amp;$A367&amp;""/edit#gid=156619080"",W$3)"),"#REF!")</f>
        <v>#REF!</v>
      </c>
      <c r="X367" s="2" t="str">
        <f>IFERROR(__xludf.DUMMYFUNCTION("IMPORTRANGE(""https://docs.google.com/spreadsheets/d/""&amp;$A367&amp;""/edit#gid=156619080"",X$3)"),"#REF!")</f>
        <v>#REF!</v>
      </c>
      <c r="Y367" s="2" t="str">
        <f>IFERROR(__xludf.DUMMYFUNCTION("IMPORTRANGE(""https://docs.google.com/spreadsheets/d/""&amp;$A367&amp;""/edit#gid=156619080"",Y$3)"),"#REF!")</f>
        <v>#REF!</v>
      </c>
      <c r="Z367" s="2" t="str">
        <f>IFERROR(__xludf.DUMMYFUNCTION("IMPORTRANGE(""https://docs.google.com/spreadsheets/d/""&amp;$A367&amp;""/edit#gid=156619080"",Z$3)"),"#REF!")</f>
        <v>#REF!</v>
      </c>
      <c r="AA367" s="2" t="str">
        <f>IFERROR(__xludf.DUMMYFUNCTION("IMPORTRANGE(""https://docs.google.com/spreadsheets/d/""&amp;$A367&amp;""/edit#gid=156619080"",AA$3)"),"#REF!")</f>
        <v>#REF!</v>
      </c>
      <c r="AB367" s="2" t="str">
        <f>IFERROR(__xludf.DUMMYFUNCTION("IMPORTRANGE(""https://docs.google.com/spreadsheets/d/""&amp;$A367&amp;""/edit#gid=156619080"",AB$3)"),"#REF!")</f>
        <v>#REF!</v>
      </c>
      <c r="AC367" s="2" t="str">
        <f>IFERROR(__xludf.DUMMYFUNCTION("IMPORTRANGE(""https://docs.google.com/spreadsheets/d/""&amp;$A367&amp;""/edit#gid=156619080"",AC$3)"),"#REF!")</f>
        <v>#REF!</v>
      </c>
      <c r="AD367" s="2" t="str">
        <f>IFERROR(__xludf.DUMMYFUNCTION("IMPORTRANGE(""https://docs.google.com/spreadsheets/d/""&amp;$A367&amp;""/edit#gid=156619080"",AD$3)"),"#REF!")</f>
        <v>#REF!</v>
      </c>
      <c r="AE367" s="2" t="str">
        <f>IFERROR(__xludf.DUMMYFUNCTION("IMPORTRANGE(""https://docs.google.com/spreadsheets/d/""&amp;$A367&amp;""/edit#gid=156619080"",AE$3)"),"#REF!")</f>
        <v>#REF!</v>
      </c>
      <c r="AF367" s="2" t="str">
        <f>IFERROR(__xludf.DUMMYFUNCTION("IMPORTRANGE(""https://docs.google.com/spreadsheets/d/""&amp;$A367&amp;""/edit#gid=156619080"",AF$3)"),"#REF!")</f>
        <v>#REF!</v>
      </c>
      <c r="AG367" s="2" t="str">
        <f>IFERROR(__xludf.DUMMYFUNCTION("IMPORTRANGE(""https://docs.google.com/spreadsheets/d/""&amp;$A367&amp;""/edit#gid=156619080"",AG$3)"),"#REF!")</f>
        <v>#REF!</v>
      </c>
      <c r="AH367" s="2" t="str">
        <f>IFERROR(__xludf.DUMMYFUNCTION("IMPORTRANGE(""https://docs.google.com/spreadsheets/d/""&amp;$A367&amp;""/edit#gid=156619080"",AH$3)"),"#REF!")</f>
        <v>#REF!</v>
      </c>
      <c r="AI367" s="2" t="str">
        <f>IFERROR(__xludf.DUMMYFUNCTION("IMPORTRANGE(""https://docs.google.com/spreadsheets/d/""&amp;$A367&amp;""/edit#gid=156619080"",AI$3)"),"#REF!")</f>
        <v>#REF!</v>
      </c>
      <c r="AJ367" s="2" t="str">
        <f>IFERROR(__xludf.DUMMYFUNCTION("IMPORTRANGE(""https://docs.google.com/spreadsheets/d/""&amp;$A367&amp;""/edit#gid=156619080"",AJ$3)"),"#REF!")</f>
        <v>#REF!</v>
      </c>
      <c r="AK367" s="2" t="str">
        <f>IFERROR(__xludf.DUMMYFUNCTION("IMPORTRANGE(""https://docs.google.com/spreadsheets/d/""&amp;$A367&amp;""/edit#gid=156619080"",AK$3)"),"#REF!")</f>
        <v>#REF!</v>
      </c>
      <c r="AL367" s="2" t="str">
        <f>IFERROR(__xludf.DUMMYFUNCTION("IMPORTRANGE(""https://docs.google.com/spreadsheets/d/""&amp;$A367&amp;""/edit#gid=156619080"",AL$3)"),"#REF!")</f>
        <v>#REF!</v>
      </c>
      <c r="AM367" s="2" t="str">
        <f>IFERROR(__xludf.DUMMYFUNCTION("IMPORTRANGE(""https://docs.google.com/spreadsheets/d/""&amp;$A367&amp;""/edit#gid=156619080"",AM$3)"),"#REF!")</f>
        <v>#REF!</v>
      </c>
      <c r="AN367" s="2" t="str">
        <f>IFERROR(__xludf.DUMMYFUNCTION("IMPORTRANGE(""https://docs.google.com/spreadsheets/d/""&amp;$A367&amp;""/edit#gid=156619080"",AN$3)"),"#REF!")</f>
        <v>#REF!</v>
      </c>
      <c r="AO367" s="2" t="str">
        <f>IFERROR(__xludf.DUMMYFUNCTION("IMPORTRANGE(""https://docs.google.com/spreadsheets/d/""&amp;$A367&amp;""/edit#gid=156619080"",AO$3)"),"#REF!")</f>
        <v>#REF!</v>
      </c>
      <c r="AP367" s="2" t="str">
        <f>IFERROR(__xludf.DUMMYFUNCTION("IMPORTRANGE(""https://docs.google.com/spreadsheets/d/""&amp;$A367&amp;""/edit#gid=156619080"",AP$3)"),"#REF!")</f>
        <v>#REF!</v>
      </c>
      <c r="AQ367" s="2" t="str">
        <f>IFERROR(__xludf.DUMMYFUNCTION("IMPORTRANGE(""https://docs.google.com/spreadsheets/d/""&amp;$A367&amp;""/edit#gid=156619080"",AQ$3)"),"#REF!")</f>
        <v>#REF!</v>
      </c>
      <c r="AR367" s="2" t="str">
        <f>IFERROR(__xludf.DUMMYFUNCTION("IMPORTRANGE(""https://docs.google.com/spreadsheets/d/""&amp;$A367&amp;""/edit#gid=156619080"",AR$3)"),"#REF!")</f>
        <v>#REF!</v>
      </c>
      <c r="AS367" s="19" t="str">
        <f>IFERROR(__xludf.DUMMYFUNCTION("IMPORTRANGE(""https://docs.google.com/spreadsheets/d/""&amp;$A367&amp;""/edit#gid=156619080"",AS$3)"),"#REF!")</f>
        <v>#REF!</v>
      </c>
      <c r="AT367" s="2" t="str">
        <f>IFERROR(__xludf.DUMMYFUNCTION("IMPORTRANGE(""https://docs.google.com/spreadsheets/d/""&amp;$A367&amp;""/edit#gid=156619080"",AT$3)"),"#REF!")</f>
        <v>#REF!</v>
      </c>
      <c r="AU367" s="3" t="str">
        <f>IFERROR(__xludf.DUMMYFUNCTION("IMPORTRANGE(""https://docs.google.com/spreadsheets/d/""&amp;$A367&amp;""/edit#gid=156619080"",AU$3)"),"#REF!")</f>
        <v>#REF!</v>
      </c>
      <c r="AV367" s="2" t="str">
        <f>IFERROR(__xludf.DUMMYFUNCTION("IMPORTRANGE(""https://docs.google.com/spreadsheets/d/""&amp;$A367&amp;""/edit#gid=156619080"",AV$3)"),"#REF!")</f>
        <v>#REF!</v>
      </c>
      <c r="AW367" s="19" t="str">
        <f>IFERROR(__xludf.DUMMYFUNCTION("IMPORTRANGE(""https://docs.google.com/spreadsheets/d/""&amp;$A367&amp;""/edit#gid=156619080"",AW$3)"),"#REF!")</f>
        <v>#REF!</v>
      </c>
      <c r="AX367" s="2" t="str">
        <f>IFERROR(__xludf.DUMMYFUNCTION("IMPORTRANGE(""https://docs.google.com/spreadsheets/d/""&amp;$A367&amp;""/edit#gid=156619080"",AX$3)"),"#REF!")</f>
        <v>#REF!</v>
      </c>
      <c r="AY367" s="2" t="str">
        <f>IFERROR(__xludf.DUMMYFUNCTION("IMPORTRANGE(""https://docs.google.com/spreadsheets/d/""&amp;$A367&amp;""/edit#gid=156619080"",AY$3)"),"#REF!")</f>
        <v>#REF!</v>
      </c>
      <c r="AZ367" s="2" t="str">
        <f>IFERROR(__xludf.DUMMYFUNCTION("IMPORTRANGE(""https://docs.google.com/spreadsheets/d/""&amp;$A367&amp;""/edit#gid=156619080"",AZ$3)"),"#REF!")</f>
        <v>#REF!</v>
      </c>
      <c r="BA367" s="2" t="str">
        <f>IFERROR(__xludf.DUMMYFUNCTION("IMPORTRANGE(""https://docs.google.com/spreadsheets/d/""&amp;$A367&amp;""/edit#gid=156619080"",BA$3)"),"#REF!")</f>
        <v>#REF!</v>
      </c>
      <c r="BB367" s="2" t="str">
        <f>IFERROR(__xludf.DUMMYFUNCTION("IMPORTRANGE(""https://docs.google.com/spreadsheets/d/""&amp;$A367&amp;""/edit#gid=156619080"",BB$3)"),"#REF!")</f>
        <v>#REF!</v>
      </c>
      <c r="BC367" s="2" t="str">
        <f>IFERROR(__xludf.DUMMYFUNCTION("IMPORTRANGE(""https://docs.google.com/spreadsheets/d/""&amp;$A367&amp;""/edit#gid=156619080"",BC$3)"),"#REF!")</f>
        <v>#REF!</v>
      </c>
    </row>
    <row r="368" ht="51.0" customHeight="1">
      <c r="A368" s="7" t="str">
        <f t="shared" si="5"/>
        <v>1NKs9d2NX9-yudTVCgOskOSa51_djy9eBmgnixcJNatY</v>
      </c>
      <c r="B368" s="1" t="s">
        <v>395</v>
      </c>
      <c r="C368" s="2" t="str">
        <f>IFERROR(__xludf.DUMMYFUNCTION("IMPORTRANGE(""https://docs.google.com/spreadsheets/d/""&amp;$A368&amp;""/edit#gid=156619080"",C$3)"),"#REF!")</f>
        <v>#REF!</v>
      </c>
      <c r="D368" s="2" t="str">
        <f>IFERROR(__xludf.DUMMYFUNCTION("IMPORTRANGE(""https://docs.google.com/spreadsheets/d/""&amp;$A368&amp;""/edit#gid=156619080"",D$3)"),"#REF!")</f>
        <v>#REF!</v>
      </c>
      <c r="E368" s="2" t="str">
        <f>IFERROR(__xludf.DUMMYFUNCTION("IMPORTRANGE(""https://docs.google.com/spreadsheets/d/""&amp;$A368&amp;""/edit#gid=156619080"",E$3)"),"#REF!")</f>
        <v>#REF!</v>
      </c>
      <c r="F368" s="2" t="str">
        <f>IFERROR(__xludf.DUMMYFUNCTION("IMPORTRANGE(""https://docs.google.com/spreadsheets/d/""&amp;$A368&amp;""/edit#gid=156619080"",F$3)"),"#REF!")</f>
        <v>#REF!</v>
      </c>
      <c r="G368" s="2" t="str">
        <f>IFERROR(__xludf.DUMMYFUNCTION("IMPORTRANGE(""https://docs.google.com/spreadsheets/d/""&amp;$A368&amp;""/edit#gid=156619080"",G$3)"),"#REF!")</f>
        <v>#REF!</v>
      </c>
      <c r="H368" s="2" t="str">
        <f>IFERROR(__xludf.DUMMYFUNCTION("IMPORTRANGE(""https://docs.google.com/spreadsheets/d/""&amp;$A368&amp;""/edit#gid=156619080"",H$3)"),"#REF!")</f>
        <v>#REF!</v>
      </c>
      <c r="I368" s="2" t="str">
        <f>IFERROR(__xludf.DUMMYFUNCTION("IMPORTRANGE(""https://docs.google.com/spreadsheets/d/""&amp;$A368&amp;""/edit#gid=156619080"",I$3)"),"#REF!")</f>
        <v>#REF!</v>
      </c>
      <c r="J368" s="2" t="str">
        <f>IFERROR(__xludf.DUMMYFUNCTION("IMPORTRANGE(""https://docs.google.com/spreadsheets/d/""&amp;$A368&amp;""/edit#gid=156619080"",J$3)"),"#REF!")</f>
        <v>#REF!</v>
      </c>
      <c r="K368" s="2" t="str">
        <f>IFERROR(__xludf.DUMMYFUNCTION("IMPORTRANGE(""https://docs.google.com/spreadsheets/d/""&amp;$A368&amp;""/edit#gid=156619080"",K$3)"),"#REF!")</f>
        <v>#REF!</v>
      </c>
      <c r="L368" s="2" t="str">
        <f>IFERROR(__xludf.DUMMYFUNCTION("IMPORTRANGE(""https://docs.google.com/spreadsheets/d/""&amp;$A368&amp;""/edit#gid=156619080"",L$3)"),"#REF!")</f>
        <v>#REF!</v>
      </c>
      <c r="M368" s="2" t="str">
        <f>IFERROR(__xludf.DUMMYFUNCTION("IMPORTRANGE(""https://docs.google.com/spreadsheets/d/""&amp;$A368&amp;""/edit#gid=156619080"",M$3)"),"#REF!")</f>
        <v>#REF!</v>
      </c>
      <c r="N368" s="2" t="str">
        <f>IFERROR(__xludf.DUMMYFUNCTION("IMPORTRANGE(""https://docs.google.com/spreadsheets/d/""&amp;$A368&amp;""/edit#gid=156619080"",N$3)"),"#REF!")</f>
        <v>#REF!</v>
      </c>
      <c r="O368" s="2" t="str">
        <f>IFERROR(__xludf.DUMMYFUNCTION("IMPORTRANGE(""https://docs.google.com/spreadsheets/d/""&amp;$A368&amp;""/edit#gid=156619080"",O$3)"),"#REF!")</f>
        <v>#REF!</v>
      </c>
      <c r="P368" s="2" t="str">
        <f>IFERROR(__xludf.DUMMYFUNCTION("IMPORTRANGE(""https://docs.google.com/spreadsheets/d/""&amp;$A368&amp;""/edit#gid=156619080"",P$3)"),"#REF!")</f>
        <v>#REF!</v>
      </c>
      <c r="Q368" s="2" t="str">
        <f>IFERROR(__xludf.DUMMYFUNCTION("IMPORTRANGE(""https://docs.google.com/spreadsheets/d/""&amp;$A368&amp;""/edit#gid=156619080"",Q$3)"),"#REF!")</f>
        <v>#REF!</v>
      </c>
      <c r="R368" s="2" t="str">
        <f>IFERROR(__xludf.DUMMYFUNCTION("IMPORTRANGE(""https://docs.google.com/spreadsheets/d/""&amp;$A368&amp;""/edit#gid=156619080"",R$3)"),"#REF!")</f>
        <v>#REF!</v>
      </c>
      <c r="S368" s="2" t="str">
        <f>IFERROR(__xludf.DUMMYFUNCTION("IMPORTRANGE(""https://docs.google.com/spreadsheets/d/""&amp;$A368&amp;""/edit#gid=156619080"",S$3)"),"#REF!")</f>
        <v>#REF!</v>
      </c>
      <c r="T368" s="2" t="str">
        <f>IFERROR(__xludf.DUMMYFUNCTION("IMPORTRANGE(""https://docs.google.com/spreadsheets/d/""&amp;$A368&amp;""/edit#gid=156619080"",T$3)"),"#REF!")</f>
        <v>#REF!</v>
      </c>
      <c r="U368" s="2" t="str">
        <f>IFERROR(__xludf.DUMMYFUNCTION("IMPORTRANGE(""https://docs.google.com/spreadsheets/d/""&amp;$A368&amp;""/edit#gid=156619080"",U$3)"),"#REF!")</f>
        <v>#REF!</v>
      </c>
      <c r="V368" s="2" t="str">
        <f>IFERROR(__xludf.DUMMYFUNCTION("IMPORTRANGE(""https://docs.google.com/spreadsheets/d/""&amp;$A368&amp;""/edit#gid=156619080"",V$3)"),"#REF!")</f>
        <v>#REF!</v>
      </c>
      <c r="W368" s="2" t="str">
        <f>IFERROR(__xludf.DUMMYFUNCTION("IMPORTRANGE(""https://docs.google.com/spreadsheets/d/""&amp;$A368&amp;""/edit#gid=156619080"",W$3)"),"#REF!")</f>
        <v>#REF!</v>
      </c>
      <c r="X368" s="2" t="str">
        <f>IFERROR(__xludf.DUMMYFUNCTION("IMPORTRANGE(""https://docs.google.com/spreadsheets/d/""&amp;$A368&amp;""/edit#gid=156619080"",X$3)"),"#REF!")</f>
        <v>#REF!</v>
      </c>
      <c r="Y368" s="2" t="str">
        <f>IFERROR(__xludf.DUMMYFUNCTION("IMPORTRANGE(""https://docs.google.com/spreadsheets/d/""&amp;$A368&amp;""/edit#gid=156619080"",Y$3)"),"#REF!")</f>
        <v>#REF!</v>
      </c>
      <c r="Z368" s="2" t="str">
        <f>IFERROR(__xludf.DUMMYFUNCTION("IMPORTRANGE(""https://docs.google.com/spreadsheets/d/""&amp;$A368&amp;""/edit#gid=156619080"",Z$3)"),"#REF!")</f>
        <v>#REF!</v>
      </c>
      <c r="AA368" s="2" t="str">
        <f>IFERROR(__xludf.DUMMYFUNCTION("IMPORTRANGE(""https://docs.google.com/spreadsheets/d/""&amp;$A368&amp;""/edit#gid=156619080"",AA$3)"),"#REF!")</f>
        <v>#REF!</v>
      </c>
      <c r="AB368" s="2" t="str">
        <f>IFERROR(__xludf.DUMMYFUNCTION("IMPORTRANGE(""https://docs.google.com/spreadsheets/d/""&amp;$A368&amp;""/edit#gid=156619080"",AB$3)"),"#REF!")</f>
        <v>#REF!</v>
      </c>
      <c r="AC368" s="2" t="str">
        <f>IFERROR(__xludf.DUMMYFUNCTION("IMPORTRANGE(""https://docs.google.com/spreadsheets/d/""&amp;$A368&amp;""/edit#gid=156619080"",AC$3)"),"#REF!")</f>
        <v>#REF!</v>
      </c>
      <c r="AD368" s="2" t="str">
        <f>IFERROR(__xludf.DUMMYFUNCTION("IMPORTRANGE(""https://docs.google.com/spreadsheets/d/""&amp;$A368&amp;""/edit#gid=156619080"",AD$3)"),"#REF!")</f>
        <v>#REF!</v>
      </c>
      <c r="AE368" s="2" t="str">
        <f>IFERROR(__xludf.DUMMYFUNCTION("IMPORTRANGE(""https://docs.google.com/spreadsheets/d/""&amp;$A368&amp;""/edit#gid=156619080"",AE$3)"),"#REF!")</f>
        <v>#REF!</v>
      </c>
      <c r="AF368" s="2" t="str">
        <f>IFERROR(__xludf.DUMMYFUNCTION("IMPORTRANGE(""https://docs.google.com/spreadsheets/d/""&amp;$A368&amp;""/edit#gid=156619080"",AF$3)"),"#REF!")</f>
        <v>#REF!</v>
      </c>
      <c r="AG368" s="2" t="str">
        <f>IFERROR(__xludf.DUMMYFUNCTION("IMPORTRANGE(""https://docs.google.com/spreadsheets/d/""&amp;$A368&amp;""/edit#gid=156619080"",AG$3)"),"#REF!")</f>
        <v>#REF!</v>
      </c>
      <c r="AH368" s="2" t="str">
        <f>IFERROR(__xludf.DUMMYFUNCTION("IMPORTRANGE(""https://docs.google.com/spreadsheets/d/""&amp;$A368&amp;""/edit#gid=156619080"",AH$3)"),"#REF!")</f>
        <v>#REF!</v>
      </c>
      <c r="AI368" s="2" t="str">
        <f>IFERROR(__xludf.DUMMYFUNCTION("IMPORTRANGE(""https://docs.google.com/spreadsheets/d/""&amp;$A368&amp;""/edit#gid=156619080"",AI$3)"),"#REF!")</f>
        <v>#REF!</v>
      </c>
      <c r="AJ368" s="2" t="str">
        <f>IFERROR(__xludf.DUMMYFUNCTION("IMPORTRANGE(""https://docs.google.com/spreadsheets/d/""&amp;$A368&amp;""/edit#gid=156619080"",AJ$3)"),"#REF!")</f>
        <v>#REF!</v>
      </c>
      <c r="AK368" s="2" t="str">
        <f>IFERROR(__xludf.DUMMYFUNCTION("IMPORTRANGE(""https://docs.google.com/spreadsheets/d/""&amp;$A368&amp;""/edit#gid=156619080"",AK$3)"),"#REF!")</f>
        <v>#REF!</v>
      </c>
      <c r="AL368" s="2" t="str">
        <f>IFERROR(__xludf.DUMMYFUNCTION("IMPORTRANGE(""https://docs.google.com/spreadsheets/d/""&amp;$A368&amp;""/edit#gid=156619080"",AL$3)"),"#REF!")</f>
        <v>#REF!</v>
      </c>
      <c r="AM368" s="2" t="str">
        <f>IFERROR(__xludf.DUMMYFUNCTION("IMPORTRANGE(""https://docs.google.com/spreadsheets/d/""&amp;$A368&amp;""/edit#gid=156619080"",AM$3)"),"#REF!")</f>
        <v>#REF!</v>
      </c>
      <c r="AN368" s="2" t="str">
        <f>IFERROR(__xludf.DUMMYFUNCTION("IMPORTRANGE(""https://docs.google.com/spreadsheets/d/""&amp;$A368&amp;""/edit#gid=156619080"",AN$3)"),"#REF!")</f>
        <v>#REF!</v>
      </c>
      <c r="AO368" s="2" t="str">
        <f>IFERROR(__xludf.DUMMYFUNCTION("IMPORTRANGE(""https://docs.google.com/spreadsheets/d/""&amp;$A368&amp;""/edit#gid=156619080"",AO$3)"),"#REF!")</f>
        <v>#REF!</v>
      </c>
      <c r="AP368" s="2" t="str">
        <f>IFERROR(__xludf.DUMMYFUNCTION("IMPORTRANGE(""https://docs.google.com/spreadsheets/d/""&amp;$A368&amp;""/edit#gid=156619080"",AP$3)"),"#REF!")</f>
        <v>#REF!</v>
      </c>
      <c r="AQ368" s="2" t="str">
        <f>IFERROR(__xludf.DUMMYFUNCTION("IMPORTRANGE(""https://docs.google.com/spreadsheets/d/""&amp;$A368&amp;""/edit#gid=156619080"",AQ$3)"),"#REF!")</f>
        <v>#REF!</v>
      </c>
      <c r="AR368" s="2" t="str">
        <f>IFERROR(__xludf.DUMMYFUNCTION("IMPORTRANGE(""https://docs.google.com/spreadsheets/d/""&amp;$A368&amp;""/edit#gid=156619080"",AR$3)"),"#REF!")</f>
        <v>#REF!</v>
      </c>
      <c r="AS368" s="19" t="str">
        <f>IFERROR(__xludf.DUMMYFUNCTION("IMPORTRANGE(""https://docs.google.com/spreadsheets/d/""&amp;$A368&amp;""/edit#gid=156619080"",AS$3)"),"#REF!")</f>
        <v>#REF!</v>
      </c>
      <c r="AT368" s="2" t="str">
        <f>IFERROR(__xludf.DUMMYFUNCTION("IMPORTRANGE(""https://docs.google.com/spreadsheets/d/""&amp;$A368&amp;""/edit#gid=156619080"",AT$3)"),"#REF!")</f>
        <v>#REF!</v>
      </c>
      <c r="AU368" s="3" t="str">
        <f>IFERROR(__xludf.DUMMYFUNCTION("IMPORTRANGE(""https://docs.google.com/spreadsheets/d/""&amp;$A368&amp;""/edit#gid=156619080"",AU$3)"),"#REF!")</f>
        <v>#REF!</v>
      </c>
      <c r="AV368" s="2" t="str">
        <f>IFERROR(__xludf.DUMMYFUNCTION("IMPORTRANGE(""https://docs.google.com/spreadsheets/d/""&amp;$A368&amp;""/edit#gid=156619080"",AV$3)"),"#REF!")</f>
        <v>#REF!</v>
      </c>
      <c r="AW368" s="19" t="str">
        <f>IFERROR(__xludf.DUMMYFUNCTION("IMPORTRANGE(""https://docs.google.com/spreadsheets/d/""&amp;$A368&amp;""/edit#gid=156619080"",AW$3)"),"#REF!")</f>
        <v>#REF!</v>
      </c>
      <c r="AX368" s="2" t="str">
        <f>IFERROR(__xludf.DUMMYFUNCTION("IMPORTRANGE(""https://docs.google.com/spreadsheets/d/""&amp;$A368&amp;""/edit#gid=156619080"",AX$3)"),"#REF!")</f>
        <v>#REF!</v>
      </c>
      <c r="AY368" s="2" t="str">
        <f>IFERROR(__xludf.DUMMYFUNCTION("IMPORTRANGE(""https://docs.google.com/spreadsheets/d/""&amp;$A368&amp;""/edit#gid=156619080"",AY$3)"),"#REF!")</f>
        <v>#REF!</v>
      </c>
      <c r="AZ368" s="2" t="str">
        <f>IFERROR(__xludf.DUMMYFUNCTION("IMPORTRANGE(""https://docs.google.com/spreadsheets/d/""&amp;$A368&amp;""/edit#gid=156619080"",AZ$3)"),"#REF!")</f>
        <v>#REF!</v>
      </c>
      <c r="BA368" s="2" t="str">
        <f>IFERROR(__xludf.DUMMYFUNCTION("IMPORTRANGE(""https://docs.google.com/spreadsheets/d/""&amp;$A368&amp;""/edit#gid=156619080"",BA$3)"),"#REF!")</f>
        <v>#REF!</v>
      </c>
      <c r="BB368" s="2" t="str">
        <f>IFERROR(__xludf.DUMMYFUNCTION("IMPORTRANGE(""https://docs.google.com/spreadsheets/d/""&amp;$A368&amp;""/edit#gid=156619080"",BB$3)"),"#REF!")</f>
        <v>#REF!</v>
      </c>
      <c r="BC368" s="2" t="str">
        <f>IFERROR(__xludf.DUMMYFUNCTION("IMPORTRANGE(""https://docs.google.com/spreadsheets/d/""&amp;$A368&amp;""/edit#gid=156619080"",BC$3)"),"#REF!")</f>
        <v>#REF!</v>
      </c>
    </row>
    <row r="369" ht="51.0" customHeight="1">
      <c r="A369" s="7" t="str">
        <f t="shared" si="5"/>
        <v>1CzuR2v_yRKwlvq3cOHJQes799L6aByIvEz1NX9JvQVc</v>
      </c>
      <c r="B369" s="1" t="s">
        <v>396</v>
      </c>
      <c r="C369" s="2" t="str">
        <f>IFERROR(__xludf.DUMMYFUNCTION("IMPORTRANGE(""https://docs.google.com/spreadsheets/d/""&amp;$A369&amp;""/edit#gid=156619080"",C$3)"),"#REF!")</f>
        <v>#REF!</v>
      </c>
      <c r="D369" s="2" t="str">
        <f>IFERROR(__xludf.DUMMYFUNCTION("IMPORTRANGE(""https://docs.google.com/spreadsheets/d/""&amp;$A369&amp;""/edit#gid=156619080"",D$3)"),"#REF!")</f>
        <v>#REF!</v>
      </c>
      <c r="E369" s="2" t="str">
        <f>IFERROR(__xludf.DUMMYFUNCTION("IMPORTRANGE(""https://docs.google.com/spreadsheets/d/""&amp;$A369&amp;""/edit#gid=156619080"",E$3)"),"#REF!")</f>
        <v>#REF!</v>
      </c>
      <c r="F369" s="2" t="str">
        <f>IFERROR(__xludf.DUMMYFUNCTION("IMPORTRANGE(""https://docs.google.com/spreadsheets/d/""&amp;$A369&amp;""/edit#gid=156619080"",F$3)"),"#REF!")</f>
        <v>#REF!</v>
      </c>
      <c r="G369" s="2" t="str">
        <f>IFERROR(__xludf.DUMMYFUNCTION("IMPORTRANGE(""https://docs.google.com/spreadsheets/d/""&amp;$A369&amp;""/edit#gid=156619080"",G$3)"),"#REF!")</f>
        <v>#REF!</v>
      </c>
      <c r="H369" s="2" t="str">
        <f>IFERROR(__xludf.DUMMYFUNCTION("IMPORTRANGE(""https://docs.google.com/spreadsheets/d/""&amp;$A369&amp;""/edit#gid=156619080"",H$3)"),"#REF!")</f>
        <v>#REF!</v>
      </c>
      <c r="I369" s="2" t="str">
        <f>IFERROR(__xludf.DUMMYFUNCTION("IMPORTRANGE(""https://docs.google.com/spreadsheets/d/""&amp;$A369&amp;""/edit#gid=156619080"",I$3)"),"#REF!")</f>
        <v>#REF!</v>
      </c>
      <c r="J369" s="2" t="str">
        <f>IFERROR(__xludf.DUMMYFUNCTION("IMPORTRANGE(""https://docs.google.com/spreadsheets/d/""&amp;$A369&amp;""/edit#gid=156619080"",J$3)"),"#REF!")</f>
        <v>#REF!</v>
      </c>
      <c r="K369" s="2" t="str">
        <f>IFERROR(__xludf.DUMMYFUNCTION("IMPORTRANGE(""https://docs.google.com/spreadsheets/d/""&amp;$A369&amp;""/edit#gid=156619080"",K$3)"),"#REF!")</f>
        <v>#REF!</v>
      </c>
      <c r="L369" s="2" t="str">
        <f>IFERROR(__xludf.DUMMYFUNCTION("IMPORTRANGE(""https://docs.google.com/spreadsheets/d/""&amp;$A369&amp;""/edit#gid=156619080"",L$3)"),"#REF!")</f>
        <v>#REF!</v>
      </c>
      <c r="M369" s="2" t="str">
        <f>IFERROR(__xludf.DUMMYFUNCTION("IMPORTRANGE(""https://docs.google.com/spreadsheets/d/""&amp;$A369&amp;""/edit#gid=156619080"",M$3)"),"#REF!")</f>
        <v>#REF!</v>
      </c>
      <c r="N369" s="2" t="str">
        <f>IFERROR(__xludf.DUMMYFUNCTION("IMPORTRANGE(""https://docs.google.com/spreadsheets/d/""&amp;$A369&amp;""/edit#gid=156619080"",N$3)"),"#REF!")</f>
        <v>#REF!</v>
      </c>
      <c r="O369" s="2" t="str">
        <f>IFERROR(__xludf.DUMMYFUNCTION("IMPORTRANGE(""https://docs.google.com/spreadsheets/d/""&amp;$A369&amp;""/edit#gid=156619080"",O$3)"),"#REF!")</f>
        <v>#REF!</v>
      </c>
      <c r="P369" s="2" t="str">
        <f>IFERROR(__xludf.DUMMYFUNCTION("IMPORTRANGE(""https://docs.google.com/spreadsheets/d/""&amp;$A369&amp;""/edit#gid=156619080"",P$3)"),"#REF!")</f>
        <v>#REF!</v>
      </c>
      <c r="Q369" s="2" t="str">
        <f>IFERROR(__xludf.DUMMYFUNCTION("IMPORTRANGE(""https://docs.google.com/spreadsheets/d/""&amp;$A369&amp;""/edit#gid=156619080"",Q$3)"),"#REF!")</f>
        <v>#REF!</v>
      </c>
      <c r="R369" s="2" t="str">
        <f>IFERROR(__xludf.DUMMYFUNCTION("IMPORTRANGE(""https://docs.google.com/spreadsheets/d/""&amp;$A369&amp;""/edit#gid=156619080"",R$3)"),"#REF!")</f>
        <v>#REF!</v>
      </c>
      <c r="S369" s="2" t="str">
        <f>IFERROR(__xludf.DUMMYFUNCTION("IMPORTRANGE(""https://docs.google.com/spreadsheets/d/""&amp;$A369&amp;""/edit#gid=156619080"",S$3)"),"#REF!")</f>
        <v>#REF!</v>
      </c>
      <c r="T369" s="2" t="str">
        <f>IFERROR(__xludf.DUMMYFUNCTION("IMPORTRANGE(""https://docs.google.com/spreadsheets/d/""&amp;$A369&amp;""/edit#gid=156619080"",T$3)"),"#REF!")</f>
        <v>#REF!</v>
      </c>
      <c r="U369" s="2" t="str">
        <f>IFERROR(__xludf.DUMMYFUNCTION("IMPORTRANGE(""https://docs.google.com/spreadsheets/d/""&amp;$A369&amp;""/edit#gid=156619080"",U$3)"),"#REF!")</f>
        <v>#REF!</v>
      </c>
      <c r="V369" s="2" t="str">
        <f>IFERROR(__xludf.DUMMYFUNCTION("IMPORTRANGE(""https://docs.google.com/spreadsheets/d/""&amp;$A369&amp;""/edit#gid=156619080"",V$3)"),"#REF!")</f>
        <v>#REF!</v>
      </c>
      <c r="W369" s="2" t="str">
        <f>IFERROR(__xludf.DUMMYFUNCTION("IMPORTRANGE(""https://docs.google.com/spreadsheets/d/""&amp;$A369&amp;""/edit#gid=156619080"",W$3)"),"#REF!")</f>
        <v>#REF!</v>
      </c>
      <c r="X369" s="2" t="str">
        <f>IFERROR(__xludf.DUMMYFUNCTION("IMPORTRANGE(""https://docs.google.com/spreadsheets/d/""&amp;$A369&amp;""/edit#gid=156619080"",X$3)"),"#REF!")</f>
        <v>#REF!</v>
      </c>
      <c r="Y369" s="2" t="str">
        <f>IFERROR(__xludf.DUMMYFUNCTION("IMPORTRANGE(""https://docs.google.com/spreadsheets/d/""&amp;$A369&amp;""/edit#gid=156619080"",Y$3)"),"#REF!")</f>
        <v>#REF!</v>
      </c>
      <c r="Z369" s="2" t="str">
        <f>IFERROR(__xludf.DUMMYFUNCTION("IMPORTRANGE(""https://docs.google.com/spreadsheets/d/""&amp;$A369&amp;""/edit#gid=156619080"",Z$3)"),"#REF!")</f>
        <v>#REF!</v>
      </c>
      <c r="AA369" s="2" t="str">
        <f>IFERROR(__xludf.DUMMYFUNCTION("IMPORTRANGE(""https://docs.google.com/spreadsheets/d/""&amp;$A369&amp;""/edit#gid=156619080"",AA$3)"),"#REF!")</f>
        <v>#REF!</v>
      </c>
      <c r="AB369" s="2" t="str">
        <f>IFERROR(__xludf.DUMMYFUNCTION("IMPORTRANGE(""https://docs.google.com/spreadsheets/d/""&amp;$A369&amp;""/edit#gid=156619080"",AB$3)"),"#REF!")</f>
        <v>#REF!</v>
      </c>
      <c r="AC369" s="2" t="str">
        <f>IFERROR(__xludf.DUMMYFUNCTION("IMPORTRANGE(""https://docs.google.com/spreadsheets/d/""&amp;$A369&amp;""/edit#gid=156619080"",AC$3)"),"#REF!")</f>
        <v>#REF!</v>
      </c>
      <c r="AD369" s="2" t="str">
        <f>IFERROR(__xludf.DUMMYFUNCTION("IMPORTRANGE(""https://docs.google.com/spreadsheets/d/""&amp;$A369&amp;""/edit#gid=156619080"",AD$3)"),"#REF!")</f>
        <v>#REF!</v>
      </c>
      <c r="AE369" s="2" t="str">
        <f>IFERROR(__xludf.DUMMYFUNCTION("IMPORTRANGE(""https://docs.google.com/spreadsheets/d/""&amp;$A369&amp;""/edit#gid=156619080"",AE$3)"),"#REF!")</f>
        <v>#REF!</v>
      </c>
      <c r="AF369" s="2" t="str">
        <f>IFERROR(__xludf.DUMMYFUNCTION("IMPORTRANGE(""https://docs.google.com/spreadsheets/d/""&amp;$A369&amp;""/edit#gid=156619080"",AF$3)"),"#REF!")</f>
        <v>#REF!</v>
      </c>
      <c r="AG369" s="2" t="str">
        <f>IFERROR(__xludf.DUMMYFUNCTION("IMPORTRANGE(""https://docs.google.com/spreadsheets/d/""&amp;$A369&amp;""/edit#gid=156619080"",AG$3)"),"#REF!")</f>
        <v>#REF!</v>
      </c>
      <c r="AH369" s="2" t="str">
        <f>IFERROR(__xludf.DUMMYFUNCTION("IMPORTRANGE(""https://docs.google.com/spreadsheets/d/""&amp;$A369&amp;""/edit#gid=156619080"",AH$3)"),"#REF!")</f>
        <v>#REF!</v>
      </c>
      <c r="AI369" s="2" t="str">
        <f>IFERROR(__xludf.DUMMYFUNCTION("IMPORTRANGE(""https://docs.google.com/spreadsheets/d/""&amp;$A369&amp;""/edit#gid=156619080"",AI$3)"),"#REF!")</f>
        <v>#REF!</v>
      </c>
      <c r="AJ369" s="2" t="str">
        <f>IFERROR(__xludf.DUMMYFUNCTION("IMPORTRANGE(""https://docs.google.com/spreadsheets/d/""&amp;$A369&amp;""/edit#gid=156619080"",AJ$3)"),"#REF!")</f>
        <v>#REF!</v>
      </c>
      <c r="AK369" s="2" t="str">
        <f>IFERROR(__xludf.DUMMYFUNCTION("IMPORTRANGE(""https://docs.google.com/spreadsheets/d/""&amp;$A369&amp;""/edit#gid=156619080"",AK$3)"),"#REF!")</f>
        <v>#REF!</v>
      </c>
      <c r="AL369" s="2" t="str">
        <f>IFERROR(__xludf.DUMMYFUNCTION("IMPORTRANGE(""https://docs.google.com/spreadsheets/d/""&amp;$A369&amp;""/edit#gid=156619080"",AL$3)"),"#REF!")</f>
        <v>#REF!</v>
      </c>
      <c r="AM369" s="2" t="str">
        <f>IFERROR(__xludf.DUMMYFUNCTION("IMPORTRANGE(""https://docs.google.com/spreadsheets/d/""&amp;$A369&amp;""/edit#gid=156619080"",AM$3)"),"#REF!")</f>
        <v>#REF!</v>
      </c>
      <c r="AN369" s="2" t="str">
        <f>IFERROR(__xludf.DUMMYFUNCTION("IMPORTRANGE(""https://docs.google.com/spreadsheets/d/""&amp;$A369&amp;""/edit#gid=156619080"",AN$3)"),"#REF!")</f>
        <v>#REF!</v>
      </c>
      <c r="AO369" s="2" t="str">
        <f>IFERROR(__xludf.DUMMYFUNCTION("IMPORTRANGE(""https://docs.google.com/spreadsheets/d/""&amp;$A369&amp;""/edit#gid=156619080"",AO$3)"),"#REF!")</f>
        <v>#REF!</v>
      </c>
      <c r="AP369" s="2" t="str">
        <f>IFERROR(__xludf.DUMMYFUNCTION("IMPORTRANGE(""https://docs.google.com/spreadsheets/d/""&amp;$A369&amp;""/edit#gid=156619080"",AP$3)"),"#REF!")</f>
        <v>#REF!</v>
      </c>
      <c r="AQ369" s="2" t="str">
        <f>IFERROR(__xludf.DUMMYFUNCTION("IMPORTRANGE(""https://docs.google.com/spreadsheets/d/""&amp;$A369&amp;""/edit#gid=156619080"",AQ$3)"),"#REF!")</f>
        <v>#REF!</v>
      </c>
      <c r="AR369" s="2" t="str">
        <f>IFERROR(__xludf.DUMMYFUNCTION("IMPORTRANGE(""https://docs.google.com/spreadsheets/d/""&amp;$A369&amp;""/edit#gid=156619080"",AR$3)"),"#REF!")</f>
        <v>#REF!</v>
      </c>
      <c r="AS369" s="19" t="str">
        <f>IFERROR(__xludf.DUMMYFUNCTION("IMPORTRANGE(""https://docs.google.com/spreadsheets/d/""&amp;$A369&amp;""/edit#gid=156619080"",AS$3)"),"#REF!")</f>
        <v>#REF!</v>
      </c>
      <c r="AT369" s="2" t="str">
        <f>IFERROR(__xludf.DUMMYFUNCTION("IMPORTRANGE(""https://docs.google.com/spreadsheets/d/""&amp;$A369&amp;""/edit#gid=156619080"",AT$3)"),"#REF!")</f>
        <v>#REF!</v>
      </c>
      <c r="AU369" s="3" t="str">
        <f>IFERROR(__xludf.DUMMYFUNCTION("IMPORTRANGE(""https://docs.google.com/spreadsheets/d/""&amp;$A369&amp;""/edit#gid=156619080"",AU$3)"),"#REF!")</f>
        <v>#REF!</v>
      </c>
      <c r="AV369" s="2" t="str">
        <f>IFERROR(__xludf.DUMMYFUNCTION("IMPORTRANGE(""https://docs.google.com/spreadsheets/d/""&amp;$A369&amp;""/edit#gid=156619080"",AV$3)"),"#REF!")</f>
        <v>#REF!</v>
      </c>
      <c r="AW369" s="19" t="str">
        <f>IFERROR(__xludf.DUMMYFUNCTION("IMPORTRANGE(""https://docs.google.com/spreadsheets/d/""&amp;$A369&amp;""/edit#gid=156619080"",AW$3)"),"#REF!")</f>
        <v>#REF!</v>
      </c>
      <c r="AX369" s="2" t="str">
        <f>IFERROR(__xludf.DUMMYFUNCTION("IMPORTRANGE(""https://docs.google.com/spreadsheets/d/""&amp;$A369&amp;""/edit#gid=156619080"",AX$3)"),"#REF!")</f>
        <v>#REF!</v>
      </c>
      <c r="AY369" s="2" t="str">
        <f>IFERROR(__xludf.DUMMYFUNCTION("IMPORTRANGE(""https://docs.google.com/spreadsheets/d/""&amp;$A369&amp;""/edit#gid=156619080"",AY$3)"),"#REF!")</f>
        <v>#REF!</v>
      </c>
      <c r="AZ369" s="2" t="str">
        <f>IFERROR(__xludf.DUMMYFUNCTION("IMPORTRANGE(""https://docs.google.com/spreadsheets/d/""&amp;$A369&amp;""/edit#gid=156619080"",AZ$3)"),"#REF!")</f>
        <v>#REF!</v>
      </c>
      <c r="BA369" s="2" t="str">
        <f>IFERROR(__xludf.DUMMYFUNCTION("IMPORTRANGE(""https://docs.google.com/spreadsheets/d/""&amp;$A369&amp;""/edit#gid=156619080"",BA$3)"),"#REF!")</f>
        <v>#REF!</v>
      </c>
      <c r="BB369" s="2" t="str">
        <f>IFERROR(__xludf.DUMMYFUNCTION("IMPORTRANGE(""https://docs.google.com/spreadsheets/d/""&amp;$A369&amp;""/edit#gid=156619080"",BB$3)"),"#REF!")</f>
        <v>#REF!</v>
      </c>
      <c r="BC369" s="2" t="str">
        <f>IFERROR(__xludf.DUMMYFUNCTION("IMPORTRANGE(""https://docs.google.com/spreadsheets/d/""&amp;$A369&amp;""/edit#gid=156619080"",BC$3)"),"#REF!")</f>
        <v>#REF!</v>
      </c>
    </row>
    <row r="370" ht="51.0" customHeight="1">
      <c r="A370" s="7" t="str">
        <f t="shared" si="5"/>
        <v>1dSzZNa7qHMzBW4OcN-eoxE5Sw6IKmSXTzb13y8QAsIk</v>
      </c>
      <c r="B370" s="1" t="s">
        <v>397</v>
      </c>
      <c r="C370" s="2" t="str">
        <f>IFERROR(__xludf.DUMMYFUNCTION("IMPORTRANGE(""https://docs.google.com/spreadsheets/d/""&amp;$A370&amp;""/edit#gid=156619080"",C$3)"),"#REF!")</f>
        <v>#REF!</v>
      </c>
      <c r="D370" s="2" t="str">
        <f>IFERROR(__xludf.DUMMYFUNCTION("IMPORTRANGE(""https://docs.google.com/spreadsheets/d/""&amp;$A370&amp;""/edit#gid=156619080"",D$3)"),"#REF!")</f>
        <v>#REF!</v>
      </c>
      <c r="E370" s="2" t="str">
        <f>IFERROR(__xludf.DUMMYFUNCTION("IMPORTRANGE(""https://docs.google.com/spreadsheets/d/""&amp;$A370&amp;""/edit#gid=156619080"",E$3)"),"#REF!")</f>
        <v>#REF!</v>
      </c>
      <c r="F370" s="2" t="str">
        <f>IFERROR(__xludf.DUMMYFUNCTION("IMPORTRANGE(""https://docs.google.com/spreadsheets/d/""&amp;$A370&amp;""/edit#gid=156619080"",F$3)"),"#REF!")</f>
        <v>#REF!</v>
      </c>
      <c r="G370" s="2" t="str">
        <f>IFERROR(__xludf.DUMMYFUNCTION("IMPORTRANGE(""https://docs.google.com/spreadsheets/d/""&amp;$A370&amp;""/edit#gid=156619080"",G$3)"),"#REF!")</f>
        <v>#REF!</v>
      </c>
      <c r="H370" s="2" t="str">
        <f>IFERROR(__xludf.DUMMYFUNCTION("IMPORTRANGE(""https://docs.google.com/spreadsheets/d/""&amp;$A370&amp;""/edit#gid=156619080"",H$3)"),"#REF!")</f>
        <v>#REF!</v>
      </c>
      <c r="I370" s="2" t="str">
        <f>IFERROR(__xludf.DUMMYFUNCTION("IMPORTRANGE(""https://docs.google.com/spreadsheets/d/""&amp;$A370&amp;""/edit#gid=156619080"",I$3)"),"#REF!")</f>
        <v>#REF!</v>
      </c>
      <c r="J370" s="2" t="str">
        <f>IFERROR(__xludf.DUMMYFUNCTION("IMPORTRANGE(""https://docs.google.com/spreadsheets/d/""&amp;$A370&amp;""/edit#gid=156619080"",J$3)"),"#REF!")</f>
        <v>#REF!</v>
      </c>
      <c r="K370" s="2" t="str">
        <f>IFERROR(__xludf.DUMMYFUNCTION("IMPORTRANGE(""https://docs.google.com/spreadsheets/d/""&amp;$A370&amp;""/edit#gid=156619080"",K$3)"),"#REF!")</f>
        <v>#REF!</v>
      </c>
      <c r="L370" s="2" t="str">
        <f>IFERROR(__xludf.DUMMYFUNCTION("IMPORTRANGE(""https://docs.google.com/spreadsheets/d/""&amp;$A370&amp;""/edit#gid=156619080"",L$3)"),"#REF!")</f>
        <v>#REF!</v>
      </c>
      <c r="M370" s="2" t="str">
        <f>IFERROR(__xludf.DUMMYFUNCTION("IMPORTRANGE(""https://docs.google.com/spreadsheets/d/""&amp;$A370&amp;""/edit#gid=156619080"",M$3)"),"#REF!")</f>
        <v>#REF!</v>
      </c>
      <c r="N370" s="2" t="str">
        <f>IFERROR(__xludf.DUMMYFUNCTION("IMPORTRANGE(""https://docs.google.com/spreadsheets/d/""&amp;$A370&amp;""/edit#gid=156619080"",N$3)"),"#REF!")</f>
        <v>#REF!</v>
      </c>
      <c r="O370" s="2" t="str">
        <f>IFERROR(__xludf.DUMMYFUNCTION("IMPORTRANGE(""https://docs.google.com/spreadsheets/d/""&amp;$A370&amp;""/edit#gid=156619080"",O$3)"),"#REF!")</f>
        <v>#REF!</v>
      </c>
      <c r="P370" s="2" t="str">
        <f>IFERROR(__xludf.DUMMYFUNCTION("IMPORTRANGE(""https://docs.google.com/spreadsheets/d/""&amp;$A370&amp;""/edit#gid=156619080"",P$3)"),"#REF!")</f>
        <v>#REF!</v>
      </c>
      <c r="Q370" s="2" t="str">
        <f>IFERROR(__xludf.DUMMYFUNCTION("IMPORTRANGE(""https://docs.google.com/spreadsheets/d/""&amp;$A370&amp;""/edit#gid=156619080"",Q$3)"),"#REF!")</f>
        <v>#REF!</v>
      </c>
      <c r="R370" s="2" t="str">
        <f>IFERROR(__xludf.DUMMYFUNCTION("IMPORTRANGE(""https://docs.google.com/spreadsheets/d/""&amp;$A370&amp;""/edit#gid=156619080"",R$3)"),"#REF!")</f>
        <v>#REF!</v>
      </c>
      <c r="S370" s="2" t="str">
        <f>IFERROR(__xludf.DUMMYFUNCTION("IMPORTRANGE(""https://docs.google.com/spreadsheets/d/""&amp;$A370&amp;""/edit#gid=156619080"",S$3)"),"#REF!")</f>
        <v>#REF!</v>
      </c>
      <c r="T370" s="2" t="str">
        <f>IFERROR(__xludf.DUMMYFUNCTION("IMPORTRANGE(""https://docs.google.com/spreadsheets/d/""&amp;$A370&amp;""/edit#gid=156619080"",T$3)"),"#REF!")</f>
        <v>#REF!</v>
      </c>
      <c r="U370" s="2" t="str">
        <f>IFERROR(__xludf.DUMMYFUNCTION("IMPORTRANGE(""https://docs.google.com/spreadsheets/d/""&amp;$A370&amp;""/edit#gid=156619080"",U$3)"),"#REF!")</f>
        <v>#REF!</v>
      </c>
      <c r="V370" s="2" t="str">
        <f>IFERROR(__xludf.DUMMYFUNCTION("IMPORTRANGE(""https://docs.google.com/spreadsheets/d/""&amp;$A370&amp;""/edit#gid=156619080"",V$3)"),"#REF!")</f>
        <v>#REF!</v>
      </c>
      <c r="W370" s="2" t="str">
        <f>IFERROR(__xludf.DUMMYFUNCTION("IMPORTRANGE(""https://docs.google.com/spreadsheets/d/""&amp;$A370&amp;""/edit#gid=156619080"",W$3)"),"#REF!")</f>
        <v>#REF!</v>
      </c>
      <c r="X370" s="2" t="str">
        <f>IFERROR(__xludf.DUMMYFUNCTION("IMPORTRANGE(""https://docs.google.com/spreadsheets/d/""&amp;$A370&amp;""/edit#gid=156619080"",X$3)"),"#REF!")</f>
        <v>#REF!</v>
      </c>
      <c r="Y370" s="2" t="str">
        <f>IFERROR(__xludf.DUMMYFUNCTION("IMPORTRANGE(""https://docs.google.com/spreadsheets/d/""&amp;$A370&amp;""/edit#gid=156619080"",Y$3)"),"#REF!")</f>
        <v>#REF!</v>
      </c>
      <c r="Z370" s="2" t="str">
        <f>IFERROR(__xludf.DUMMYFUNCTION("IMPORTRANGE(""https://docs.google.com/spreadsheets/d/""&amp;$A370&amp;""/edit#gid=156619080"",Z$3)"),"#REF!")</f>
        <v>#REF!</v>
      </c>
      <c r="AA370" s="2" t="str">
        <f>IFERROR(__xludf.DUMMYFUNCTION("IMPORTRANGE(""https://docs.google.com/spreadsheets/d/""&amp;$A370&amp;""/edit#gid=156619080"",AA$3)"),"#REF!")</f>
        <v>#REF!</v>
      </c>
      <c r="AB370" s="2" t="str">
        <f>IFERROR(__xludf.DUMMYFUNCTION("IMPORTRANGE(""https://docs.google.com/spreadsheets/d/""&amp;$A370&amp;""/edit#gid=156619080"",AB$3)"),"#REF!")</f>
        <v>#REF!</v>
      </c>
      <c r="AC370" s="2" t="str">
        <f>IFERROR(__xludf.DUMMYFUNCTION("IMPORTRANGE(""https://docs.google.com/spreadsheets/d/""&amp;$A370&amp;""/edit#gid=156619080"",AC$3)"),"#REF!")</f>
        <v>#REF!</v>
      </c>
      <c r="AD370" s="2" t="str">
        <f>IFERROR(__xludf.DUMMYFUNCTION("IMPORTRANGE(""https://docs.google.com/spreadsheets/d/""&amp;$A370&amp;""/edit#gid=156619080"",AD$3)"),"#REF!")</f>
        <v>#REF!</v>
      </c>
      <c r="AE370" s="2" t="str">
        <f>IFERROR(__xludf.DUMMYFUNCTION("IMPORTRANGE(""https://docs.google.com/spreadsheets/d/""&amp;$A370&amp;""/edit#gid=156619080"",AE$3)"),"#REF!")</f>
        <v>#REF!</v>
      </c>
      <c r="AF370" s="2" t="str">
        <f>IFERROR(__xludf.DUMMYFUNCTION("IMPORTRANGE(""https://docs.google.com/spreadsheets/d/""&amp;$A370&amp;""/edit#gid=156619080"",AF$3)"),"#REF!")</f>
        <v>#REF!</v>
      </c>
      <c r="AG370" s="2" t="str">
        <f>IFERROR(__xludf.DUMMYFUNCTION("IMPORTRANGE(""https://docs.google.com/spreadsheets/d/""&amp;$A370&amp;""/edit#gid=156619080"",AG$3)"),"#REF!")</f>
        <v>#REF!</v>
      </c>
      <c r="AH370" s="2" t="str">
        <f>IFERROR(__xludf.DUMMYFUNCTION("IMPORTRANGE(""https://docs.google.com/spreadsheets/d/""&amp;$A370&amp;""/edit#gid=156619080"",AH$3)"),"#REF!")</f>
        <v>#REF!</v>
      </c>
      <c r="AI370" s="2" t="str">
        <f>IFERROR(__xludf.DUMMYFUNCTION("IMPORTRANGE(""https://docs.google.com/spreadsheets/d/""&amp;$A370&amp;""/edit#gid=156619080"",AI$3)"),"#REF!")</f>
        <v>#REF!</v>
      </c>
      <c r="AJ370" s="2" t="str">
        <f>IFERROR(__xludf.DUMMYFUNCTION("IMPORTRANGE(""https://docs.google.com/spreadsheets/d/""&amp;$A370&amp;""/edit#gid=156619080"",AJ$3)"),"#REF!")</f>
        <v>#REF!</v>
      </c>
      <c r="AK370" s="2" t="str">
        <f>IFERROR(__xludf.DUMMYFUNCTION("IMPORTRANGE(""https://docs.google.com/spreadsheets/d/""&amp;$A370&amp;""/edit#gid=156619080"",AK$3)"),"#REF!")</f>
        <v>#REF!</v>
      </c>
      <c r="AL370" s="2" t="str">
        <f>IFERROR(__xludf.DUMMYFUNCTION("IMPORTRANGE(""https://docs.google.com/spreadsheets/d/""&amp;$A370&amp;""/edit#gid=156619080"",AL$3)"),"#REF!")</f>
        <v>#REF!</v>
      </c>
      <c r="AM370" s="2" t="str">
        <f>IFERROR(__xludf.DUMMYFUNCTION("IMPORTRANGE(""https://docs.google.com/spreadsheets/d/""&amp;$A370&amp;""/edit#gid=156619080"",AM$3)"),"#REF!")</f>
        <v>#REF!</v>
      </c>
      <c r="AN370" s="2" t="str">
        <f>IFERROR(__xludf.DUMMYFUNCTION("IMPORTRANGE(""https://docs.google.com/spreadsheets/d/""&amp;$A370&amp;""/edit#gid=156619080"",AN$3)"),"#REF!")</f>
        <v>#REF!</v>
      </c>
      <c r="AO370" s="2" t="str">
        <f>IFERROR(__xludf.DUMMYFUNCTION("IMPORTRANGE(""https://docs.google.com/spreadsheets/d/""&amp;$A370&amp;""/edit#gid=156619080"",AO$3)"),"#REF!")</f>
        <v>#REF!</v>
      </c>
      <c r="AP370" s="2" t="str">
        <f>IFERROR(__xludf.DUMMYFUNCTION("IMPORTRANGE(""https://docs.google.com/spreadsheets/d/""&amp;$A370&amp;""/edit#gid=156619080"",AP$3)"),"#REF!")</f>
        <v>#REF!</v>
      </c>
      <c r="AQ370" s="2" t="str">
        <f>IFERROR(__xludf.DUMMYFUNCTION("IMPORTRANGE(""https://docs.google.com/spreadsheets/d/""&amp;$A370&amp;""/edit#gid=156619080"",AQ$3)"),"#REF!")</f>
        <v>#REF!</v>
      </c>
      <c r="AR370" s="2" t="str">
        <f>IFERROR(__xludf.DUMMYFUNCTION("IMPORTRANGE(""https://docs.google.com/spreadsheets/d/""&amp;$A370&amp;""/edit#gid=156619080"",AR$3)"),"#REF!")</f>
        <v>#REF!</v>
      </c>
      <c r="AS370" s="19" t="str">
        <f>IFERROR(__xludf.DUMMYFUNCTION("IMPORTRANGE(""https://docs.google.com/spreadsheets/d/""&amp;$A370&amp;""/edit#gid=156619080"",AS$3)"),"#REF!")</f>
        <v>#REF!</v>
      </c>
      <c r="AT370" s="2" t="str">
        <f>IFERROR(__xludf.DUMMYFUNCTION("IMPORTRANGE(""https://docs.google.com/spreadsheets/d/""&amp;$A370&amp;""/edit#gid=156619080"",AT$3)"),"#REF!")</f>
        <v>#REF!</v>
      </c>
      <c r="AU370" s="3" t="str">
        <f>IFERROR(__xludf.DUMMYFUNCTION("IMPORTRANGE(""https://docs.google.com/spreadsheets/d/""&amp;$A370&amp;""/edit#gid=156619080"",AU$3)"),"#REF!")</f>
        <v>#REF!</v>
      </c>
      <c r="AV370" s="2" t="str">
        <f>IFERROR(__xludf.DUMMYFUNCTION("IMPORTRANGE(""https://docs.google.com/spreadsheets/d/""&amp;$A370&amp;""/edit#gid=156619080"",AV$3)"),"#REF!")</f>
        <v>#REF!</v>
      </c>
      <c r="AW370" s="19" t="str">
        <f>IFERROR(__xludf.DUMMYFUNCTION("IMPORTRANGE(""https://docs.google.com/spreadsheets/d/""&amp;$A370&amp;""/edit#gid=156619080"",AW$3)"),"#REF!")</f>
        <v>#REF!</v>
      </c>
      <c r="AX370" s="2" t="str">
        <f>IFERROR(__xludf.DUMMYFUNCTION("IMPORTRANGE(""https://docs.google.com/spreadsheets/d/""&amp;$A370&amp;""/edit#gid=156619080"",AX$3)"),"#REF!")</f>
        <v>#REF!</v>
      </c>
      <c r="AY370" s="2" t="str">
        <f>IFERROR(__xludf.DUMMYFUNCTION("IMPORTRANGE(""https://docs.google.com/spreadsheets/d/""&amp;$A370&amp;""/edit#gid=156619080"",AY$3)"),"#REF!")</f>
        <v>#REF!</v>
      </c>
      <c r="AZ370" s="2" t="str">
        <f>IFERROR(__xludf.DUMMYFUNCTION("IMPORTRANGE(""https://docs.google.com/spreadsheets/d/""&amp;$A370&amp;""/edit#gid=156619080"",AZ$3)"),"#REF!")</f>
        <v>#REF!</v>
      </c>
      <c r="BA370" s="2" t="str">
        <f>IFERROR(__xludf.DUMMYFUNCTION("IMPORTRANGE(""https://docs.google.com/spreadsheets/d/""&amp;$A370&amp;""/edit#gid=156619080"",BA$3)"),"#REF!")</f>
        <v>#REF!</v>
      </c>
      <c r="BB370" s="2" t="str">
        <f>IFERROR(__xludf.DUMMYFUNCTION("IMPORTRANGE(""https://docs.google.com/spreadsheets/d/""&amp;$A370&amp;""/edit#gid=156619080"",BB$3)"),"#REF!")</f>
        <v>#REF!</v>
      </c>
      <c r="BC370" s="2" t="str">
        <f>IFERROR(__xludf.DUMMYFUNCTION("IMPORTRANGE(""https://docs.google.com/spreadsheets/d/""&amp;$A370&amp;""/edit#gid=156619080"",BC$3)"),"#REF!")</f>
        <v>#REF!</v>
      </c>
    </row>
    <row r="371" ht="51.0" customHeight="1">
      <c r="A371" s="7" t="str">
        <f t="shared" si="5"/>
        <v>1BL_-0j7PfJRnYt19dVJBmoFQ3_IGfMSST6mfc5vaEVg</v>
      </c>
      <c r="B371" s="1" t="s">
        <v>398</v>
      </c>
      <c r="C371" s="2" t="str">
        <f>IFERROR(__xludf.DUMMYFUNCTION("IMPORTRANGE(""https://docs.google.com/spreadsheets/d/""&amp;$A371&amp;""/edit#gid=156619080"",C$3)"),"#REF!")</f>
        <v>#REF!</v>
      </c>
      <c r="D371" s="2" t="str">
        <f>IFERROR(__xludf.DUMMYFUNCTION("IMPORTRANGE(""https://docs.google.com/spreadsheets/d/""&amp;$A371&amp;""/edit#gid=156619080"",D$3)"),"#REF!")</f>
        <v>#REF!</v>
      </c>
      <c r="E371" s="2" t="str">
        <f>IFERROR(__xludf.DUMMYFUNCTION("IMPORTRANGE(""https://docs.google.com/spreadsheets/d/""&amp;$A371&amp;""/edit#gid=156619080"",E$3)"),"#REF!")</f>
        <v>#REF!</v>
      </c>
      <c r="F371" s="2" t="str">
        <f>IFERROR(__xludf.DUMMYFUNCTION("IMPORTRANGE(""https://docs.google.com/spreadsheets/d/""&amp;$A371&amp;""/edit#gid=156619080"",F$3)"),"#REF!")</f>
        <v>#REF!</v>
      </c>
      <c r="G371" s="2" t="str">
        <f>IFERROR(__xludf.DUMMYFUNCTION("IMPORTRANGE(""https://docs.google.com/spreadsheets/d/""&amp;$A371&amp;""/edit#gid=156619080"",G$3)"),"#REF!")</f>
        <v>#REF!</v>
      </c>
      <c r="H371" s="2" t="str">
        <f>IFERROR(__xludf.DUMMYFUNCTION("IMPORTRANGE(""https://docs.google.com/spreadsheets/d/""&amp;$A371&amp;""/edit#gid=156619080"",H$3)"),"#REF!")</f>
        <v>#REF!</v>
      </c>
      <c r="I371" s="2" t="str">
        <f>IFERROR(__xludf.DUMMYFUNCTION("IMPORTRANGE(""https://docs.google.com/spreadsheets/d/""&amp;$A371&amp;""/edit#gid=156619080"",I$3)"),"#REF!")</f>
        <v>#REF!</v>
      </c>
      <c r="J371" s="2" t="str">
        <f>IFERROR(__xludf.DUMMYFUNCTION("IMPORTRANGE(""https://docs.google.com/spreadsheets/d/""&amp;$A371&amp;""/edit#gid=156619080"",J$3)"),"#REF!")</f>
        <v>#REF!</v>
      </c>
      <c r="K371" s="2" t="str">
        <f>IFERROR(__xludf.DUMMYFUNCTION("IMPORTRANGE(""https://docs.google.com/spreadsheets/d/""&amp;$A371&amp;""/edit#gid=156619080"",K$3)"),"#REF!")</f>
        <v>#REF!</v>
      </c>
      <c r="L371" s="2" t="str">
        <f>IFERROR(__xludf.DUMMYFUNCTION("IMPORTRANGE(""https://docs.google.com/spreadsheets/d/""&amp;$A371&amp;""/edit#gid=156619080"",L$3)"),"#REF!")</f>
        <v>#REF!</v>
      </c>
      <c r="M371" s="2" t="str">
        <f>IFERROR(__xludf.DUMMYFUNCTION("IMPORTRANGE(""https://docs.google.com/spreadsheets/d/""&amp;$A371&amp;""/edit#gid=156619080"",M$3)"),"#REF!")</f>
        <v>#REF!</v>
      </c>
      <c r="N371" s="2" t="str">
        <f>IFERROR(__xludf.DUMMYFUNCTION("IMPORTRANGE(""https://docs.google.com/spreadsheets/d/""&amp;$A371&amp;""/edit#gid=156619080"",N$3)"),"#REF!")</f>
        <v>#REF!</v>
      </c>
      <c r="O371" s="2" t="str">
        <f>IFERROR(__xludf.DUMMYFUNCTION("IMPORTRANGE(""https://docs.google.com/spreadsheets/d/""&amp;$A371&amp;""/edit#gid=156619080"",O$3)"),"#REF!")</f>
        <v>#REF!</v>
      </c>
      <c r="P371" s="2" t="str">
        <f>IFERROR(__xludf.DUMMYFUNCTION("IMPORTRANGE(""https://docs.google.com/spreadsheets/d/""&amp;$A371&amp;""/edit#gid=156619080"",P$3)"),"#REF!")</f>
        <v>#REF!</v>
      </c>
      <c r="Q371" s="2" t="str">
        <f>IFERROR(__xludf.DUMMYFUNCTION("IMPORTRANGE(""https://docs.google.com/spreadsheets/d/""&amp;$A371&amp;""/edit#gid=156619080"",Q$3)"),"#REF!")</f>
        <v>#REF!</v>
      </c>
      <c r="R371" s="2" t="str">
        <f>IFERROR(__xludf.DUMMYFUNCTION("IMPORTRANGE(""https://docs.google.com/spreadsheets/d/""&amp;$A371&amp;""/edit#gid=156619080"",R$3)"),"#REF!")</f>
        <v>#REF!</v>
      </c>
      <c r="S371" s="2" t="str">
        <f>IFERROR(__xludf.DUMMYFUNCTION("IMPORTRANGE(""https://docs.google.com/spreadsheets/d/""&amp;$A371&amp;""/edit#gid=156619080"",S$3)"),"#REF!")</f>
        <v>#REF!</v>
      </c>
      <c r="T371" s="2" t="str">
        <f>IFERROR(__xludf.DUMMYFUNCTION("IMPORTRANGE(""https://docs.google.com/spreadsheets/d/""&amp;$A371&amp;""/edit#gid=156619080"",T$3)"),"#REF!")</f>
        <v>#REF!</v>
      </c>
      <c r="U371" s="2" t="str">
        <f>IFERROR(__xludf.DUMMYFUNCTION("IMPORTRANGE(""https://docs.google.com/spreadsheets/d/""&amp;$A371&amp;""/edit#gid=156619080"",U$3)"),"#REF!")</f>
        <v>#REF!</v>
      </c>
      <c r="V371" s="2" t="str">
        <f>IFERROR(__xludf.DUMMYFUNCTION("IMPORTRANGE(""https://docs.google.com/spreadsheets/d/""&amp;$A371&amp;""/edit#gid=156619080"",V$3)"),"#REF!")</f>
        <v>#REF!</v>
      </c>
      <c r="W371" s="2" t="str">
        <f>IFERROR(__xludf.DUMMYFUNCTION("IMPORTRANGE(""https://docs.google.com/spreadsheets/d/""&amp;$A371&amp;""/edit#gid=156619080"",W$3)"),"#REF!")</f>
        <v>#REF!</v>
      </c>
      <c r="X371" s="2" t="str">
        <f>IFERROR(__xludf.DUMMYFUNCTION("IMPORTRANGE(""https://docs.google.com/spreadsheets/d/""&amp;$A371&amp;""/edit#gid=156619080"",X$3)"),"#REF!")</f>
        <v>#REF!</v>
      </c>
      <c r="Y371" s="2" t="str">
        <f>IFERROR(__xludf.DUMMYFUNCTION("IMPORTRANGE(""https://docs.google.com/spreadsheets/d/""&amp;$A371&amp;""/edit#gid=156619080"",Y$3)"),"#REF!")</f>
        <v>#REF!</v>
      </c>
      <c r="Z371" s="2" t="str">
        <f>IFERROR(__xludf.DUMMYFUNCTION("IMPORTRANGE(""https://docs.google.com/spreadsheets/d/""&amp;$A371&amp;""/edit#gid=156619080"",Z$3)"),"#REF!")</f>
        <v>#REF!</v>
      </c>
      <c r="AA371" s="2" t="str">
        <f>IFERROR(__xludf.DUMMYFUNCTION("IMPORTRANGE(""https://docs.google.com/spreadsheets/d/""&amp;$A371&amp;""/edit#gid=156619080"",AA$3)"),"#REF!")</f>
        <v>#REF!</v>
      </c>
      <c r="AB371" s="2" t="str">
        <f>IFERROR(__xludf.DUMMYFUNCTION("IMPORTRANGE(""https://docs.google.com/spreadsheets/d/""&amp;$A371&amp;""/edit#gid=156619080"",AB$3)"),"#REF!")</f>
        <v>#REF!</v>
      </c>
      <c r="AC371" s="2" t="str">
        <f>IFERROR(__xludf.DUMMYFUNCTION("IMPORTRANGE(""https://docs.google.com/spreadsheets/d/""&amp;$A371&amp;""/edit#gid=156619080"",AC$3)"),"#REF!")</f>
        <v>#REF!</v>
      </c>
      <c r="AD371" s="2" t="str">
        <f>IFERROR(__xludf.DUMMYFUNCTION("IMPORTRANGE(""https://docs.google.com/spreadsheets/d/""&amp;$A371&amp;""/edit#gid=156619080"",AD$3)"),"#REF!")</f>
        <v>#REF!</v>
      </c>
      <c r="AE371" s="2" t="str">
        <f>IFERROR(__xludf.DUMMYFUNCTION("IMPORTRANGE(""https://docs.google.com/spreadsheets/d/""&amp;$A371&amp;""/edit#gid=156619080"",AE$3)"),"#REF!")</f>
        <v>#REF!</v>
      </c>
      <c r="AF371" s="2" t="str">
        <f>IFERROR(__xludf.DUMMYFUNCTION("IMPORTRANGE(""https://docs.google.com/spreadsheets/d/""&amp;$A371&amp;""/edit#gid=156619080"",AF$3)"),"#REF!")</f>
        <v>#REF!</v>
      </c>
      <c r="AG371" s="2" t="str">
        <f>IFERROR(__xludf.DUMMYFUNCTION("IMPORTRANGE(""https://docs.google.com/spreadsheets/d/""&amp;$A371&amp;""/edit#gid=156619080"",AG$3)"),"#REF!")</f>
        <v>#REF!</v>
      </c>
      <c r="AH371" s="2" t="str">
        <f>IFERROR(__xludf.DUMMYFUNCTION("IMPORTRANGE(""https://docs.google.com/spreadsheets/d/""&amp;$A371&amp;""/edit#gid=156619080"",AH$3)"),"#REF!")</f>
        <v>#REF!</v>
      </c>
      <c r="AI371" s="2" t="str">
        <f>IFERROR(__xludf.DUMMYFUNCTION("IMPORTRANGE(""https://docs.google.com/spreadsheets/d/""&amp;$A371&amp;""/edit#gid=156619080"",AI$3)"),"#REF!")</f>
        <v>#REF!</v>
      </c>
      <c r="AJ371" s="2" t="str">
        <f>IFERROR(__xludf.DUMMYFUNCTION("IMPORTRANGE(""https://docs.google.com/spreadsheets/d/""&amp;$A371&amp;""/edit#gid=156619080"",AJ$3)"),"#REF!")</f>
        <v>#REF!</v>
      </c>
      <c r="AK371" s="2" t="str">
        <f>IFERROR(__xludf.DUMMYFUNCTION("IMPORTRANGE(""https://docs.google.com/spreadsheets/d/""&amp;$A371&amp;""/edit#gid=156619080"",AK$3)"),"#REF!")</f>
        <v>#REF!</v>
      </c>
      <c r="AL371" s="2" t="str">
        <f>IFERROR(__xludf.DUMMYFUNCTION("IMPORTRANGE(""https://docs.google.com/spreadsheets/d/""&amp;$A371&amp;""/edit#gid=156619080"",AL$3)"),"#REF!")</f>
        <v>#REF!</v>
      </c>
      <c r="AM371" s="2" t="str">
        <f>IFERROR(__xludf.DUMMYFUNCTION("IMPORTRANGE(""https://docs.google.com/spreadsheets/d/""&amp;$A371&amp;""/edit#gid=156619080"",AM$3)"),"#REF!")</f>
        <v>#REF!</v>
      </c>
      <c r="AN371" s="2" t="str">
        <f>IFERROR(__xludf.DUMMYFUNCTION("IMPORTRANGE(""https://docs.google.com/spreadsheets/d/""&amp;$A371&amp;""/edit#gid=156619080"",AN$3)"),"#REF!")</f>
        <v>#REF!</v>
      </c>
      <c r="AO371" s="2" t="str">
        <f>IFERROR(__xludf.DUMMYFUNCTION("IMPORTRANGE(""https://docs.google.com/spreadsheets/d/""&amp;$A371&amp;""/edit#gid=156619080"",AO$3)"),"#REF!")</f>
        <v>#REF!</v>
      </c>
      <c r="AP371" s="2" t="str">
        <f>IFERROR(__xludf.DUMMYFUNCTION("IMPORTRANGE(""https://docs.google.com/spreadsheets/d/""&amp;$A371&amp;""/edit#gid=156619080"",AP$3)"),"#REF!")</f>
        <v>#REF!</v>
      </c>
      <c r="AQ371" s="2" t="str">
        <f>IFERROR(__xludf.DUMMYFUNCTION("IMPORTRANGE(""https://docs.google.com/spreadsheets/d/""&amp;$A371&amp;""/edit#gid=156619080"",AQ$3)"),"#REF!")</f>
        <v>#REF!</v>
      </c>
      <c r="AR371" s="2" t="str">
        <f>IFERROR(__xludf.DUMMYFUNCTION("IMPORTRANGE(""https://docs.google.com/spreadsheets/d/""&amp;$A371&amp;""/edit#gid=156619080"",AR$3)"),"#REF!")</f>
        <v>#REF!</v>
      </c>
      <c r="AS371" s="19" t="str">
        <f>IFERROR(__xludf.DUMMYFUNCTION("IMPORTRANGE(""https://docs.google.com/spreadsheets/d/""&amp;$A371&amp;""/edit#gid=156619080"",AS$3)"),"#REF!")</f>
        <v>#REF!</v>
      </c>
      <c r="AT371" s="2" t="str">
        <f>IFERROR(__xludf.DUMMYFUNCTION("IMPORTRANGE(""https://docs.google.com/spreadsheets/d/""&amp;$A371&amp;""/edit#gid=156619080"",AT$3)"),"#REF!")</f>
        <v>#REF!</v>
      </c>
      <c r="AU371" s="3" t="str">
        <f>IFERROR(__xludf.DUMMYFUNCTION("IMPORTRANGE(""https://docs.google.com/spreadsheets/d/""&amp;$A371&amp;""/edit#gid=156619080"",AU$3)"),"#REF!")</f>
        <v>#REF!</v>
      </c>
      <c r="AV371" s="2" t="str">
        <f>IFERROR(__xludf.DUMMYFUNCTION("IMPORTRANGE(""https://docs.google.com/spreadsheets/d/""&amp;$A371&amp;""/edit#gid=156619080"",AV$3)"),"#REF!")</f>
        <v>#REF!</v>
      </c>
      <c r="AW371" s="19" t="str">
        <f>IFERROR(__xludf.DUMMYFUNCTION("IMPORTRANGE(""https://docs.google.com/spreadsheets/d/""&amp;$A371&amp;""/edit#gid=156619080"",AW$3)"),"#REF!")</f>
        <v>#REF!</v>
      </c>
      <c r="AX371" s="2" t="str">
        <f>IFERROR(__xludf.DUMMYFUNCTION("IMPORTRANGE(""https://docs.google.com/spreadsheets/d/""&amp;$A371&amp;""/edit#gid=156619080"",AX$3)"),"#REF!")</f>
        <v>#REF!</v>
      </c>
      <c r="AY371" s="2" t="str">
        <f>IFERROR(__xludf.DUMMYFUNCTION("IMPORTRANGE(""https://docs.google.com/spreadsheets/d/""&amp;$A371&amp;""/edit#gid=156619080"",AY$3)"),"#REF!")</f>
        <v>#REF!</v>
      </c>
      <c r="AZ371" s="2" t="str">
        <f>IFERROR(__xludf.DUMMYFUNCTION("IMPORTRANGE(""https://docs.google.com/spreadsheets/d/""&amp;$A371&amp;""/edit#gid=156619080"",AZ$3)"),"#REF!")</f>
        <v>#REF!</v>
      </c>
      <c r="BA371" s="2" t="str">
        <f>IFERROR(__xludf.DUMMYFUNCTION("IMPORTRANGE(""https://docs.google.com/spreadsheets/d/""&amp;$A371&amp;""/edit#gid=156619080"",BA$3)"),"#REF!")</f>
        <v>#REF!</v>
      </c>
      <c r="BB371" s="2" t="str">
        <f>IFERROR(__xludf.DUMMYFUNCTION("IMPORTRANGE(""https://docs.google.com/spreadsheets/d/""&amp;$A371&amp;""/edit#gid=156619080"",BB$3)"),"#REF!")</f>
        <v>#REF!</v>
      </c>
      <c r="BC371" s="2" t="str">
        <f>IFERROR(__xludf.DUMMYFUNCTION("IMPORTRANGE(""https://docs.google.com/spreadsheets/d/""&amp;$A371&amp;""/edit#gid=156619080"",BC$3)"),"#REF!")</f>
        <v>#REF!</v>
      </c>
    </row>
    <row r="372" ht="51.0" customHeight="1">
      <c r="A372" s="7" t="str">
        <f t="shared" si="5"/>
        <v>11b4xlulCnJTTOORodKHF-SXaqLwFBFq2wH8Z5DDOfcg</v>
      </c>
      <c r="B372" s="1" t="s">
        <v>399</v>
      </c>
      <c r="C372" s="2" t="str">
        <f>IFERROR(__xludf.DUMMYFUNCTION("IMPORTRANGE(""https://docs.google.com/spreadsheets/d/""&amp;$A372&amp;""/edit#gid=156619080"",C$3)"),"#REF!")</f>
        <v>#REF!</v>
      </c>
      <c r="D372" s="2" t="str">
        <f>IFERROR(__xludf.DUMMYFUNCTION("IMPORTRANGE(""https://docs.google.com/spreadsheets/d/""&amp;$A372&amp;""/edit#gid=156619080"",D$3)"),"#REF!")</f>
        <v>#REF!</v>
      </c>
      <c r="E372" s="2" t="str">
        <f>IFERROR(__xludf.DUMMYFUNCTION("IMPORTRANGE(""https://docs.google.com/spreadsheets/d/""&amp;$A372&amp;""/edit#gid=156619080"",E$3)"),"#REF!")</f>
        <v>#REF!</v>
      </c>
      <c r="F372" s="2" t="str">
        <f>IFERROR(__xludf.DUMMYFUNCTION("IMPORTRANGE(""https://docs.google.com/spreadsheets/d/""&amp;$A372&amp;""/edit#gid=156619080"",F$3)"),"#REF!")</f>
        <v>#REF!</v>
      </c>
      <c r="G372" s="2" t="str">
        <f>IFERROR(__xludf.DUMMYFUNCTION("IMPORTRANGE(""https://docs.google.com/spreadsheets/d/""&amp;$A372&amp;""/edit#gid=156619080"",G$3)"),"#REF!")</f>
        <v>#REF!</v>
      </c>
      <c r="H372" s="2" t="str">
        <f>IFERROR(__xludf.DUMMYFUNCTION("IMPORTRANGE(""https://docs.google.com/spreadsheets/d/""&amp;$A372&amp;""/edit#gid=156619080"",H$3)"),"#REF!")</f>
        <v>#REF!</v>
      </c>
      <c r="I372" s="2" t="str">
        <f>IFERROR(__xludf.DUMMYFUNCTION("IMPORTRANGE(""https://docs.google.com/spreadsheets/d/""&amp;$A372&amp;""/edit#gid=156619080"",I$3)"),"#REF!")</f>
        <v>#REF!</v>
      </c>
      <c r="J372" s="2" t="str">
        <f>IFERROR(__xludf.DUMMYFUNCTION("IMPORTRANGE(""https://docs.google.com/spreadsheets/d/""&amp;$A372&amp;""/edit#gid=156619080"",J$3)"),"#REF!")</f>
        <v>#REF!</v>
      </c>
      <c r="K372" s="2" t="str">
        <f>IFERROR(__xludf.DUMMYFUNCTION("IMPORTRANGE(""https://docs.google.com/spreadsheets/d/""&amp;$A372&amp;""/edit#gid=156619080"",K$3)"),"#REF!")</f>
        <v>#REF!</v>
      </c>
      <c r="L372" s="2" t="str">
        <f>IFERROR(__xludf.DUMMYFUNCTION("IMPORTRANGE(""https://docs.google.com/spreadsheets/d/""&amp;$A372&amp;""/edit#gid=156619080"",L$3)"),"#REF!")</f>
        <v>#REF!</v>
      </c>
      <c r="M372" s="2" t="str">
        <f>IFERROR(__xludf.DUMMYFUNCTION("IMPORTRANGE(""https://docs.google.com/spreadsheets/d/""&amp;$A372&amp;""/edit#gid=156619080"",M$3)"),"#REF!")</f>
        <v>#REF!</v>
      </c>
      <c r="N372" s="2" t="str">
        <f>IFERROR(__xludf.DUMMYFUNCTION("IMPORTRANGE(""https://docs.google.com/spreadsheets/d/""&amp;$A372&amp;""/edit#gid=156619080"",N$3)"),"#REF!")</f>
        <v>#REF!</v>
      </c>
      <c r="O372" s="2" t="str">
        <f>IFERROR(__xludf.DUMMYFUNCTION("IMPORTRANGE(""https://docs.google.com/spreadsheets/d/""&amp;$A372&amp;""/edit#gid=156619080"",O$3)"),"#REF!")</f>
        <v>#REF!</v>
      </c>
      <c r="P372" s="2" t="str">
        <f>IFERROR(__xludf.DUMMYFUNCTION("IMPORTRANGE(""https://docs.google.com/spreadsheets/d/""&amp;$A372&amp;""/edit#gid=156619080"",P$3)"),"#REF!")</f>
        <v>#REF!</v>
      </c>
      <c r="Q372" s="2" t="str">
        <f>IFERROR(__xludf.DUMMYFUNCTION("IMPORTRANGE(""https://docs.google.com/spreadsheets/d/""&amp;$A372&amp;""/edit#gid=156619080"",Q$3)"),"#REF!")</f>
        <v>#REF!</v>
      </c>
      <c r="R372" s="2" t="str">
        <f>IFERROR(__xludf.DUMMYFUNCTION("IMPORTRANGE(""https://docs.google.com/spreadsheets/d/""&amp;$A372&amp;""/edit#gid=156619080"",R$3)"),"#REF!")</f>
        <v>#REF!</v>
      </c>
      <c r="S372" s="2" t="str">
        <f>IFERROR(__xludf.DUMMYFUNCTION("IMPORTRANGE(""https://docs.google.com/spreadsheets/d/""&amp;$A372&amp;""/edit#gid=156619080"",S$3)"),"#REF!")</f>
        <v>#REF!</v>
      </c>
      <c r="T372" s="2" t="str">
        <f>IFERROR(__xludf.DUMMYFUNCTION("IMPORTRANGE(""https://docs.google.com/spreadsheets/d/""&amp;$A372&amp;""/edit#gid=156619080"",T$3)"),"#REF!")</f>
        <v>#REF!</v>
      </c>
      <c r="U372" s="2" t="str">
        <f>IFERROR(__xludf.DUMMYFUNCTION("IMPORTRANGE(""https://docs.google.com/spreadsheets/d/""&amp;$A372&amp;""/edit#gid=156619080"",U$3)"),"#REF!")</f>
        <v>#REF!</v>
      </c>
      <c r="V372" s="2" t="str">
        <f>IFERROR(__xludf.DUMMYFUNCTION("IMPORTRANGE(""https://docs.google.com/spreadsheets/d/""&amp;$A372&amp;""/edit#gid=156619080"",V$3)"),"#REF!")</f>
        <v>#REF!</v>
      </c>
      <c r="W372" s="2" t="str">
        <f>IFERROR(__xludf.DUMMYFUNCTION("IMPORTRANGE(""https://docs.google.com/spreadsheets/d/""&amp;$A372&amp;""/edit#gid=156619080"",W$3)"),"#REF!")</f>
        <v>#REF!</v>
      </c>
      <c r="X372" s="2" t="str">
        <f>IFERROR(__xludf.DUMMYFUNCTION("IMPORTRANGE(""https://docs.google.com/spreadsheets/d/""&amp;$A372&amp;""/edit#gid=156619080"",X$3)"),"#REF!")</f>
        <v>#REF!</v>
      </c>
      <c r="Y372" s="2" t="str">
        <f>IFERROR(__xludf.DUMMYFUNCTION("IMPORTRANGE(""https://docs.google.com/spreadsheets/d/""&amp;$A372&amp;""/edit#gid=156619080"",Y$3)"),"#REF!")</f>
        <v>#REF!</v>
      </c>
      <c r="Z372" s="2" t="str">
        <f>IFERROR(__xludf.DUMMYFUNCTION("IMPORTRANGE(""https://docs.google.com/spreadsheets/d/""&amp;$A372&amp;""/edit#gid=156619080"",Z$3)"),"#REF!")</f>
        <v>#REF!</v>
      </c>
      <c r="AA372" s="2" t="str">
        <f>IFERROR(__xludf.DUMMYFUNCTION("IMPORTRANGE(""https://docs.google.com/spreadsheets/d/""&amp;$A372&amp;""/edit#gid=156619080"",AA$3)"),"#REF!")</f>
        <v>#REF!</v>
      </c>
      <c r="AB372" s="2" t="str">
        <f>IFERROR(__xludf.DUMMYFUNCTION("IMPORTRANGE(""https://docs.google.com/spreadsheets/d/""&amp;$A372&amp;""/edit#gid=156619080"",AB$3)"),"#REF!")</f>
        <v>#REF!</v>
      </c>
      <c r="AC372" s="2" t="str">
        <f>IFERROR(__xludf.DUMMYFUNCTION("IMPORTRANGE(""https://docs.google.com/spreadsheets/d/""&amp;$A372&amp;""/edit#gid=156619080"",AC$3)"),"#REF!")</f>
        <v>#REF!</v>
      </c>
      <c r="AD372" s="2" t="str">
        <f>IFERROR(__xludf.DUMMYFUNCTION("IMPORTRANGE(""https://docs.google.com/spreadsheets/d/""&amp;$A372&amp;""/edit#gid=156619080"",AD$3)"),"#REF!")</f>
        <v>#REF!</v>
      </c>
      <c r="AE372" s="2" t="str">
        <f>IFERROR(__xludf.DUMMYFUNCTION("IMPORTRANGE(""https://docs.google.com/spreadsheets/d/""&amp;$A372&amp;""/edit#gid=156619080"",AE$3)"),"#REF!")</f>
        <v>#REF!</v>
      </c>
      <c r="AF372" s="2" t="str">
        <f>IFERROR(__xludf.DUMMYFUNCTION("IMPORTRANGE(""https://docs.google.com/spreadsheets/d/""&amp;$A372&amp;""/edit#gid=156619080"",AF$3)"),"#REF!")</f>
        <v>#REF!</v>
      </c>
      <c r="AG372" s="2" t="str">
        <f>IFERROR(__xludf.DUMMYFUNCTION("IMPORTRANGE(""https://docs.google.com/spreadsheets/d/""&amp;$A372&amp;""/edit#gid=156619080"",AG$3)"),"#REF!")</f>
        <v>#REF!</v>
      </c>
      <c r="AH372" s="2" t="str">
        <f>IFERROR(__xludf.DUMMYFUNCTION("IMPORTRANGE(""https://docs.google.com/spreadsheets/d/""&amp;$A372&amp;""/edit#gid=156619080"",AH$3)"),"#REF!")</f>
        <v>#REF!</v>
      </c>
      <c r="AI372" s="2" t="str">
        <f>IFERROR(__xludf.DUMMYFUNCTION("IMPORTRANGE(""https://docs.google.com/spreadsheets/d/""&amp;$A372&amp;""/edit#gid=156619080"",AI$3)"),"#REF!")</f>
        <v>#REF!</v>
      </c>
      <c r="AJ372" s="2" t="str">
        <f>IFERROR(__xludf.DUMMYFUNCTION("IMPORTRANGE(""https://docs.google.com/spreadsheets/d/""&amp;$A372&amp;""/edit#gid=156619080"",AJ$3)"),"#REF!")</f>
        <v>#REF!</v>
      </c>
      <c r="AK372" s="2" t="str">
        <f>IFERROR(__xludf.DUMMYFUNCTION("IMPORTRANGE(""https://docs.google.com/spreadsheets/d/""&amp;$A372&amp;""/edit#gid=156619080"",AK$3)"),"#REF!")</f>
        <v>#REF!</v>
      </c>
      <c r="AL372" s="2" t="str">
        <f>IFERROR(__xludf.DUMMYFUNCTION("IMPORTRANGE(""https://docs.google.com/spreadsheets/d/""&amp;$A372&amp;""/edit#gid=156619080"",AL$3)"),"#REF!")</f>
        <v>#REF!</v>
      </c>
      <c r="AM372" s="2" t="str">
        <f>IFERROR(__xludf.DUMMYFUNCTION("IMPORTRANGE(""https://docs.google.com/spreadsheets/d/""&amp;$A372&amp;""/edit#gid=156619080"",AM$3)"),"#REF!")</f>
        <v>#REF!</v>
      </c>
      <c r="AN372" s="2" t="str">
        <f>IFERROR(__xludf.DUMMYFUNCTION("IMPORTRANGE(""https://docs.google.com/spreadsheets/d/""&amp;$A372&amp;""/edit#gid=156619080"",AN$3)"),"#REF!")</f>
        <v>#REF!</v>
      </c>
      <c r="AO372" s="2" t="str">
        <f>IFERROR(__xludf.DUMMYFUNCTION("IMPORTRANGE(""https://docs.google.com/spreadsheets/d/""&amp;$A372&amp;""/edit#gid=156619080"",AO$3)"),"#REF!")</f>
        <v>#REF!</v>
      </c>
      <c r="AP372" s="2" t="str">
        <f>IFERROR(__xludf.DUMMYFUNCTION("IMPORTRANGE(""https://docs.google.com/spreadsheets/d/""&amp;$A372&amp;""/edit#gid=156619080"",AP$3)"),"#REF!")</f>
        <v>#REF!</v>
      </c>
      <c r="AQ372" s="2" t="str">
        <f>IFERROR(__xludf.DUMMYFUNCTION("IMPORTRANGE(""https://docs.google.com/spreadsheets/d/""&amp;$A372&amp;""/edit#gid=156619080"",AQ$3)"),"#REF!")</f>
        <v>#REF!</v>
      </c>
      <c r="AR372" s="2" t="str">
        <f>IFERROR(__xludf.DUMMYFUNCTION("IMPORTRANGE(""https://docs.google.com/spreadsheets/d/""&amp;$A372&amp;""/edit#gid=156619080"",AR$3)"),"#REF!")</f>
        <v>#REF!</v>
      </c>
      <c r="AS372" s="19" t="str">
        <f>IFERROR(__xludf.DUMMYFUNCTION("IMPORTRANGE(""https://docs.google.com/spreadsheets/d/""&amp;$A372&amp;""/edit#gid=156619080"",AS$3)"),"#REF!")</f>
        <v>#REF!</v>
      </c>
      <c r="AT372" s="2" t="str">
        <f>IFERROR(__xludf.DUMMYFUNCTION("IMPORTRANGE(""https://docs.google.com/spreadsheets/d/""&amp;$A372&amp;""/edit#gid=156619080"",AT$3)"),"#REF!")</f>
        <v>#REF!</v>
      </c>
      <c r="AU372" s="3" t="str">
        <f>IFERROR(__xludf.DUMMYFUNCTION("IMPORTRANGE(""https://docs.google.com/spreadsheets/d/""&amp;$A372&amp;""/edit#gid=156619080"",AU$3)"),"#REF!")</f>
        <v>#REF!</v>
      </c>
      <c r="AV372" s="2" t="str">
        <f>IFERROR(__xludf.DUMMYFUNCTION("IMPORTRANGE(""https://docs.google.com/spreadsheets/d/""&amp;$A372&amp;""/edit#gid=156619080"",AV$3)"),"#REF!")</f>
        <v>#REF!</v>
      </c>
      <c r="AW372" s="19" t="str">
        <f>IFERROR(__xludf.DUMMYFUNCTION("IMPORTRANGE(""https://docs.google.com/spreadsheets/d/""&amp;$A372&amp;""/edit#gid=156619080"",AW$3)"),"#REF!")</f>
        <v>#REF!</v>
      </c>
      <c r="AX372" s="2" t="str">
        <f>IFERROR(__xludf.DUMMYFUNCTION("IMPORTRANGE(""https://docs.google.com/spreadsheets/d/""&amp;$A372&amp;""/edit#gid=156619080"",AX$3)"),"#REF!")</f>
        <v>#REF!</v>
      </c>
      <c r="AY372" s="2" t="str">
        <f>IFERROR(__xludf.DUMMYFUNCTION("IMPORTRANGE(""https://docs.google.com/spreadsheets/d/""&amp;$A372&amp;""/edit#gid=156619080"",AY$3)"),"#REF!")</f>
        <v>#REF!</v>
      </c>
      <c r="AZ372" s="2" t="str">
        <f>IFERROR(__xludf.DUMMYFUNCTION("IMPORTRANGE(""https://docs.google.com/spreadsheets/d/""&amp;$A372&amp;""/edit#gid=156619080"",AZ$3)"),"#REF!")</f>
        <v>#REF!</v>
      </c>
      <c r="BA372" s="2" t="str">
        <f>IFERROR(__xludf.DUMMYFUNCTION("IMPORTRANGE(""https://docs.google.com/spreadsheets/d/""&amp;$A372&amp;""/edit#gid=156619080"",BA$3)"),"#REF!")</f>
        <v>#REF!</v>
      </c>
      <c r="BB372" s="2" t="str">
        <f>IFERROR(__xludf.DUMMYFUNCTION("IMPORTRANGE(""https://docs.google.com/spreadsheets/d/""&amp;$A372&amp;""/edit#gid=156619080"",BB$3)"),"#REF!")</f>
        <v>#REF!</v>
      </c>
      <c r="BC372" s="2" t="str">
        <f>IFERROR(__xludf.DUMMYFUNCTION("IMPORTRANGE(""https://docs.google.com/spreadsheets/d/""&amp;$A372&amp;""/edit#gid=156619080"",BC$3)"),"#REF!")</f>
        <v>#REF!</v>
      </c>
    </row>
    <row r="373" ht="51.0" customHeight="1">
      <c r="A373" s="7" t="str">
        <f t="shared" si="5"/>
        <v>1yOI4Rx7ol0vT__E1l29fVEN_xZv7gsYkoIaotPEn3Qo</v>
      </c>
      <c r="B373" s="1" t="s">
        <v>400</v>
      </c>
      <c r="C373" s="2" t="str">
        <f>IFERROR(__xludf.DUMMYFUNCTION("IMPORTRANGE(""https://docs.google.com/spreadsheets/d/""&amp;$A373&amp;""/edit#gid=156619080"",C$3)"),"#REF!")</f>
        <v>#REF!</v>
      </c>
      <c r="D373" s="2" t="str">
        <f>IFERROR(__xludf.DUMMYFUNCTION("IMPORTRANGE(""https://docs.google.com/spreadsheets/d/""&amp;$A373&amp;""/edit#gid=156619080"",D$3)"),"#REF!")</f>
        <v>#REF!</v>
      </c>
      <c r="E373" s="2" t="str">
        <f>IFERROR(__xludf.DUMMYFUNCTION("IMPORTRANGE(""https://docs.google.com/spreadsheets/d/""&amp;$A373&amp;""/edit#gid=156619080"",E$3)"),"#REF!")</f>
        <v>#REF!</v>
      </c>
      <c r="F373" s="2" t="str">
        <f>IFERROR(__xludf.DUMMYFUNCTION("IMPORTRANGE(""https://docs.google.com/spreadsheets/d/""&amp;$A373&amp;""/edit#gid=156619080"",F$3)"),"#REF!")</f>
        <v>#REF!</v>
      </c>
      <c r="G373" s="2" t="str">
        <f>IFERROR(__xludf.DUMMYFUNCTION("IMPORTRANGE(""https://docs.google.com/spreadsheets/d/""&amp;$A373&amp;""/edit#gid=156619080"",G$3)"),"#REF!")</f>
        <v>#REF!</v>
      </c>
      <c r="H373" s="2" t="str">
        <f>IFERROR(__xludf.DUMMYFUNCTION("IMPORTRANGE(""https://docs.google.com/spreadsheets/d/""&amp;$A373&amp;""/edit#gid=156619080"",H$3)"),"#REF!")</f>
        <v>#REF!</v>
      </c>
      <c r="I373" s="2" t="str">
        <f>IFERROR(__xludf.DUMMYFUNCTION("IMPORTRANGE(""https://docs.google.com/spreadsheets/d/""&amp;$A373&amp;""/edit#gid=156619080"",I$3)"),"#REF!")</f>
        <v>#REF!</v>
      </c>
      <c r="J373" s="2" t="str">
        <f>IFERROR(__xludf.DUMMYFUNCTION("IMPORTRANGE(""https://docs.google.com/spreadsheets/d/""&amp;$A373&amp;""/edit#gid=156619080"",J$3)"),"#REF!")</f>
        <v>#REF!</v>
      </c>
      <c r="K373" s="2" t="str">
        <f>IFERROR(__xludf.DUMMYFUNCTION("IMPORTRANGE(""https://docs.google.com/spreadsheets/d/""&amp;$A373&amp;""/edit#gid=156619080"",K$3)"),"#REF!")</f>
        <v>#REF!</v>
      </c>
      <c r="L373" s="2" t="str">
        <f>IFERROR(__xludf.DUMMYFUNCTION("IMPORTRANGE(""https://docs.google.com/spreadsheets/d/""&amp;$A373&amp;""/edit#gid=156619080"",L$3)"),"#REF!")</f>
        <v>#REF!</v>
      </c>
      <c r="M373" s="2" t="str">
        <f>IFERROR(__xludf.DUMMYFUNCTION("IMPORTRANGE(""https://docs.google.com/spreadsheets/d/""&amp;$A373&amp;""/edit#gid=156619080"",M$3)"),"#REF!")</f>
        <v>#REF!</v>
      </c>
      <c r="N373" s="2" t="str">
        <f>IFERROR(__xludf.DUMMYFUNCTION("IMPORTRANGE(""https://docs.google.com/spreadsheets/d/""&amp;$A373&amp;""/edit#gid=156619080"",N$3)"),"#REF!")</f>
        <v>#REF!</v>
      </c>
      <c r="O373" s="2" t="str">
        <f>IFERROR(__xludf.DUMMYFUNCTION("IMPORTRANGE(""https://docs.google.com/spreadsheets/d/""&amp;$A373&amp;""/edit#gid=156619080"",O$3)"),"#REF!")</f>
        <v>#REF!</v>
      </c>
      <c r="P373" s="2" t="str">
        <f>IFERROR(__xludf.DUMMYFUNCTION("IMPORTRANGE(""https://docs.google.com/spreadsheets/d/""&amp;$A373&amp;""/edit#gid=156619080"",P$3)"),"#REF!")</f>
        <v>#REF!</v>
      </c>
      <c r="Q373" s="2" t="str">
        <f>IFERROR(__xludf.DUMMYFUNCTION("IMPORTRANGE(""https://docs.google.com/spreadsheets/d/""&amp;$A373&amp;""/edit#gid=156619080"",Q$3)"),"#REF!")</f>
        <v>#REF!</v>
      </c>
      <c r="R373" s="2" t="str">
        <f>IFERROR(__xludf.DUMMYFUNCTION("IMPORTRANGE(""https://docs.google.com/spreadsheets/d/""&amp;$A373&amp;""/edit#gid=156619080"",R$3)"),"#REF!")</f>
        <v>#REF!</v>
      </c>
      <c r="S373" s="2" t="str">
        <f>IFERROR(__xludf.DUMMYFUNCTION("IMPORTRANGE(""https://docs.google.com/spreadsheets/d/""&amp;$A373&amp;""/edit#gid=156619080"",S$3)"),"#REF!")</f>
        <v>#REF!</v>
      </c>
      <c r="T373" s="2" t="str">
        <f>IFERROR(__xludf.DUMMYFUNCTION("IMPORTRANGE(""https://docs.google.com/spreadsheets/d/""&amp;$A373&amp;""/edit#gid=156619080"",T$3)"),"#REF!")</f>
        <v>#REF!</v>
      </c>
      <c r="U373" s="2" t="str">
        <f>IFERROR(__xludf.DUMMYFUNCTION("IMPORTRANGE(""https://docs.google.com/spreadsheets/d/""&amp;$A373&amp;""/edit#gid=156619080"",U$3)"),"#REF!")</f>
        <v>#REF!</v>
      </c>
      <c r="V373" s="2" t="str">
        <f>IFERROR(__xludf.DUMMYFUNCTION("IMPORTRANGE(""https://docs.google.com/spreadsheets/d/""&amp;$A373&amp;""/edit#gid=156619080"",V$3)"),"#REF!")</f>
        <v>#REF!</v>
      </c>
      <c r="W373" s="2" t="str">
        <f>IFERROR(__xludf.DUMMYFUNCTION("IMPORTRANGE(""https://docs.google.com/spreadsheets/d/""&amp;$A373&amp;""/edit#gid=156619080"",W$3)"),"#REF!")</f>
        <v>#REF!</v>
      </c>
      <c r="X373" s="2" t="str">
        <f>IFERROR(__xludf.DUMMYFUNCTION("IMPORTRANGE(""https://docs.google.com/spreadsheets/d/""&amp;$A373&amp;""/edit#gid=156619080"",X$3)"),"#REF!")</f>
        <v>#REF!</v>
      </c>
      <c r="Y373" s="2" t="str">
        <f>IFERROR(__xludf.DUMMYFUNCTION("IMPORTRANGE(""https://docs.google.com/spreadsheets/d/""&amp;$A373&amp;""/edit#gid=156619080"",Y$3)"),"#REF!")</f>
        <v>#REF!</v>
      </c>
      <c r="Z373" s="2" t="str">
        <f>IFERROR(__xludf.DUMMYFUNCTION("IMPORTRANGE(""https://docs.google.com/spreadsheets/d/""&amp;$A373&amp;""/edit#gid=156619080"",Z$3)"),"#REF!")</f>
        <v>#REF!</v>
      </c>
      <c r="AA373" s="2" t="str">
        <f>IFERROR(__xludf.DUMMYFUNCTION("IMPORTRANGE(""https://docs.google.com/spreadsheets/d/""&amp;$A373&amp;""/edit#gid=156619080"",AA$3)"),"#REF!")</f>
        <v>#REF!</v>
      </c>
      <c r="AB373" s="2" t="str">
        <f>IFERROR(__xludf.DUMMYFUNCTION("IMPORTRANGE(""https://docs.google.com/spreadsheets/d/""&amp;$A373&amp;""/edit#gid=156619080"",AB$3)"),"#REF!")</f>
        <v>#REF!</v>
      </c>
      <c r="AC373" s="2" t="str">
        <f>IFERROR(__xludf.DUMMYFUNCTION("IMPORTRANGE(""https://docs.google.com/spreadsheets/d/""&amp;$A373&amp;""/edit#gid=156619080"",AC$3)"),"#REF!")</f>
        <v>#REF!</v>
      </c>
      <c r="AD373" s="2" t="str">
        <f>IFERROR(__xludf.DUMMYFUNCTION("IMPORTRANGE(""https://docs.google.com/spreadsheets/d/""&amp;$A373&amp;""/edit#gid=156619080"",AD$3)"),"#REF!")</f>
        <v>#REF!</v>
      </c>
      <c r="AE373" s="2" t="str">
        <f>IFERROR(__xludf.DUMMYFUNCTION("IMPORTRANGE(""https://docs.google.com/spreadsheets/d/""&amp;$A373&amp;""/edit#gid=156619080"",AE$3)"),"#REF!")</f>
        <v>#REF!</v>
      </c>
      <c r="AF373" s="2" t="str">
        <f>IFERROR(__xludf.DUMMYFUNCTION("IMPORTRANGE(""https://docs.google.com/spreadsheets/d/""&amp;$A373&amp;""/edit#gid=156619080"",AF$3)"),"#REF!")</f>
        <v>#REF!</v>
      </c>
      <c r="AG373" s="2" t="str">
        <f>IFERROR(__xludf.DUMMYFUNCTION("IMPORTRANGE(""https://docs.google.com/spreadsheets/d/""&amp;$A373&amp;""/edit#gid=156619080"",AG$3)"),"#REF!")</f>
        <v>#REF!</v>
      </c>
      <c r="AH373" s="2" t="str">
        <f>IFERROR(__xludf.DUMMYFUNCTION("IMPORTRANGE(""https://docs.google.com/spreadsheets/d/""&amp;$A373&amp;""/edit#gid=156619080"",AH$3)"),"#REF!")</f>
        <v>#REF!</v>
      </c>
      <c r="AI373" s="2" t="str">
        <f>IFERROR(__xludf.DUMMYFUNCTION("IMPORTRANGE(""https://docs.google.com/spreadsheets/d/""&amp;$A373&amp;""/edit#gid=156619080"",AI$3)"),"#REF!")</f>
        <v>#REF!</v>
      </c>
      <c r="AJ373" s="2" t="str">
        <f>IFERROR(__xludf.DUMMYFUNCTION("IMPORTRANGE(""https://docs.google.com/spreadsheets/d/""&amp;$A373&amp;""/edit#gid=156619080"",AJ$3)"),"#REF!")</f>
        <v>#REF!</v>
      </c>
      <c r="AK373" s="2" t="str">
        <f>IFERROR(__xludf.DUMMYFUNCTION("IMPORTRANGE(""https://docs.google.com/spreadsheets/d/""&amp;$A373&amp;""/edit#gid=156619080"",AK$3)"),"#REF!")</f>
        <v>#REF!</v>
      </c>
      <c r="AL373" s="2" t="str">
        <f>IFERROR(__xludf.DUMMYFUNCTION("IMPORTRANGE(""https://docs.google.com/spreadsheets/d/""&amp;$A373&amp;""/edit#gid=156619080"",AL$3)"),"#REF!")</f>
        <v>#REF!</v>
      </c>
      <c r="AM373" s="2" t="str">
        <f>IFERROR(__xludf.DUMMYFUNCTION("IMPORTRANGE(""https://docs.google.com/spreadsheets/d/""&amp;$A373&amp;""/edit#gid=156619080"",AM$3)"),"#REF!")</f>
        <v>#REF!</v>
      </c>
      <c r="AN373" s="2" t="str">
        <f>IFERROR(__xludf.DUMMYFUNCTION("IMPORTRANGE(""https://docs.google.com/spreadsheets/d/""&amp;$A373&amp;""/edit#gid=156619080"",AN$3)"),"#REF!")</f>
        <v>#REF!</v>
      </c>
      <c r="AO373" s="2" t="str">
        <f>IFERROR(__xludf.DUMMYFUNCTION("IMPORTRANGE(""https://docs.google.com/spreadsheets/d/""&amp;$A373&amp;""/edit#gid=156619080"",AO$3)"),"#REF!")</f>
        <v>#REF!</v>
      </c>
      <c r="AP373" s="2" t="str">
        <f>IFERROR(__xludf.DUMMYFUNCTION("IMPORTRANGE(""https://docs.google.com/spreadsheets/d/""&amp;$A373&amp;""/edit#gid=156619080"",AP$3)"),"#REF!")</f>
        <v>#REF!</v>
      </c>
      <c r="AQ373" s="2" t="str">
        <f>IFERROR(__xludf.DUMMYFUNCTION("IMPORTRANGE(""https://docs.google.com/spreadsheets/d/""&amp;$A373&amp;""/edit#gid=156619080"",AQ$3)"),"#REF!")</f>
        <v>#REF!</v>
      </c>
      <c r="AR373" s="2" t="str">
        <f>IFERROR(__xludf.DUMMYFUNCTION("IMPORTRANGE(""https://docs.google.com/spreadsheets/d/""&amp;$A373&amp;""/edit#gid=156619080"",AR$3)"),"#REF!")</f>
        <v>#REF!</v>
      </c>
      <c r="AS373" s="19" t="str">
        <f>IFERROR(__xludf.DUMMYFUNCTION("IMPORTRANGE(""https://docs.google.com/spreadsheets/d/""&amp;$A373&amp;""/edit#gid=156619080"",AS$3)"),"#REF!")</f>
        <v>#REF!</v>
      </c>
      <c r="AT373" s="2" t="str">
        <f>IFERROR(__xludf.DUMMYFUNCTION("IMPORTRANGE(""https://docs.google.com/spreadsheets/d/""&amp;$A373&amp;""/edit#gid=156619080"",AT$3)"),"#REF!")</f>
        <v>#REF!</v>
      </c>
      <c r="AU373" s="3" t="str">
        <f>IFERROR(__xludf.DUMMYFUNCTION("IMPORTRANGE(""https://docs.google.com/spreadsheets/d/""&amp;$A373&amp;""/edit#gid=156619080"",AU$3)"),"#REF!")</f>
        <v>#REF!</v>
      </c>
      <c r="AV373" s="2" t="str">
        <f>IFERROR(__xludf.DUMMYFUNCTION("IMPORTRANGE(""https://docs.google.com/spreadsheets/d/""&amp;$A373&amp;""/edit#gid=156619080"",AV$3)"),"#REF!")</f>
        <v>#REF!</v>
      </c>
      <c r="AW373" s="19" t="str">
        <f>IFERROR(__xludf.DUMMYFUNCTION("IMPORTRANGE(""https://docs.google.com/spreadsheets/d/""&amp;$A373&amp;""/edit#gid=156619080"",AW$3)"),"#REF!")</f>
        <v>#REF!</v>
      </c>
      <c r="AX373" s="2" t="str">
        <f>IFERROR(__xludf.DUMMYFUNCTION("IMPORTRANGE(""https://docs.google.com/spreadsheets/d/""&amp;$A373&amp;""/edit#gid=156619080"",AX$3)"),"#REF!")</f>
        <v>#REF!</v>
      </c>
      <c r="AY373" s="2" t="str">
        <f>IFERROR(__xludf.DUMMYFUNCTION("IMPORTRANGE(""https://docs.google.com/spreadsheets/d/""&amp;$A373&amp;""/edit#gid=156619080"",AY$3)"),"#REF!")</f>
        <v>#REF!</v>
      </c>
      <c r="AZ373" s="2" t="str">
        <f>IFERROR(__xludf.DUMMYFUNCTION("IMPORTRANGE(""https://docs.google.com/spreadsheets/d/""&amp;$A373&amp;""/edit#gid=156619080"",AZ$3)"),"#REF!")</f>
        <v>#REF!</v>
      </c>
      <c r="BA373" s="2" t="str">
        <f>IFERROR(__xludf.DUMMYFUNCTION("IMPORTRANGE(""https://docs.google.com/spreadsheets/d/""&amp;$A373&amp;""/edit#gid=156619080"",BA$3)"),"#REF!")</f>
        <v>#REF!</v>
      </c>
      <c r="BB373" s="2" t="str">
        <f>IFERROR(__xludf.DUMMYFUNCTION("IMPORTRANGE(""https://docs.google.com/spreadsheets/d/""&amp;$A373&amp;""/edit#gid=156619080"",BB$3)"),"#REF!")</f>
        <v>#REF!</v>
      </c>
      <c r="BC373" s="2" t="str">
        <f>IFERROR(__xludf.DUMMYFUNCTION("IMPORTRANGE(""https://docs.google.com/spreadsheets/d/""&amp;$A373&amp;""/edit#gid=156619080"",BC$3)"),"#REF!")</f>
        <v>#REF!</v>
      </c>
    </row>
    <row r="374" ht="51.0" customHeight="1">
      <c r="A374" s="7" t="str">
        <f t="shared" si="5"/>
        <v>11tCLBGY3bS4CSKwfZ-IysNygWWjvRgteoLM8JY-D5LQ</v>
      </c>
      <c r="B374" s="1" t="s">
        <v>401</v>
      </c>
      <c r="C374" s="2" t="str">
        <f>IFERROR(__xludf.DUMMYFUNCTION("IMPORTRANGE(""https://docs.google.com/spreadsheets/d/""&amp;$A374&amp;""/edit#gid=156619080"",C$3)"),"#REF!")</f>
        <v>#REF!</v>
      </c>
      <c r="D374" s="2" t="str">
        <f>IFERROR(__xludf.DUMMYFUNCTION("IMPORTRANGE(""https://docs.google.com/spreadsheets/d/""&amp;$A374&amp;""/edit#gid=156619080"",D$3)"),"#REF!")</f>
        <v>#REF!</v>
      </c>
      <c r="E374" s="2" t="str">
        <f>IFERROR(__xludf.DUMMYFUNCTION("IMPORTRANGE(""https://docs.google.com/spreadsheets/d/""&amp;$A374&amp;""/edit#gid=156619080"",E$3)"),"#REF!")</f>
        <v>#REF!</v>
      </c>
      <c r="F374" s="2" t="str">
        <f>IFERROR(__xludf.DUMMYFUNCTION("IMPORTRANGE(""https://docs.google.com/spreadsheets/d/""&amp;$A374&amp;""/edit#gid=156619080"",F$3)"),"#REF!")</f>
        <v>#REF!</v>
      </c>
      <c r="G374" s="2" t="str">
        <f>IFERROR(__xludf.DUMMYFUNCTION("IMPORTRANGE(""https://docs.google.com/spreadsheets/d/""&amp;$A374&amp;""/edit#gid=156619080"",G$3)"),"#REF!")</f>
        <v>#REF!</v>
      </c>
      <c r="H374" s="2" t="str">
        <f>IFERROR(__xludf.DUMMYFUNCTION("IMPORTRANGE(""https://docs.google.com/spreadsheets/d/""&amp;$A374&amp;""/edit#gid=156619080"",H$3)"),"#REF!")</f>
        <v>#REF!</v>
      </c>
      <c r="I374" s="2" t="str">
        <f>IFERROR(__xludf.DUMMYFUNCTION("IMPORTRANGE(""https://docs.google.com/spreadsheets/d/""&amp;$A374&amp;""/edit#gid=156619080"",I$3)"),"#REF!")</f>
        <v>#REF!</v>
      </c>
      <c r="J374" s="2" t="str">
        <f>IFERROR(__xludf.DUMMYFUNCTION("IMPORTRANGE(""https://docs.google.com/spreadsheets/d/""&amp;$A374&amp;""/edit#gid=156619080"",J$3)"),"#REF!")</f>
        <v>#REF!</v>
      </c>
      <c r="K374" s="2" t="str">
        <f>IFERROR(__xludf.DUMMYFUNCTION("IMPORTRANGE(""https://docs.google.com/spreadsheets/d/""&amp;$A374&amp;""/edit#gid=156619080"",K$3)"),"#REF!")</f>
        <v>#REF!</v>
      </c>
      <c r="L374" s="2" t="str">
        <f>IFERROR(__xludf.DUMMYFUNCTION("IMPORTRANGE(""https://docs.google.com/spreadsheets/d/""&amp;$A374&amp;""/edit#gid=156619080"",L$3)"),"#REF!")</f>
        <v>#REF!</v>
      </c>
      <c r="M374" s="2" t="str">
        <f>IFERROR(__xludf.DUMMYFUNCTION("IMPORTRANGE(""https://docs.google.com/spreadsheets/d/""&amp;$A374&amp;""/edit#gid=156619080"",M$3)"),"#REF!")</f>
        <v>#REF!</v>
      </c>
      <c r="N374" s="2" t="str">
        <f>IFERROR(__xludf.DUMMYFUNCTION("IMPORTRANGE(""https://docs.google.com/spreadsheets/d/""&amp;$A374&amp;""/edit#gid=156619080"",N$3)"),"#REF!")</f>
        <v>#REF!</v>
      </c>
      <c r="O374" s="2" t="str">
        <f>IFERROR(__xludf.DUMMYFUNCTION("IMPORTRANGE(""https://docs.google.com/spreadsheets/d/""&amp;$A374&amp;""/edit#gid=156619080"",O$3)"),"#REF!")</f>
        <v>#REF!</v>
      </c>
      <c r="P374" s="2" t="str">
        <f>IFERROR(__xludf.DUMMYFUNCTION("IMPORTRANGE(""https://docs.google.com/spreadsheets/d/""&amp;$A374&amp;""/edit#gid=156619080"",P$3)"),"#REF!")</f>
        <v>#REF!</v>
      </c>
      <c r="Q374" s="2" t="str">
        <f>IFERROR(__xludf.DUMMYFUNCTION("IMPORTRANGE(""https://docs.google.com/spreadsheets/d/""&amp;$A374&amp;""/edit#gid=156619080"",Q$3)"),"#REF!")</f>
        <v>#REF!</v>
      </c>
      <c r="R374" s="2" t="str">
        <f>IFERROR(__xludf.DUMMYFUNCTION("IMPORTRANGE(""https://docs.google.com/spreadsheets/d/""&amp;$A374&amp;""/edit#gid=156619080"",R$3)"),"#REF!")</f>
        <v>#REF!</v>
      </c>
      <c r="S374" s="2" t="str">
        <f>IFERROR(__xludf.DUMMYFUNCTION("IMPORTRANGE(""https://docs.google.com/spreadsheets/d/""&amp;$A374&amp;""/edit#gid=156619080"",S$3)"),"#REF!")</f>
        <v>#REF!</v>
      </c>
      <c r="T374" s="2" t="str">
        <f>IFERROR(__xludf.DUMMYFUNCTION("IMPORTRANGE(""https://docs.google.com/spreadsheets/d/""&amp;$A374&amp;""/edit#gid=156619080"",T$3)"),"#REF!")</f>
        <v>#REF!</v>
      </c>
      <c r="U374" s="2" t="str">
        <f>IFERROR(__xludf.DUMMYFUNCTION("IMPORTRANGE(""https://docs.google.com/spreadsheets/d/""&amp;$A374&amp;""/edit#gid=156619080"",U$3)"),"#REF!")</f>
        <v>#REF!</v>
      </c>
      <c r="V374" s="2" t="str">
        <f>IFERROR(__xludf.DUMMYFUNCTION("IMPORTRANGE(""https://docs.google.com/spreadsheets/d/""&amp;$A374&amp;""/edit#gid=156619080"",V$3)"),"#REF!")</f>
        <v>#REF!</v>
      </c>
      <c r="W374" s="2" t="str">
        <f>IFERROR(__xludf.DUMMYFUNCTION("IMPORTRANGE(""https://docs.google.com/spreadsheets/d/""&amp;$A374&amp;""/edit#gid=156619080"",W$3)"),"#REF!")</f>
        <v>#REF!</v>
      </c>
      <c r="X374" s="2" t="str">
        <f>IFERROR(__xludf.DUMMYFUNCTION("IMPORTRANGE(""https://docs.google.com/spreadsheets/d/""&amp;$A374&amp;""/edit#gid=156619080"",X$3)"),"#REF!")</f>
        <v>#REF!</v>
      </c>
      <c r="Y374" s="2" t="str">
        <f>IFERROR(__xludf.DUMMYFUNCTION("IMPORTRANGE(""https://docs.google.com/spreadsheets/d/""&amp;$A374&amp;""/edit#gid=156619080"",Y$3)"),"#REF!")</f>
        <v>#REF!</v>
      </c>
      <c r="Z374" s="2" t="str">
        <f>IFERROR(__xludf.DUMMYFUNCTION("IMPORTRANGE(""https://docs.google.com/spreadsheets/d/""&amp;$A374&amp;""/edit#gid=156619080"",Z$3)"),"#REF!")</f>
        <v>#REF!</v>
      </c>
      <c r="AA374" s="2" t="str">
        <f>IFERROR(__xludf.DUMMYFUNCTION("IMPORTRANGE(""https://docs.google.com/spreadsheets/d/""&amp;$A374&amp;""/edit#gid=156619080"",AA$3)"),"#REF!")</f>
        <v>#REF!</v>
      </c>
      <c r="AB374" s="2" t="str">
        <f>IFERROR(__xludf.DUMMYFUNCTION("IMPORTRANGE(""https://docs.google.com/spreadsheets/d/""&amp;$A374&amp;""/edit#gid=156619080"",AB$3)"),"#REF!")</f>
        <v>#REF!</v>
      </c>
      <c r="AC374" s="2" t="str">
        <f>IFERROR(__xludf.DUMMYFUNCTION("IMPORTRANGE(""https://docs.google.com/spreadsheets/d/""&amp;$A374&amp;""/edit#gid=156619080"",AC$3)"),"#REF!")</f>
        <v>#REF!</v>
      </c>
      <c r="AD374" s="2" t="str">
        <f>IFERROR(__xludf.DUMMYFUNCTION("IMPORTRANGE(""https://docs.google.com/spreadsheets/d/""&amp;$A374&amp;""/edit#gid=156619080"",AD$3)"),"#REF!")</f>
        <v>#REF!</v>
      </c>
      <c r="AE374" s="2" t="str">
        <f>IFERROR(__xludf.DUMMYFUNCTION("IMPORTRANGE(""https://docs.google.com/spreadsheets/d/""&amp;$A374&amp;""/edit#gid=156619080"",AE$3)"),"#REF!")</f>
        <v>#REF!</v>
      </c>
      <c r="AF374" s="2" t="str">
        <f>IFERROR(__xludf.DUMMYFUNCTION("IMPORTRANGE(""https://docs.google.com/spreadsheets/d/""&amp;$A374&amp;""/edit#gid=156619080"",AF$3)"),"#REF!")</f>
        <v>#REF!</v>
      </c>
      <c r="AG374" s="2" t="str">
        <f>IFERROR(__xludf.DUMMYFUNCTION("IMPORTRANGE(""https://docs.google.com/spreadsheets/d/""&amp;$A374&amp;""/edit#gid=156619080"",AG$3)"),"#REF!")</f>
        <v>#REF!</v>
      </c>
      <c r="AH374" s="2" t="str">
        <f>IFERROR(__xludf.DUMMYFUNCTION("IMPORTRANGE(""https://docs.google.com/spreadsheets/d/""&amp;$A374&amp;""/edit#gid=156619080"",AH$3)"),"#REF!")</f>
        <v>#REF!</v>
      </c>
      <c r="AI374" s="2" t="str">
        <f>IFERROR(__xludf.DUMMYFUNCTION("IMPORTRANGE(""https://docs.google.com/spreadsheets/d/""&amp;$A374&amp;""/edit#gid=156619080"",AI$3)"),"#REF!")</f>
        <v>#REF!</v>
      </c>
      <c r="AJ374" s="2" t="str">
        <f>IFERROR(__xludf.DUMMYFUNCTION("IMPORTRANGE(""https://docs.google.com/spreadsheets/d/""&amp;$A374&amp;""/edit#gid=156619080"",AJ$3)"),"#REF!")</f>
        <v>#REF!</v>
      </c>
      <c r="AK374" s="2" t="str">
        <f>IFERROR(__xludf.DUMMYFUNCTION("IMPORTRANGE(""https://docs.google.com/spreadsheets/d/""&amp;$A374&amp;""/edit#gid=156619080"",AK$3)"),"#REF!")</f>
        <v>#REF!</v>
      </c>
      <c r="AL374" s="2" t="str">
        <f>IFERROR(__xludf.DUMMYFUNCTION("IMPORTRANGE(""https://docs.google.com/spreadsheets/d/""&amp;$A374&amp;""/edit#gid=156619080"",AL$3)"),"#REF!")</f>
        <v>#REF!</v>
      </c>
      <c r="AM374" s="2" t="str">
        <f>IFERROR(__xludf.DUMMYFUNCTION("IMPORTRANGE(""https://docs.google.com/spreadsheets/d/""&amp;$A374&amp;""/edit#gid=156619080"",AM$3)"),"#REF!")</f>
        <v>#REF!</v>
      </c>
      <c r="AN374" s="2" t="str">
        <f>IFERROR(__xludf.DUMMYFUNCTION("IMPORTRANGE(""https://docs.google.com/spreadsheets/d/""&amp;$A374&amp;""/edit#gid=156619080"",AN$3)"),"#REF!")</f>
        <v>#REF!</v>
      </c>
      <c r="AO374" s="2" t="str">
        <f>IFERROR(__xludf.DUMMYFUNCTION("IMPORTRANGE(""https://docs.google.com/spreadsheets/d/""&amp;$A374&amp;""/edit#gid=156619080"",AO$3)"),"#REF!")</f>
        <v>#REF!</v>
      </c>
      <c r="AP374" s="2" t="str">
        <f>IFERROR(__xludf.DUMMYFUNCTION("IMPORTRANGE(""https://docs.google.com/spreadsheets/d/""&amp;$A374&amp;""/edit#gid=156619080"",AP$3)"),"#REF!")</f>
        <v>#REF!</v>
      </c>
      <c r="AQ374" s="2" t="str">
        <f>IFERROR(__xludf.DUMMYFUNCTION("IMPORTRANGE(""https://docs.google.com/spreadsheets/d/""&amp;$A374&amp;""/edit#gid=156619080"",AQ$3)"),"#REF!")</f>
        <v>#REF!</v>
      </c>
      <c r="AR374" s="2" t="str">
        <f>IFERROR(__xludf.DUMMYFUNCTION("IMPORTRANGE(""https://docs.google.com/spreadsheets/d/""&amp;$A374&amp;""/edit#gid=156619080"",AR$3)"),"#REF!")</f>
        <v>#REF!</v>
      </c>
      <c r="AS374" s="19" t="str">
        <f>IFERROR(__xludf.DUMMYFUNCTION("IMPORTRANGE(""https://docs.google.com/spreadsheets/d/""&amp;$A374&amp;""/edit#gid=156619080"",AS$3)"),"#REF!")</f>
        <v>#REF!</v>
      </c>
      <c r="AT374" s="2" t="str">
        <f>IFERROR(__xludf.DUMMYFUNCTION("IMPORTRANGE(""https://docs.google.com/spreadsheets/d/""&amp;$A374&amp;""/edit#gid=156619080"",AT$3)"),"#REF!")</f>
        <v>#REF!</v>
      </c>
      <c r="AU374" s="3" t="str">
        <f>IFERROR(__xludf.DUMMYFUNCTION("IMPORTRANGE(""https://docs.google.com/spreadsheets/d/""&amp;$A374&amp;""/edit#gid=156619080"",AU$3)"),"#REF!")</f>
        <v>#REF!</v>
      </c>
      <c r="AV374" s="2" t="str">
        <f>IFERROR(__xludf.DUMMYFUNCTION("IMPORTRANGE(""https://docs.google.com/spreadsheets/d/""&amp;$A374&amp;""/edit#gid=156619080"",AV$3)"),"#REF!")</f>
        <v>#REF!</v>
      </c>
      <c r="AW374" s="19" t="str">
        <f>IFERROR(__xludf.DUMMYFUNCTION("IMPORTRANGE(""https://docs.google.com/spreadsheets/d/""&amp;$A374&amp;""/edit#gid=156619080"",AW$3)"),"#REF!")</f>
        <v>#REF!</v>
      </c>
      <c r="AX374" s="2" t="str">
        <f>IFERROR(__xludf.DUMMYFUNCTION("IMPORTRANGE(""https://docs.google.com/spreadsheets/d/""&amp;$A374&amp;""/edit#gid=156619080"",AX$3)"),"#REF!")</f>
        <v>#REF!</v>
      </c>
      <c r="AY374" s="2" t="str">
        <f>IFERROR(__xludf.DUMMYFUNCTION("IMPORTRANGE(""https://docs.google.com/spreadsheets/d/""&amp;$A374&amp;""/edit#gid=156619080"",AY$3)"),"#REF!")</f>
        <v>#REF!</v>
      </c>
      <c r="AZ374" s="2" t="str">
        <f>IFERROR(__xludf.DUMMYFUNCTION("IMPORTRANGE(""https://docs.google.com/spreadsheets/d/""&amp;$A374&amp;""/edit#gid=156619080"",AZ$3)"),"#REF!")</f>
        <v>#REF!</v>
      </c>
      <c r="BA374" s="2" t="str">
        <f>IFERROR(__xludf.DUMMYFUNCTION("IMPORTRANGE(""https://docs.google.com/spreadsheets/d/""&amp;$A374&amp;""/edit#gid=156619080"",BA$3)"),"#REF!")</f>
        <v>#REF!</v>
      </c>
      <c r="BB374" s="2" t="str">
        <f>IFERROR(__xludf.DUMMYFUNCTION("IMPORTRANGE(""https://docs.google.com/spreadsheets/d/""&amp;$A374&amp;""/edit#gid=156619080"",BB$3)"),"#REF!")</f>
        <v>#REF!</v>
      </c>
      <c r="BC374" s="2" t="str">
        <f>IFERROR(__xludf.DUMMYFUNCTION("IMPORTRANGE(""https://docs.google.com/spreadsheets/d/""&amp;$A374&amp;""/edit#gid=156619080"",BC$3)"),"#REF!")</f>
        <v>#REF!</v>
      </c>
    </row>
    <row r="375" ht="51.0" customHeight="1">
      <c r="A375" s="7" t="str">
        <f t="shared" si="5"/>
        <v>1vgwXI2enLBT1ymqcbRCF1d7H_HlPK_J12JVM4ZtKMyA</v>
      </c>
      <c r="B375" s="1" t="s">
        <v>402</v>
      </c>
      <c r="C375" s="2" t="str">
        <f>IFERROR(__xludf.DUMMYFUNCTION("IMPORTRANGE(""https://docs.google.com/spreadsheets/d/""&amp;$A375&amp;""/edit#gid=156619080"",C$3)"),"#REF!")</f>
        <v>#REF!</v>
      </c>
      <c r="D375" s="2" t="str">
        <f>IFERROR(__xludf.DUMMYFUNCTION("IMPORTRANGE(""https://docs.google.com/spreadsheets/d/""&amp;$A375&amp;""/edit#gid=156619080"",D$3)"),"#REF!")</f>
        <v>#REF!</v>
      </c>
      <c r="E375" s="2" t="str">
        <f>IFERROR(__xludf.DUMMYFUNCTION("IMPORTRANGE(""https://docs.google.com/spreadsheets/d/""&amp;$A375&amp;""/edit#gid=156619080"",E$3)"),"#REF!")</f>
        <v>#REF!</v>
      </c>
      <c r="F375" s="2" t="str">
        <f>IFERROR(__xludf.DUMMYFUNCTION("IMPORTRANGE(""https://docs.google.com/spreadsheets/d/""&amp;$A375&amp;""/edit#gid=156619080"",F$3)"),"#REF!")</f>
        <v>#REF!</v>
      </c>
      <c r="G375" s="2" t="str">
        <f>IFERROR(__xludf.DUMMYFUNCTION("IMPORTRANGE(""https://docs.google.com/spreadsheets/d/""&amp;$A375&amp;""/edit#gid=156619080"",G$3)"),"#REF!")</f>
        <v>#REF!</v>
      </c>
      <c r="H375" s="2" t="str">
        <f>IFERROR(__xludf.DUMMYFUNCTION("IMPORTRANGE(""https://docs.google.com/spreadsheets/d/""&amp;$A375&amp;""/edit#gid=156619080"",H$3)"),"#REF!")</f>
        <v>#REF!</v>
      </c>
      <c r="I375" s="2" t="str">
        <f>IFERROR(__xludf.DUMMYFUNCTION("IMPORTRANGE(""https://docs.google.com/spreadsheets/d/""&amp;$A375&amp;""/edit#gid=156619080"",I$3)"),"#REF!")</f>
        <v>#REF!</v>
      </c>
      <c r="J375" s="2" t="str">
        <f>IFERROR(__xludf.DUMMYFUNCTION("IMPORTRANGE(""https://docs.google.com/spreadsheets/d/""&amp;$A375&amp;""/edit#gid=156619080"",J$3)"),"#REF!")</f>
        <v>#REF!</v>
      </c>
      <c r="K375" s="2" t="str">
        <f>IFERROR(__xludf.DUMMYFUNCTION("IMPORTRANGE(""https://docs.google.com/spreadsheets/d/""&amp;$A375&amp;""/edit#gid=156619080"",K$3)"),"#REF!")</f>
        <v>#REF!</v>
      </c>
      <c r="L375" s="2" t="str">
        <f>IFERROR(__xludf.DUMMYFUNCTION("IMPORTRANGE(""https://docs.google.com/spreadsheets/d/""&amp;$A375&amp;""/edit#gid=156619080"",L$3)"),"#REF!")</f>
        <v>#REF!</v>
      </c>
      <c r="M375" s="2" t="str">
        <f>IFERROR(__xludf.DUMMYFUNCTION("IMPORTRANGE(""https://docs.google.com/spreadsheets/d/""&amp;$A375&amp;""/edit#gid=156619080"",M$3)"),"#REF!")</f>
        <v>#REF!</v>
      </c>
      <c r="N375" s="2" t="str">
        <f>IFERROR(__xludf.DUMMYFUNCTION("IMPORTRANGE(""https://docs.google.com/spreadsheets/d/""&amp;$A375&amp;""/edit#gid=156619080"",N$3)"),"#REF!")</f>
        <v>#REF!</v>
      </c>
      <c r="O375" s="2" t="str">
        <f>IFERROR(__xludf.DUMMYFUNCTION("IMPORTRANGE(""https://docs.google.com/spreadsheets/d/""&amp;$A375&amp;""/edit#gid=156619080"",O$3)"),"#REF!")</f>
        <v>#REF!</v>
      </c>
      <c r="P375" s="2" t="str">
        <f>IFERROR(__xludf.DUMMYFUNCTION("IMPORTRANGE(""https://docs.google.com/spreadsheets/d/""&amp;$A375&amp;""/edit#gid=156619080"",P$3)"),"#REF!")</f>
        <v>#REF!</v>
      </c>
      <c r="Q375" s="2" t="str">
        <f>IFERROR(__xludf.DUMMYFUNCTION("IMPORTRANGE(""https://docs.google.com/spreadsheets/d/""&amp;$A375&amp;""/edit#gid=156619080"",Q$3)"),"#REF!")</f>
        <v>#REF!</v>
      </c>
      <c r="R375" s="2" t="str">
        <f>IFERROR(__xludf.DUMMYFUNCTION("IMPORTRANGE(""https://docs.google.com/spreadsheets/d/""&amp;$A375&amp;""/edit#gid=156619080"",R$3)"),"#REF!")</f>
        <v>#REF!</v>
      </c>
      <c r="S375" s="2" t="str">
        <f>IFERROR(__xludf.DUMMYFUNCTION("IMPORTRANGE(""https://docs.google.com/spreadsheets/d/""&amp;$A375&amp;""/edit#gid=156619080"",S$3)"),"#REF!")</f>
        <v>#REF!</v>
      </c>
      <c r="T375" s="2" t="str">
        <f>IFERROR(__xludf.DUMMYFUNCTION("IMPORTRANGE(""https://docs.google.com/spreadsheets/d/""&amp;$A375&amp;""/edit#gid=156619080"",T$3)"),"#REF!")</f>
        <v>#REF!</v>
      </c>
      <c r="U375" s="2" t="str">
        <f>IFERROR(__xludf.DUMMYFUNCTION("IMPORTRANGE(""https://docs.google.com/spreadsheets/d/""&amp;$A375&amp;""/edit#gid=156619080"",U$3)"),"#REF!")</f>
        <v>#REF!</v>
      </c>
      <c r="V375" s="2" t="str">
        <f>IFERROR(__xludf.DUMMYFUNCTION("IMPORTRANGE(""https://docs.google.com/spreadsheets/d/""&amp;$A375&amp;""/edit#gid=156619080"",V$3)"),"#REF!")</f>
        <v>#REF!</v>
      </c>
      <c r="W375" s="2" t="str">
        <f>IFERROR(__xludf.DUMMYFUNCTION("IMPORTRANGE(""https://docs.google.com/spreadsheets/d/""&amp;$A375&amp;""/edit#gid=156619080"",W$3)"),"#REF!")</f>
        <v>#REF!</v>
      </c>
      <c r="X375" s="2" t="str">
        <f>IFERROR(__xludf.DUMMYFUNCTION("IMPORTRANGE(""https://docs.google.com/spreadsheets/d/""&amp;$A375&amp;""/edit#gid=156619080"",X$3)"),"#REF!")</f>
        <v>#REF!</v>
      </c>
      <c r="Y375" s="2" t="str">
        <f>IFERROR(__xludf.DUMMYFUNCTION("IMPORTRANGE(""https://docs.google.com/spreadsheets/d/""&amp;$A375&amp;""/edit#gid=156619080"",Y$3)"),"#REF!")</f>
        <v>#REF!</v>
      </c>
      <c r="Z375" s="2" t="str">
        <f>IFERROR(__xludf.DUMMYFUNCTION("IMPORTRANGE(""https://docs.google.com/spreadsheets/d/""&amp;$A375&amp;""/edit#gid=156619080"",Z$3)"),"#REF!")</f>
        <v>#REF!</v>
      </c>
      <c r="AA375" s="2" t="str">
        <f>IFERROR(__xludf.DUMMYFUNCTION("IMPORTRANGE(""https://docs.google.com/spreadsheets/d/""&amp;$A375&amp;""/edit#gid=156619080"",AA$3)"),"#REF!")</f>
        <v>#REF!</v>
      </c>
      <c r="AB375" s="2" t="str">
        <f>IFERROR(__xludf.DUMMYFUNCTION("IMPORTRANGE(""https://docs.google.com/spreadsheets/d/""&amp;$A375&amp;""/edit#gid=156619080"",AB$3)"),"#REF!")</f>
        <v>#REF!</v>
      </c>
      <c r="AC375" s="2" t="str">
        <f>IFERROR(__xludf.DUMMYFUNCTION("IMPORTRANGE(""https://docs.google.com/spreadsheets/d/""&amp;$A375&amp;""/edit#gid=156619080"",AC$3)"),"#REF!")</f>
        <v>#REF!</v>
      </c>
      <c r="AD375" s="2" t="str">
        <f>IFERROR(__xludf.DUMMYFUNCTION("IMPORTRANGE(""https://docs.google.com/spreadsheets/d/""&amp;$A375&amp;""/edit#gid=156619080"",AD$3)"),"#REF!")</f>
        <v>#REF!</v>
      </c>
      <c r="AE375" s="2" t="str">
        <f>IFERROR(__xludf.DUMMYFUNCTION("IMPORTRANGE(""https://docs.google.com/spreadsheets/d/""&amp;$A375&amp;""/edit#gid=156619080"",AE$3)"),"#REF!")</f>
        <v>#REF!</v>
      </c>
      <c r="AF375" s="2" t="str">
        <f>IFERROR(__xludf.DUMMYFUNCTION("IMPORTRANGE(""https://docs.google.com/spreadsheets/d/""&amp;$A375&amp;""/edit#gid=156619080"",AF$3)"),"#REF!")</f>
        <v>#REF!</v>
      </c>
      <c r="AG375" s="2" t="str">
        <f>IFERROR(__xludf.DUMMYFUNCTION("IMPORTRANGE(""https://docs.google.com/spreadsheets/d/""&amp;$A375&amp;""/edit#gid=156619080"",AG$3)"),"#REF!")</f>
        <v>#REF!</v>
      </c>
      <c r="AH375" s="2" t="str">
        <f>IFERROR(__xludf.DUMMYFUNCTION("IMPORTRANGE(""https://docs.google.com/spreadsheets/d/""&amp;$A375&amp;""/edit#gid=156619080"",AH$3)"),"#REF!")</f>
        <v>#REF!</v>
      </c>
      <c r="AI375" s="2" t="str">
        <f>IFERROR(__xludf.DUMMYFUNCTION("IMPORTRANGE(""https://docs.google.com/spreadsheets/d/""&amp;$A375&amp;""/edit#gid=156619080"",AI$3)"),"#REF!")</f>
        <v>#REF!</v>
      </c>
      <c r="AJ375" s="2" t="str">
        <f>IFERROR(__xludf.DUMMYFUNCTION("IMPORTRANGE(""https://docs.google.com/spreadsheets/d/""&amp;$A375&amp;""/edit#gid=156619080"",AJ$3)"),"#REF!")</f>
        <v>#REF!</v>
      </c>
      <c r="AK375" s="2" t="str">
        <f>IFERROR(__xludf.DUMMYFUNCTION("IMPORTRANGE(""https://docs.google.com/spreadsheets/d/""&amp;$A375&amp;""/edit#gid=156619080"",AK$3)"),"#REF!")</f>
        <v>#REF!</v>
      </c>
      <c r="AL375" s="2" t="str">
        <f>IFERROR(__xludf.DUMMYFUNCTION("IMPORTRANGE(""https://docs.google.com/spreadsheets/d/""&amp;$A375&amp;""/edit#gid=156619080"",AL$3)"),"#REF!")</f>
        <v>#REF!</v>
      </c>
      <c r="AM375" s="2" t="str">
        <f>IFERROR(__xludf.DUMMYFUNCTION("IMPORTRANGE(""https://docs.google.com/spreadsheets/d/""&amp;$A375&amp;""/edit#gid=156619080"",AM$3)"),"#REF!")</f>
        <v>#REF!</v>
      </c>
      <c r="AN375" s="2" t="str">
        <f>IFERROR(__xludf.DUMMYFUNCTION("IMPORTRANGE(""https://docs.google.com/spreadsheets/d/""&amp;$A375&amp;""/edit#gid=156619080"",AN$3)"),"#REF!")</f>
        <v>#REF!</v>
      </c>
      <c r="AO375" s="2" t="str">
        <f>IFERROR(__xludf.DUMMYFUNCTION("IMPORTRANGE(""https://docs.google.com/spreadsheets/d/""&amp;$A375&amp;""/edit#gid=156619080"",AO$3)"),"#REF!")</f>
        <v>#REF!</v>
      </c>
      <c r="AP375" s="2" t="str">
        <f>IFERROR(__xludf.DUMMYFUNCTION("IMPORTRANGE(""https://docs.google.com/spreadsheets/d/""&amp;$A375&amp;""/edit#gid=156619080"",AP$3)"),"#REF!")</f>
        <v>#REF!</v>
      </c>
      <c r="AQ375" s="2" t="str">
        <f>IFERROR(__xludf.DUMMYFUNCTION("IMPORTRANGE(""https://docs.google.com/spreadsheets/d/""&amp;$A375&amp;""/edit#gid=156619080"",AQ$3)"),"#REF!")</f>
        <v>#REF!</v>
      </c>
      <c r="AR375" s="2" t="str">
        <f>IFERROR(__xludf.DUMMYFUNCTION("IMPORTRANGE(""https://docs.google.com/spreadsheets/d/""&amp;$A375&amp;""/edit#gid=156619080"",AR$3)"),"#REF!")</f>
        <v>#REF!</v>
      </c>
      <c r="AS375" s="19" t="str">
        <f>IFERROR(__xludf.DUMMYFUNCTION("IMPORTRANGE(""https://docs.google.com/spreadsheets/d/""&amp;$A375&amp;""/edit#gid=156619080"",AS$3)"),"#REF!")</f>
        <v>#REF!</v>
      </c>
      <c r="AT375" s="2" t="str">
        <f>IFERROR(__xludf.DUMMYFUNCTION("IMPORTRANGE(""https://docs.google.com/spreadsheets/d/""&amp;$A375&amp;""/edit#gid=156619080"",AT$3)"),"#REF!")</f>
        <v>#REF!</v>
      </c>
      <c r="AU375" s="3" t="str">
        <f>IFERROR(__xludf.DUMMYFUNCTION("IMPORTRANGE(""https://docs.google.com/spreadsheets/d/""&amp;$A375&amp;""/edit#gid=156619080"",AU$3)"),"#REF!")</f>
        <v>#REF!</v>
      </c>
      <c r="AV375" s="2" t="str">
        <f>IFERROR(__xludf.DUMMYFUNCTION("IMPORTRANGE(""https://docs.google.com/spreadsheets/d/""&amp;$A375&amp;""/edit#gid=156619080"",AV$3)"),"#REF!")</f>
        <v>#REF!</v>
      </c>
      <c r="AW375" s="19" t="str">
        <f>IFERROR(__xludf.DUMMYFUNCTION("IMPORTRANGE(""https://docs.google.com/spreadsheets/d/""&amp;$A375&amp;""/edit#gid=156619080"",AW$3)"),"#REF!")</f>
        <v>#REF!</v>
      </c>
      <c r="AX375" s="2" t="str">
        <f>IFERROR(__xludf.DUMMYFUNCTION("IMPORTRANGE(""https://docs.google.com/spreadsheets/d/""&amp;$A375&amp;""/edit#gid=156619080"",AX$3)"),"#REF!")</f>
        <v>#REF!</v>
      </c>
      <c r="AY375" s="2" t="str">
        <f>IFERROR(__xludf.DUMMYFUNCTION("IMPORTRANGE(""https://docs.google.com/spreadsheets/d/""&amp;$A375&amp;""/edit#gid=156619080"",AY$3)"),"#REF!")</f>
        <v>#REF!</v>
      </c>
      <c r="AZ375" s="2" t="str">
        <f>IFERROR(__xludf.DUMMYFUNCTION("IMPORTRANGE(""https://docs.google.com/spreadsheets/d/""&amp;$A375&amp;""/edit#gid=156619080"",AZ$3)"),"#REF!")</f>
        <v>#REF!</v>
      </c>
      <c r="BA375" s="2" t="str">
        <f>IFERROR(__xludf.DUMMYFUNCTION("IMPORTRANGE(""https://docs.google.com/spreadsheets/d/""&amp;$A375&amp;""/edit#gid=156619080"",BA$3)"),"#REF!")</f>
        <v>#REF!</v>
      </c>
      <c r="BB375" s="2" t="str">
        <f>IFERROR(__xludf.DUMMYFUNCTION("IMPORTRANGE(""https://docs.google.com/spreadsheets/d/""&amp;$A375&amp;""/edit#gid=156619080"",BB$3)"),"#REF!")</f>
        <v>#REF!</v>
      </c>
      <c r="BC375" s="2" t="str">
        <f>IFERROR(__xludf.DUMMYFUNCTION("IMPORTRANGE(""https://docs.google.com/spreadsheets/d/""&amp;$A375&amp;""/edit#gid=156619080"",BC$3)"),"#REF!")</f>
        <v>#REF!</v>
      </c>
    </row>
    <row r="376" ht="51.0" customHeight="1">
      <c r="A376" s="7" t="str">
        <f t="shared" si="5"/>
        <v>1IDPcT4KypzwyN5eWF76bfJfI9l-gLmoIy_5uPemQzWQ</v>
      </c>
      <c r="B376" s="1" t="s">
        <v>403</v>
      </c>
      <c r="C376" s="2" t="str">
        <f>IFERROR(__xludf.DUMMYFUNCTION("IMPORTRANGE(""https://docs.google.com/spreadsheets/d/""&amp;$A376&amp;""/edit#gid=156619080"",C$3)"),"#REF!")</f>
        <v>#REF!</v>
      </c>
      <c r="D376" s="2" t="str">
        <f>IFERROR(__xludf.DUMMYFUNCTION("IMPORTRANGE(""https://docs.google.com/spreadsheets/d/""&amp;$A376&amp;""/edit#gid=156619080"",D$3)"),"#REF!")</f>
        <v>#REF!</v>
      </c>
      <c r="E376" s="2" t="str">
        <f>IFERROR(__xludf.DUMMYFUNCTION("IMPORTRANGE(""https://docs.google.com/spreadsheets/d/""&amp;$A376&amp;""/edit#gid=156619080"",E$3)"),"#REF!")</f>
        <v>#REF!</v>
      </c>
      <c r="F376" s="2" t="str">
        <f>IFERROR(__xludf.DUMMYFUNCTION("IMPORTRANGE(""https://docs.google.com/spreadsheets/d/""&amp;$A376&amp;""/edit#gid=156619080"",F$3)"),"#REF!")</f>
        <v>#REF!</v>
      </c>
      <c r="G376" s="2" t="str">
        <f>IFERROR(__xludf.DUMMYFUNCTION("IMPORTRANGE(""https://docs.google.com/spreadsheets/d/""&amp;$A376&amp;""/edit#gid=156619080"",G$3)"),"#REF!")</f>
        <v>#REF!</v>
      </c>
      <c r="H376" s="2" t="str">
        <f>IFERROR(__xludf.DUMMYFUNCTION("IMPORTRANGE(""https://docs.google.com/spreadsheets/d/""&amp;$A376&amp;""/edit#gid=156619080"",H$3)"),"#REF!")</f>
        <v>#REF!</v>
      </c>
      <c r="I376" s="2" t="str">
        <f>IFERROR(__xludf.DUMMYFUNCTION("IMPORTRANGE(""https://docs.google.com/spreadsheets/d/""&amp;$A376&amp;""/edit#gid=156619080"",I$3)"),"#REF!")</f>
        <v>#REF!</v>
      </c>
      <c r="J376" s="2" t="str">
        <f>IFERROR(__xludf.DUMMYFUNCTION("IMPORTRANGE(""https://docs.google.com/spreadsheets/d/""&amp;$A376&amp;""/edit#gid=156619080"",J$3)"),"#REF!")</f>
        <v>#REF!</v>
      </c>
      <c r="K376" s="2" t="str">
        <f>IFERROR(__xludf.DUMMYFUNCTION("IMPORTRANGE(""https://docs.google.com/spreadsheets/d/""&amp;$A376&amp;""/edit#gid=156619080"",K$3)"),"#REF!")</f>
        <v>#REF!</v>
      </c>
      <c r="L376" s="2" t="str">
        <f>IFERROR(__xludf.DUMMYFUNCTION("IMPORTRANGE(""https://docs.google.com/spreadsheets/d/""&amp;$A376&amp;""/edit#gid=156619080"",L$3)"),"#REF!")</f>
        <v>#REF!</v>
      </c>
      <c r="M376" s="2" t="str">
        <f>IFERROR(__xludf.DUMMYFUNCTION("IMPORTRANGE(""https://docs.google.com/spreadsheets/d/""&amp;$A376&amp;""/edit#gid=156619080"",M$3)"),"#REF!")</f>
        <v>#REF!</v>
      </c>
      <c r="N376" s="2" t="str">
        <f>IFERROR(__xludf.DUMMYFUNCTION("IMPORTRANGE(""https://docs.google.com/spreadsheets/d/""&amp;$A376&amp;""/edit#gid=156619080"",N$3)"),"#REF!")</f>
        <v>#REF!</v>
      </c>
      <c r="O376" s="2" t="str">
        <f>IFERROR(__xludf.DUMMYFUNCTION("IMPORTRANGE(""https://docs.google.com/spreadsheets/d/""&amp;$A376&amp;""/edit#gid=156619080"",O$3)"),"#REF!")</f>
        <v>#REF!</v>
      </c>
      <c r="P376" s="2" t="str">
        <f>IFERROR(__xludf.DUMMYFUNCTION("IMPORTRANGE(""https://docs.google.com/spreadsheets/d/""&amp;$A376&amp;""/edit#gid=156619080"",P$3)"),"#REF!")</f>
        <v>#REF!</v>
      </c>
      <c r="Q376" s="2" t="str">
        <f>IFERROR(__xludf.DUMMYFUNCTION("IMPORTRANGE(""https://docs.google.com/spreadsheets/d/""&amp;$A376&amp;""/edit#gid=156619080"",Q$3)"),"#REF!")</f>
        <v>#REF!</v>
      </c>
      <c r="R376" s="2" t="str">
        <f>IFERROR(__xludf.DUMMYFUNCTION("IMPORTRANGE(""https://docs.google.com/spreadsheets/d/""&amp;$A376&amp;""/edit#gid=156619080"",R$3)"),"#REF!")</f>
        <v>#REF!</v>
      </c>
      <c r="S376" s="2" t="str">
        <f>IFERROR(__xludf.DUMMYFUNCTION("IMPORTRANGE(""https://docs.google.com/spreadsheets/d/""&amp;$A376&amp;""/edit#gid=156619080"",S$3)"),"#REF!")</f>
        <v>#REF!</v>
      </c>
      <c r="T376" s="2" t="str">
        <f>IFERROR(__xludf.DUMMYFUNCTION("IMPORTRANGE(""https://docs.google.com/spreadsheets/d/""&amp;$A376&amp;""/edit#gid=156619080"",T$3)"),"#REF!")</f>
        <v>#REF!</v>
      </c>
      <c r="U376" s="2" t="str">
        <f>IFERROR(__xludf.DUMMYFUNCTION("IMPORTRANGE(""https://docs.google.com/spreadsheets/d/""&amp;$A376&amp;""/edit#gid=156619080"",U$3)"),"#REF!")</f>
        <v>#REF!</v>
      </c>
      <c r="V376" s="2" t="str">
        <f>IFERROR(__xludf.DUMMYFUNCTION("IMPORTRANGE(""https://docs.google.com/spreadsheets/d/""&amp;$A376&amp;""/edit#gid=156619080"",V$3)"),"#REF!")</f>
        <v>#REF!</v>
      </c>
      <c r="W376" s="2" t="str">
        <f>IFERROR(__xludf.DUMMYFUNCTION("IMPORTRANGE(""https://docs.google.com/spreadsheets/d/""&amp;$A376&amp;""/edit#gid=156619080"",W$3)"),"#REF!")</f>
        <v>#REF!</v>
      </c>
      <c r="X376" s="2" t="str">
        <f>IFERROR(__xludf.DUMMYFUNCTION("IMPORTRANGE(""https://docs.google.com/spreadsheets/d/""&amp;$A376&amp;""/edit#gid=156619080"",X$3)"),"#REF!")</f>
        <v>#REF!</v>
      </c>
      <c r="Y376" s="2" t="str">
        <f>IFERROR(__xludf.DUMMYFUNCTION("IMPORTRANGE(""https://docs.google.com/spreadsheets/d/""&amp;$A376&amp;""/edit#gid=156619080"",Y$3)"),"#REF!")</f>
        <v>#REF!</v>
      </c>
      <c r="Z376" s="2" t="str">
        <f>IFERROR(__xludf.DUMMYFUNCTION("IMPORTRANGE(""https://docs.google.com/spreadsheets/d/""&amp;$A376&amp;""/edit#gid=156619080"",Z$3)"),"#REF!")</f>
        <v>#REF!</v>
      </c>
      <c r="AA376" s="2" t="str">
        <f>IFERROR(__xludf.DUMMYFUNCTION("IMPORTRANGE(""https://docs.google.com/spreadsheets/d/""&amp;$A376&amp;""/edit#gid=156619080"",AA$3)"),"#REF!")</f>
        <v>#REF!</v>
      </c>
      <c r="AB376" s="2" t="str">
        <f>IFERROR(__xludf.DUMMYFUNCTION("IMPORTRANGE(""https://docs.google.com/spreadsheets/d/""&amp;$A376&amp;""/edit#gid=156619080"",AB$3)"),"#REF!")</f>
        <v>#REF!</v>
      </c>
      <c r="AC376" s="2" t="str">
        <f>IFERROR(__xludf.DUMMYFUNCTION("IMPORTRANGE(""https://docs.google.com/spreadsheets/d/""&amp;$A376&amp;""/edit#gid=156619080"",AC$3)"),"#REF!")</f>
        <v>#REF!</v>
      </c>
      <c r="AD376" s="2" t="str">
        <f>IFERROR(__xludf.DUMMYFUNCTION("IMPORTRANGE(""https://docs.google.com/spreadsheets/d/""&amp;$A376&amp;""/edit#gid=156619080"",AD$3)"),"#REF!")</f>
        <v>#REF!</v>
      </c>
      <c r="AE376" s="2" t="str">
        <f>IFERROR(__xludf.DUMMYFUNCTION("IMPORTRANGE(""https://docs.google.com/spreadsheets/d/""&amp;$A376&amp;""/edit#gid=156619080"",AE$3)"),"#REF!")</f>
        <v>#REF!</v>
      </c>
      <c r="AF376" s="2" t="str">
        <f>IFERROR(__xludf.DUMMYFUNCTION("IMPORTRANGE(""https://docs.google.com/spreadsheets/d/""&amp;$A376&amp;""/edit#gid=156619080"",AF$3)"),"#REF!")</f>
        <v>#REF!</v>
      </c>
      <c r="AG376" s="2" t="str">
        <f>IFERROR(__xludf.DUMMYFUNCTION("IMPORTRANGE(""https://docs.google.com/spreadsheets/d/""&amp;$A376&amp;""/edit#gid=156619080"",AG$3)"),"#REF!")</f>
        <v>#REF!</v>
      </c>
      <c r="AH376" s="2" t="str">
        <f>IFERROR(__xludf.DUMMYFUNCTION("IMPORTRANGE(""https://docs.google.com/spreadsheets/d/""&amp;$A376&amp;""/edit#gid=156619080"",AH$3)"),"#REF!")</f>
        <v>#REF!</v>
      </c>
      <c r="AI376" s="2" t="str">
        <f>IFERROR(__xludf.DUMMYFUNCTION("IMPORTRANGE(""https://docs.google.com/spreadsheets/d/""&amp;$A376&amp;""/edit#gid=156619080"",AI$3)"),"#REF!")</f>
        <v>#REF!</v>
      </c>
      <c r="AJ376" s="2" t="str">
        <f>IFERROR(__xludf.DUMMYFUNCTION("IMPORTRANGE(""https://docs.google.com/spreadsheets/d/""&amp;$A376&amp;""/edit#gid=156619080"",AJ$3)"),"#REF!")</f>
        <v>#REF!</v>
      </c>
      <c r="AK376" s="2" t="str">
        <f>IFERROR(__xludf.DUMMYFUNCTION("IMPORTRANGE(""https://docs.google.com/spreadsheets/d/""&amp;$A376&amp;""/edit#gid=156619080"",AK$3)"),"#REF!")</f>
        <v>#REF!</v>
      </c>
      <c r="AL376" s="2" t="str">
        <f>IFERROR(__xludf.DUMMYFUNCTION("IMPORTRANGE(""https://docs.google.com/spreadsheets/d/""&amp;$A376&amp;""/edit#gid=156619080"",AL$3)"),"#REF!")</f>
        <v>#REF!</v>
      </c>
      <c r="AM376" s="2" t="str">
        <f>IFERROR(__xludf.DUMMYFUNCTION("IMPORTRANGE(""https://docs.google.com/spreadsheets/d/""&amp;$A376&amp;""/edit#gid=156619080"",AM$3)"),"#REF!")</f>
        <v>#REF!</v>
      </c>
      <c r="AN376" s="2" t="str">
        <f>IFERROR(__xludf.DUMMYFUNCTION("IMPORTRANGE(""https://docs.google.com/spreadsheets/d/""&amp;$A376&amp;""/edit#gid=156619080"",AN$3)"),"#REF!")</f>
        <v>#REF!</v>
      </c>
      <c r="AO376" s="2" t="str">
        <f>IFERROR(__xludf.DUMMYFUNCTION("IMPORTRANGE(""https://docs.google.com/spreadsheets/d/""&amp;$A376&amp;""/edit#gid=156619080"",AO$3)"),"#REF!")</f>
        <v>#REF!</v>
      </c>
      <c r="AP376" s="2" t="str">
        <f>IFERROR(__xludf.DUMMYFUNCTION("IMPORTRANGE(""https://docs.google.com/spreadsheets/d/""&amp;$A376&amp;""/edit#gid=156619080"",AP$3)"),"#REF!")</f>
        <v>#REF!</v>
      </c>
      <c r="AQ376" s="2" t="str">
        <f>IFERROR(__xludf.DUMMYFUNCTION("IMPORTRANGE(""https://docs.google.com/spreadsheets/d/""&amp;$A376&amp;""/edit#gid=156619080"",AQ$3)"),"#REF!")</f>
        <v>#REF!</v>
      </c>
      <c r="AR376" s="2" t="str">
        <f>IFERROR(__xludf.DUMMYFUNCTION("IMPORTRANGE(""https://docs.google.com/spreadsheets/d/""&amp;$A376&amp;""/edit#gid=156619080"",AR$3)"),"#REF!")</f>
        <v>#REF!</v>
      </c>
      <c r="AS376" s="19" t="str">
        <f>IFERROR(__xludf.DUMMYFUNCTION("IMPORTRANGE(""https://docs.google.com/spreadsheets/d/""&amp;$A376&amp;""/edit#gid=156619080"",AS$3)"),"#REF!")</f>
        <v>#REF!</v>
      </c>
      <c r="AT376" s="2" t="str">
        <f>IFERROR(__xludf.DUMMYFUNCTION("IMPORTRANGE(""https://docs.google.com/spreadsheets/d/""&amp;$A376&amp;""/edit#gid=156619080"",AT$3)"),"#REF!")</f>
        <v>#REF!</v>
      </c>
      <c r="AU376" s="3" t="str">
        <f>IFERROR(__xludf.DUMMYFUNCTION("IMPORTRANGE(""https://docs.google.com/spreadsheets/d/""&amp;$A376&amp;""/edit#gid=156619080"",AU$3)"),"#REF!")</f>
        <v>#REF!</v>
      </c>
      <c r="AV376" s="2" t="str">
        <f>IFERROR(__xludf.DUMMYFUNCTION("IMPORTRANGE(""https://docs.google.com/spreadsheets/d/""&amp;$A376&amp;""/edit#gid=156619080"",AV$3)"),"#REF!")</f>
        <v>#REF!</v>
      </c>
      <c r="AW376" s="19" t="str">
        <f>IFERROR(__xludf.DUMMYFUNCTION("IMPORTRANGE(""https://docs.google.com/spreadsheets/d/""&amp;$A376&amp;""/edit#gid=156619080"",AW$3)"),"#REF!")</f>
        <v>#REF!</v>
      </c>
      <c r="AX376" s="2" t="str">
        <f>IFERROR(__xludf.DUMMYFUNCTION("IMPORTRANGE(""https://docs.google.com/spreadsheets/d/""&amp;$A376&amp;""/edit#gid=156619080"",AX$3)"),"#REF!")</f>
        <v>#REF!</v>
      </c>
      <c r="AY376" s="2" t="str">
        <f>IFERROR(__xludf.DUMMYFUNCTION("IMPORTRANGE(""https://docs.google.com/spreadsheets/d/""&amp;$A376&amp;""/edit#gid=156619080"",AY$3)"),"#REF!")</f>
        <v>#REF!</v>
      </c>
      <c r="AZ376" s="2" t="str">
        <f>IFERROR(__xludf.DUMMYFUNCTION("IMPORTRANGE(""https://docs.google.com/spreadsheets/d/""&amp;$A376&amp;""/edit#gid=156619080"",AZ$3)"),"#REF!")</f>
        <v>#REF!</v>
      </c>
      <c r="BA376" s="2" t="str">
        <f>IFERROR(__xludf.DUMMYFUNCTION("IMPORTRANGE(""https://docs.google.com/spreadsheets/d/""&amp;$A376&amp;""/edit#gid=156619080"",BA$3)"),"#REF!")</f>
        <v>#REF!</v>
      </c>
      <c r="BB376" s="2" t="str">
        <f>IFERROR(__xludf.DUMMYFUNCTION("IMPORTRANGE(""https://docs.google.com/spreadsheets/d/""&amp;$A376&amp;""/edit#gid=156619080"",BB$3)"),"#REF!")</f>
        <v>#REF!</v>
      </c>
      <c r="BC376" s="2" t="str">
        <f>IFERROR(__xludf.DUMMYFUNCTION("IMPORTRANGE(""https://docs.google.com/spreadsheets/d/""&amp;$A376&amp;""/edit#gid=156619080"",BC$3)"),"#REF!")</f>
        <v>#REF!</v>
      </c>
    </row>
    <row r="377" ht="51.0" customHeight="1">
      <c r="A377" s="7" t="str">
        <f t="shared" si="5"/>
        <v>1_8jVkVqW05ofCkztcEhQ5pPqDNscdOSJBkTw9sFvuPo</v>
      </c>
      <c r="B377" s="1" t="s">
        <v>404</v>
      </c>
      <c r="C377" s="2" t="str">
        <f>IFERROR(__xludf.DUMMYFUNCTION("IMPORTRANGE(""https://docs.google.com/spreadsheets/d/""&amp;$A377&amp;""/edit#gid=156619080"",C$3)"),"#REF!")</f>
        <v>#REF!</v>
      </c>
      <c r="D377" s="2" t="str">
        <f>IFERROR(__xludf.DUMMYFUNCTION("IMPORTRANGE(""https://docs.google.com/spreadsheets/d/""&amp;$A377&amp;""/edit#gid=156619080"",D$3)"),"#REF!")</f>
        <v>#REF!</v>
      </c>
      <c r="E377" s="2" t="str">
        <f>IFERROR(__xludf.DUMMYFUNCTION("IMPORTRANGE(""https://docs.google.com/spreadsheets/d/""&amp;$A377&amp;""/edit#gid=156619080"",E$3)"),"#REF!")</f>
        <v>#REF!</v>
      </c>
      <c r="F377" s="2" t="str">
        <f>IFERROR(__xludf.DUMMYFUNCTION("IMPORTRANGE(""https://docs.google.com/spreadsheets/d/""&amp;$A377&amp;""/edit#gid=156619080"",F$3)"),"#REF!")</f>
        <v>#REF!</v>
      </c>
      <c r="G377" s="2" t="str">
        <f>IFERROR(__xludf.DUMMYFUNCTION("IMPORTRANGE(""https://docs.google.com/spreadsheets/d/""&amp;$A377&amp;""/edit#gid=156619080"",G$3)"),"#REF!")</f>
        <v>#REF!</v>
      </c>
      <c r="H377" s="2" t="str">
        <f>IFERROR(__xludf.DUMMYFUNCTION("IMPORTRANGE(""https://docs.google.com/spreadsheets/d/""&amp;$A377&amp;""/edit#gid=156619080"",H$3)"),"#REF!")</f>
        <v>#REF!</v>
      </c>
      <c r="I377" s="2" t="str">
        <f>IFERROR(__xludf.DUMMYFUNCTION("IMPORTRANGE(""https://docs.google.com/spreadsheets/d/""&amp;$A377&amp;""/edit#gid=156619080"",I$3)"),"#REF!")</f>
        <v>#REF!</v>
      </c>
      <c r="J377" s="2" t="str">
        <f>IFERROR(__xludf.DUMMYFUNCTION("IMPORTRANGE(""https://docs.google.com/spreadsheets/d/""&amp;$A377&amp;""/edit#gid=156619080"",J$3)"),"#REF!")</f>
        <v>#REF!</v>
      </c>
      <c r="K377" s="2" t="str">
        <f>IFERROR(__xludf.DUMMYFUNCTION("IMPORTRANGE(""https://docs.google.com/spreadsheets/d/""&amp;$A377&amp;""/edit#gid=156619080"",K$3)"),"#REF!")</f>
        <v>#REF!</v>
      </c>
      <c r="L377" s="2" t="str">
        <f>IFERROR(__xludf.DUMMYFUNCTION("IMPORTRANGE(""https://docs.google.com/spreadsheets/d/""&amp;$A377&amp;""/edit#gid=156619080"",L$3)"),"#REF!")</f>
        <v>#REF!</v>
      </c>
      <c r="M377" s="2" t="str">
        <f>IFERROR(__xludf.DUMMYFUNCTION("IMPORTRANGE(""https://docs.google.com/spreadsheets/d/""&amp;$A377&amp;""/edit#gid=156619080"",M$3)"),"#REF!")</f>
        <v>#REF!</v>
      </c>
      <c r="N377" s="2" t="str">
        <f>IFERROR(__xludf.DUMMYFUNCTION("IMPORTRANGE(""https://docs.google.com/spreadsheets/d/""&amp;$A377&amp;""/edit#gid=156619080"",N$3)"),"#REF!")</f>
        <v>#REF!</v>
      </c>
      <c r="O377" s="2" t="str">
        <f>IFERROR(__xludf.DUMMYFUNCTION("IMPORTRANGE(""https://docs.google.com/spreadsheets/d/""&amp;$A377&amp;""/edit#gid=156619080"",O$3)"),"#REF!")</f>
        <v>#REF!</v>
      </c>
      <c r="P377" s="2" t="str">
        <f>IFERROR(__xludf.DUMMYFUNCTION("IMPORTRANGE(""https://docs.google.com/spreadsheets/d/""&amp;$A377&amp;""/edit#gid=156619080"",P$3)"),"#REF!")</f>
        <v>#REF!</v>
      </c>
      <c r="Q377" s="2" t="str">
        <f>IFERROR(__xludf.DUMMYFUNCTION("IMPORTRANGE(""https://docs.google.com/spreadsheets/d/""&amp;$A377&amp;""/edit#gid=156619080"",Q$3)"),"#REF!")</f>
        <v>#REF!</v>
      </c>
      <c r="R377" s="2" t="str">
        <f>IFERROR(__xludf.DUMMYFUNCTION("IMPORTRANGE(""https://docs.google.com/spreadsheets/d/""&amp;$A377&amp;""/edit#gid=156619080"",R$3)"),"#REF!")</f>
        <v>#REF!</v>
      </c>
      <c r="S377" s="2" t="str">
        <f>IFERROR(__xludf.DUMMYFUNCTION("IMPORTRANGE(""https://docs.google.com/spreadsheets/d/""&amp;$A377&amp;""/edit#gid=156619080"",S$3)"),"#REF!")</f>
        <v>#REF!</v>
      </c>
      <c r="T377" s="2" t="str">
        <f>IFERROR(__xludf.DUMMYFUNCTION("IMPORTRANGE(""https://docs.google.com/spreadsheets/d/""&amp;$A377&amp;""/edit#gid=156619080"",T$3)"),"#REF!")</f>
        <v>#REF!</v>
      </c>
      <c r="U377" s="2" t="str">
        <f>IFERROR(__xludf.DUMMYFUNCTION("IMPORTRANGE(""https://docs.google.com/spreadsheets/d/""&amp;$A377&amp;""/edit#gid=156619080"",U$3)"),"#REF!")</f>
        <v>#REF!</v>
      </c>
      <c r="V377" s="2" t="str">
        <f>IFERROR(__xludf.DUMMYFUNCTION("IMPORTRANGE(""https://docs.google.com/spreadsheets/d/""&amp;$A377&amp;""/edit#gid=156619080"",V$3)"),"#REF!")</f>
        <v>#REF!</v>
      </c>
      <c r="W377" s="2" t="str">
        <f>IFERROR(__xludf.DUMMYFUNCTION("IMPORTRANGE(""https://docs.google.com/spreadsheets/d/""&amp;$A377&amp;""/edit#gid=156619080"",W$3)"),"#REF!")</f>
        <v>#REF!</v>
      </c>
      <c r="X377" s="2" t="str">
        <f>IFERROR(__xludf.DUMMYFUNCTION("IMPORTRANGE(""https://docs.google.com/spreadsheets/d/""&amp;$A377&amp;""/edit#gid=156619080"",X$3)"),"#REF!")</f>
        <v>#REF!</v>
      </c>
      <c r="Y377" s="2" t="str">
        <f>IFERROR(__xludf.DUMMYFUNCTION("IMPORTRANGE(""https://docs.google.com/spreadsheets/d/""&amp;$A377&amp;""/edit#gid=156619080"",Y$3)"),"#REF!")</f>
        <v>#REF!</v>
      </c>
      <c r="Z377" s="2" t="str">
        <f>IFERROR(__xludf.DUMMYFUNCTION("IMPORTRANGE(""https://docs.google.com/spreadsheets/d/""&amp;$A377&amp;""/edit#gid=156619080"",Z$3)"),"#REF!")</f>
        <v>#REF!</v>
      </c>
      <c r="AA377" s="2" t="str">
        <f>IFERROR(__xludf.DUMMYFUNCTION("IMPORTRANGE(""https://docs.google.com/spreadsheets/d/""&amp;$A377&amp;""/edit#gid=156619080"",AA$3)"),"#REF!")</f>
        <v>#REF!</v>
      </c>
      <c r="AB377" s="2" t="str">
        <f>IFERROR(__xludf.DUMMYFUNCTION("IMPORTRANGE(""https://docs.google.com/spreadsheets/d/""&amp;$A377&amp;""/edit#gid=156619080"",AB$3)"),"#REF!")</f>
        <v>#REF!</v>
      </c>
      <c r="AC377" s="2" t="str">
        <f>IFERROR(__xludf.DUMMYFUNCTION("IMPORTRANGE(""https://docs.google.com/spreadsheets/d/""&amp;$A377&amp;""/edit#gid=156619080"",AC$3)"),"#REF!")</f>
        <v>#REF!</v>
      </c>
      <c r="AD377" s="2" t="str">
        <f>IFERROR(__xludf.DUMMYFUNCTION("IMPORTRANGE(""https://docs.google.com/spreadsheets/d/""&amp;$A377&amp;""/edit#gid=156619080"",AD$3)"),"#REF!")</f>
        <v>#REF!</v>
      </c>
      <c r="AE377" s="2" t="str">
        <f>IFERROR(__xludf.DUMMYFUNCTION("IMPORTRANGE(""https://docs.google.com/spreadsheets/d/""&amp;$A377&amp;""/edit#gid=156619080"",AE$3)"),"#REF!")</f>
        <v>#REF!</v>
      </c>
      <c r="AF377" s="2" t="str">
        <f>IFERROR(__xludf.DUMMYFUNCTION("IMPORTRANGE(""https://docs.google.com/spreadsheets/d/""&amp;$A377&amp;""/edit#gid=156619080"",AF$3)"),"#REF!")</f>
        <v>#REF!</v>
      </c>
      <c r="AG377" s="2" t="str">
        <f>IFERROR(__xludf.DUMMYFUNCTION("IMPORTRANGE(""https://docs.google.com/spreadsheets/d/""&amp;$A377&amp;""/edit#gid=156619080"",AG$3)"),"#REF!")</f>
        <v>#REF!</v>
      </c>
      <c r="AH377" s="2" t="str">
        <f>IFERROR(__xludf.DUMMYFUNCTION("IMPORTRANGE(""https://docs.google.com/spreadsheets/d/""&amp;$A377&amp;""/edit#gid=156619080"",AH$3)"),"#REF!")</f>
        <v>#REF!</v>
      </c>
      <c r="AI377" s="2" t="str">
        <f>IFERROR(__xludf.DUMMYFUNCTION("IMPORTRANGE(""https://docs.google.com/spreadsheets/d/""&amp;$A377&amp;""/edit#gid=156619080"",AI$3)"),"#REF!")</f>
        <v>#REF!</v>
      </c>
      <c r="AJ377" s="2" t="str">
        <f>IFERROR(__xludf.DUMMYFUNCTION("IMPORTRANGE(""https://docs.google.com/spreadsheets/d/""&amp;$A377&amp;""/edit#gid=156619080"",AJ$3)"),"#REF!")</f>
        <v>#REF!</v>
      </c>
      <c r="AK377" s="2" t="str">
        <f>IFERROR(__xludf.DUMMYFUNCTION("IMPORTRANGE(""https://docs.google.com/spreadsheets/d/""&amp;$A377&amp;""/edit#gid=156619080"",AK$3)"),"#REF!")</f>
        <v>#REF!</v>
      </c>
      <c r="AL377" s="2" t="str">
        <f>IFERROR(__xludf.DUMMYFUNCTION("IMPORTRANGE(""https://docs.google.com/spreadsheets/d/""&amp;$A377&amp;""/edit#gid=156619080"",AL$3)"),"#REF!")</f>
        <v>#REF!</v>
      </c>
      <c r="AM377" s="2" t="str">
        <f>IFERROR(__xludf.DUMMYFUNCTION("IMPORTRANGE(""https://docs.google.com/spreadsheets/d/""&amp;$A377&amp;""/edit#gid=156619080"",AM$3)"),"#REF!")</f>
        <v>#REF!</v>
      </c>
      <c r="AN377" s="2" t="str">
        <f>IFERROR(__xludf.DUMMYFUNCTION("IMPORTRANGE(""https://docs.google.com/spreadsheets/d/""&amp;$A377&amp;""/edit#gid=156619080"",AN$3)"),"#REF!")</f>
        <v>#REF!</v>
      </c>
      <c r="AO377" s="2" t="str">
        <f>IFERROR(__xludf.DUMMYFUNCTION("IMPORTRANGE(""https://docs.google.com/spreadsheets/d/""&amp;$A377&amp;""/edit#gid=156619080"",AO$3)"),"#REF!")</f>
        <v>#REF!</v>
      </c>
      <c r="AP377" s="2" t="str">
        <f>IFERROR(__xludf.DUMMYFUNCTION("IMPORTRANGE(""https://docs.google.com/spreadsheets/d/""&amp;$A377&amp;""/edit#gid=156619080"",AP$3)"),"#REF!")</f>
        <v>#REF!</v>
      </c>
      <c r="AQ377" s="2" t="str">
        <f>IFERROR(__xludf.DUMMYFUNCTION("IMPORTRANGE(""https://docs.google.com/spreadsheets/d/""&amp;$A377&amp;""/edit#gid=156619080"",AQ$3)"),"#REF!")</f>
        <v>#REF!</v>
      </c>
      <c r="AR377" s="2" t="str">
        <f>IFERROR(__xludf.DUMMYFUNCTION("IMPORTRANGE(""https://docs.google.com/spreadsheets/d/""&amp;$A377&amp;""/edit#gid=156619080"",AR$3)"),"#REF!")</f>
        <v>#REF!</v>
      </c>
      <c r="AS377" s="19" t="str">
        <f>IFERROR(__xludf.DUMMYFUNCTION("IMPORTRANGE(""https://docs.google.com/spreadsheets/d/""&amp;$A377&amp;""/edit#gid=156619080"",AS$3)"),"#REF!")</f>
        <v>#REF!</v>
      </c>
      <c r="AT377" s="2" t="str">
        <f>IFERROR(__xludf.DUMMYFUNCTION("IMPORTRANGE(""https://docs.google.com/spreadsheets/d/""&amp;$A377&amp;""/edit#gid=156619080"",AT$3)"),"#REF!")</f>
        <v>#REF!</v>
      </c>
      <c r="AU377" s="3" t="str">
        <f>IFERROR(__xludf.DUMMYFUNCTION("IMPORTRANGE(""https://docs.google.com/spreadsheets/d/""&amp;$A377&amp;""/edit#gid=156619080"",AU$3)"),"#REF!")</f>
        <v>#REF!</v>
      </c>
      <c r="AV377" s="2" t="str">
        <f>IFERROR(__xludf.DUMMYFUNCTION("IMPORTRANGE(""https://docs.google.com/spreadsheets/d/""&amp;$A377&amp;""/edit#gid=156619080"",AV$3)"),"#REF!")</f>
        <v>#REF!</v>
      </c>
      <c r="AW377" s="19" t="str">
        <f>IFERROR(__xludf.DUMMYFUNCTION("IMPORTRANGE(""https://docs.google.com/spreadsheets/d/""&amp;$A377&amp;""/edit#gid=156619080"",AW$3)"),"#REF!")</f>
        <v>#REF!</v>
      </c>
      <c r="AX377" s="2" t="str">
        <f>IFERROR(__xludf.DUMMYFUNCTION("IMPORTRANGE(""https://docs.google.com/spreadsheets/d/""&amp;$A377&amp;""/edit#gid=156619080"",AX$3)"),"#REF!")</f>
        <v>#REF!</v>
      </c>
      <c r="AY377" s="2" t="str">
        <f>IFERROR(__xludf.DUMMYFUNCTION("IMPORTRANGE(""https://docs.google.com/spreadsheets/d/""&amp;$A377&amp;""/edit#gid=156619080"",AY$3)"),"#REF!")</f>
        <v>#REF!</v>
      </c>
      <c r="AZ377" s="2" t="str">
        <f>IFERROR(__xludf.DUMMYFUNCTION("IMPORTRANGE(""https://docs.google.com/spreadsheets/d/""&amp;$A377&amp;""/edit#gid=156619080"",AZ$3)"),"#REF!")</f>
        <v>#REF!</v>
      </c>
      <c r="BA377" s="2" t="str">
        <f>IFERROR(__xludf.DUMMYFUNCTION("IMPORTRANGE(""https://docs.google.com/spreadsheets/d/""&amp;$A377&amp;""/edit#gid=156619080"",BA$3)"),"#REF!")</f>
        <v>#REF!</v>
      </c>
      <c r="BB377" s="2" t="str">
        <f>IFERROR(__xludf.DUMMYFUNCTION("IMPORTRANGE(""https://docs.google.com/spreadsheets/d/""&amp;$A377&amp;""/edit#gid=156619080"",BB$3)"),"#REF!")</f>
        <v>#REF!</v>
      </c>
      <c r="BC377" s="2" t="str">
        <f>IFERROR(__xludf.DUMMYFUNCTION("IMPORTRANGE(""https://docs.google.com/spreadsheets/d/""&amp;$A377&amp;""/edit#gid=156619080"",BC$3)"),"#REF!")</f>
        <v>#REF!</v>
      </c>
    </row>
    <row r="378" ht="51.0" customHeight="1">
      <c r="A378" s="7" t="str">
        <f t="shared" si="5"/>
        <v>1RNH5N3U2DCGO3NesKB46hKfLc-MiTc6JkjT1DsCSz8E</v>
      </c>
      <c r="B378" s="1" t="s">
        <v>405</v>
      </c>
      <c r="C378" s="2" t="str">
        <f>IFERROR(__xludf.DUMMYFUNCTION("IMPORTRANGE(""https://docs.google.com/spreadsheets/d/""&amp;$A378&amp;""/edit#gid=156619080"",C$3)"),"#REF!")</f>
        <v>#REF!</v>
      </c>
      <c r="D378" s="2" t="str">
        <f>IFERROR(__xludf.DUMMYFUNCTION("IMPORTRANGE(""https://docs.google.com/spreadsheets/d/""&amp;$A378&amp;""/edit#gid=156619080"",D$3)"),"#REF!")</f>
        <v>#REF!</v>
      </c>
      <c r="E378" s="2" t="str">
        <f>IFERROR(__xludf.DUMMYFUNCTION("IMPORTRANGE(""https://docs.google.com/spreadsheets/d/""&amp;$A378&amp;""/edit#gid=156619080"",E$3)"),"#REF!")</f>
        <v>#REF!</v>
      </c>
      <c r="F378" s="2" t="str">
        <f>IFERROR(__xludf.DUMMYFUNCTION("IMPORTRANGE(""https://docs.google.com/spreadsheets/d/""&amp;$A378&amp;""/edit#gid=156619080"",F$3)"),"#REF!")</f>
        <v>#REF!</v>
      </c>
      <c r="G378" s="2" t="str">
        <f>IFERROR(__xludf.DUMMYFUNCTION("IMPORTRANGE(""https://docs.google.com/spreadsheets/d/""&amp;$A378&amp;""/edit#gid=156619080"",G$3)"),"#REF!")</f>
        <v>#REF!</v>
      </c>
      <c r="H378" s="2" t="str">
        <f>IFERROR(__xludf.DUMMYFUNCTION("IMPORTRANGE(""https://docs.google.com/spreadsheets/d/""&amp;$A378&amp;""/edit#gid=156619080"",H$3)"),"#REF!")</f>
        <v>#REF!</v>
      </c>
      <c r="I378" s="2" t="str">
        <f>IFERROR(__xludf.DUMMYFUNCTION("IMPORTRANGE(""https://docs.google.com/spreadsheets/d/""&amp;$A378&amp;""/edit#gid=156619080"",I$3)"),"#REF!")</f>
        <v>#REF!</v>
      </c>
      <c r="J378" s="2" t="str">
        <f>IFERROR(__xludf.DUMMYFUNCTION("IMPORTRANGE(""https://docs.google.com/spreadsheets/d/""&amp;$A378&amp;""/edit#gid=156619080"",J$3)"),"#REF!")</f>
        <v>#REF!</v>
      </c>
      <c r="K378" s="2" t="str">
        <f>IFERROR(__xludf.DUMMYFUNCTION("IMPORTRANGE(""https://docs.google.com/spreadsheets/d/""&amp;$A378&amp;""/edit#gid=156619080"",K$3)"),"#REF!")</f>
        <v>#REF!</v>
      </c>
      <c r="L378" s="2" t="str">
        <f>IFERROR(__xludf.DUMMYFUNCTION("IMPORTRANGE(""https://docs.google.com/spreadsheets/d/""&amp;$A378&amp;""/edit#gid=156619080"",L$3)"),"#REF!")</f>
        <v>#REF!</v>
      </c>
      <c r="M378" s="2" t="str">
        <f>IFERROR(__xludf.DUMMYFUNCTION("IMPORTRANGE(""https://docs.google.com/spreadsheets/d/""&amp;$A378&amp;""/edit#gid=156619080"",M$3)"),"#REF!")</f>
        <v>#REF!</v>
      </c>
      <c r="N378" s="2" t="str">
        <f>IFERROR(__xludf.DUMMYFUNCTION("IMPORTRANGE(""https://docs.google.com/spreadsheets/d/""&amp;$A378&amp;""/edit#gid=156619080"",N$3)"),"#REF!")</f>
        <v>#REF!</v>
      </c>
      <c r="O378" s="2" t="str">
        <f>IFERROR(__xludf.DUMMYFUNCTION("IMPORTRANGE(""https://docs.google.com/spreadsheets/d/""&amp;$A378&amp;""/edit#gid=156619080"",O$3)"),"#REF!")</f>
        <v>#REF!</v>
      </c>
      <c r="P378" s="2" t="str">
        <f>IFERROR(__xludf.DUMMYFUNCTION("IMPORTRANGE(""https://docs.google.com/spreadsheets/d/""&amp;$A378&amp;""/edit#gid=156619080"",P$3)"),"#REF!")</f>
        <v>#REF!</v>
      </c>
      <c r="Q378" s="2" t="str">
        <f>IFERROR(__xludf.DUMMYFUNCTION("IMPORTRANGE(""https://docs.google.com/spreadsheets/d/""&amp;$A378&amp;""/edit#gid=156619080"",Q$3)"),"#REF!")</f>
        <v>#REF!</v>
      </c>
      <c r="R378" s="2" t="str">
        <f>IFERROR(__xludf.DUMMYFUNCTION("IMPORTRANGE(""https://docs.google.com/spreadsheets/d/""&amp;$A378&amp;""/edit#gid=156619080"",R$3)"),"#REF!")</f>
        <v>#REF!</v>
      </c>
      <c r="S378" s="2" t="str">
        <f>IFERROR(__xludf.DUMMYFUNCTION("IMPORTRANGE(""https://docs.google.com/spreadsheets/d/""&amp;$A378&amp;""/edit#gid=156619080"",S$3)"),"#REF!")</f>
        <v>#REF!</v>
      </c>
      <c r="T378" s="2" t="str">
        <f>IFERROR(__xludf.DUMMYFUNCTION("IMPORTRANGE(""https://docs.google.com/spreadsheets/d/""&amp;$A378&amp;""/edit#gid=156619080"",T$3)"),"#REF!")</f>
        <v>#REF!</v>
      </c>
      <c r="U378" s="2" t="str">
        <f>IFERROR(__xludf.DUMMYFUNCTION("IMPORTRANGE(""https://docs.google.com/spreadsheets/d/""&amp;$A378&amp;""/edit#gid=156619080"",U$3)"),"#REF!")</f>
        <v>#REF!</v>
      </c>
      <c r="V378" s="2" t="str">
        <f>IFERROR(__xludf.DUMMYFUNCTION("IMPORTRANGE(""https://docs.google.com/spreadsheets/d/""&amp;$A378&amp;""/edit#gid=156619080"",V$3)"),"#REF!")</f>
        <v>#REF!</v>
      </c>
      <c r="W378" s="2" t="str">
        <f>IFERROR(__xludf.DUMMYFUNCTION("IMPORTRANGE(""https://docs.google.com/spreadsheets/d/""&amp;$A378&amp;""/edit#gid=156619080"",W$3)"),"#REF!")</f>
        <v>#REF!</v>
      </c>
      <c r="X378" s="2" t="str">
        <f>IFERROR(__xludf.DUMMYFUNCTION("IMPORTRANGE(""https://docs.google.com/spreadsheets/d/""&amp;$A378&amp;""/edit#gid=156619080"",X$3)"),"#REF!")</f>
        <v>#REF!</v>
      </c>
      <c r="Y378" s="2" t="str">
        <f>IFERROR(__xludf.DUMMYFUNCTION("IMPORTRANGE(""https://docs.google.com/spreadsheets/d/""&amp;$A378&amp;""/edit#gid=156619080"",Y$3)"),"#REF!")</f>
        <v>#REF!</v>
      </c>
      <c r="Z378" s="2" t="str">
        <f>IFERROR(__xludf.DUMMYFUNCTION("IMPORTRANGE(""https://docs.google.com/spreadsheets/d/""&amp;$A378&amp;""/edit#gid=156619080"",Z$3)"),"#REF!")</f>
        <v>#REF!</v>
      </c>
      <c r="AA378" s="2" t="str">
        <f>IFERROR(__xludf.DUMMYFUNCTION("IMPORTRANGE(""https://docs.google.com/spreadsheets/d/""&amp;$A378&amp;""/edit#gid=156619080"",AA$3)"),"#REF!")</f>
        <v>#REF!</v>
      </c>
      <c r="AB378" s="2" t="str">
        <f>IFERROR(__xludf.DUMMYFUNCTION("IMPORTRANGE(""https://docs.google.com/spreadsheets/d/""&amp;$A378&amp;""/edit#gid=156619080"",AB$3)"),"#REF!")</f>
        <v>#REF!</v>
      </c>
      <c r="AC378" s="2" t="str">
        <f>IFERROR(__xludf.DUMMYFUNCTION("IMPORTRANGE(""https://docs.google.com/spreadsheets/d/""&amp;$A378&amp;""/edit#gid=156619080"",AC$3)"),"#REF!")</f>
        <v>#REF!</v>
      </c>
      <c r="AD378" s="2" t="str">
        <f>IFERROR(__xludf.DUMMYFUNCTION("IMPORTRANGE(""https://docs.google.com/spreadsheets/d/""&amp;$A378&amp;""/edit#gid=156619080"",AD$3)"),"#REF!")</f>
        <v>#REF!</v>
      </c>
      <c r="AE378" s="2" t="str">
        <f>IFERROR(__xludf.DUMMYFUNCTION("IMPORTRANGE(""https://docs.google.com/spreadsheets/d/""&amp;$A378&amp;""/edit#gid=156619080"",AE$3)"),"#REF!")</f>
        <v>#REF!</v>
      </c>
      <c r="AF378" s="2" t="str">
        <f>IFERROR(__xludf.DUMMYFUNCTION("IMPORTRANGE(""https://docs.google.com/spreadsheets/d/""&amp;$A378&amp;""/edit#gid=156619080"",AF$3)"),"#REF!")</f>
        <v>#REF!</v>
      </c>
      <c r="AG378" s="2" t="str">
        <f>IFERROR(__xludf.DUMMYFUNCTION("IMPORTRANGE(""https://docs.google.com/spreadsheets/d/""&amp;$A378&amp;""/edit#gid=156619080"",AG$3)"),"#REF!")</f>
        <v>#REF!</v>
      </c>
      <c r="AH378" s="2" t="str">
        <f>IFERROR(__xludf.DUMMYFUNCTION("IMPORTRANGE(""https://docs.google.com/spreadsheets/d/""&amp;$A378&amp;""/edit#gid=156619080"",AH$3)"),"#REF!")</f>
        <v>#REF!</v>
      </c>
      <c r="AI378" s="2" t="str">
        <f>IFERROR(__xludf.DUMMYFUNCTION("IMPORTRANGE(""https://docs.google.com/spreadsheets/d/""&amp;$A378&amp;""/edit#gid=156619080"",AI$3)"),"#REF!")</f>
        <v>#REF!</v>
      </c>
      <c r="AJ378" s="2" t="str">
        <f>IFERROR(__xludf.DUMMYFUNCTION("IMPORTRANGE(""https://docs.google.com/spreadsheets/d/""&amp;$A378&amp;""/edit#gid=156619080"",AJ$3)"),"#REF!")</f>
        <v>#REF!</v>
      </c>
      <c r="AK378" s="2" t="str">
        <f>IFERROR(__xludf.DUMMYFUNCTION("IMPORTRANGE(""https://docs.google.com/spreadsheets/d/""&amp;$A378&amp;""/edit#gid=156619080"",AK$3)"),"#REF!")</f>
        <v>#REF!</v>
      </c>
      <c r="AL378" s="2" t="str">
        <f>IFERROR(__xludf.DUMMYFUNCTION("IMPORTRANGE(""https://docs.google.com/spreadsheets/d/""&amp;$A378&amp;""/edit#gid=156619080"",AL$3)"),"#REF!")</f>
        <v>#REF!</v>
      </c>
      <c r="AM378" s="2" t="str">
        <f>IFERROR(__xludf.DUMMYFUNCTION("IMPORTRANGE(""https://docs.google.com/spreadsheets/d/""&amp;$A378&amp;""/edit#gid=156619080"",AM$3)"),"#REF!")</f>
        <v>#REF!</v>
      </c>
      <c r="AN378" s="2" t="str">
        <f>IFERROR(__xludf.DUMMYFUNCTION("IMPORTRANGE(""https://docs.google.com/spreadsheets/d/""&amp;$A378&amp;""/edit#gid=156619080"",AN$3)"),"#REF!")</f>
        <v>#REF!</v>
      </c>
      <c r="AO378" s="2" t="str">
        <f>IFERROR(__xludf.DUMMYFUNCTION("IMPORTRANGE(""https://docs.google.com/spreadsheets/d/""&amp;$A378&amp;""/edit#gid=156619080"",AO$3)"),"#REF!")</f>
        <v>#REF!</v>
      </c>
      <c r="AP378" s="2" t="str">
        <f>IFERROR(__xludf.DUMMYFUNCTION("IMPORTRANGE(""https://docs.google.com/spreadsheets/d/""&amp;$A378&amp;""/edit#gid=156619080"",AP$3)"),"#REF!")</f>
        <v>#REF!</v>
      </c>
      <c r="AQ378" s="2" t="str">
        <f>IFERROR(__xludf.DUMMYFUNCTION("IMPORTRANGE(""https://docs.google.com/spreadsheets/d/""&amp;$A378&amp;""/edit#gid=156619080"",AQ$3)"),"#REF!")</f>
        <v>#REF!</v>
      </c>
      <c r="AR378" s="2" t="str">
        <f>IFERROR(__xludf.DUMMYFUNCTION("IMPORTRANGE(""https://docs.google.com/spreadsheets/d/""&amp;$A378&amp;""/edit#gid=156619080"",AR$3)"),"#REF!")</f>
        <v>#REF!</v>
      </c>
      <c r="AS378" s="19" t="str">
        <f>IFERROR(__xludf.DUMMYFUNCTION("IMPORTRANGE(""https://docs.google.com/spreadsheets/d/""&amp;$A378&amp;""/edit#gid=156619080"",AS$3)"),"#REF!")</f>
        <v>#REF!</v>
      </c>
      <c r="AT378" s="2" t="str">
        <f>IFERROR(__xludf.DUMMYFUNCTION("IMPORTRANGE(""https://docs.google.com/spreadsheets/d/""&amp;$A378&amp;""/edit#gid=156619080"",AT$3)"),"#REF!")</f>
        <v>#REF!</v>
      </c>
      <c r="AU378" s="3" t="str">
        <f>IFERROR(__xludf.DUMMYFUNCTION("IMPORTRANGE(""https://docs.google.com/spreadsheets/d/""&amp;$A378&amp;""/edit#gid=156619080"",AU$3)"),"#REF!")</f>
        <v>#REF!</v>
      </c>
      <c r="AV378" s="2" t="str">
        <f>IFERROR(__xludf.DUMMYFUNCTION("IMPORTRANGE(""https://docs.google.com/spreadsheets/d/""&amp;$A378&amp;""/edit#gid=156619080"",AV$3)"),"#REF!")</f>
        <v>#REF!</v>
      </c>
      <c r="AW378" s="19" t="str">
        <f>IFERROR(__xludf.DUMMYFUNCTION("IMPORTRANGE(""https://docs.google.com/spreadsheets/d/""&amp;$A378&amp;""/edit#gid=156619080"",AW$3)"),"#REF!")</f>
        <v>#REF!</v>
      </c>
      <c r="AX378" s="2" t="str">
        <f>IFERROR(__xludf.DUMMYFUNCTION("IMPORTRANGE(""https://docs.google.com/spreadsheets/d/""&amp;$A378&amp;""/edit#gid=156619080"",AX$3)"),"#REF!")</f>
        <v>#REF!</v>
      </c>
      <c r="AY378" s="2" t="str">
        <f>IFERROR(__xludf.DUMMYFUNCTION("IMPORTRANGE(""https://docs.google.com/spreadsheets/d/""&amp;$A378&amp;""/edit#gid=156619080"",AY$3)"),"#REF!")</f>
        <v>#REF!</v>
      </c>
      <c r="AZ378" s="2" t="str">
        <f>IFERROR(__xludf.DUMMYFUNCTION("IMPORTRANGE(""https://docs.google.com/spreadsheets/d/""&amp;$A378&amp;""/edit#gid=156619080"",AZ$3)"),"#REF!")</f>
        <v>#REF!</v>
      </c>
      <c r="BA378" s="2" t="str">
        <f>IFERROR(__xludf.DUMMYFUNCTION("IMPORTRANGE(""https://docs.google.com/spreadsheets/d/""&amp;$A378&amp;""/edit#gid=156619080"",BA$3)"),"#REF!")</f>
        <v>#REF!</v>
      </c>
      <c r="BB378" s="2" t="str">
        <f>IFERROR(__xludf.DUMMYFUNCTION("IMPORTRANGE(""https://docs.google.com/spreadsheets/d/""&amp;$A378&amp;""/edit#gid=156619080"",BB$3)"),"#REF!")</f>
        <v>#REF!</v>
      </c>
      <c r="BC378" s="2" t="str">
        <f>IFERROR(__xludf.DUMMYFUNCTION("IMPORTRANGE(""https://docs.google.com/spreadsheets/d/""&amp;$A378&amp;""/edit#gid=156619080"",BC$3)"),"#REF!")</f>
        <v>#REF!</v>
      </c>
    </row>
    <row r="379" ht="51.0" customHeight="1">
      <c r="A379" s="7" t="str">
        <f t="shared" si="5"/>
        <v>1LJeNE9t8JhZTew49GudvuLkCdz-k6nPX82i1GZvQ_KQ</v>
      </c>
      <c r="B379" s="1" t="s">
        <v>406</v>
      </c>
      <c r="C379" s="2" t="str">
        <f>IFERROR(__xludf.DUMMYFUNCTION("IMPORTRANGE(""https://docs.google.com/spreadsheets/d/""&amp;$A379&amp;""/edit#gid=156619080"",C$3)"),"#REF!")</f>
        <v>#REF!</v>
      </c>
      <c r="D379" s="2" t="str">
        <f>IFERROR(__xludf.DUMMYFUNCTION("IMPORTRANGE(""https://docs.google.com/spreadsheets/d/""&amp;$A379&amp;""/edit#gid=156619080"",D$3)"),"#REF!")</f>
        <v>#REF!</v>
      </c>
      <c r="E379" s="2" t="str">
        <f>IFERROR(__xludf.DUMMYFUNCTION("IMPORTRANGE(""https://docs.google.com/spreadsheets/d/""&amp;$A379&amp;""/edit#gid=156619080"",E$3)"),"#REF!")</f>
        <v>#REF!</v>
      </c>
      <c r="F379" s="2" t="str">
        <f>IFERROR(__xludf.DUMMYFUNCTION("IMPORTRANGE(""https://docs.google.com/spreadsheets/d/""&amp;$A379&amp;""/edit#gid=156619080"",F$3)"),"#REF!")</f>
        <v>#REF!</v>
      </c>
      <c r="G379" s="2" t="str">
        <f>IFERROR(__xludf.DUMMYFUNCTION("IMPORTRANGE(""https://docs.google.com/spreadsheets/d/""&amp;$A379&amp;""/edit#gid=156619080"",G$3)"),"#REF!")</f>
        <v>#REF!</v>
      </c>
      <c r="H379" s="2" t="str">
        <f>IFERROR(__xludf.DUMMYFUNCTION("IMPORTRANGE(""https://docs.google.com/spreadsheets/d/""&amp;$A379&amp;""/edit#gid=156619080"",H$3)"),"#REF!")</f>
        <v>#REF!</v>
      </c>
      <c r="I379" s="2" t="str">
        <f>IFERROR(__xludf.DUMMYFUNCTION("IMPORTRANGE(""https://docs.google.com/spreadsheets/d/""&amp;$A379&amp;""/edit#gid=156619080"",I$3)"),"#REF!")</f>
        <v>#REF!</v>
      </c>
      <c r="J379" s="2" t="str">
        <f>IFERROR(__xludf.DUMMYFUNCTION("IMPORTRANGE(""https://docs.google.com/spreadsheets/d/""&amp;$A379&amp;""/edit#gid=156619080"",J$3)"),"#REF!")</f>
        <v>#REF!</v>
      </c>
      <c r="K379" s="2" t="str">
        <f>IFERROR(__xludf.DUMMYFUNCTION("IMPORTRANGE(""https://docs.google.com/spreadsheets/d/""&amp;$A379&amp;""/edit#gid=156619080"",K$3)"),"#REF!")</f>
        <v>#REF!</v>
      </c>
      <c r="L379" s="2" t="str">
        <f>IFERROR(__xludf.DUMMYFUNCTION("IMPORTRANGE(""https://docs.google.com/spreadsheets/d/""&amp;$A379&amp;""/edit#gid=156619080"",L$3)"),"#REF!")</f>
        <v>#REF!</v>
      </c>
      <c r="M379" s="2" t="str">
        <f>IFERROR(__xludf.DUMMYFUNCTION("IMPORTRANGE(""https://docs.google.com/spreadsheets/d/""&amp;$A379&amp;""/edit#gid=156619080"",M$3)"),"#REF!")</f>
        <v>#REF!</v>
      </c>
      <c r="N379" s="2" t="str">
        <f>IFERROR(__xludf.DUMMYFUNCTION("IMPORTRANGE(""https://docs.google.com/spreadsheets/d/""&amp;$A379&amp;""/edit#gid=156619080"",N$3)"),"#REF!")</f>
        <v>#REF!</v>
      </c>
      <c r="O379" s="2" t="str">
        <f>IFERROR(__xludf.DUMMYFUNCTION("IMPORTRANGE(""https://docs.google.com/spreadsheets/d/""&amp;$A379&amp;""/edit#gid=156619080"",O$3)"),"#REF!")</f>
        <v>#REF!</v>
      </c>
      <c r="P379" s="2" t="str">
        <f>IFERROR(__xludf.DUMMYFUNCTION("IMPORTRANGE(""https://docs.google.com/spreadsheets/d/""&amp;$A379&amp;""/edit#gid=156619080"",P$3)"),"#REF!")</f>
        <v>#REF!</v>
      </c>
      <c r="Q379" s="2" t="str">
        <f>IFERROR(__xludf.DUMMYFUNCTION("IMPORTRANGE(""https://docs.google.com/spreadsheets/d/""&amp;$A379&amp;""/edit#gid=156619080"",Q$3)"),"#REF!")</f>
        <v>#REF!</v>
      </c>
      <c r="R379" s="2" t="str">
        <f>IFERROR(__xludf.DUMMYFUNCTION("IMPORTRANGE(""https://docs.google.com/spreadsheets/d/""&amp;$A379&amp;""/edit#gid=156619080"",R$3)"),"#REF!")</f>
        <v>#REF!</v>
      </c>
      <c r="S379" s="2" t="str">
        <f>IFERROR(__xludf.DUMMYFUNCTION("IMPORTRANGE(""https://docs.google.com/spreadsheets/d/""&amp;$A379&amp;""/edit#gid=156619080"",S$3)"),"#REF!")</f>
        <v>#REF!</v>
      </c>
      <c r="T379" s="2" t="str">
        <f>IFERROR(__xludf.DUMMYFUNCTION("IMPORTRANGE(""https://docs.google.com/spreadsheets/d/""&amp;$A379&amp;""/edit#gid=156619080"",T$3)"),"#REF!")</f>
        <v>#REF!</v>
      </c>
      <c r="U379" s="2" t="str">
        <f>IFERROR(__xludf.DUMMYFUNCTION("IMPORTRANGE(""https://docs.google.com/spreadsheets/d/""&amp;$A379&amp;""/edit#gid=156619080"",U$3)"),"#REF!")</f>
        <v>#REF!</v>
      </c>
      <c r="V379" s="2" t="str">
        <f>IFERROR(__xludf.DUMMYFUNCTION("IMPORTRANGE(""https://docs.google.com/spreadsheets/d/""&amp;$A379&amp;""/edit#gid=156619080"",V$3)"),"#REF!")</f>
        <v>#REF!</v>
      </c>
      <c r="W379" s="2" t="str">
        <f>IFERROR(__xludf.DUMMYFUNCTION("IMPORTRANGE(""https://docs.google.com/spreadsheets/d/""&amp;$A379&amp;""/edit#gid=156619080"",W$3)"),"#REF!")</f>
        <v>#REF!</v>
      </c>
      <c r="X379" s="2" t="str">
        <f>IFERROR(__xludf.DUMMYFUNCTION("IMPORTRANGE(""https://docs.google.com/spreadsheets/d/""&amp;$A379&amp;""/edit#gid=156619080"",X$3)"),"#REF!")</f>
        <v>#REF!</v>
      </c>
      <c r="Y379" s="2" t="str">
        <f>IFERROR(__xludf.DUMMYFUNCTION("IMPORTRANGE(""https://docs.google.com/spreadsheets/d/""&amp;$A379&amp;""/edit#gid=156619080"",Y$3)"),"#REF!")</f>
        <v>#REF!</v>
      </c>
      <c r="Z379" s="2" t="str">
        <f>IFERROR(__xludf.DUMMYFUNCTION("IMPORTRANGE(""https://docs.google.com/spreadsheets/d/""&amp;$A379&amp;""/edit#gid=156619080"",Z$3)"),"#REF!")</f>
        <v>#REF!</v>
      </c>
      <c r="AA379" s="2" t="str">
        <f>IFERROR(__xludf.DUMMYFUNCTION("IMPORTRANGE(""https://docs.google.com/spreadsheets/d/""&amp;$A379&amp;""/edit#gid=156619080"",AA$3)"),"#REF!")</f>
        <v>#REF!</v>
      </c>
      <c r="AB379" s="2" t="str">
        <f>IFERROR(__xludf.DUMMYFUNCTION("IMPORTRANGE(""https://docs.google.com/spreadsheets/d/""&amp;$A379&amp;""/edit#gid=156619080"",AB$3)"),"#REF!")</f>
        <v>#REF!</v>
      </c>
      <c r="AC379" s="2" t="str">
        <f>IFERROR(__xludf.DUMMYFUNCTION("IMPORTRANGE(""https://docs.google.com/spreadsheets/d/""&amp;$A379&amp;""/edit#gid=156619080"",AC$3)"),"#REF!")</f>
        <v>#REF!</v>
      </c>
      <c r="AD379" s="2" t="str">
        <f>IFERROR(__xludf.DUMMYFUNCTION("IMPORTRANGE(""https://docs.google.com/spreadsheets/d/""&amp;$A379&amp;""/edit#gid=156619080"",AD$3)"),"#REF!")</f>
        <v>#REF!</v>
      </c>
      <c r="AE379" s="2" t="str">
        <f>IFERROR(__xludf.DUMMYFUNCTION("IMPORTRANGE(""https://docs.google.com/spreadsheets/d/""&amp;$A379&amp;""/edit#gid=156619080"",AE$3)"),"#REF!")</f>
        <v>#REF!</v>
      </c>
      <c r="AF379" s="2" t="str">
        <f>IFERROR(__xludf.DUMMYFUNCTION("IMPORTRANGE(""https://docs.google.com/spreadsheets/d/""&amp;$A379&amp;""/edit#gid=156619080"",AF$3)"),"#REF!")</f>
        <v>#REF!</v>
      </c>
      <c r="AG379" s="2" t="str">
        <f>IFERROR(__xludf.DUMMYFUNCTION("IMPORTRANGE(""https://docs.google.com/spreadsheets/d/""&amp;$A379&amp;""/edit#gid=156619080"",AG$3)"),"#REF!")</f>
        <v>#REF!</v>
      </c>
      <c r="AH379" s="2" t="str">
        <f>IFERROR(__xludf.DUMMYFUNCTION("IMPORTRANGE(""https://docs.google.com/spreadsheets/d/""&amp;$A379&amp;""/edit#gid=156619080"",AH$3)"),"#REF!")</f>
        <v>#REF!</v>
      </c>
      <c r="AI379" s="2" t="str">
        <f>IFERROR(__xludf.DUMMYFUNCTION("IMPORTRANGE(""https://docs.google.com/spreadsheets/d/""&amp;$A379&amp;""/edit#gid=156619080"",AI$3)"),"#REF!")</f>
        <v>#REF!</v>
      </c>
      <c r="AJ379" s="2" t="str">
        <f>IFERROR(__xludf.DUMMYFUNCTION("IMPORTRANGE(""https://docs.google.com/spreadsheets/d/""&amp;$A379&amp;""/edit#gid=156619080"",AJ$3)"),"#REF!")</f>
        <v>#REF!</v>
      </c>
      <c r="AK379" s="2" t="str">
        <f>IFERROR(__xludf.DUMMYFUNCTION("IMPORTRANGE(""https://docs.google.com/spreadsheets/d/""&amp;$A379&amp;""/edit#gid=156619080"",AK$3)"),"#REF!")</f>
        <v>#REF!</v>
      </c>
      <c r="AL379" s="2" t="str">
        <f>IFERROR(__xludf.DUMMYFUNCTION("IMPORTRANGE(""https://docs.google.com/spreadsheets/d/""&amp;$A379&amp;""/edit#gid=156619080"",AL$3)"),"#REF!")</f>
        <v>#REF!</v>
      </c>
      <c r="AM379" s="2" t="str">
        <f>IFERROR(__xludf.DUMMYFUNCTION("IMPORTRANGE(""https://docs.google.com/spreadsheets/d/""&amp;$A379&amp;""/edit#gid=156619080"",AM$3)"),"#REF!")</f>
        <v>#REF!</v>
      </c>
      <c r="AN379" s="2" t="str">
        <f>IFERROR(__xludf.DUMMYFUNCTION("IMPORTRANGE(""https://docs.google.com/spreadsheets/d/""&amp;$A379&amp;""/edit#gid=156619080"",AN$3)"),"#REF!")</f>
        <v>#REF!</v>
      </c>
      <c r="AO379" s="2" t="str">
        <f>IFERROR(__xludf.DUMMYFUNCTION("IMPORTRANGE(""https://docs.google.com/spreadsheets/d/""&amp;$A379&amp;""/edit#gid=156619080"",AO$3)"),"#REF!")</f>
        <v>#REF!</v>
      </c>
      <c r="AP379" s="2" t="str">
        <f>IFERROR(__xludf.DUMMYFUNCTION("IMPORTRANGE(""https://docs.google.com/spreadsheets/d/""&amp;$A379&amp;""/edit#gid=156619080"",AP$3)"),"#REF!")</f>
        <v>#REF!</v>
      </c>
      <c r="AQ379" s="2" t="str">
        <f>IFERROR(__xludf.DUMMYFUNCTION("IMPORTRANGE(""https://docs.google.com/spreadsheets/d/""&amp;$A379&amp;""/edit#gid=156619080"",AQ$3)"),"#REF!")</f>
        <v>#REF!</v>
      </c>
      <c r="AR379" s="2" t="str">
        <f>IFERROR(__xludf.DUMMYFUNCTION("IMPORTRANGE(""https://docs.google.com/spreadsheets/d/""&amp;$A379&amp;""/edit#gid=156619080"",AR$3)"),"#REF!")</f>
        <v>#REF!</v>
      </c>
      <c r="AS379" s="19" t="str">
        <f>IFERROR(__xludf.DUMMYFUNCTION("IMPORTRANGE(""https://docs.google.com/spreadsheets/d/""&amp;$A379&amp;""/edit#gid=156619080"",AS$3)"),"#REF!")</f>
        <v>#REF!</v>
      </c>
      <c r="AT379" s="2" t="str">
        <f>IFERROR(__xludf.DUMMYFUNCTION("IMPORTRANGE(""https://docs.google.com/spreadsheets/d/""&amp;$A379&amp;""/edit#gid=156619080"",AT$3)"),"#REF!")</f>
        <v>#REF!</v>
      </c>
      <c r="AU379" s="3" t="str">
        <f>IFERROR(__xludf.DUMMYFUNCTION("IMPORTRANGE(""https://docs.google.com/spreadsheets/d/""&amp;$A379&amp;""/edit#gid=156619080"",AU$3)"),"#REF!")</f>
        <v>#REF!</v>
      </c>
      <c r="AV379" s="2" t="str">
        <f>IFERROR(__xludf.DUMMYFUNCTION("IMPORTRANGE(""https://docs.google.com/spreadsheets/d/""&amp;$A379&amp;""/edit#gid=156619080"",AV$3)"),"#REF!")</f>
        <v>#REF!</v>
      </c>
      <c r="AW379" s="19" t="str">
        <f>IFERROR(__xludf.DUMMYFUNCTION("IMPORTRANGE(""https://docs.google.com/spreadsheets/d/""&amp;$A379&amp;""/edit#gid=156619080"",AW$3)"),"#REF!")</f>
        <v>#REF!</v>
      </c>
      <c r="AX379" s="2" t="str">
        <f>IFERROR(__xludf.DUMMYFUNCTION("IMPORTRANGE(""https://docs.google.com/spreadsheets/d/""&amp;$A379&amp;""/edit#gid=156619080"",AX$3)"),"#REF!")</f>
        <v>#REF!</v>
      </c>
      <c r="AY379" s="2" t="str">
        <f>IFERROR(__xludf.DUMMYFUNCTION("IMPORTRANGE(""https://docs.google.com/spreadsheets/d/""&amp;$A379&amp;""/edit#gid=156619080"",AY$3)"),"#REF!")</f>
        <v>#REF!</v>
      </c>
      <c r="AZ379" s="2" t="str">
        <f>IFERROR(__xludf.DUMMYFUNCTION("IMPORTRANGE(""https://docs.google.com/spreadsheets/d/""&amp;$A379&amp;""/edit#gid=156619080"",AZ$3)"),"#REF!")</f>
        <v>#REF!</v>
      </c>
      <c r="BA379" s="2" t="str">
        <f>IFERROR(__xludf.DUMMYFUNCTION("IMPORTRANGE(""https://docs.google.com/spreadsheets/d/""&amp;$A379&amp;""/edit#gid=156619080"",BA$3)"),"#REF!")</f>
        <v>#REF!</v>
      </c>
      <c r="BB379" s="2" t="str">
        <f>IFERROR(__xludf.DUMMYFUNCTION("IMPORTRANGE(""https://docs.google.com/spreadsheets/d/""&amp;$A379&amp;""/edit#gid=156619080"",BB$3)"),"#REF!")</f>
        <v>#REF!</v>
      </c>
      <c r="BC379" s="2" t="str">
        <f>IFERROR(__xludf.DUMMYFUNCTION("IMPORTRANGE(""https://docs.google.com/spreadsheets/d/""&amp;$A379&amp;""/edit#gid=156619080"",BC$3)"),"#REF!")</f>
        <v>#REF!</v>
      </c>
    </row>
    <row r="380" ht="51.0" customHeight="1">
      <c r="A380" s="7" t="str">
        <f t="shared" si="5"/>
        <v>1aCckKfu9900go5sB7gE1AC8p5I34mVHQvsFxIfJrrhc</v>
      </c>
      <c r="B380" s="1" t="s">
        <v>407</v>
      </c>
      <c r="C380" s="2" t="str">
        <f>IFERROR(__xludf.DUMMYFUNCTION("IMPORTRANGE(""https://docs.google.com/spreadsheets/d/""&amp;$A380&amp;""/edit#gid=156619080"",C$3)"),"#REF!")</f>
        <v>#REF!</v>
      </c>
      <c r="D380" s="2" t="str">
        <f>IFERROR(__xludf.DUMMYFUNCTION("IMPORTRANGE(""https://docs.google.com/spreadsheets/d/""&amp;$A380&amp;""/edit#gid=156619080"",D$3)"),"#REF!")</f>
        <v>#REF!</v>
      </c>
      <c r="E380" s="2" t="str">
        <f>IFERROR(__xludf.DUMMYFUNCTION("IMPORTRANGE(""https://docs.google.com/spreadsheets/d/""&amp;$A380&amp;""/edit#gid=156619080"",E$3)"),"#REF!")</f>
        <v>#REF!</v>
      </c>
      <c r="F380" s="2" t="str">
        <f>IFERROR(__xludf.DUMMYFUNCTION("IMPORTRANGE(""https://docs.google.com/spreadsheets/d/""&amp;$A380&amp;""/edit#gid=156619080"",F$3)"),"#REF!")</f>
        <v>#REF!</v>
      </c>
      <c r="G380" s="2" t="str">
        <f>IFERROR(__xludf.DUMMYFUNCTION("IMPORTRANGE(""https://docs.google.com/spreadsheets/d/""&amp;$A380&amp;""/edit#gid=156619080"",G$3)"),"#REF!")</f>
        <v>#REF!</v>
      </c>
      <c r="H380" s="2" t="str">
        <f>IFERROR(__xludf.DUMMYFUNCTION("IMPORTRANGE(""https://docs.google.com/spreadsheets/d/""&amp;$A380&amp;""/edit#gid=156619080"",H$3)"),"#REF!")</f>
        <v>#REF!</v>
      </c>
      <c r="I380" s="2" t="str">
        <f>IFERROR(__xludf.DUMMYFUNCTION("IMPORTRANGE(""https://docs.google.com/spreadsheets/d/""&amp;$A380&amp;""/edit#gid=156619080"",I$3)"),"#REF!")</f>
        <v>#REF!</v>
      </c>
      <c r="J380" s="2" t="str">
        <f>IFERROR(__xludf.DUMMYFUNCTION("IMPORTRANGE(""https://docs.google.com/spreadsheets/d/""&amp;$A380&amp;""/edit#gid=156619080"",J$3)"),"#REF!")</f>
        <v>#REF!</v>
      </c>
      <c r="K380" s="2" t="str">
        <f>IFERROR(__xludf.DUMMYFUNCTION("IMPORTRANGE(""https://docs.google.com/spreadsheets/d/""&amp;$A380&amp;""/edit#gid=156619080"",K$3)"),"#REF!")</f>
        <v>#REF!</v>
      </c>
      <c r="L380" s="2" t="str">
        <f>IFERROR(__xludf.DUMMYFUNCTION("IMPORTRANGE(""https://docs.google.com/spreadsheets/d/""&amp;$A380&amp;""/edit#gid=156619080"",L$3)"),"#REF!")</f>
        <v>#REF!</v>
      </c>
      <c r="M380" s="2" t="str">
        <f>IFERROR(__xludf.DUMMYFUNCTION("IMPORTRANGE(""https://docs.google.com/spreadsheets/d/""&amp;$A380&amp;""/edit#gid=156619080"",M$3)"),"#REF!")</f>
        <v>#REF!</v>
      </c>
      <c r="N380" s="2" t="str">
        <f>IFERROR(__xludf.DUMMYFUNCTION("IMPORTRANGE(""https://docs.google.com/spreadsheets/d/""&amp;$A380&amp;""/edit#gid=156619080"",N$3)"),"#REF!")</f>
        <v>#REF!</v>
      </c>
      <c r="O380" s="2" t="str">
        <f>IFERROR(__xludf.DUMMYFUNCTION("IMPORTRANGE(""https://docs.google.com/spreadsheets/d/""&amp;$A380&amp;""/edit#gid=156619080"",O$3)"),"#REF!")</f>
        <v>#REF!</v>
      </c>
      <c r="P380" s="2" t="str">
        <f>IFERROR(__xludf.DUMMYFUNCTION("IMPORTRANGE(""https://docs.google.com/spreadsheets/d/""&amp;$A380&amp;""/edit#gid=156619080"",P$3)"),"#REF!")</f>
        <v>#REF!</v>
      </c>
      <c r="Q380" s="2" t="str">
        <f>IFERROR(__xludf.DUMMYFUNCTION("IMPORTRANGE(""https://docs.google.com/spreadsheets/d/""&amp;$A380&amp;""/edit#gid=156619080"",Q$3)"),"#REF!")</f>
        <v>#REF!</v>
      </c>
      <c r="R380" s="2" t="str">
        <f>IFERROR(__xludf.DUMMYFUNCTION("IMPORTRANGE(""https://docs.google.com/spreadsheets/d/""&amp;$A380&amp;""/edit#gid=156619080"",R$3)"),"#REF!")</f>
        <v>#REF!</v>
      </c>
      <c r="S380" s="2" t="str">
        <f>IFERROR(__xludf.DUMMYFUNCTION("IMPORTRANGE(""https://docs.google.com/spreadsheets/d/""&amp;$A380&amp;""/edit#gid=156619080"",S$3)"),"#REF!")</f>
        <v>#REF!</v>
      </c>
      <c r="T380" s="2" t="str">
        <f>IFERROR(__xludf.DUMMYFUNCTION("IMPORTRANGE(""https://docs.google.com/spreadsheets/d/""&amp;$A380&amp;""/edit#gid=156619080"",T$3)"),"#REF!")</f>
        <v>#REF!</v>
      </c>
      <c r="U380" s="2" t="str">
        <f>IFERROR(__xludf.DUMMYFUNCTION("IMPORTRANGE(""https://docs.google.com/spreadsheets/d/""&amp;$A380&amp;""/edit#gid=156619080"",U$3)"),"#REF!")</f>
        <v>#REF!</v>
      </c>
      <c r="V380" s="2" t="str">
        <f>IFERROR(__xludf.DUMMYFUNCTION("IMPORTRANGE(""https://docs.google.com/spreadsheets/d/""&amp;$A380&amp;""/edit#gid=156619080"",V$3)"),"#REF!")</f>
        <v>#REF!</v>
      </c>
      <c r="W380" s="2" t="str">
        <f>IFERROR(__xludf.DUMMYFUNCTION("IMPORTRANGE(""https://docs.google.com/spreadsheets/d/""&amp;$A380&amp;""/edit#gid=156619080"",W$3)"),"#REF!")</f>
        <v>#REF!</v>
      </c>
      <c r="X380" s="2" t="str">
        <f>IFERROR(__xludf.DUMMYFUNCTION("IMPORTRANGE(""https://docs.google.com/spreadsheets/d/""&amp;$A380&amp;""/edit#gid=156619080"",X$3)"),"#REF!")</f>
        <v>#REF!</v>
      </c>
      <c r="Y380" s="2" t="str">
        <f>IFERROR(__xludf.DUMMYFUNCTION("IMPORTRANGE(""https://docs.google.com/spreadsheets/d/""&amp;$A380&amp;""/edit#gid=156619080"",Y$3)"),"#REF!")</f>
        <v>#REF!</v>
      </c>
      <c r="Z380" s="2" t="str">
        <f>IFERROR(__xludf.DUMMYFUNCTION("IMPORTRANGE(""https://docs.google.com/spreadsheets/d/""&amp;$A380&amp;""/edit#gid=156619080"",Z$3)"),"#REF!")</f>
        <v>#REF!</v>
      </c>
      <c r="AA380" s="2" t="str">
        <f>IFERROR(__xludf.DUMMYFUNCTION("IMPORTRANGE(""https://docs.google.com/spreadsheets/d/""&amp;$A380&amp;""/edit#gid=156619080"",AA$3)"),"#REF!")</f>
        <v>#REF!</v>
      </c>
      <c r="AB380" s="2" t="str">
        <f>IFERROR(__xludf.DUMMYFUNCTION("IMPORTRANGE(""https://docs.google.com/spreadsheets/d/""&amp;$A380&amp;""/edit#gid=156619080"",AB$3)"),"#REF!")</f>
        <v>#REF!</v>
      </c>
      <c r="AC380" s="2" t="str">
        <f>IFERROR(__xludf.DUMMYFUNCTION("IMPORTRANGE(""https://docs.google.com/spreadsheets/d/""&amp;$A380&amp;""/edit#gid=156619080"",AC$3)"),"#REF!")</f>
        <v>#REF!</v>
      </c>
      <c r="AD380" s="2" t="str">
        <f>IFERROR(__xludf.DUMMYFUNCTION("IMPORTRANGE(""https://docs.google.com/spreadsheets/d/""&amp;$A380&amp;""/edit#gid=156619080"",AD$3)"),"#REF!")</f>
        <v>#REF!</v>
      </c>
      <c r="AE380" s="2" t="str">
        <f>IFERROR(__xludf.DUMMYFUNCTION("IMPORTRANGE(""https://docs.google.com/spreadsheets/d/""&amp;$A380&amp;""/edit#gid=156619080"",AE$3)"),"#REF!")</f>
        <v>#REF!</v>
      </c>
      <c r="AF380" s="2" t="str">
        <f>IFERROR(__xludf.DUMMYFUNCTION("IMPORTRANGE(""https://docs.google.com/spreadsheets/d/""&amp;$A380&amp;""/edit#gid=156619080"",AF$3)"),"#REF!")</f>
        <v>#REF!</v>
      </c>
      <c r="AG380" s="2" t="str">
        <f>IFERROR(__xludf.DUMMYFUNCTION("IMPORTRANGE(""https://docs.google.com/spreadsheets/d/""&amp;$A380&amp;""/edit#gid=156619080"",AG$3)"),"#REF!")</f>
        <v>#REF!</v>
      </c>
      <c r="AH380" s="2" t="str">
        <f>IFERROR(__xludf.DUMMYFUNCTION("IMPORTRANGE(""https://docs.google.com/spreadsheets/d/""&amp;$A380&amp;""/edit#gid=156619080"",AH$3)"),"#REF!")</f>
        <v>#REF!</v>
      </c>
      <c r="AI380" s="2" t="str">
        <f>IFERROR(__xludf.DUMMYFUNCTION("IMPORTRANGE(""https://docs.google.com/spreadsheets/d/""&amp;$A380&amp;""/edit#gid=156619080"",AI$3)"),"#REF!")</f>
        <v>#REF!</v>
      </c>
      <c r="AJ380" s="2" t="str">
        <f>IFERROR(__xludf.DUMMYFUNCTION("IMPORTRANGE(""https://docs.google.com/spreadsheets/d/""&amp;$A380&amp;""/edit#gid=156619080"",AJ$3)"),"#REF!")</f>
        <v>#REF!</v>
      </c>
      <c r="AK380" s="2" t="str">
        <f>IFERROR(__xludf.DUMMYFUNCTION("IMPORTRANGE(""https://docs.google.com/spreadsheets/d/""&amp;$A380&amp;""/edit#gid=156619080"",AK$3)"),"#REF!")</f>
        <v>#REF!</v>
      </c>
      <c r="AL380" s="2" t="str">
        <f>IFERROR(__xludf.DUMMYFUNCTION("IMPORTRANGE(""https://docs.google.com/spreadsheets/d/""&amp;$A380&amp;""/edit#gid=156619080"",AL$3)"),"#REF!")</f>
        <v>#REF!</v>
      </c>
      <c r="AM380" s="2" t="str">
        <f>IFERROR(__xludf.DUMMYFUNCTION("IMPORTRANGE(""https://docs.google.com/spreadsheets/d/""&amp;$A380&amp;""/edit#gid=156619080"",AM$3)"),"#REF!")</f>
        <v>#REF!</v>
      </c>
      <c r="AN380" s="2" t="str">
        <f>IFERROR(__xludf.DUMMYFUNCTION("IMPORTRANGE(""https://docs.google.com/spreadsheets/d/""&amp;$A380&amp;""/edit#gid=156619080"",AN$3)"),"#REF!")</f>
        <v>#REF!</v>
      </c>
      <c r="AO380" s="2" t="str">
        <f>IFERROR(__xludf.DUMMYFUNCTION("IMPORTRANGE(""https://docs.google.com/spreadsheets/d/""&amp;$A380&amp;""/edit#gid=156619080"",AO$3)"),"#REF!")</f>
        <v>#REF!</v>
      </c>
      <c r="AP380" s="2" t="str">
        <f>IFERROR(__xludf.DUMMYFUNCTION("IMPORTRANGE(""https://docs.google.com/spreadsheets/d/""&amp;$A380&amp;""/edit#gid=156619080"",AP$3)"),"#REF!")</f>
        <v>#REF!</v>
      </c>
      <c r="AQ380" s="2" t="str">
        <f>IFERROR(__xludf.DUMMYFUNCTION("IMPORTRANGE(""https://docs.google.com/spreadsheets/d/""&amp;$A380&amp;""/edit#gid=156619080"",AQ$3)"),"#REF!")</f>
        <v>#REF!</v>
      </c>
      <c r="AR380" s="2" t="str">
        <f>IFERROR(__xludf.DUMMYFUNCTION("IMPORTRANGE(""https://docs.google.com/spreadsheets/d/""&amp;$A380&amp;""/edit#gid=156619080"",AR$3)"),"#REF!")</f>
        <v>#REF!</v>
      </c>
      <c r="AS380" s="19" t="str">
        <f>IFERROR(__xludf.DUMMYFUNCTION("IMPORTRANGE(""https://docs.google.com/spreadsheets/d/""&amp;$A380&amp;""/edit#gid=156619080"",AS$3)"),"#REF!")</f>
        <v>#REF!</v>
      </c>
      <c r="AT380" s="2" t="str">
        <f>IFERROR(__xludf.DUMMYFUNCTION("IMPORTRANGE(""https://docs.google.com/spreadsheets/d/""&amp;$A380&amp;""/edit#gid=156619080"",AT$3)"),"#REF!")</f>
        <v>#REF!</v>
      </c>
      <c r="AU380" s="3" t="str">
        <f>IFERROR(__xludf.DUMMYFUNCTION("IMPORTRANGE(""https://docs.google.com/spreadsheets/d/""&amp;$A380&amp;""/edit#gid=156619080"",AU$3)"),"#REF!")</f>
        <v>#REF!</v>
      </c>
      <c r="AV380" s="2" t="str">
        <f>IFERROR(__xludf.DUMMYFUNCTION("IMPORTRANGE(""https://docs.google.com/spreadsheets/d/""&amp;$A380&amp;""/edit#gid=156619080"",AV$3)"),"#REF!")</f>
        <v>#REF!</v>
      </c>
      <c r="AW380" s="19" t="str">
        <f>IFERROR(__xludf.DUMMYFUNCTION("IMPORTRANGE(""https://docs.google.com/spreadsheets/d/""&amp;$A380&amp;""/edit#gid=156619080"",AW$3)"),"#REF!")</f>
        <v>#REF!</v>
      </c>
      <c r="AX380" s="2" t="str">
        <f>IFERROR(__xludf.DUMMYFUNCTION("IMPORTRANGE(""https://docs.google.com/spreadsheets/d/""&amp;$A380&amp;""/edit#gid=156619080"",AX$3)"),"#REF!")</f>
        <v>#REF!</v>
      </c>
      <c r="AY380" s="2" t="str">
        <f>IFERROR(__xludf.DUMMYFUNCTION("IMPORTRANGE(""https://docs.google.com/spreadsheets/d/""&amp;$A380&amp;""/edit#gid=156619080"",AY$3)"),"#REF!")</f>
        <v>#REF!</v>
      </c>
      <c r="AZ380" s="2" t="str">
        <f>IFERROR(__xludf.DUMMYFUNCTION("IMPORTRANGE(""https://docs.google.com/spreadsheets/d/""&amp;$A380&amp;""/edit#gid=156619080"",AZ$3)"),"#REF!")</f>
        <v>#REF!</v>
      </c>
      <c r="BA380" s="2" t="str">
        <f>IFERROR(__xludf.DUMMYFUNCTION("IMPORTRANGE(""https://docs.google.com/spreadsheets/d/""&amp;$A380&amp;""/edit#gid=156619080"",BA$3)"),"#REF!")</f>
        <v>#REF!</v>
      </c>
      <c r="BB380" s="2" t="str">
        <f>IFERROR(__xludf.DUMMYFUNCTION("IMPORTRANGE(""https://docs.google.com/spreadsheets/d/""&amp;$A380&amp;""/edit#gid=156619080"",BB$3)"),"#REF!")</f>
        <v>#REF!</v>
      </c>
      <c r="BC380" s="2" t="str">
        <f>IFERROR(__xludf.DUMMYFUNCTION("IMPORTRANGE(""https://docs.google.com/spreadsheets/d/""&amp;$A380&amp;""/edit#gid=156619080"",BC$3)"),"#REF!")</f>
        <v>#REF!</v>
      </c>
    </row>
    <row r="381" ht="51.0" customHeight="1">
      <c r="A381" s="7" t="str">
        <f t="shared" si="5"/>
        <v>1H8SijC_G7I1-Oq4B-P1ixGQkk0lFAmg_STQ-pPWhjho</v>
      </c>
      <c r="B381" s="1" t="s">
        <v>408</v>
      </c>
      <c r="C381" s="2" t="str">
        <f>IFERROR(__xludf.DUMMYFUNCTION("IMPORTRANGE(""https://docs.google.com/spreadsheets/d/""&amp;$A381&amp;""/edit#gid=156619080"",C$3)"),"#REF!")</f>
        <v>#REF!</v>
      </c>
      <c r="D381" s="2" t="str">
        <f>IFERROR(__xludf.DUMMYFUNCTION("IMPORTRANGE(""https://docs.google.com/spreadsheets/d/""&amp;$A381&amp;""/edit#gid=156619080"",D$3)"),"#REF!")</f>
        <v>#REF!</v>
      </c>
      <c r="E381" s="2" t="str">
        <f>IFERROR(__xludf.DUMMYFUNCTION("IMPORTRANGE(""https://docs.google.com/spreadsheets/d/""&amp;$A381&amp;""/edit#gid=156619080"",E$3)"),"#REF!")</f>
        <v>#REF!</v>
      </c>
      <c r="F381" s="2" t="str">
        <f>IFERROR(__xludf.DUMMYFUNCTION("IMPORTRANGE(""https://docs.google.com/spreadsheets/d/""&amp;$A381&amp;""/edit#gid=156619080"",F$3)"),"#REF!")</f>
        <v>#REF!</v>
      </c>
      <c r="G381" s="2" t="str">
        <f>IFERROR(__xludf.DUMMYFUNCTION("IMPORTRANGE(""https://docs.google.com/spreadsheets/d/""&amp;$A381&amp;""/edit#gid=156619080"",G$3)"),"#REF!")</f>
        <v>#REF!</v>
      </c>
      <c r="H381" s="2" t="str">
        <f>IFERROR(__xludf.DUMMYFUNCTION("IMPORTRANGE(""https://docs.google.com/spreadsheets/d/""&amp;$A381&amp;""/edit#gid=156619080"",H$3)"),"#REF!")</f>
        <v>#REF!</v>
      </c>
      <c r="I381" s="2" t="str">
        <f>IFERROR(__xludf.DUMMYFUNCTION("IMPORTRANGE(""https://docs.google.com/spreadsheets/d/""&amp;$A381&amp;""/edit#gid=156619080"",I$3)"),"#REF!")</f>
        <v>#REF!</v>
      </c>
      <c r="J381" s="2" t="str">
        <f>IFERROR(__xludf.DUMMYFUNCTION("IMPORTRANGE(""https://docs.google.com/spreadsheets/d/""&amp;$A381&amp;""/edit#gid=156619080"",J$3)"),"#REF!")</f>
        <v>#REF!</v>
      </c>
      <c r="K381" s="2" t="str">
        <f>IFERROR(__xludf.DUMMYFUNCTION("IMPORTRANGE(""https://docs.google.com/spreadsheets/d/""&amp;$A381&amp;""/edit#gid=156619080"",K$3)"),"#REF!")</f>
        <v>#REF!</v>
      </c>
      <c r="L381" s="2" t="str">
        <f>IFERROR(__xludf.DUMMYFUNCTION("IMPORTRANGE(""https://docs.google.com/spreadsheets/d/""&amp;$A381&amp;""/edit#gid=156619080"",L$3)"),"#REF!")</f>
        <v>#REF!</v>
      </c>
      <c r="M381" s="2" t="str">
        <f>IFERROR(__xludf.DUMMYFUNCTION("IMPORTRANGE(""https://docs.google.com/spreadsheets/d/""&amp;$A381&amp;""/edit#gid=156619080"",M$3)"),"#REF!")</f>
        <v>#REF!</v>
      </c>
      <c r="N381" s="2" t="str">
        <f>IFERROR(__xludf.DUMMYFUNCTION("IMPORTRANGE(""https://docs.google.com/spreadsheets/d/""&amp;$A381&amp;""/edit#gid=156619080"",N$3)"),"#REF!")</f>
        <v>#REF!</v>
      </c>
      <c r="O381" s="2" t="str">
        <f>IFERROR(__xludf.DUMMYFUNCTION("IMPORTRANGE(""https://docs.google.com/spreadsheets/d/""&amp;$A381&amp;""/edit#gid=156619080"",O$3)"),"#REF!")</f>
        <v>#REF!</v>
      </c>
      <c r="P381" s="2" t="str">
        <f>IFERROR(__xludf.DUMMYFUNCTION("IMPORTRANGE(""https://docs.google.com/spreadsheets/d/""&amp;$A381&amp;""/edit#gid=156619080"",P$3)"),"#REF!")</f>
        <v>#REF!</v>
      </c>
      <c r="Q381" s="2" t="str">
        <f>IFERROR(__xludf.DUMMYFUNCTION("IMPORTRANGE(""https://docs.google.com/spreadsheets/d/""&amp;$A381&amp;""/edit#gid=156619080"",Q$3)"),"#REF!")</f>
        <v>#REF!</v>
      </c>
      <c r="R381" s="2" t="str">
        <f>IFERROR(__xludf.DUMMYFUNCTION("IMPORTRANGE(""https://docs.google.com/spreadsheets/d/""&amp;$A381&amp;""/edit#gid=156619080"",R$3)"),"#REF!")</f>
        <v>#REF!</v>
      </c>
      <c r="S381" s="2" t="str">
        <f>IFERROR(__xludf.DUMMYFUNCTION("IMPORTRANGE(""https://docs.google.com/spreadsheets/d/""&amp;$A381&amp;""/edit#gid=156619080"",S$3)"),"#REF!")</f>
        <v>#REF!</v>
      </c>
      <c r="T381" s="2" t="str">
        <f>IFERROR(__xludf.DUMMYFUNCTION("IMPORTRANGE(""https://docs.google.com/spreadsheets/d/""&amp;$A381&amp;""/edit#gid=156619080"",T$3)"),"#REF!")</f>
        <v>#REF!</v>
      </c>
      <c r="U381" s="2" t="str">
        <f>IFERROR(__xludf.DUMMYFUNCTION("IMPORTRANGE(""https://docs.google.com/spreadsheets/d/""&amp;$A381&amp;""/edit#gid=156619080"",U$3)"),"#REF!")</f>
        <v>#REF!</v>
      </c>
      <c r="V381" s="2" t="str">
        <f>IFERROR(__xludf.DUMMYFUNCTION("IMPORTRANGE(""https://docs.google.com/spreadsheets/d/""&amp;$A381&amp;""/edit#gid=156619080"",V$3)"),"#REF!")</f>
        <v>#REF!</v>
      </c>
      <c r="W381" s="2" t="str">
        <f>IFERROR(__xludf.DUMMYFUNCTION("IMPORTRANGE(""https://docs.google.com/spreadsheets/d/""&amp;$A381&amp;""/edit#gid=156619080"",W$3)"),"#REF!")</f>
        <v>#REF!</v>
      </c>
      <c r="X381" s="2" t="str">
        <f>IFERROR(__xludf.DUMMYFUNCTION("IMPORTRANGE(""https://docs.google.com/spreadsheets/d/""&amp;$A381&amp;""/edit#gid=156619080"",X$3)"),"#REF!")</f>
        <v>#REF!</v>
      </c>
      <c r="Y381" s="2" t="str">
        <f>IFERROR(__xludf.DUMMYFUNCTION("IMPORTRANGE(""https://docs.google.com/spreadsheets/d/""&amp;$A381&amp;""/edit#gid=156619080"",Y$3)"),"#REF!")</f>
        <v>#REF!</v>
      </c>
      <c r="Z381" s="2" t="str">
        <f>IFERROR(__xludf.DUMMYFUNCTION("IMPORTRANGE(""https://docs.google.com/spreadsheets/d/""&amp;$A381&amp;""/edit#gid=156619080"",Z$3)"),"#REF!")</f>
        <v>#REF!</v>
      </c>
      <c r="AA381" s="2" t="str">
        <f>IFERROR(__xludf.DUMMYFUNCTION("IMPORTRANGE(""https://docs.google.com/spreadsheets/d/""&amp;$A381&amp;""/edit#gid=156619080"",AA$3)"),"#REF!")</f>
        <v>#REF!</v>
      </c>
      <c r="AB381" s="2" t="str">
        <f>IFERROR(__xludf.DUMMYFUNCTION("IMPORTRANGE(""https://docs.google.com/spreadsheets/d/""&amp;$A381&amp;""/edit#gid=156619080"",AB$3)"),"#REF!")</f>
        <v>#REF!</v>
      </c>
      <c r="AC381" s="2" t="str">
        <f>IFERROR(__xludf.DUMMYFUNCTION("IMPORTRANGE(""https://docs.google.com/spreadsheets/d/""&amp;$A381&amp;""/edit#gid=156619080"",AC$3)"),"#REF!")</f>
        <v>#REF!</v>
      </c>
      <c r="AD381" s="2" t="str">
        <f>IFERROR(__xludf.DUMMYFUNCTION("IMPORTRANGE(""https://docs.google.com/spreadsheets/d/""&amp;$A381&amp;""/edit#gid=156619080"",AD$3)"),"#REF!")</f>
        <v>#REF!</v>
      </c>
      <c r="AE381" s="2" t="str">
        <f>IFERROR(__xludf.DUMMYFUNCTION("IMPORTRANGE(""https://docs.google.com/spreadsheets/d/""&amp;$A381&amp;""/edit#gid=156619080"",AE$3)"),"#REF!")</f>
        <v>#REF!</v>
      </c>
      <c r="AF381" s="2" t="str">
        <f>IFERROR(__xludf.DUMMYFUNCTION("IMPORTRANGE(""https://docs.google.com/spreadsheets/d/""&amp;$A381&amp;""/edit#gid=156619080"",AF$3)"),"#REF!")</f>
        <v>#REF!</v>
      </c>
      <c r="AG381" s="2" t="str">
        <f>IFERROR(__xludf.DUMMYFUNCTION("IMPORTRANGE(""https://docs.google.com/spreadsheets/d/""&amp;$A381&amp;""/edit#gid=156619080"",AG$3)"),"#REF!")</f>
        <v>#REF!</v>
      </c>
      <c r="AH381" s="2" t="str">
        <f>IFERROR(__xludf.DUMMYFUNCTION("IMPORTRANGE(""https://docs.google.com/spreadsheets/d/""&amp;$A381&amp;""/edit#gid=156619080"",AH$3)"),"#REF!")</f>
        <v>#REF!</v>
      </c>
      <c r="AI381" s="2" t="str">
        <f>IFERROR(__xludf.DUMMYFUNCTION("IMPORTRANGE(""https://docs.google.com/spreadsheets/d/""&amp;$A381&amp;""/edit#gid=156619080"",AI$3)"),"#REF!")</f>
        <v>#REF!</v>
      </c>
      <c r="AJ381" s="2" t="str">
        <f>IFERROR(__xludf.DUMMYFUNCTION("IMPORTRANGE(""https://docs.google.com/spreadsheets/d/""&amp;$A381&amp;""/edit#gid=156619080"",AJ$3)"),"#REF!")</f>
        <v>#REF!</v>
      </c>
      <c r="AK381" s="2" t="str">
        <f>IFERROR(__xludf.DUMMYFUNCTION("IMPORTRANGE(""https://docs.google.com/spreadsheets/d/""&amp;$A381&amp;""/edit#gid=156619080"",AK$3)"),"#REF!")</f>
        <v>#REF!</v>
      </c>
      <c r="AL381" s="2" t="str">
        <f>IFERROR(__xludf.DUMMYFUNCTION("IMPORTRANGE(""https://docs.google.com/spreadsheets/d/""&amp;$A381&amp;""/edit#gid=156619080"",AL$3)"),"#REF!")</f>
        <v>#REF!</v>
      </c>
      <c r="AM381" s="2" t="str">
        <f>IFERROR(__xludf.DUMMYFUNCTION("IMPORTRANGE(""https://docs.google.com/spreadsheets/d/""&amp;$A381&amp;""/edit#gid=156619080"",AM$3)"),"#REF!")</f>
        <v>#REF!</v>
      </c>
      <c r="AN381" s="2" t="str">
        <f>IFERROR(__xludf.DUMMYFUNCTION("IMPORTRANGE(""https://docs.google.com/spreadsheets/d/""&amp;$A381&amp;""/edit#gid=156619080"",AN$3)"),"#REF!")</f>
        <v>#REF!</v>
      </c>
      <c r="AO381" s="2" t="str">
        <f>IFERROR(__xludf.DUMMYFUNCTION("IMPORTRANGE(""https://docs.google.com/spreadsheets/d/""&amp;$A381&amp;""/edit#gid=156619080"",AO$3)"),"#REF!")</f>
        <v>#REF!</v>
      </c>
      <c r="AP381" s="2" t="str">
        <f>IFERROR(__xludf.DUMMYFUNCTION("IMPORTRANGE(""https://docs.google.com/spreadsheets/d/""&amp;$A381&amp;""/edit#gid=156619080"",AP$3)"),"#REF!")</f>
        <v>#REF!</v>
      </c>
      <c r="AQ381" s="2" t="str">
        <f>IFERROR(__xludf.DUMMYFUNCTION("IMPORTRANGE(""https://docs.google.com/spreadsheets/d/""&amp;$A381&amp;""/edit#gid=156619080"",AQ$3)"),"#REF!")</f>
        <v>#REF!</v>
      </c>
      <c r="AR381" s="2" t="str">
        <f>IFERROR(__xludf.DUMMYFUNCTION("IMPORTRANGE(""https://docs.google.com/spreadsheets/d/""&amp;$A381&amp;""/edit#gid=156619080"",AR$3)"),"#REF!")</f>
        <v>#REF!</v>
      </c>
      <c r="AS381" s="19" t="str">
        <f>IFERROR(__xludf.DUMMYFUNCTION("IMPORTRANGE(""https://docs.google.com/spreadsheets/d/""&amp;$A381&amp;""/edit#gid=156619080"",AS$3)"),"#REF!")</f>
        <v>#REF!</v>
      </c>
      <c r="AT381" s="2" t="str">
        <f>IFERROR(__xludf.DUMMYFUNCTION("IMPORTRANGE(""https://docs.google.com/spreadsheets/d/""&amp;$A381&amp;""/edit#gid=156619080"",AT$3)"),"#REF!")</f>
        <v>#REF!</v>
      </c>
      <c r="AU381" s="3" t="str">
        <f>IFERROR(__xludf.DUMMYFUNCTION("IMPORTRANGE(""https://docs.google.com/spreadsheets/d/""&amp;$A381&amp;""/edit#gid=156619080"",AU$3)"),"#REF!")</f>
        <v>#REF!</v>
      </c>
      <c r="AV381" s="2" t="str">
        <f>IFERROR(__xludf.DUMMYFUNCTION("IMPORTRANGE(""https://docs.google.com/spreadsheets/d/""&amp;$A381&amp;""/edit#gid=156619080"",AV$3)"),"#REF!")</f>
        <v>#REF!</v>
      </c>
      <c r="AW381" s="19" t="str">
        <f>IFERROR(__xludf.DUMMYFUNCTION("IMPORTRANGE(""https://docs.google.com/spreadsheets/d/""&amp;$A381&amp;""/edit#gid=156619080"",AW$3)"),"#REF!")</f>
        <v>#REF!</v>
      </c>
      <c r="AX381" s="2" t="str">
        <f>IFERROR(__xludf.DUMMYFUNCTION("IMPORTRANGE(""https://docs.google.com/spreadsheets/d/""&amp;$A381&amp;""/edit#gid=156619080"",AX$3)"),"#REF!")</f>
        <v>#REF!</v>
      </c>
      <c r="AY381" s="2" t="str">
        <f>IFERROR(__xludf.DUMMYFUNCTION("IMPORTRANGE(""https://docs.google.com/spreadsheets/d/""&amp;$A381&amp;""/edit#gid=156619080"",AY$3)"),"#REF!")</f>
        <v>#REF!</v>
      </c>
      <c r="AZ381" s="2" t="str">
        <f>IFERROR(__xludf.DUMMYFUNCTION("IMPORTRANGE(""https://docs.google.com/spreadsheets/d/""&amp;$A381&amp;""/edit#gid=156619080"",AZ$3)"),"#REF!")</f>
        <v>#REF!</v>
      </c>
      <c r="BA381" s="2" t="str">
        <f>IFERROR(__xludf.DUMMYFUNCTION("IMPORTRANGE(""https://docs.google.com/spreadsheets/d/""&amp;$A381&amp;""/edit#gid=156619080"",BA$3)"),"#REF!")</f>
        <v>#REF!</v>
      </c>
      <c r="BB381" s="2" t="str">
        <f>IFERROR(__xludf.DUMMYFUNCTION("IMPORTRANGE(""https://docs.google.com/spreadsheets/d/""&amp;$A381&amp;""/edit#gid=156619080"",BB$3)"),"#REF!")</f>
        <v>#REF!</v>
      </c>
      <c r="BC381" s="2" t="str">
        <f>IFERROR(__xludf.DUMMYFUNCTION("IMPORTRANGE(""https://docs.google.com/spreadsheets/d/""&amp;$A381&amp;""/edit#gid=156619080"",BC$3)"),"#REF!")</f>
        <v>#REF!</v>
      </c>
    </row>
    <row r="382" ht="51.0" customHeight="1">
      <c r="A382" s="7" t="str">
        <f t="shared" si="5"/>
        <v>1VZlD2mp9W-2IjE8hgqQwsOz3UGG6qu6xPtGVMzwm1VQ</v>
      </c>
      <c r="B382" s="1" t="s">
        <v>409</v>
      </c>
      <c r="C382" s="2" t="str">
        <f>IFERROR(__xludf.DUMMYFUNCTION("IMPORTRANGE(""https://docs.google.com/spreadsheets/d/""&amp;$A382&amp;""/edit#gid=156619080"",C$3)"),"#REF!")</f>
        <v>#REF!</v>
      </c>
      <c r="D382" s="2" t="str">
        <f>IFERROR(__xludf.DUMMYFUNCTION("IMPORTRANGE(""https://docs.google.com/spreadsheets/d/""&amp;$A382&amp;""/edit#gid=156619080"",D$3)"),"#REF!")</f>
        <v>#REF!</v>
      </c>
      <c r="E382" s="2" t="str">
        <f>IFERROR(__xludf.DUMMYFUNCTION("IMPORTRANGE(""https://docs.google.com/spreadsheets/d/""&amp;$A382&amp;""/edit#gid=156619080"",E$3)"),"#REF!")</f>
        <v>#REF!</v>
      </c>
      <c r="F382" s="2" t="str">
        <f>IFERROR(__xludf.DUMMYFUNCTION("IMPORTRANGE(""https://docs.google.com/spreadsheets/d/""&amp;$A382&amp;""/edit#gid=156619080"",F$3)"),"#REF!")</f>
        <v>#REF!</v>
      </c>
      <c r="G382" s="2" t="str">
        <f>IFERROR(__xludf.DUMMYFUNCTION("IMPORTRANGE(""https://docs.google.com/spreadsheets/d/""&amp;$A382&amp;""/edit#gid=156619080"",G$3)"),"#REF!")</f>
        <v>#REF!</v>
      </c>
      <c r="H382" s="2" t="str">
        <f>IFERROR(__xludf.DUMMYFUNCTION("IMPORTRANGE(""https://docs.google.com/spreadsheets/d/""&amp;$A382&amp;""/edit#gid=156619080"",H$3)"),"#REF!")</f>
        <v>#REF!</v>
      </c>
      <c r="I382" s="2" t="str">
        <f>IFERROR(__xludf.DUMMYFUNCTION("IMPORTRANGE(""https://docs.google.com/spreadsheets/d/""&amp;$A382&amp;""/edit#gid=156619080"",I$3)"),"#REF!")</f>
        <v>#REF!</v>
      </c>
      <c r="J382" s="2" t="str">
        <f>IFERROR(__xludf.DUMMYFUNCTION("IMPORTRANGE(""https://docs.google.com/spreadsheets/d/""&amp;$A382&amp;""/edit#gid=156619080"",J$3)"),"#REF!")</f>
        <v>#REF!</v>
      </c>
      <c r="K382" s="2" t="str">
        <f>IFERROR(__xludf.DUMMYFUNCTION("IMPORTRANGE(""https://docs.google.com/spreadsheets/d/""&amp;$A382&amp;""/edit#gid=156619080"",K$3)"),"#REF!")</f>
        <v>#REF!</v>
      </c>
      <c r="L382" s="2" t="str">
        <f>IFERROR(__xludf.DUMMYFUNCTION("IMPORTRANGE(""https://docs.google.com/spreadsheets/d/""&amp;$A382&amp;""/edit#gid=156619080"",L$3)"),"#REF!")</f>
        <v>#REF!</v>
      </c>
      <c r="M382" s="2" t="str">
        <f>IFERROR(__xludf.DUMMYFUNCTION("IMPORTRANGE(""https://docs.google.com/spreadsheets/d/""&amp;$A382&amp;""/edit#gid=156619080"",M$3)"),"#REF!")</f>
        <v>#REF!</v>
      </c>
      <c r="N382" s="2" t="str">
        <f>IFERROR(__xludf.DUMMYFUNCTION("IMPORTRANGE(""https://docs.google.com/spreadsheets/d/""&amp;$A382&amp;""/edit#gid=156619080"",N$3)"),"#REF!")</f>
        <v>#REF!</v>
      </c>
      <c r="O382" s="2" t="str">
        <f>IFERROR(__xludf.DUMMYFUNCTION("IMPORTRANGE(""https://docs.google.com/spreadsheets/d/""&amp;$A382&amp;""/edit#gid=156619080"",O$3)"),"#REF!")</f>
        <v>#REF!</v>
      </c>
      <c r="P382" s="2" t="str">
        <f>IFERROR(__xludf.DUMMYFUNCTION("IMPORTRANGE(""https://docs.google.com/spreadsheets/d/""&amp;$A382&amp;""/edit#gid=156619080"",P$3)"),"#REF!")</f>
        <v>#REF!</v>
      </c>
      <c r="Q382" s="2" t="str">
        <f>IFERROR(__xludf.DUMMYFUNCTION("IMPORTRANGE(""https://docs.google.com/spreadsheets/d/""&amp;$A382&amp;""/edit#gid=156619080"",Q$3)"),"#REF!")</f>
        <v>#REF!</v>
      </c>
      <c r="R382" s="2" t="str">
        <f>IFERROR(__xludf.DUMMYFUNCTION("IMPORTRANGE(""https://docs.google.com/spreadsheets/d/""&amp;$A382&amp;""/edit#gid=156619080"",R$3)"),"#REF!")</f>
        <v>#REF!</v>
      </c>
      <c r="S382" s="2" t="str">
        <f>IFERROR(__xludf.DUMMYFUNCTION("IMPORTRANGE(""https://docs.google.com/spreadsheets/d/""&amp;$A382&amp;""/edit#gid=156619080"",S$3)"),"#REF!")</f>
        <v>#REF!</v>
      </c>
      <c r="T382" s="2" t="str">
        <f>IFERROR(__xludf.DUMMYFUNCTION("IMPORTRANGE(""https://docs.google.com/spreadsheets/d/""&amp;$A382&amp;""/edit#gid=156619080"",T$3)"),"#REF!")</f>
        <v>#REF!</v>
      </c>
      <c r="U382" s="2" t="str">
        <f>IFERROR(__xludf.DUMMYFUNCTION("IMPORTRANGE(""https://docs.google.com/spreadsheets/d/""&amp;$A382&amp;""/edit#gid=156619080"",U$3)"),"#REF!")</f>
        <v>#REF!</v>
      </c>
      <c r="V382" s="2" t="str">
        <f>IFERROR(__xludf.DUMMYFUNCTION("IMPORTRANGE(""https://docs.google.com/spreadsheets/d/""&amp;$A382&amp;""/edit#gid=156619080"",V$3)"),"#REF!")</f>
        <v>#REF!</v>
      </c>
      <c r="W382" s="2" t="str">
        <f>IFERROR(__xludf.DUMMYFUNCTION("IMPORTRANGE(""https://docs.google.com/spreadsheets/d/""&amp;$A382&amp;""/edit#gid=156619080"",W$3)"),"#REF!")</f>
        <v>#REF!</v>
      </c>
      <c r="X382" s="2" t="str">
        <f>IFERROR(__xludf.DUMMYFUNCTION("IMPORTRANGE(""https://docs.google.com/spreadsheets/d/""&amp;$A382&amp;""/edit#gid=156619080"",X$3)"),"#REF!")</f>
        <v>#REF!</v>
      </c>
      <c r="Y382" s="2" t="str">
        <f>IFERROR(__xludf.DUMMYFUNCTION("IMPORTRANGE(""https://docs.google.com/spreadsheets/d/""&amp;$A382&amp;""/edit#gid=156619080"",Y$3)"),"#REF!")</f>
        <v>#REF!</v>
      </c>
      <c r="Z382" s="2" t="str">
        <f>IFERROR(__xludf.DUMMYFUNCTION("IMPORTRANGE(""https://docs.google.com/spreadsheets/d/""&amp;$A382&amp;""/edit#gid=156619080"",Z$3)"),"#REF!")</f>
        <v>#REF!</v>
      </c>
      <c r="AA382" s="2" t="str">
        <f>IFERROR(__xludf.DUMMYFUNCTION("IMPORTRANGE(""https://docs.google.com/spreadsheets/d/""&amp;$A382&amp;""/edit#gid=156619080"",AA$3)"),"#REF!")</f>
        <v>#REF!</v>
      </c>
      <c r="AB382" s="2" t="str">
        <f>IFERROR(__xludf.DUMMYFUNCTION("IMPORTRANGE(""https://docs.google.com/spreadsheets/d/""&amp;$A382&amp;""/edit#gid=156619080"",AB$3)"),"#REF!")</f>
        <v>#REF!</v>
      </c>
      <c r="AC382" s="2" t="str">
        <f>IFERROR(__xludf.DUMMYFUNCTION("IMPORTRANGE(""https://docs.google.com/spreadsheets/d/""&amp;$A382&amp;""/edit#gid=156619080"",AC$3)"),"#REF!")</f>
        <v>#REF!</v>
      </c>
      <c r="AD382" s="2" t="str">
        <f>IFERROR(__xludf.DUMMYFUNCTION("IMPORTRANGE(""https://docs.google.com/spreadsheets/d/""&amp;$A382&amp;""/edit#gid=156619080"",AD$3)"),"#REF!")</f>
        <v>#REF!</v>
      </c>
      <c r="AE382" s="2" t="str">
        <f>IFERROR(__xludf.DUMMYFUNCTION("IMPORTRANGE(""https://docs.google.com/spreadsheets/d/""&amp;$A382&amp;""/edit#gid=156619080"",AE$3)"),"#REF!")</f>
        <v>#REF!</v>
      </c>
      <c r="AF382" s="2" t="str">
        <f>IFERROR(__xludf.DUMMYFUNCTION("IMPORTRANGE(""https://docs.google.com/spreadsheets/d/""&amp;$A382&amp;""/edit#gid=156619080"",AF$3)"),"#REF!")</f>
        <v>#REF!</v>
      </c>
      <c r="AG382" s="2" t="str">
        <f>IFERROR(__xludf.DUMMYFUNCTION("IMPORTRANGE(""https://docs.google.com/spreadsheets/d/""&amp;$A382&amp;""/edit#gid=156619080"",AG$3)"),"#REF!")</f>
        <v>#REF!</v>
      </c>
      <c r="AH382" s="2" t="str">
        <f>IFERROR(__xludf.DUMMYFUNCTION("IMPORTRANGE(""https://docs.google.com/spreadsheets/d/""&amp;$A382&amp;""/edit#gid=156619080"",AH$3)"),"#REF!")</f>
        <v>#REF!</v>
      </c>
      <c r="AI382" s="2" t="str">
        <f>IFERROR(__xludf.DUMMYFUNCTION("IMPORTRANGE(""https://docs.google.com/spreadsheets/d/""&amp;$A382&amp;""/edit#gid=156619080"",AI$3)"),"#REF!")</f>
        <v>#REF!</v>
      </c>
      <c r="AJ382" s="2" t="str">
        <f>IFERROR(__xludf.DUMMYFUNCTION("IMPORTRANGE(""https://docs.google.com/spreadsheets/d/""&amp;$A382&amp;""/edit#gid=156619080"",AJ$3)"),"#REF!")</f>
        <v>#REF!</v>
      </c>
      <c r="AK382" s="2" t="str">
        <f>IFERROR(__xludf.DUMMYFUNCTION("IMPORTRANGE(""https://docs.google.com/spreadsheets/d/""&amp;$A382&amp;""/edit#gid=156619080"",AK$3)"),"#REF!")</f>
        <v>#REF!</v>
      </c>
      <c r="AL382" s="2" t="str">
        <f>IFERROR(__xludf.DUMMYFUNCTION("IMPORTRANGE(""https://docs.google.com/spreadsheets/d/""&amp;$A382&amp;""/edit#gid=156619080"",AL$3)"),"#REF!")</f>
        <v>#REF!</v>
      </c>
      <c r="AM382" s="2" t="str">
        <f>IFERROR(__xludf.DUMMYFUNCTION("IMPORTRANGE(""https://docs.google.com/spreadsheets/d/""&amp;$A382&amp;""/edit#gid=156619080"",AM$3)"),"#REF!")</f>
        <v>#REF!</v>
      </c>
      <c r="AN382" s="2" t="str">
        <f>IFERROR(__xludf.DUMMYFUNCTION("IMPORTRANGE(""https://docs.google.com/spreadsheets/d/""&amp;$A382&amp;""/edit#gid=156619080"",AN$3)"),"#REF!")</f>
        <v>#REF!</v>
      </c>
      <c r="AO382" s="2" t="str">
        <f>IFERROR(__xludf.DUMMYFUNCTION("IMPORTRANGE(""https://docs.google.com/spreadsheets/d/""&amp;$A382&amp;""/edit#gid=156619080"",AO$3)"),"#REF!")</f>
        <v>#REF!</v>
      </c>
      <c r="AP382" s="2" t="str">
        <f>IFERROR(__xludf.DUMMYFUNCTION("IMPORTRANGE(""https://docs.google.com/spreadsheets/d/""&amp;$A382&amp;""/edit#gid=156619080"",AP$3)"),"#REF!")</f>
        <v>#REF!</v>
      </c>
      <c r="AQ382" s="2" t="str">
        <f>IFERROR(__xludf.DUMMYFUNCTION("IMPORTRANGE(""https://docs.google.com/spreadsheets/d/""&amp;$A382&amp;""/edit#gid=156619080"",AQ$3)"),"#REF!")</f>
        <v>#REF!</v>
      </c>
      <c r="AR382" s="2" t="str">
        <f>IFERROR(__xludf.DUMMYFUNCTION("IMPORTRANGE(""https://docs.google.com/spreadsheets/d/""&amp;$A382&amp;""/edit#gid=156619080"",AR$3)"),"#REF!")</f>
        <v>#REF!</v>
      </c>
      <c r="AS382" s="19" t="str">
        <f>IFERROR(__xludf.DUMMYFUNCTION("IMPORTRANGE(""https://docs.google.com/spreadsheets/d/""&amp;$A382&amp;""/edit#gid=156619080"",AS$3)"),"#REF!")</f>
        <v>#REF!</v>
      </c>
      <c r="AT382" s="2" t="str">
        <f>IFERROR(__xludf.DUMMYFUNCTION("IMPORTRANGE(""https://docs.google.com/spreadsheets/d/""&amp;$A382&amp;""/edit#gid=156619080"",AT$3)"),"#REF!")</f>
        <v>#REF!</v>
      </c>
      <c r="AU382" s="3" t="str">
        <f>IFERROR(__xludf.DUMMYFUNCTION("IMPORTRANGE(""https://docs.google.com/spreadsheets/d/""&amp;$A382&amp;""/edit#gid=156619080"",AU$3)"),"#REF!")</f>
        <v>#REF!</v>
      </c>
      <c r="AV382" s="2" t="str">
        <f>IFERROR(__xludf.DUMMYFUNCTION("IMPORTRANGE(""https://docs.google.com/spreadsheets/d/""&amp;$A382&amp;""/edit#gid=156619080"",AV$3)"),"#REF!")</f>
        <v>#REF!</v>
      </c>
      <c r="AW382" s="19" t="str">
        <f>IFERROR(__xludf.DUMMYFUNCTION("IMPORTRANGE(""https://docs.google.com/spreadsheets/d/""&amp;$A382&amp;""/edit#gid=156619080"",AW$3)"),"#REF!")</f>
        <v>#REF!</v>
      </c>
      <c r="AX382" s="2" t="str">
        <f>IFERROR(__xludf.DUMMYFUNCTION("IMPORTRANGE(""https://docs.google.com/spreadsheets/d/""&amp;$A382&amp;""/edit#gid=156619080"",AX$3)"),"#REF!")</f>
        <v>#REF!</v>
      </c>
      <c r="AY382" s="2" t="str">
        <f>IFERROR(__xludf.DUMMYFUNCTION("IMPORTRANGE(""https://docs.google.com/spreadsheets/d/""&amp;$A382&amp;""/edit#gid=156619080"",AY$3)"),"#REF!")</f>
        <v>#REF!</v>
      </c>
      <c r="AZ382" s="2" t="str">
        <f>IFERROR(__xludf.DUMMYFUNCTION("IMPORTRANGE(""https://docs.google.com/spreadsheets/d/""&amp;$A382&amp;""/edit#gid=156619080"",AZ$3)"),"#REF!")</f>
        <v>#REF!</v>
      </c>
      <c r="BA382" s="2" t="str">
        <f>IFERROR(__xludf.DUMMYFUNCTION("IMPORTRANGE(""https://docs.google.com/spreadsheets/d/""&amp;$A382&amp;""/edit#gid=156619080"",BA$3)"),"#REF!")</f>
        <v>#REF!</v>
      </c>
      <c r="BB382" s="2" t="str">
        <f>IFERROR(__xludf.DUMMYFUNCTION("IMPORTRANGE(""https://docs.google.com/spreadsheets/d/""&amp;$A382&amp;""/edit#gid=156619080"",BB$3)"),"#REF!")</f>
        <v>#REF!</v>
      </c>
      <c r="BC382" s="2" t="str">
        <f>IFERROR(__xludf.DUMMYFUNCTION("IMPORTRANGE(""https://docs.google.com/spreadsheets/d/""&amp;$A382&amp;""/edit#gid=156619080"",BC$3)"),"#REF!")</f>
        <v>#REF!</v>
      </c>
    </row>
    <row r="383" ht="51.0" customHeight="1">
      <c r="A383" s="7" t="str">
        <f t="shared" si="5"/>
        <v>1C069vbP-yeE-o6oOA9TXNwwAEF-jK8CtFWKacc90_PM</v>
      </c>
      <c r="B383" s="1" t="s">
        <v>410</v>
      </c>
      <c r="C383" s="2" t="str">
        <f>IFERROR(__xludf.DUMMYFUNCTION("IMPORTRANGE(""https://docs.google.com/spreadsheets/d/""&amp;$A383&amp;""/edit#gid=156619080"",C$3)"),"#REF!")</f>
        <v>#REF!</v>
      </c>
      <c r="D383" s="2" t="str">
        <f>IFERROR(__xludf.DUMMYFUNCTION("IMPORTRANGE(""https://docs.google.com/spreadsheets/d/""&amp;$A383&amp;""/edit#gid=156619080"",D$3)"),"#REF!")</f>
        <v>#REF!</v>
      </c>
      <c r="E383" s="2" t="str">
        <f>IFERROR(__xludf.DUMMYFUNCTION("IMPORTRANGE(""https://docs.google.com/spreadsheets/d/""&amp;$A383&amp;""/edit#gid=156619080"",E$3)"),"#REF!")</f>
        <v>#REF!</v>
      </c>
      <c r="F383" s="2" t="str">
        <f>IFERROR(__xludf.DUMMYFUNCTION("IMPORTRANGE(""https://docs.google.com/spreadsheets/d/""&amp;$A383&amp;""/edit#gid=156619080"",F$3)"),"#REF!")</f>
        <v>#REF!</v>
      </c>
      <c r="G383" s="2" t="str">
        <f>IFERROR(__xludf.DUMMYFUNCTION("IMPORTRANGE(""https://docs.google.com/spreadsheets/d/""&amp;$A383&amp;""/edit#gid=156619080"",G$3)"),"#REF!")</f>
        <v>#REF!</v>
      </c>
      <c r="H383" s="2" t="str">
        <f>IFERROR(__xludf.DUMMYFUNCTION("IMPORTRANGE(""https://docs.google.com/spreadsheets/d/""&amp;$A383&amp;""/edit#gid=156619080"",H$3)"),"#REF!")</f>
        <v>#REF!</v>
      </c>
      <c r="I383" s="2" t="str">
        <f>IFERROR(__xludf.DUMMYFUNCTION("IMPORTRANGE(""https://docs.google.com/spreadsheets/d/""&amp;$A383&amp;""/edit#gid=156619080"",I$3)"),"#REF!")</f>
        <v>#REF!</v>
      </c>
      <c r="J383" s="2" t="str">
        <f>IFERROR(__xludf.DUMMYFUNCTION("IMPORTRANGE(""https://docs.google.com/spreadsheets/d/""&amp;$A383&amp;""/edit#gid=156619080"",J$3)"),"#REF!")</f>
        <v>#REF!</v>
      </c>
      <c r="K383" s="2" t="str">
        <f>IFERROR(__xludf.DUMMYFUNCTION("IMPORTRANGE(""https://docs.google.com/spreadsheets/d/""&amp;$A383&amp;""/edit#gid=156619080"",K$3)"),"#REF!")</f>
        <v>#REF!</v>
      </c>
      <c r="L383" s="2" t="str">
        <f>IFERROR(__xludf.DUMMYFUNCTION("IMPORTRANGE(""https://docs.google.com/spreadsheets/d/""&amp;$A383&amp;""/edit#gid=156619080"",L$3)"),"#REF!")</f>
        <v>#REF!</v>
      </c>
      <c r="M383" s="2" t="str">
        <f>IFERROR(__xludf.DUMMYFUNCTION("IMPORTRANGE(""https://docs.google.com/spreadsheets/d/""&amp;$A383&amp;""/edit#gid=156619080"",M$3)"),"#REF!")</f>
        <v>#REF!</v>
      </c>
      <c r="N383" s="2" t="str">
        <f>IFERROR(__xludf.DUMMYFUNCTION("IMPORTRANGE(""https://docs.google.com/spreadsheets/d/""&amp;$A383&amp;""/edit#gid=156619080"",N$3)"),"#REF!")</f>
        <v>#REF!</v>
      </c>
      <c r="O383" s="2" t="str">
        <f>IFERROR(__xludf.DUMMYFUNCTION("IMPORTRANGE(""https://docs.google.com/spreadsheets/d/""&amp;$A383&amp;""/edit#gid=156619080"",O$3)"),"#REF!")</f>
        <v>#REF!</v>
      </c>
      <c r="P383" s="2" t="str">
        <f>IFERROR(__xludf.DUMMYFUNCTION("IMPORTRANGE(""https://docs.google.com/spreadsheets/d/""&amp;$A383&amp;""/edit#gid=156619080"",P$3)"),"#REF!")</f>
        <v>#REF!</v>
      </c>
      <c r="Q383" s="2" t="str">
        <f>IFERROR(__xludf.DUMMYFUNCTION("IMPORTRANGE(""https://docs.google.com/spreadsheets/d/""&amp;$A383&amp;""/edit#gid=156619080"",Q$3)"),"#REF!")</f>
        <v>#REF!</v>
      </c>
      <c r="R383" s="2" t="str">
        <f>IFERROR(__xludf.DUMMYFUNCTION("IMPORTRANGE(""https://docs.google.com/spreadsheets/d/""&amp;$A383&amp;""/edit#gid=156619080"",R$3)"),"#REF!")</f>
        <v>#REF!</v>
      </c>
      <c r="S383" s="2" t="str">
        <f>IFERROR(__xludf.DUMMYFUNCTION("IMPORTRANGE(""https://docs.google.com/spreadsheets/d/""&amp;$A383&amp;""/edit#gid=156619080"",S$3)"),"#REF!")</f>
        <v>#REF!</v>
      </c>
      <c r="T383" s="2" t="str">
        <f>IFERROR(__xludf.DUMMYFUNCTION("IMPORTRANGE(""https://docs.google.com/spreadsheets/d/""&amp;$A383&amp;""/edit#gid=156619080"",T$3)"),"#REF!")</f>
        <v>#REF!</v>
      </c>
      <c r="U383" s="2" t="str">
        <f>IFERROR(__xludf.DUMMYFUNCTION("IMPORTRANGE(""https://docs.google.com/spreadsheets/d/""&amp;$A383&amp;""/edit#gid=156619080"",U$3)"),"#REF!")</f>
        <v>#REF!</v>
      </c>
      <c r="V383" s="2" t="str">
        <f>IFERROR(__xludf.DUMMYFUNCTION("IMPORTRANGE(""https://docs.google.com/spreadsheets/d/""&amp;$A383&amp;""/edit#gid=156619080"",V$3)"),"#REF!")</f>
        <v>#REF!</v>
      </c>
      <c r="W383" s="2" t="str">
        <f>IFERROR(__xludf.DUMMYFUNCTION("IMPORTRANGE(""https://docs.google.com/spreadsheets/d/""&amp;$A383&amp;""/edit#gid=156619080"",W$3)"),"#REF!")</f>
        <v>#REF!</v>
      </c>
      <c r="X383" s="2" t="str">
        <f>IFERROR(__xludf.DUMMYFUNCTION("IMPORTRANGE(""https://docs.google.com/spreadsheets/d/""&amp;$A383&amp;""/edit#gid=156619080"",X$3)"),"#REF!")</f>
        <v>#REF!</v>
      </c>
      <c r="Y383" s="2" t="str">
        <f>IFERROR(__xludf.DUMMYFUNCTION("IMPORTRANGE(""https://docs.google.com/spreadsheets/d/""&amp;$A383&amp;""/edit#gid=156619080"",Y$3)"),"#REF!")</f>
        <v>#REF!</v>
      </c>
      <c r="Z383" s="2" t="str">
        <f>IFERROR(__xludf.DUMMYFUNCTION("IMPORTRANGE(""https://docs.google.com/spreadsheets/d/""&amp;$A383&amp;""/edit#gid=156619080"",Z$3)"),"#REF!")</f>
        <v>#REF!</v>
      </c>
      <c r="AA383" s="2" t="str">
        <f>IFERROR(__xludf.DUMMYFUNCTION("IMPORTRANGE(""https://docs.google.com/spreadsheets/d/""&amp;$A383&amp;""/edit#gid=156619080"",AA$3)"),"#REF!")</f>
        <v>#REF!</v>
      </c>
      <c r="AB383" s="2" t="str">
        <f>IFERROR(__xludf.DUMMYFUNCTION("IMPORTRANGE(""https://docs.google.com/spreadsheets/d/""&amp;$A383&amp;""/edit#gid=156619080"",AB$3)"),"#REF!")</f>
        <v>#REF!</v>
      </c>
      <c r="AC383" s="2" t="str">
        <f>IFERROR(__xludf.DUMMYFUNCTION("IMPORTRANGE(""https://docs.google.com/spreadsheets/d/""&amp;$A383&amp;""/edit#gid=156619080"",AC$3)"),"#REF!")</f>
        <v>#REF!</v>
      </c>
      <c r="AD383" s="2" t="str">
        <f>IFERROR(__xludf.DUMMYFUNCTION("IMPORTRANGE(""https://docs.google.com/spreadsheets/d/""&amp;$A383&amp;""/edit#gid=156619080"",AD$3)"),"#REF!")</f>
        <v>#REF!</v>
      </c>
      <c r="AE383" s="2" t="str">
        <f>IFERROR(__xludf.DUMMYFUNCTION("IMPORTRANGE(""https://docs.google.com/spreadsheets/d/""&amp;$A383&amp;""/edit#gid=156619080"",AE$3)"),"#REF!")</f>
        <v>#REF!</v>
      </c>
      <c r="AF383" s="2" t="str">
        <f>IFERROR(__xludf.DUMMYFUNCTION("IMPORTRANGE(""https://docs.google.com/spreadsheets/d/""&amp;$A383&amp;""/edit#gid=156619080"",AF$3)"),"#REF!")</f>
        <v>#REF!</v>
      </c>
      <c r="AG383" s="2" t="str">
        <f>IFERROR(__xludf.DUMMYFUNCTION("IMPORTRANGE(""https://docs.google.com/spreadsheets/d/""&amp;$A383&amp;""/edit#gid=156619080"",AG$3)"),"#REF!")</f>
        <v>#REF!</v>
      </c>
      <c r="AH383" s="2" t="str">
        <f>IFERROR(__xludf.DUMMYFUNCTION("IMPORTRANGE(""https://docs.google.com/spreadsheets/d/""&amp;$A383&amp;""/edit#gid=156619080"",AH$3)"),"#REF!")</f>
        <v>#REF!</v>
      </c>
      <c r="AI383" s="2" t="str">
        <f>IFERROR(__xludf.DUMMYFUNCTION("IMPORTRANGE(""https://docs.google.com/spreadsheets/d/""&amp;$A383&amp;""/edit#gid=156619080"",AI$3)"),"#REF!")</f>
        <v>#REF!</v>
      </c>
      <c r="AJ383" s="2" t="str">
        <f>IFERROR(__xludf.DUMMYFUNCTION("IMPORTRANGE(""https://docs.google.com/spreadsheets/d/""&amp;$A383&amp;""/edit#gid=156619080"",AJ$3)"),"#REF!")</f>
        <v>#REF!</v>
      </c>
      <c r="AK383" s="2" t="str">
        <f>IFERROR(__xludf.DUMMYFUNCTION("IMPORTRANGE(""https://docs.google.com/spreadsheets/d/""&amp;$A383&amp;""/edit#gid=156619080"",AK$3)"),"#REF!")</f>
        <v>#REF!</v>
      </c>
      <c r="AL383" s="2" t="str">
        <f>IFERROR(__xludf.DUMMYFUNCTION("IMPORTRANGE(""https://docs.google.com/spreadsheets/d/""&amp;$A383&amp;""/edit#gid=156619080"",AL$3)"),"#REF!")</f>
        <v>#REF!</v>
      </c>
      <c r="AM383" s="2" t="str">
        <f>IFERROR(__xludf.DUMMYFUNCTION("IMPORTRANGE(""https://docs.google.com/spreadsheets/d/""&amp;$A383&amp;""/edit#gid=156619080"",AM$3)"),"#REF!")</f>
        <v>#REF!</v>
      </c>
      <c r="AN383" s="2" t="str">
        <f>IFERROR(__xludf.DUMMYFUNCTION("IMPORTRANGE(""https://docs.google.com/spreadsheets/d/""&amp;$A383&amp;""/edit#gid=156619080"",AN$3)"),"#REF!")</f>
        <v>#REF!</v>
      </c>
      <c r="AO383" s="2" t="str">
        <f>IFERROR(__xludf.DUMMYFUNCTION("IMPORTRANGE(""https://docs.google.com/spreadsheets/d/""&amp;$A383&amp;""/edit#gid=156619080"",AO$3)"),"#REF!")</f>
        <v>#REF!</v>
      </c>
      <c r="AP383" s="2" t="str">
        <f>IFERROR(__xludf.DUMMYFUNCTION("IMPORTRANGE(""https://docs.google.com/spreadsheets/d/""&amp;$A383&amp;""/edit#gid=156619080"",AP$3)"),"#REF!")</f>
        <v>#REF!</v>
      </c>
      <c r="AQ383" s="2" t="str">
        <f>IFERROR(__xludf.DUMMYFUNCTION("IMPORTRANGE(""https://docs.google.com/spreadsheets/d/""&amp;$A383&amp;""/edit#gid=156619080"",AQ$3)"),"#REF!")</f>
        <v>#REF!</v>
      </c>
      <c r="AR383" s="2" t="str">
        <f>IFERROR(__xludf.DUMMYFUNCTION("IMPORTRANGE(""https://docs.google.com/spreadsheets/d/""&amp;$A383&amp;""/edit#gid=156619080"",AR$3)"),"#REF!")</f>
        <v>#REF!</v>
      </c>
      <c r="AS383" s="19" t="str">
        <f>IFERROR(__xludf.DUMMYFUNCTION("IMPORTRANGE(""https://docs.google.com/spreadsheets/d/""&amp;$A383&amp;""/edit#gid=156619080"",AS$3)"),"#REF!")</f>
        <v>#REF!</v>
      </c>
      <c r="AT383" s="2" t="str">
        <f>IFERROR(__xludf.DUMMYFUNCTION("IMPORTRANGE(""https://docs.google.com/spreadsheets/d/""&amp;$A383&amp;""/edit#gid=156619080"",AT$3)"),"#REF!")</f>
        <v>#REF!</v>
      </c>
      <c r="AU383" s="3" t="str">
        <f>IFERROR(__xludf.DUMMYFUNCTION("IMPORTRANGE(""https://docs.google.com/spreadsheets/d/""&amp;$A383&amp;""/edit#gid=156619080"",AU$3)"),"#REF!")</f>
        <v>#REF!</v>
      </c>
      <c r="AV383" s="2" t="str">
        <f>IFERROR(__xludf.DUMMYFUNCTION("IMPORTRANGE(""https://docs.google.com/spreadsheets/d/""&amp;$A383&amp;""/edit#gid=156619080"",AV$3)"),"#REF!")</f>
        <v>#REF!</v>
      </c>
      <c r="AW383" s="19" t="str">
        <f>IFERROR(__xludf.DUMMYFUNCTION("IMPORTRANGE(""https://docs.google.com/spreadsheets/d/""&amp;$A383&amp;""/edit#gid=156619080"",AW$3)"),"#REF!")</f>
        <v>#REF!</v>
      </c>
      <c r="AX383" s="2" t="str">
        <f>IFERROR(__xludf.DUMMYFUNCTION("IMPORTRANGE(""https://docs.google.com/spreadsheets/d/""&amp;$A383&amp;""/edit#gid=156619080"",AX$3)"),"#REF!")</f>
        <v>#REF!</v>
      </c>
      <c r="AY383" s="2" t="str">
        <f>IFERROR(__xludf.DUMMYFUNCTION("IMPORTRANGE(""https://docs.google.com/spreadsheets/d/""&amp;$A383&amp;""/edit#gid=156619080"",AY$3)"),"#REF!")</f>
        <v>#REF!</v>
      </c>
      <c r="AZ383" s="2" t="str">
        <f>IFERROR(__xludf.DUMMYFUNCTION("IMPORTRANGE(""https://docs.google.com/spreadsheets/d/""&amp;$A383&amp;""/edit#gid=156619080"",AZ$3)"),"#REF!")</f>
        <v>#REF!</v>
      </c>
      <c r="BA383" s="2" t="str">
        <f>IFERROR(__xludf.DUMMYFUNCTION("IMPORTRANGE(""https://docs.google.com/spreadsheets/d/""&amp;$A383&amp;""/edit#gid=156619080"",BA$3)"),"#REF!")</f>
        <v>#REF!</v>
      </c>
      <c r="BB383" s="2" t="str">
        <f>IFERROR(__xludf.DUMMYFUNCTION("IMPORTRANGE(""https://docs.google.com/spreadsheets/d/""&amp;$A383&amp;""/edit#gid=156619080"",BB$3)"),"#REF!")</f>
        <v>#REF!</v>
      </c>
      <c r="BC383" s="2" t="str">
        <f>IFERROR(__xludf.DUMMYFUNCTION("IMPORTRANGE(""https://docs.google.com/spreadsheets/d/""&amp;$A383&amp;""/edit#gid=156619080"",BC$3)"),"#REF!")</f>
        <v>#REF!</v>
      </c>
    </row>
    <row r="384" ht="51.0" customHeight="1">
      <c r="A384" s="7" t="str">
        <f t="shared" si="5"/>
        <v>1ZxjMi1KvosAGHlzrO3ClgYIuOCmP5NlTWZre72Os7JE</v>
      </c>
      <c r="B384" s="1" t="s">
        <v>411</v>
      </c>
      <c r="C384" s="2" t="str">
        <f>IFERROR(__xludf.DUMMYFUNCTION("IMPORTRANGE(""https://docs.google.com/spreadsheets/d/""&amp;$A384&amp;""/edit#gid=156619080"",C$3)"),"#REF!")</f>
        <v>#REF!</v>
      </c>
      <c r="D384" s="2" t="str">
        <f>IFERROR(__xludf.DUMMYFUNCTION("IMPORTRANGE(""https://docs.google.com/spreadsheets/d/""&amp;$A384&amp;""/edit#gid=156619080"",D$3)"),"#REF!")</f>
        <v>#REF!</v>
      </c>
      <c r="E384" s="2" t="str">
        <f>IFERROR(__xludf.DUMMYFUNCTION("IMPORTRANGE(""https://docs.google.com/spreadsheets/d/""&amp;$A384&amp;""/edit#gid=156619080"",E$3)"),"#REF!")</f>
        <v>#REF!</v>
      </c>
      <c r="F384" s="2" t="str">
        <f>IFERROR(__xludf.DUMMYFUNCTION("IMPORTRANGE(""https://docs.google.com/spreadsheets/d/""&amp;$A384&amp;""/edit#gid=156619080"",F$3)"),"#REF!")</f>
        <v>#REF!</v>
      </c>
      <c r="G384" s="2" t="str">
        <f>IFERROR(__xludf.DUMMYFUNCTION("IMPORTRANGE(""https://docs.google.com/spreadsheets/d/""&amp;$A384&amp;""/edit#gid=156619080"",G$3)"),"#REF!")</f>
        <v>#REF!</v>
      </c>
      <c r="H384" s="2" t="str">
        <f>IFERROR(__xludf.DUMMYFUNCTION("IMPORTRANGE(""https://docs.google.com/spreadsheets/d/""&amp;$A384&amp;""/edit#gid=156619080"",H$3)"),"#REF!")</f>
        <v>#REF!</v>
      </c>
      <c r="I384" s="2" t="str">
        <f>IFERROR(__xludf.DUMMYFUNCTION("IMPORTRANGE(""https://docs.google.com/spreadsheets/d/""&amp;$A384&amp;""/edit#gid=156619080"",I$3)"),"#REF!")</f>
        <v>#REF!</v>
      </c>
      <c r="J384" s="2" t="str">
        <f>IFERROR(__xludf.DUMMYFUNCTION("IMPORTRANGE(""https://docs.google.com/spreadsheets/d/""&amp;$A384&amp;""/edit#gid=156619080"",J$3)"),"#REF!")</f>
        <v>#REF!</v>
      </c>
      <c r="K384" s="2" t="str">
        <f>IFERROR(__xludf.DUMMYFUNCTION("IMPORTRANGE(""https://docs.google.com/spreadsheets/d/""&amp;$A384&amp;""/edit#gid=156619080"",K$3)"),"#REF!")</f>
        <v>#REF!</v>
      </c>
      <c r="L384" s="2" t="str">
        <f>IFERROR(__xludf.DUMMYFUNCTION("IMPORTRANGE(""https://docs.google.com/spreadsheets/d/""&amp;$A384&amp;""/edit#gid=156619080"",L$3)"),"#REF!")</f>
        <v>#REF!</v>
      </c>
      <c r="M384" s="2" t="str">
        <f>IFERROR(__xludf.DUMMYFUNCTION("IMPORTRANGE(""https://docs.google.com/spreadsheets/d/""&amp;$A384&amp;""/edit#gid=156619080"",M$3)"),"#REF!")</f>
        <v>#REF!</v>
      </c>
      <c r="N384" s="2" t="str">
        <f>IFERROR(__xludf.DUMMYFUNCTION("IMPORTRANGE(""https://docs.google.com/spreadsheets/d/""&amp;$A384&amp;""/edit#gid=156619080"",N$3)"),"#REF!")</f>
        <v>#REF!</v>
      </c>
      <c r="O384" s="2" t="str">
        <f>IFERROR(__xludf.DUMMYFUNCTION("IMPORTRANGE(""https://docs.google.com/spreadsheets/d/""&amp;$A384&amp;""/edit#gid=156619080"",O$3)"),"#REF!")</f>
        <v>#REF!</v>
      </c>
      <c r="P384" s="2" t="str">
        <f>IFERROR(__xludf.DUMMYFUNCTION("IMPORTRANGE(""https://docs.google.com/spreadsheets/d/""&amp;$A384&amp;""/edit#gid=156619080"",P$3)"),"#REF!")</f>
        <v>#REF!</v>
      </c>
      <c r="Q384" s="2" t="str">
        <f>IFERROR(__xludf.DUMMYFUNCTION("IMPORTRANGE(""https://docs.google.com/spreadsheets/d/""&amp;$A384&amp;""/edit#gid=156619080"",Q$3)"),"#REF!")</f>
        <v>#REF!</v>
      </c>
      <c r="R384" s="2" t="str">
        <f>IFERROR(__xludf.DUMMYFUNCTION("IMPORTRANGE(""https://docs.google.com/spreadsheets/d/""&amp;$A384&amp;""/edit#gid=156619080"",R$3)"),"#REF!")</f>
        <v>#REF!</v>
      </c>
      <c r="S384" s="2" t="str">
        <f>IFERROR(__xludf.DUMMYFUNCTION("IMPORTRANGE(""https://docs.google.com/spreadsheets/d/""&amp;$A384&amp;""/edit#gid=156619080"",S$3)"),"#REF!")</f>
        <v>#REF!</v>
      </c>
      <c r="T384" s="2" t="str">
        <f>IFERROR(__xludf.DUMMYFUNCTION("IMPORTRANGE(""https://docs.google.com/spreadsheets/d/""&amp;$A384&amp;""/edit#gid=156619080"",T$3)"),"#REF!")</f>
        <v>#REF!</v>
      </c>
      <c r="U384" s="2" t="str">
        <f>IFERROR(__xludf.DUMMYFUNCTION("IMPORTRANGE(""https://docs.google.com/spreadsheets/d/""&amp;$A384&amp;""/edit#gid=156619080"",U$3)"),"#REF!")</f>
        <v>#REF!</v>
      </c>
      <c r="V384" s="2" t="str">
        <f>IFERROR(__xludf.DUMMYFUNCTION("IMPORTRANGE(""https://docs.google.com/spreadsheets/d/""&amp;$A384&amp;""/edit#gid=156619080"",V$3)"),"#REF!")</f>
        <v>#REF!</v>
      </c>
      <c r="W384" s="2" t="str">
        <f>IFERROR(__xludf.DUMMYFUNCTION("IMPORTRANGE(""https://docs.google.com/spreadsheets/d/""&amp;$A384&amp;""/edit#gid=156619080"",W$3)"),"#REF!")</f>
        <v>#REF!</v>
      </c>
      <c r="X384" s="2" t="str">
        <f>IFERROR(__xludf.DUMMYFUNCTION("IMPORTRANGE(""https://docs.google.com/spreadsheets/d/""&amp;$A384&amp;""/edit#gid=156619080"",X$3)"),"#REF!")</f>
        <v>#REF!</v>
      </c>
      <c r="Y384" s="2" t="str">
        <f>IFERROR(__xludf.DUMMYFUNCTION("IMPORTRANGE(""https://docs.google.com/spreadsheets/d/""&amp;$A384&amp;""/edit#gid=156619080"",Y$3)"),"#REF!")</f>
        <v>#REF!</v>
      </c>
      <c r="Z384" s="2" t="str">
        <f>IFERROR(__xludf.DUMMYFUNCTION("IMPORTRANGE(""https://docs.google.com/spreadsheets/d/""&amp;$A384&amp;""/edit#gid=156619080"",Z$3)"),"#REF!")</f>
        <v>#REF!</v>
      </c>
      <c r="AA384" s="2" t="str">
        <f>IFERROR(__xludf.DUMMYFUNCTION("IMPORTRANGE(""https://docs.google.com/spreadsheets/d/""&amp;$A384&amp;""/edit#gid=156619080"",AA$3)"),"#REF!")</f>
        <v>#REF!</v>
      </c>
      <c r="AB384" s="2" t="str">
        <f>IFERROR(__xludf.DUMMYFUNCTION("IMPORTRANGE(""https://docs.google.com/spreadsheets/d/""&amp;$A384&amp;""/edit#gid=156619080"",AB$3)"),"#REF!")</f>
        <v>#REF!</v>
      </c>
      <c r="AC384" s="2" t="str">
        <f>IFERROR(__xludf.DUMMYFUNCTION("IMPORTRANGE(""https://docs.google.com/spreadsheets/d/""&amp;$A384&amp;""/edit#gid=156619080"",AC$3)"),"#REF!")</f>
        <v>#REF!</v>
      </c>
      <c r="AD384" s="2" t="str">
        <f>IFERROR(__xludf.DUMMYFUNCTION("IMPORTRANGE(""https://docs.google.com/spreadsheets/d/""&amp;$A384&amp;""/edit#gid=156619080"",AD$3)"),"#REF!")</f>
        <v>#REF!</v>
      </c>
      <c r="AE384" s="2" t="str">
        <f>IFERROR(__xludf.DUMMYFUNCTION("IMPORTRANGE(""https://docs.google.com/spreadsheets/d/""&amp;$A384&amp;""/edit#gid=156619080"",AE$3)"),"#REF!")</f>
        <v>#REF!</v>
      </c>
      <c r="AF384" s="2" t="str">
        <f>IFERROR(__xludf.DUMMYFUNCTION("IMPORTRANGE(""https://docs.google.com/spreadsheets/d/""&amp;$A384&amp;""/edit#gid=156619080"",AF$3)"),"#REF!")</f>
        <v>#REF!</v>
      </c>
      <c r="AG384" s="2" t="str">
        <f>IFERROR(__xludf.DUMMYFUNCTION("IMPORTRANGE(""https://docs.google.com/spreadsheets/d/""&amp;$A384&amp;""/edit#gid=156619080"",AG$3)"),"#REF!")</f>
        <v>#REF!</v>
      </c>
      <c r="AH384" s="2" t="str">
        <f>IFERROR(__xludf.DUMMYFUNCTION("IMPORTRANGE(""https://docs.google.com/spreadsheets/d/""&amp;$A384&amp;""/edit#gid=156619080"",AH$3)"),"#REF!")</f>
        <v>#REF!</v>
      </c>
      <c r="AI384" s="2" t="str">
        <f>IFERROR(__xludf.DUMMYFUNCTION("IMPORTRANGE(""https://docs.google.com/spreadsheets/d/""&amp;$A384&amp;""/edit#gid=156619080"",AI$3)"),"#REF!")</f>
        <v>#REF!</v>
      </c>
      <c r="AJ384" s="2" t="str">
        <f>IFERROR(__xludf.DUMMYFUNCTION("IMPORTRANGE(""https://docs.google.com/spreadsheets/d/""&amp;$A384&amp;""/edit#gid=156619080"",AJ$3)"),"#REF!")</f>
        <v>#REF!</v>
      </c>
      <c r="AK384" s="2" t="str">
        <f>IFERROR(__xludf.DUMMYFUNCTION("IMPORTRANGE(""https://docs.google.com/spreadsheets/d/""&amp;$A384&amp;""/edit#gid=156619080"",AK$3)"),"#REF!")</f>
        <v>#REF!</v>
      </c>
      <c r="AL384" s="2" t="str">
        <f>IFERROR(__xludf.DUMMYFUNCTION("IMPORTRANGE(""https://docs.google.com/spreadsheets/d/""&amp;$A384&amp;""/edit#gid=156619080"",AL$3)"),"#REF!")</f>
        <v>#REF!</v>
      </c>
      <c r="AM384" s="2" t="str">
        <f>IFERROR(__xludf.DUMMYFUNCTION("IMPORTRANGE(""https://docs.google.com/spreadsheets/d/""&amp;$A384&amp;""/edit#gid=156619080"",AM$3)"),"#REF!")</f>
        <v>#REF!</v>
      </c>
      <c r="AN384" s="2" t="str">
        <f>IFERROR(__xludf.DUMMYFUNCTION("IMPORTRANGE(""https://docs.google.com/spreadsheets/d/""&amp;$A384&amp;""/edit#gid=156619080"",AN$3)"),"#REF!")</f>
        <v>#REF!</v>
      </c>
      <c r="AO384" s="2" t="str">
        <f>IFERROR(__xludf.DUMMYFUNCTION("IMPORTRANGE(""https://docs.google.com/spreadsheets/d/""&amp;$A384&amp;""/edit#gid=156619080"",AO$3)"),"#REF!")</f>
        <v>#REF!</v>
      </c>
      <c r="AP384" s="2" t="str">
        <f>IFERROR(__xludf.DUMMYFUNCTION("IMPORTRANGE(""https://docs.google.com/spreadsheets/d/""&amp;$A384&amp;""/edit#gid=156619080"",AP$3)"),"#REF!")</f>
        <v>#REF!</v>
      </c>
      <c r="AQ384" s="2" t="str">
        <f>IFERROR(__xludf.DUMMYFUNCTION("IMPORTRANGE(""https://docs.google.com/spreadsheets/d/""&amp;$A384&amp;""/edit#gid=156619080"",AQ$3)"),"#REF!")</f>
        <v>#REF!</v>
      </c>
      <c r="AR384" s="2" t="str">
        <f>IFERROR(__xludf.DUMMYFUNCTION("IMPORTRANGE(""https://docs.google.com/spreadsheets/d/""&amp;$A384&amp;""/edit#gid=156619080"",AR$3)"),"#REF!")</f>
        <v>#REF!</v>
      </c>
      <c r="AS384" s="19" t="str">
        <f>IFERROR(__xludf.DUMMYFUNCTION("IMPORTRANGE(""https://docs.google.com/spreadsheets/d/""&amp;$A384&amp;""/edit#gid=156619080"",AS$3)"),"#REF!")</f>
        <v>#REF!</v>
      </c>
      <c r="AT384" s="2" t="str">
        <f>IFERROR(__xludf.DUMMYFUNCTION("IMPORTRANGE(""https://docs.google.com/spreadsheets/d/""&amp;$A384&amp;""/edit#gid=156619080"",AT$3)"),"#REF!")</f>
        <v>#REF!</v>
      </c>
      <c r="AU384" s="3" t="str">
        <f>IFERROR(__xludf.DUMMYFUNCTION("IMPORTRANGE(""https://docs.google.com/spreadsheets/d/""&amp;$A384&amp;""/edit#gid=156619080"",AU$3)"),"#REF!")</f>
        <v>#REF!</v>
      </c>
      <c r="AV384" s="2" t="str">
        <f>IFERROR(__xludf.DUMMYFUNCTION("IMPORTRANGE(""https://docs.google.com/spreadsheets/d/""&amp;$A384&amp;""/edit#gid=156619080"",AV$3)"),"#REF!")</f>
        <v>#REF!</v>
      </c>
      <c r="AW384" s="19" t="str">
        <f>IFERROR(__xludf.DUMMYFUNCTION("IMPORTRANGE(""https://docs.google.com/spreadsheets/d/""&amp;$A384&amp;""/edit#gid=156619080"",AW$3)"),"#REF!")</f>
        <v>#REF!</v>
      </c>
      <c r="AX384" s="2" t="str">
        <f>IFERROR(__xludf.DUMMYFUNCTION("IMPORTRANGE(""https://docs.google.com/spreadsheets/d/""&amp;$A384&amp;""/edit#gid=156619080"",AX$3)"),"#REF!")</f>
        <v>#REF!</v>
      </c>
      <c r="AY384" s="2" t="str">
        <f>IFERROR(__xludf.DUMMYFUNCTION("IMPORTRANGE(""https://docs.google.com/spreadsheets/d/""&amp;$A384&amp;""/edit#gid=156619080"",AY$3)"),"#REF!")</f>
        <v>#REF!</v>
      </c>
      <c r="AZ384" s="2" t="str">
        <f>IFERROR(__xludf.DUMMYFUNCTION("IMPORTRANGE(""https://docs.google.com/spreadsheets/d/""&amp;$A384&amp;""/edit#gid=156619080"",AZ$3)"),"#REF!")</f>
        <v>#REF!</v>
      </c>
      <c r="BA384" s="2" t="str">
        <f>IFERROR(__xludf.DUMMYFUNCTION("IMPORTRANGE(""https://docs.google.com/spreadsheets/d/""&amp;$A384&amp;""/edit#gid=156619080"",BA$3)"),"#REF!")</f>
        <v>#REF!</v>
      </c>
      <c r="BB384" s="2" t="str">
        <f>IFERROR(__xludf.DUMMYFUNCTION("IMPORTRANGE(""https://docs.google.com/spreadsheets/d/""&amp;$A384&amp;""/edit#gid=156619080"",BB$3)"),"#REF!")</f>
        <v>#REF!</v>
      </c>
      <c r="BC384" s="2" t="str">
        <f>IFERROR(__xludf.DUMMYFUNCTION("IMPORTRANGE(""https://docs.google.com/spreadsheets/d/""&amp;$A384&amp;""/edit#gid=156619080"",BC$3)"),"#REF!")</f>
        <v>#REF!</v>
      </c>
    </row>
    <row r="385" ht="51.0" customHeight="1">
      <c r="A385" s="7" t="str">
        <f t="shared" si="5"/>
        <v>1-dUCE05xSX2zklGb-23TAk2JACm3qnmo20OiFqotxLc</v>
      </c>
      <c r="B385" s="1" t="s">
        <v>412</v>
      </c>
      <c r="C385" s="2" t="str">
        <f>IFERROR(__xludf.DUMMYFUNCTION("IMPORTRANGE(""https://docs.google.com/spreadsheets/d/""&amp;$A385&amp;""/edit#gid=156619080"",C$3)"),"#REF!")</f>
        <v>#REF!</v>
      </c>
      <c r="D385" s="2" t="str">
        <f>IFERROR(__xludf.DUMMYFUNCTION("IMPORTRANGE(""https://docs.google.com/spreadsheets/d/""&amp;$A385&amp;""/edit#gid=156619080"",D$3)"),"#REF!")</f>
        <v>#REF!</v>
      </c>
      <c r="E385" s="2" t="str">
        <f>IFERROR(__xludf.DUMMYFUNCTION("IMPORTRANGE(""https://docs.google.com/spreadsheets/d/""&amp;$A385&amp;""/edit#gid=156619080"",E$3)"),"#REF!")</f>
        <v>#REF!</v>
      </c>
      <c r="F385" s="2" t="str">
        <f>IFERROR(__xludf.DUMMYFUNCTION("IMPORTRANGE(""https://docs.google.com/spreadsheets/d/""&amp;$A385&amp;""/edit#gid=156619080"",F$3)"),"#REF!")</f>
        <v>#REF!</v>
      </c>
      <c r="G385" s="2" t="str">
        <f>IFERROR(__xludf.DUMMYFUNCTION("IMPORTRANGE(""https://docs.google.com/spreadsheets/d/""&amp;$A385&amp;""/edit#gid=156619080"",G$3)"),"#REF!")</f>
        <v>#REF!</v>
      </c>
      <c r="H385" s="2" t="str">
        <f>IFERROR(__xludf.DUMMYFUNCTION("IMPORTRANGE(""https://docs.google.com/spreadsheets/d/""&amp;$A385&amp;""/edit#gid=156619080"",H$3)"),"#REF!")</f>
        <v>#REF!</v>
      </c>
      <c r="I385" s="2" t="str">
        <f>IFERROR(__xludf.DUMMYFUNCTION("IMPORTRANGE(""https://docs.google.com/spreadsheets/d/""&amp;$A385&amp;""/edit#gid=156619080"",I$3)"),"#REF!")</f>
        <v>#REF!</v>
      </c>
      <c r="J385" s="2" t="str">
        <f>IFERROR(__xludf.DUMMYFUNCTION("IMPORTRANGE(""https://docs.google.com/spreadsheets/d/""&amp;$A385&amp;""/edit#gid=156619080"",J$3)"),"#REF!")</f>
        <v>#REF!</v>
      </c>
      <c r="K385" s="2" t="str">
        <f>IFERROR(__xludf.DUMMYFUNCTION("IMPORTRANGE(""https://docs.google.com/spreadsheets/d/""&amp;$A385&amp;""/edit#gid=156619080"",K$3)"),"#REF!")</f>
        <v>#REF!</v>
      </c>
      <c r="L385" s="2" t="str">
        <f>IFERROR(__xludf.DUMMYFUNCTION("IMPORTRANGE(""https://docs.google.com/spreadsheets/d/""&amp;$A385&amp;""/edit#gid=156619080"",L$3)"),"#REF!")</f>
        <v>#REF!</v>
      </c>
      <c r="M385" s="2" t="str">
        <f>IFERROR(__xludf.DUMMYFUNCTION("IMPORTRANGE(""https://docs.google.com/spreadsheets/d/""&amp;$A385&amp;""/edit#gid=156619080"",M$3)"),"#REF!")</f>
        <v>#REF!</v>
      </c>
      <c r="N385" s="2" t="str">
        <f>IFERROR(__xludf.DUMMYFUNCTION("IMPORTRANGE(""https://docs.google.com/spreadsheets/d/""&amp;$A385&amp;""/edit#gid=156619080"",N$3)"),"#REF!")</f>
        <v>#REF!</v>
      </c>
      <c r="O385" s="2" t="str">
        <f>IFERROR(__xludf.DUMMYFUNCTION("IMPORTRANGE(""https://docs.google.com/spreadsheets/d/""&amp;$A385&amp;""/edit#gid=156619080"",O$3)"),"#REF!")</f>
        <v>#REF!</v>
      </c>
      <c r="P385" s="2" t="str">
        <f>IFERROR(__xludf.DUMMYFUNCTION("IMPORTRANGE(""https://docs.google.com/spreadsheets/d/""&amp;$A385&amp;""/edit#gid=156619080"",P$3)"),"#REF!")</f>
        <v>#REF!</v>
      </c>
      <c r="Q385" s="2" t="str">
        <f>IFERROR(__xludf.DUMMYFUNCTION("IMPORTRANGE(""https://docs.google.com/spreadsheets/d/""&amp;$A385&amp;""/edit#gid=156619080"",Q$3)"),"#REF!")</f>
        <v>#REF!</v>
      </c>
      <c r="R385" s="2" t="str">
        <f>IFERROR(__xludf.DUMMYFUNCTION("IMPORTRANGE(""https://docs.google.com/spreadsheets/d/""&amp;$A385&amp;""/edit#gid=156619080"",R$3)"),"#REF!")</f>
        <v>#REF!</v>
      </c>
      <c r="S385" s="2" t="str">
        <f>IFERROR(__xludf.DUMMYFUNCTION("IMPORTRANGE(""https://docs.google.com/spreadsheets/d/""&amp;$A385&amp;""/edit#gid=156619080"",S$3)"),"#REF!")</f>
        <v>#REF!</v>
      </c>
      <c r="T385" s="2" t="str">
        <f>IFERROR(__xludf.DUMMYFUNCTION("IMPORTRANGE(""https://docs.google.com/spreadsheets/d/""&amp;$A385&amp;""/edit#gid=156619080"",T$3)"),"#REF!")</f>
        <v>#REF!</v>
      </c>
      <c r="U385" s="2" t="str">
        <f>IFERROR(__xludf.DUMMYFUNCTION("IMPORTRANGE(""https://docs.google.com/spreadsheets/d/""&amp;$A385&amp;""/edit#gid=156619080"",U$3)"),"#REF!")</f>
        <v>#REF!</v>
      </c>
      <c r="V385" s="2" t="str">
        <f>IFERROR(__xludf.DUMMYFUNCTION("IMPORTRANGE(""https://docs.google.com/spreadsheets/d/""&amp;$A385&amp;""/edit#gid=156619080"",V$3)"),"#REF!")</f>
        <v>#REF!</v>
      </c>
      <c r="W385" s="2" t="str">
        <f>IFERROR(__xludf.DUMMYFUNCTION("IMPORTRANGE(""https://docs.google.com/spreadsheets/d/""&amp;$A385&amp;""/edit#gid=156619080"",W$3)"),"#REF!")</f>
        <v>#REF!</v>
      </c>
      <c r="X385" s="2" t="str">
        <f>IFERROR(__xludf.DUMMYFUNCTION("IMPORTRANGE(""https://docs.google.com/spreadsheets/d/""&amp;$A385&amp;""/edit#gid=156619080"",X$3)"),"#REF!")</f>
        <v>#REF!</v>
      </c>
      <c r="Y385" s="2" t="str">
        <f>IFERROR(__xludf.DUMMYFUNCTION("IMPORTRANGE(""https://docs.google.com/spreadsheets/d/""&amp;$A385&amp;""/edit#gid=156619080"",Y$3)"),"#REF!")</f>
        <v>#REF!</v>
      </c>
      <c r="Z385" s="2" t="str">
        <f>IFERROR(__xludf.DUMMYFUNCTION("IMPORTRANGE(""https://docs.google.com/spreadsheets/d/""&amp;$A385&amp;""/edit#gid=156619080"",Z$3)"),"#REF!")</f>
        <v>#REF!</v>
      </c>
      <c r="AA385" s="2" t="str">
        <f>IFERROR(__xludf.DUMMYFUNCTION("IMPORTRANGE(""https://docs.google.com/spreadsheets/d/""&amp;$A385&amp;""/edit#gid=156619080"",AA$3)"),"#REF!")</f>
        <v>#REF!</v>
      </c>
      <c r="AB385" s="2" t="str">
        <f>IFERROR(__xludf.DUMMYFUNCTION("IMPORTRANGE(""https://docs.google.com/spreadsheets/d/""&amp;$A385&amp;""/edit#gid=156619080"",AB$3)"),"#REF!")</f>
        <v>#REF!</v>
      </c>
      <c r="AC385" s="2" t="str">
        <f>IFERROR(__xludf.DUMMYFUNCTION("IMPORTRANGE(""https://docs.google.com/spreadsheets/d/""&amp;$A385&amp;""/edit#gid=156619080"",AC$3)"),"#REF!")</f>
        <v>#REF!</v>
      </c>
      <c r="AD385" s="2" t="str">
        <f>IFERROR(__xludf.DUMMYFUNCTION("IMPORTRANGE(""https://docs.google.com/spreadsheets/d/""&amp;$A385&amp;""/edit#gid=156619080"",AD$3)"),"#REF!")</f>
        <v>#REF!</v>
      </c>
      <c r="AE385" s="2" t="str">
        <f>IFERROR(__xludf.DUMMYFUNCTION("IMPORTRANGE(""https://docs.google.com/spreadsheets/d/""&amp;$A385&amp;""/edit#gid=156619080"",AE$3)"),"#REF!")</f>
        <v>#REF!</v>
      </c>
      <c r="AF385" s="2" t="str">
        <f>IFERROR(__xludf.DUMMYFUNCTION("IMPORTRANGE(""https://docs.google.com/spreadsheets/d/""&amp;$A385&amp;""/edit#gid=156619080"",AF$3)"),"#REF!")</f>
        <v>#REF!</v>
      </c>
      <c r="AG385" s="2" t="str">
        <f>IFERROR(__xludf.DUMMYFUNCTION("IMPORTRANGE(""https://docs.google.com/spreadsheets/d/""&amp;$A385&amp;""/edit#gid=156619080"",AG$3)"),"#REF!")</f>
        <v>#REF!</v>
      </c>
      <c r="AH385" s="2" t="str">
        <f>IFERROR(__xludf.DUMMYFUNCTION("IMPORTRANGE(""https://docs.google.com/spreadsheets/d/""&amp;$A385&amp;""/edit#gid=156619080"",AH$3)"),"#REF!")</f>
        <v>#REF!</v>
      </c>
      <c r="AI385" s="2" t="str">
        <f>IFERROR(__xludf.DUMMYFUNCTION("IMPORTRANGE(""https://docs.google.com/spreadsheets/d/""&amp;$A385&amp;""/edit#gid=156619080"",AI$3)"),"#REF!")</f>
        <v>#REF!</v>
      </c>
      <c r="AJ385" s="2" t="str">
        <f>IFERROR(__xludf.DUMMYFUNCTION("IMPORTRANGE(""https://docs.google.com/spreadsheets/d/""&amp;$A385&amp;""/edit#gid=156619080"",AJ$3)"),"#REF!")</f>
        <v>#REF!</v>
      </c>
      <c r="AK385" s="2" t="str">
        <f>IFERROR(__xludf.DUMMYFUNCTION("IMPORTRANGE(""https://docs.google.com/spreadsheets/d/""&amp;$A385&amp;""/edit#gid=156619080"",AK$3)"),"#REF!")</f>
        <v>#REF!</v>
      </c>
      <c r="AL385" s="2" t="str">
        <f>IFERROR(__xludf.DUMMYFUNCTION("IMPORTRANGE(""https://docs.google.com/spreadsheets/d/""&amp;$A385&amp;""/edit#gid=156619080"",AL$3)"),"#REF!")</f>
        <v>#REF!</v>
      </c>
      <c r="AM385" s="2" t="str">
        <f>IFERROR(__xludf.DUMMYFUNCTION("IMPORTRANGE(""https://docs.google.com/spreadsheets/d/""&amp;$A385&amp;""/edit#gid=156619080"",AM$3)"),"#REF!")</f>
        <v>#REF!</v>
      </c>
      <c r="AN385" s="2" t="str">
        <f>IFERROR(__xludf.DUMMYFUNCTION("IMPORTRANGE(""https://docs.google.com/spreadsheets/d/""&amp;$A385&amp;""/edit#gid=156619080"",AN$3)"),"#REF!")</f>
        <v>#REF!</v>
      </c>
      <c r="AO385" s="2" t="str">
        <f>IFERROR(__xludf.DUMMYFUNCTION("IMPORTRANGE(""https://docs.google.com/spreadsheets/d/""&amp;$A385&amp;""/edit#gid=156619080"",AO$3)"),"#REF!")</f>
        <v>#REF!</v>
      </c>
      <c r="AP385" s="2" t="str">
        <f>IFERROR(__xludf.DUMMYFUNCTION("IMPORTRANGE(""https://docs.google.com/spreadsheets/d/""&amp;$A385&amp;""/edit#gid=156619080"",AP$3)"),"#REF!")</f>
        <v>#REF!</v>
      </c>
      <c r="AQ385" s="2" t="str">
        <f>IFERROR(__xludf.DUMMYFUNCTION("IMPORTRANGE(""https://docs.google.com/spreadsheets/d/""&amp;$A385&amp;""/edit#gid=156619080"",AQ$3)"),"#REF!")</f>
        <v>#REF!</v>
      </c>
      <c r="AR385" s="2" t="str">
        <f>IFERROR(__xludf.DUMMYFUNCTION("IMPORTRANGE(""https://docs.google.com/spreadsheets/d/""&amp;$A385&amp;""/edit#gid=156619080"",AR$3)"),"#REF!")</f>
        <v>#REF!</v>
      </c>
      <c r="AS385" s="19" t="str">
        <f>IFERROR(__xludf.DUMMYFUNCTION("IMPORTRANGE(""https://docs.google.com/spreadsheets/d/""&amp;$A385&amp;""/edit#gid=156619080"",AS$3)"),"#REF!")</f>
        <v>#REF!</v>
      </c>
      <c r="AT385" s="2" t="str">
        <f>IFERROR(__xludf.DUMMYFUNCTION("IMPORTRANGE(""https://docs.google.com/spreadsheets/d/""&amp;$A385&amp;""/edit#gid=156619080"",AT$3)"),"#REF!")</f>
        <v>#REF!</v>
      </c>
      <c r="AU385" s="3" t="str">
        <f>IFERROR(__xludf.DUMMYFUNCTION("IMPORTRANGE(""https://docs.google.com/spreadsheets/d/""&amp;$A385&amp;""/edit#gid=156619080"",AU$3)"),"#REF!")</f>
        <v>#REF!</v>
      </c>
      <c r="AV385" s="2" t="str">
        <f>IFERROR(__xludf.DUMMYFUNCTION("IMPORTRANGE(""https://docs.google.com/spreadsheets/d/""&amp;$A385&amp;""/edit#gid=156619080"",AV$3)"),"#REF!")</f>
        <v>#REF!</v>
      </c>
      <c r="AW385" s="19" t="str">
        <f>IFERROR(__xludf.DUMMYFUNCTION("IMPORTRANGE(""https://docs.google.com/spreadsheets/d/""&amp;$A385&amp;""/edit#gid=156619080"",AW$3)"),"#REF!")</f>
        <v>#REF!</v>
      </c>
      <c r="AX385" s="2" t="str">
        <f>IFERROR(__xludf.DUMMYFUNCTION("IMPORTRANGE(""https://docs.google.com/spreadsheets/d/""&amp;$A385&amp;""/edit#gid=156619080"",AX$3)"),"#REF!")</f>
        <v>#REF!</v>
      </c>
      <c r="AY385" s="2" t="str">
        <f>IFERROR(__xludf.DUMMYFUNCTION("IMPORTRANGE(""https://docs.google.com/spreadsheets/d/""&amp;$A385&amp;""/edit#gid=156619080"",AY$3)"),"#REF!")</f>
        <v>#REF!</v>
      </c>
      <c r="AZ385" s="2" t="str">
        <f>IFERROR(__xludf.DUMMYFUNCTION("IMPORTRANGE(""https://docs.google.com/spreadsheets/d/""&amp;$A385&amp;""/edit#gid=156619080"",AZ$3)"),"#REF!")</f>
        <v>#REF!</v>
      </c>
      <c r="BA385" s="2" t="str">
        <f>IFERROR(__xludf.DUMMYFUNCTION("IMPORTRANGE(""https://docs.google.com/spreadsheets/d/""&amp;$A385&amp;""/edit#gid=156619080"",BA$3)"),"#REF!")</f>
        <v>#REF!</v>
      </c>
      <c r="BB385" s="2" t="str">
        <f>IFERROR(__xludf.DUMMYFUNCTION("IMPORTRANGE(""https://docs.google.com/spreadsheets/d/""&amp;$A385&amp;""/edit#gid=156619080"",BB$3)"),"#REF!")</f>
        <v>#REF!</v>
      </c>
      <c r="BC385" s="2" t="str">
        <f>IFERROR(__xludf.DUMMYFUNCTION("IMPORTRANGE(""https://docs.google.com/spreadsheets/d/""&amp;$A385&amp;""/edit#gid=156619080"",BC$3)"),"#REF!")</f>
        <v>#REF!</v>
      </c>
    </row>
    <row r="386" ht="51.0" customHeight="1">
      <c r="A386" s="7" t="str">
        <f t="shared" si="5"/>
        <v>17g_dCj1hzP8G5eWiQyv9h7aVTsZ6tuLFKFJPgfPUhWo</v>
      </c>
      <c r="B386" s="1" t="s">
        <v>413</v>
      </c>
      <c r="C386" s="2" t="str">
        <f>IFERROR(__xludf.DUMMYFUNCTION("IMPORTRANGE(""https://docs.google.com/spreadsheets/d/""&amp;$A386&amp;""/edit#gid=156619080"",C$3)"),"#REF!")</f>
        <v>#REF!</v>
      </c>
      <c r="D386" s="2" t="str">
        <f>IFERROR(__xludf.DUMMYFUNCTION("IMPORTRANGE(""https://docs.google.com/spreadsheets/d/""&amp;$A386&amp;""/edit#gid=156619080"",D$3)"),"#REF!")</f>
        <v>#REF!</v>
      </c>
      <c r="E386" s="2" t="str">
        <f>IFERROR(__xludf.DUMMYFUNCTION("IMPORTRANGE(""https://docs.google.com/spreadsheets/d/""&amp;$A386&amp;""/edit#gid=156619080"",E$3)"),"#REF!")</f>
        <v>#REF!</v>
      </c>
      <c r="F386" s="2" t="str">
        <f>IFERROR(__xludf.DUMMYFUNCTION("IMPORTRANGE(""https://docs.google.com/spreadsheets/d/""&amp;$A386&amp;""/edit#gid=156619080"",F$3)"),"#REF!")</f>
        <v>#REF!</v>
      </c>
      <c r="G386" s="2" t="str">
        <f>IFERROR(__xludf.DUMMYFUNCTION("IMPORTRANGE(""https://docs.google.com/spreadsheets/d/""&amp;$A386&amp;""/edit#gid=156619080"",G$3)"),"#REF!")</f>
        <v>#REF!</v>
      </c>
      <c r="H386" s="2" t="str">
        <f>IFERROR(__xludf.DUMMYFUNCTION("IMPORTRANGE(""https://docs.google.com/spreadsheets/d/""&amp;$A386&amp;""/edit#gid=156619080"",H$3)"),"#REF!")</f>
        <v>#REF!</v>
      </c>
      <c r="I386" s="2" t="str">
        <f>IFERROR(__xludf.DUMMYFUNCTION("IMPORTRANGE(""https://docs.google.com/spreadsheets/d/""&amp;$A386&amp;""/edit#gid=156619080"",I$3)"),"#REF!")</f>
        <v>#REF!</v>
      </c>
      <c r="J386" s="2" t="str">
        <f>IFERROR(__xludf.DUMMYFUNCTION("IMPORTRANGE(""https://docs.google.com/spreadsheets/d/""&amp;$A386&amp;""/edit#gid=156619080"",J$3)"),"#REF!")</f>
        <v>#REF!</v>
      </c>
      <c r="K386" s="2" t="str">
        <f>IFERROR(__xludf.DUMMYFUNCTION("IMPORTRANGE(""https://docs.google.com/spreadsheets/d/""&amp;$A386&amp;""/edit#gid=156619080"",K$3)"),"#REF!")</f>
        <v>#REF!</v>
      </c>
      <c r="L386" s="2" t="str">
        <f>IFERROR(__xludf.DUMMYFUNCTION("IMPORTRANGE(""https://docs.google.com/spreadsheets/d/""&amp;$A386&amp;""/edit#gid=156619080"",L$3)"),"#REF!")</f>
        <v>#REF!</v>
      </c>
      <c r="M386" s="2" t="str">
        <f>IFERROR(__xludf.DUMMYFUNCTION("IMPORTRANGE(""https://docs.google.com/spreadsheets/d/""&amp;$A386&amp;""/edit#gid=156619080"",M$3)"),"#REF!")</f>
        <v>#REF!</v>
      </c>
      <c r="N386" s="2" t="str">
        <f>IFERROR(__xludf.DUMMYFUNCTION("IMPORTRANGE(""https://docs.google.com/spreadsheets/d/""&amp;$A386&amp;""/edit#gid=156619080"",N$3)"),"#REF!")</f>
        <v>#REF!</v>
      </c>
      <c r="O386" s="2" t="str">
        <f>IFERROR(__xludf.DUMMYFUNCTION("IMPORTRANGE(""https://docs.google.com/spreadsheets/d/""&amp;$A386&amp;""/edit#gid=156619080"",O$3)"),"#REF!")</f>
        <v>#REF!</v>
      </c>
      <c r="P386" s="2" t="str">
        <f>IFERROR(__xludf.DUMMYFUNCTION("IMPORTRANGE(""https://docs.google.com/spreadsheets/d/""&amp;$A386&amp;""/edit#gid=156619080"",P$3)"),"#REF!")</f>
        <v>#REF!</v>
      </c>
      <c r="Q386" s="2" t="str">
        <f>IFERROR(__xludf.DUMMYFUNCTION("IMPORTRANGE(""https://docs.google.com/spreadsheets/d/""&amp;$A386&amp;""/edit#gid=156619080"",Q$3)"),"#REF!")</f>
        <v>#REF!</v>
      </c>
      <c r="R386" s="2" t="str">
        <f>IFERROR(__xludf.DUMMYFUNCTION("IMPORTRANGE(""https://docs.google.com/spreadsheets/d/""&amp;$A386&amp;""/edit#gid=156619080"",R$3)"),"#REF!")</f>
        <v>#REF!</v>
      </c>
      <c r="S386" s="2" t="str">
        <f>IFERROR(__xludf.DUMMYFUNCTION("IMPORTRANGE(""https://docs.google.com/spreadsheets/d/""&amp;$A386&amp;""/edit#gid=156619080"",S$3)"),"#REF!")</f>
        <v>#REF!</v>
      </c>
      <c r="T386" s="2" t="str">
        <f>IFERROR(__xludf.DUMMYFUNCTION("IMPORTRANGE(""https://docs.google.com/spreadsheets/d/""&amp;$A386&amp;""/edit#gid=156619080"",T$3)"),"#REF!")</f>
        <v>#REF!</v>
      </c>
      <c r="U386" s="2" t="str">
        <f>IFERROR(__xludf.DUMMYFUNCTION("IMPORTRANGE(""https://docs.google.com/spreadsheets/d/""&amp;$A386&amp;""/edit#gid=156619080"",U$3)"),"#REF!")</f>
        <v>#REF!</v>
      </c>
      <c r="V386" s="2" t="str">
        <f>IFERROR(__xludf.DUMMYFUNCTION("IMPORTRANGE(""https://docs.google.com/spreadsheets/d/""&amp;$A386&amp;""/edit#gid=156619080"",V$3)"),"#REF!")</f>
        <v>#REF!</v>
      </c>
      <c r="W386" s="2" t="str">
        <f>IFERROR(__xludf.DUMMYFUNCTION("IMPORTRANGE(""https://docs.google.com/spreadsheets/d/""&amp;$A386&amp;""/edit#gid=156619080"",W$3)"),"#REF!")</f>
        <v>#REF!</v>
      </c>
      <c r="X386" s="2" t="str">
        <f>IFERROR(__xludf.DUMMYFUNCTION("IMPORTRANGE(""https://docs.google.com/spreadsheets/d/""&amp;$A386&amp;""/edit#gid=156619080"",X$3)"),"#REF!")</f>
        <v>#REF!</v>
      </c>
      <c r="Y386" s="2" t="str">
        <f>IFERROR(__xludf.DUMMYFUNCTION("IMPORTRANGE(""https://docs.google.com/spreadsheets/d/""&amp;$A386&amp;""/edit#gid=156619080"",Y$3)"),"#REF!")</f>
        <v>#REF!</v>
      </c>
      <c r="Z386" s="2" t="str">
        <f>IFERROR(__xludf.DUMMYFUNCTION("IMPORTRANGE(""https://docs.google.com/spreadsheets/d/""&amp;$A386&amp;""/edit#gid=156619080"",Z$3)"),"#REF!")</f>
        <v>#REF!</v>
      </c>
      <c r="AA386" s="2" t="str">
        <f>IFERROR(__xludf.DUMMYFUNCTION("IMPORTRANGE(""https://docs.google.com/spreadsheets/d/""&amp;$A386&amp;""/edit#gid=156619080"",AA$3)"),"#REF!")</f>
        <v>#REF!</v>
      </c>
      <c r="AB386" s="2" t="str">
        <f>IFERROR(__xludf.DUMMYFUNCTION("IMPORTRANGE(""https://docs.google.com/spreadsheets/d/""&amp;$A386&amp;""/edit#gid=156619080"",AB$3)"),"#REF!")</f>
        <v>#REF!</v>
      </c>
      <c r="AC386" s="2" t="str">
        <f>IFERROR(__xludf.DUMMYFUNCTION("IMPORTRANGE(""https://docs.google.com/spreadsheets/d/""&amp;$A386&amp;""/edit#gid=156619080"",AC$3)"),"#REF!")</f>
        <v>#REF!</v>
      </c>
      <c r="AD386" s="2" t="str">
        <f>IFERROR(__xludf.DUMMYFUNCTION("IMPORTRANGE(""https://docs.google.com/spreadsheets/d/""&amp;$A386&amp;""/edit#gid=156619080"",AD$3)"),"#REF!")</f>
        <v>#REF!</v>
      </c>
      <c r="AE386" s="2" t="str">
        <f>IFERROR(__xludf.DUMMYFUNCTION("IMPORTRANGE(""https://docs.google.com/spreadsheets/d/""&amp;$A386&amp;""/edit#gid=156619080"",AE$3)"),"#REF!")</f>
        <v>#REF!</v>
      </c>
      <c r="AF386" s="2" t="str">
        <f>IFERROR(__xludf.DUMMYFUNCTION("IMPORTRANGE(""https://docs.google.com/spreadsheets/d/""&amp;$A386&amp;""/edit#gid=156619080"",AF$3)"),"#REF!")</f>
        <v>#REF!</v>
      </c>
      <c r="AG386" s="2" t="str">
        <f>IFERROR(__xludf.DUMMYFUNCTION("IMPORTRANGE(""https://docs.google.com/spreadsheets/d/""&amp;$A386&amp;""/edit#gid=156619080"",AG$3)"),"#REF!")</f>
        <v>#REF!</v>
      </c>
      <c r="AH386" s="2" t="str">
        <f>IFERROR(__xludf.DUMMYFUNCTION("IMPORTRANGE(""https://docs.google.com/spreadsheets/d/""&amp;$A386&amp;""/edit#gid=156619080"",AH$3)"),"#REF!")</f>
        <v>#REF!</v>
      </c>
      <c r="AI386" s="2" t="str">
        <f>IFERROR(__xludf.DUMMYFUNCTION("IMPORTRANGE(""https://docs.google.com/spreadsheets/d/""&amp;$A386&amp;""/edit#gid=156619080"",AI$3)"),"#REF!")</f>
        <v>#REF!</v>
      </c>
      <c r="AJ386" s="2" t="str">
        <f>IFERROR(__xludf.DUMMYFUNCTION("IMPORTRANGE(""https://docs.google.com/spreadsheets/d/""&amp;$A386&amp;""/edit#gid=156619080"",AJ$3)"),"#REF!")</f>
        <v>#REF!</v>
      </c>
      <c r="AK386" s="2" t="str">
        <f>IFERROR(__xludf.DUMMYFUNCTION("IMPORTRANGE(""https://docs.google.com/spreadsheets/d/""&amp;$A386&amp;""/edit#gid=156619080"",AK$3)"),"#REF!")</f>
        <v>#REF!</v>
      </c>
      <c r="AL386" s="2" t="str">
        <f>IFERROR(__xludf.DUMMYFUNCTION("IMPORTRANGE(""https://docs.google.com/spreadsheets/d/""&amp;$A386&amp;""/edit#gid=156619080"",AL$3)"),"#REF!")</f>
        <v>#REF!</v>
      </c>
      <c r="AM386" s="2" t="str">
        <f>IFERROR(__xludf.DUMMYFUNCTION("IMPORTRANGE(""https://docs.google.com/spreadsheets/d/""&amp;$A386&amp;""/edit#gid=156619080"",AM$3)"),"#REF!")</f>
        <v>#REF!</v>
      </c>
      <c r="AN386" s="2" t="str">
        <f>IFERROR(__xludf.DUMMYFUNCTION("IMPORTRANGE(""https://docs.google.com/spreadsheets/d/""&amp;$A386&amp;""/edit#gid=156619080"",AN$3)"),"#REF!")</f>
        <v>#REF!</v>
      </c>
      <c r="AO386" s="2" t="str">
        <f>IFERROR(__xludf.DUMMYFUNCTION("IMPORTRANGE(""https://docs.google.com/spreadsheets/d/""&amp;$A386&amp;""/edit#gid=156619080"",AO$3)"),"#REF!")</f>
        <v>#REF!</v>
      </c>
      <c r="AP386" s="2" t="str">
        <f>IFERROR(__xludf.DUMMYFUNCTION("IMPORTRANGE(""https://docs.google.com/spreadsheets/d/""&amp;$A386&amp;""/edit#gid=156619080"",AP$3)"),"#REF!")</f>
        <v>#REF!</v>
      </c>
      <c r="AQ386" s="2" t="str">
        <f>IFERROR(__xludf.DUMMYFUNCTION("IMPORTRANGE(""https://docs.google.com/spreadsheets/d/""&amp;$A386&amp;""/edit#gid=156619080"",AQ$3)"),"#REF!")</f>
        <v>#REF!</v>
      </c>
      <c r="AR386" s="2" t="str">
        <f>IFERROR(__xludf.DUMMYFUNCTION("IMPORTRANGE(""https://docs.google.com/spreadsheets/d/""&amp;$A386&amp;""/edit#gid=156619080"",AR$3)"),"#REF!")</f>
        <v>#REF!</v>
      </c>
      <c r="AS386" s="19" t="str">
        <f>IFERROR(__xludf.DUMMYFUNCTION("IMPORTRANGE(""https://docs.google.com/spreadsheets/d/""&amp;$A386&amp;""/edit#gid=156619080"",AS$3)"),"#REF!")</f>
        <v>#REF!</v>
      </c>
      <c r="AT386" s="2" t="str">
        <f>IFERROR(__xludf.DUMMYFUNCTION("IMPORTRANGE(""https://docs.google.com/spreadsheets/d/""&amp;$A386&amp;""/edit#gid=156619080"",AT$3)"),"#REF!")</f>
        <v>#REF!</v>
      </c>
      <c r="AU386" s="3" t="str">
        <f>IFERROR(__xludf.DUMMYFUNCTION("IMPORTRANGE(""https://docs.google.com/spreadsheets/d/""&amp;$A386&amp;""/edit#gid=156619080"",AU$3)"),"#REF!")</f>
        <v>#REF!</v>
      </c>
      <c r="AV386" s="2" t="str">
        <f>IFERROR(__xludf.DUMMYFUNCTION("IMPORTRANGE(""https://docs.google.com/spreadsheets/d/""&amp;$A386&amp;""/edit#gid=156619080"",AV$3)"),"#REF!")</f>
        <v>#REF!</v>
      </c>
      <c r="AW386" s="19" t="str">
        <f>IFERROR(__xludf.DUMMYFUNCTION("IMPORTRANGE(""https://docs.google.com/spreadsheets/d/""&amp;$A386&amp;""/edit#gid=156619080"",AW$3)"),"#REF!")</f>
        <v>#REF!</v>
      </c>
      <c r="AX386" s="2" t="str">
        <f>IFERROR(__xludf.DUMMYFUNCTION("IMPORTRANGE(""https://docs.google.com/spreadsheets/d/""&amp;$A386&amp;""/edit#gid=156619080"",AX$3)"),"#REF!")</f>
        <v>#REF!</v>
      </c>
      <c r="AY386" s="2" t="str">
        <f>IFERROR(__xludf.DUMMYFUNCTION("IMPORTRANGE(""https://docs.google.com/spreadsheets/d/""&amp;$A386&amp;""/edit#gid=156619080"",AY$3)"),"#REF!")</f>
        <v>#REF!</v>
      </c>
      <c r="AZ386" s="2" t="str">
        <f>IFERROR(__xludf.DUMMYFUNCTION("IMPORTRANGE(""https://docs.google.com/spreadsheets/d/""&amp;$A386&amp;""/edit#gid=156619080"",AZ$3)"),"#REF!")</f>
        <v>#REF!</v>
      </c>
      <c r="BA386" s="2" t="str">
        <f>IFERROR(__xludf.DUMMYFUNCTION("IMPORTRANGE(""https://docs.google.com/spreadsheets/d/""&amp;$A386&amp;""/edit#gid=156619080"",BA$3)"),"#REF!")</f>
        <v>#REF!</v>
      </c>
      <c r="BB386" s="2" t="str">
        <f>IFERROR(__xludf.DUMMYFUNCTION("IMPORTRANGE(""https://docs.google.com/spreadsheets/d/""&amp;$A386&amp;""/edit#gid=156619080"",BB$3)"),"#REF!")</f>
        <v>#REF!</v>
      </c>
      <c r="BC386" s="2" t="str">
        <f>IFERROR(__xludf.DUMMYFUNCTION("IMPORTRANGE(""https://docs.google.com/spreadsheets/d/""&amp;$A386&amp;""/edit#gid=156619080"",BC$3)"),"#REF!")</f>
        <v>#REF!</v>
      </c>
    </row>
    <row r="387" ht="51.0" customHeight="1">
      <c r="A387" s="7" t="str">
        <f t="shared" si="5"/>
        <v>1jwb7d1pOYHYx2FMcljwvuV_bnXs99qGM3pXyAFy5jBs</v>
      </c>
      <c r="B387" s="1" t="s">
        <v>414</v>
      </c>
      <c r="C387" s="2" t="str">
        <f>IFERROR(__xludf.DUMMYFUNCTION("IMPORTRANGE(""https://docs.google.com/spreadsheets/d/""&amp;$A387&amp;""/edit#gid=156619080"",C$3)"),"#REF!")</f>
        <v>#REF!</v>
      </c>
      <c r="D387" s="2" t="str">
        <f>IFERROR(__xludf.DUMMYFUNCTION("IMPORTRANGE(""https://docs.google.com/spreadsheets/d/""&amp;$A387&amp;""/edit#gid=156619080"",D$3)"),"#REF!")</f>
        <v>#REF!</v>
      </c>
      <c r="E387" s="2" t="str">
        <f>IFERROR(__xludf.DUMMYFUNCTION("IMPORTRANGE(""https://docs.google.com/spreadsheets/d/""&amp;$A387&amp;""/edit#gid=156619080"",E$3)"),"#REF!")</f>
        <v>#REF!</v>
      </c>
      <c r="F387" s="2" t="str">
        <f>IFERROR(__xludf.DUMMYFUNCTION("IMPORTRANGE(""https://docs.google.com/spreadsheets/d/""&amp;$A387&amp;""/edit#gid=156619080"",F$3)"),"#REF!")</f>
        <v>#REF!</v>
      </c>
      <c r="G387" s="2" t="str">
        <f>IFERROR(__xludf.DUMMYFUNCTION("IMPORTRANGE(""https://docs.google.com/spreadsheets/d/""&amp;$A387&amp;""/edit#gid=156619080"",G$3)"),"#REF!")</f>
        <v>#REF!</v>
      </c>
      <c r="H387" s="2" t="str">
        <f>IFERROR(__xludf.DUMMYFUNCTION("IMPORTRANGE(""https://docs.google.com/spreadsheets/d/""&amp;$A387&amp;""/edit#gid=156619080"",H$3)"),"#REF!")</f>
        <v>#REF!</v>
      </c>
      <c r="I387" s="2" t="str">
        <f>IFERROR(__xludf.DUMMYFUNCTION("IMPORTRANGE(""https://docs.google.com/spreadsheets/d/""&amp;$A387&amp;""/edit#gid=156619080"",I$3)"),"#REF!")</f>
        <v>#REF!</v>
      </c>
      <c r="J387" s="2" t="str">
        <f>IFERROR(__xludf.DUMMYFUNCTION("IMPORTRANGE(""https://docs.google.com/spreadsheets/d/""&amp;$A387&amp;""/edit#gid=156619080"",J$3)"),"#REF!")</f>
        <v>#REF!</v>
      </c>
      <c r="K387" s="2" t="str">
        <f>IFERROR(__xludf.DUMMYFUNCTION("IMPORTRANGE(""https://docs.google.com/spreadsheets/d/""&amp;$A387&amp;""/edit#gid=156619080"",K$3)"),"#REF!")</f>
        <v>#REF!</v>
      </c>
      <c r="L387" s="2" t="str">
        <f>IFERROR(__xludf.DUMMYFUNCTION("IMPORTRANGE(""https://docs.google.com/spreadsheets/d/""&amp;$A387&amp;""/edit#gid=156619080"",L$3)"),"#REF!")</f>
        <v>#REF!</v>
      </c>
      <c r="M387" s="2" t="str">
        <f>IFERROR(__xludf.DUMMYFUNCTION("IMPORTRANGE(""https://docs.google.com/spreadsheets/d/""&amp;$A387&amp;""/edit#gid=156619080"",M$3)"),"#REF!")</f>
        <v>#REF!</v>
      </c>
      <c r="N387" s="2" t="str">
        <f>IFERROR(__xludf.DUMMYFUNCTION("IMPORTRANGE(""https://docs.google.com/spreadsheets/d/""&amp;$A387&amp;""/edit#gid=156619080"",N$3)"),"#REF!")</f>
        <v>#REF!</v>
      </c>
      <c r="O387" s="2" t="str">
        <f>IFERROR(__xludf.DUMMYFUNCTION("IMPORTRANGE(""https://docs.google.com/spreadsheets/d/""&amp;$A387&amp;""/edit#gid=156619080"",O$3)"),"#REF!")</f>
        <v>#REF!</v>
      </c>
      <c r="P387" s="2" t="str">
        <f>IFERROR(__xludf.DUMMYFUNCTION("IMPORTRANGE(""https://docs.google.com/spreadsheets/d/""&amp;$A387&amp;""/edit#gid=156619080"",P$3)"),"#REF!")</f>
        <v>#REF!</v>
      </c>
      <c r="Q387" s="2" t="str">
        <f>IFERROR(__xludf.DUMMYFUNCTION("IMPORTRANGE(""https://docs.google.com/spreadsheets/d/""&amp;$A387&amp;""/edit#gid=156619080"",Q$3)"),"#REF!")</f>
        <v>#REF!</v>
      </c>
      <c r="R387" s="2" t="str">
        <f>IFERROR(__xludf.DUMMYFUNCTION("IMPORTRANGE(""https://docs.google.com/spreadsheets/d/""&amp;$A387&amp;""/edit#gid=156619080"",R$3)"),"#REF!")</f>
        <v>#REF!</v>
      </c>
      <c r="S387" s="2" t="str">
        <f>IFERROR(__xludf.DUMMYFUNCTION("IMPORTRANGE(""https://docs.google.com/spreadsheets/d/""&amp;$A387&amp;""/edit#gid=156619080"",S$3)"),"#REF!")</f>
        <v>#REF!</v>
      </c>
      <c r="T387" s="2" t="str">
        <f>IFERROR(__xludf.DUMMYFUNCTION("IMPORTRANGE(""https://docs.google.com/spreadsheets/d/""&amp;$A387&amp;""/edit#gid=156619080"",T$3)"),"#REF!")</f>
        <v>#REF!</v>
      </c>
      <c r="U387" s="2" t="str">
        <f>IFERROR(__xludf.DUMMYFUNCTION("IMPORTRANGE(""https://docs.google.com/spreadsheets/d/""&amp;$A387&amp;""/edit#gid=156619080"",U$3)"),"#REF!")</f>
        <v>#REF!</v>
      </c>
      <c r="V387" s="2" t="str">
        <f>IFERROR(__xludf.DUMMYFUNCTION("IMPORTRANGE(""https://docs.google.com/spreadsheets/d/""&amp;$A387&amp;""/edit#gid=156619080"",V$3)"),"#REF!")</f>
        <v>#REF!</v>
      </c>
      <c r="W387" s="2" t="str">
        <f>IFERROR(__xludf.DUMMYFUNCTION("IMPORTRANGE(""https://docs.google.com/spreadsheets/d/""&amp;$A387&amp;""/edit#gid=156619080"",W$3)"),"#REF!")</f>
        <v>#REF!</v>
      </c>
      <c r="X387" s="2" t="str">
        <f>IFERROR(__xludf.DUMMYFUNCTION("IMPORTRANGE(""https://docs.google.com/spreadsheets/d/""&amp;$A387&amp;""/edit#gid=156619080"",X$3)"),"#REF!")</f>
        <v>#REF!</v>
      </c>
      <c r="Y387" s="2" t="str">
        <f>IFERROR(__xludf.DUMMYFUNCTION("IMPORTRANGE(""https://docs.google.com/spreadsheets/d/""&amp;$A387&amp;""/edit#gid=156619080"",Y$3)"),"#REF!")</f>
        <v>#REF!</v>
      </c>
      <c r="Z387" s="2" t="str">
        <f>IFERROR(__xludf.DUMMYFUNCTION("IMPORTRANGE(""https://docs.google.com/spreadsheets/d/""&amp;$A387&amp;""/edit#gid=156619080"",Z$3)"),"#REF!")</f>
        <v>#REF!</v>
      </c>
      <c r="AA387" s="2" t="str">
        <f>IFERROR(__xludf.DUMMYFUNCTION("IMPORTRANGE(""https://docs.google.com/spreadsheets/d/""&amp;$A387&amp;""/edit#gid=156619080"",AA$3)"),"#REF!")</f>
        <v>#REF!</v>
      </c>
      <c r="AB387" s="2" t="str">
        <f>IFERROR(__xludf.DUMMYFUNCTION("IMPORTRANGE(""https://docs.google.com/spreadsheets/d/""&amp;$A387&amp;""/edit#gid=156619080"",AB$3)"),"#REF!")</f>
        <v>#REF!</v>
      </c>
      <c r="AC387" s="2" t="str">
        <f>IFERROR(__xludf.DUMMYFUNCTION("IMPORTRANGE(""https://docs.google.com/spreadsheets/d/""&amp;$A387&amp;""/edit#gid=156619080"",AC$3)"),"#REF!")</f>
        <v>#REF!</v>
      </c>
      <c r="AD387" s="2" t="str">
        <f>IFERROR(__xludf.DUMMYFUNCTION("IMPORTRANGE(""https://docs.google.com/spreadsheets/d/""&amp;$A387&amp;""/edit#gid=156619080"",AD$3)"),"#REF!")</f>
        <v>#REF!</v>
      </c>
      <c r="AE387" s="2" t="str">
        <f>IFERROR(__xludf.DUMMYFUNCTION("IMPORTRANGE(""https://docs.google.com/spreadsheets/d/""&amp;$A387&amp;""/edit#gid=156619080"",AE$3)"),"#REF!")</f>
        <v>#REF!</v>
      </c>
      <c r="AF387" s="2" t="str">
        <f>IFERROR(__xludf.DUMMYFUNCTION("IMPORTRANGE(""https://docs.google.com/spreadsheets/d/""&amp;$A387&amp;""/edit#gid=156619080"",AF$3)"),"#REF!")</f>
        <v>#REF!</v>
      </c>
      <c r="AG387" s="2" t="str">
        <f>IFERROR(__xludf.DUMMYFUNCTION("IMPORTRANGE(""https://docs.google.com/spreadsheets/d/""&amp;$A387&amp;""/edit#gid=156619080"",AG$3)"),"#REF!")</f>
        <v>#REF!</v>
      </c>
      <c r="AH387" s="2" t="str">
        <f>IFERROR(__xludf.DUMMYFUNCTION("IMPORTRANGE(""https://docs.google.com/spreadsheets/d/""&amp;$A387&amp;""/edit#gid=156619080"",AH$3)"),"#REF!")</f>
        <v>#REF!</v>
      </c>
      <c r="AI387" s="2" t="str">
        <f>IFERROR(__xludf.DUMMYFUNCTION("IMPORTRANGE(""https://docs.google.com/spreadsheets/d/""&amp;$A387&amp;""/edit#gid=156619080"",AI$3)"),"#REF!")</f>
        <v>#REF!</v>
      </c>
      <c r="AJ387" s="2" t="str">
        <f>IFERROR(__xludf.DUMMYFUNCTION("IMPORTRANGE(""https://docs.google.com/spreadsheets/d/""&amp;$A387&amp;""/edit#gid=156619080"",AJ$3)"),"#REF!")</f>
        <v>#REF!</v>
      </c>
      <c r="AK387" s="2" t="str">
        <f>IFERROR(__xludf.DUMMYFUNCTION("IMPORTRANGE(""https://docs.google.com/spreadsheets/d/""&amp;$A387&amp;""/edit#gid=156619080"",AK$3)"),"#REF!")</f>
        <v>#REF!</v>
      </c>
      <c r="AL387" s="2" t="str">
        <f>IFERROR(__xludf.DUMMYFUNCTION("IMPORTRANGE(""https://docs.google.com/spreadsheets/d/""&amp;$A387&amp;""/edit#gid=156619080"",AL$3)"),"#REF!")</f>
        <v>#REF!</v>
      </c>
      <c r="AM387" s="2" t="str">
        <f>IFERROR(__xludf.DUMMYFUNCTION("IMPORTRANGE(""https://docs.google.com/spreadsheets/d/""&amp;$A387&amp;""/edit#gid=156619080"",AM$3)"),"#REF!")</f>
        <v>#REF!</v>
      </c>
      <c r="AN387" s="2" t="str">
        <f>IFERROR(__xludf.DUMMYFUNCTION("IMPORTRANGE(""https://docs.google.com/spreadsheets/d/""&amp;$A387&amp;""/edit#gid=156619080"",AN$3)"),"#REF!")</f>
        <v>#REF!</v>
      </c>
      <c r="AO387" s="2" t="str">
        <f>IFERROR(__xludf.DUMMYFUNCTION("IMPORTRANGE(""https://docs.google.com/spreadsheets/d/""&amp;$A387&amp;""/edit#gid=156619080"",AO$3)"),"#REF!")</f>
        <v>#REF!</v>
      </c>
      <c r="AP387" s="2" t="str">
        <f>IFERROR(__xludf.DUMMYFUNCTION("IMPORTRANGE(""https://docs.google.com/spreadsheets/d/""&amp;$A387&amp;""/edit#gid=156619080"",AP$3)"),"#REF!")</f>
        <v>#REF!</v>
      </c>
      <c r="AQ387" s="2" t="str">
        <f>IFERROR(__xludf.DUMMYFUNCTION("IMPORTRANGE(""https://docs.google.com/spreadsheets/d/""&amp;$A387&amp;""/edit#gid=156619080"",AQ$3)"),"#REF!")</f>
        <v>#REF!</v>
      </c>
      <c r="AR387" s="2" t="str">
        <f>IFERROR(__xludf.DUMMYFUNCTION("IMPORTRANGE(""https://docs.google.com/spreadsheets/d/""&amp;$A387&amp;""/edit#gid=156619080"",AR$3)"),"#REF!")</f>
        <v>#REF!</v>
      </c>
      <c r="AS387" s="19" t="str">
        <f>IFERROR(__xludf.DUMMYFUNCTION("IMPORTRANGE(""https://docs.google.com/spreadsheets/d/""&amp;$A387&amp;""/edit#gid=156619080"",AS$3)"),"#REF!")</f>
        <v>#REF!</v>
      </c>
      <c r="AT387" s="2" t="str">
        <f>IFERROR(__xludf.DUMMYFUNCTION("IMPORTRANGE(""https://docs.google.com/spreadsheets/d/""&amp;$A387&amp;""/edit#gid=156619080"",AT$3)"),"#REF!")</f>
        <v>#REF!</v>
      </c>
      <c r="AU387" s="3" t="str">
        <f>IFERROR(__xludf.DUMMYFUNCTION("IMPORTRANGE(""https://docs.google.com/spreadsheets/d/""&amp;$A387&amp;""/edit#gid=156619080"",AU$3)"),"#REF!")</f>
        <v>#REF!</v>
      </c>
      <c r="AV387" s="2" t="str">
        <f>IFERROR(__xludf.DUMMYFUNCTION("IMPORTRANGE(""https://docs.google.com/spreadsheets/d/""&amp;$A387&amp;""/edit#gid=156619080"",AV$3)"),"#REF!")</f>
        <v>#REF!</v>
      </c>
      <c r="AW387" s="19" t="str">
        <f>IFERROR(__xludf.DUMMYFUNCTION("IMPORTRANGE(""https://docs.google.com/spreadsheets/d/""&amp;$A387&amp;""/edit#gid=156619080"",AW$3)"),"#REF!")</f>
        <v>#REF!</v>
      </c>
      <c r="AX387" s="2" t="str">
        <f>IFERROR(__xludf.DUMMYFUNCTION("IMPORTRANGE(""https://docs.google.com/spreadsheets/d/""&amp;$A387&amp;""/edit#gid=156619080"",AX$3)"),"#REF!")</f>
        <v>#REF!</v>
      </c>
      <c r="AY387" s="2" t="str">
        <f>IFERROR(__xludf.DUMMYFUNCTION("IMPORTRANGE(""https://docs.google.com/spreadsheets/d/""&amp;$A387&amp;""/edit#gid=156619080"",AY$3)"),"#REF!")</f>
        <v>#REF!</v>
      </c>
      <c r="AZ387" s="2" t="str">
        <f>IFERROR(__xludf.DUMMYFUNCTION("IMPORTRANGE(""https://docs.google.com/spreadsheets/d/""&amp;$A387&amp;""/edit#gid=156619080"",AZ$3)"),"#REF!")</f>
        <v>#REF!</v>
      </c>
      <c r="BA387" s="2" t="str">
        <f>IFERROR(__xludf.DUMMYFUNCTION("IMPORTRANGE(""https://docs.google.com/spreadsheets/d/""&amp;$A387&amp;""/edit#gid=156619080"",BA$3)"),"#REF!")</f>
        <v>#REF!</v>
      </c>
      <c r="BB387" s="2" t="str">
        <f>IFERROR(__xludf.DUMMYFUNCTION("IMPORTRANGE(""https://docs.google.com/spreadsheets/d/""&amp;$A387&amp;""/edit#gid=156619080"",BB$3)"),"#REF!")</f>
        <v>#REF!</v>
      </c>
      <c r="BC387" s="2" t="str">
        <f>IFERROR(__xludf.DUMMYFUNCTION("IMPORTRANGE(""https://docs.google.com/spreadsheets/d/""&amp;$A387&amp;""/edit#gid=156619080"",BC$3)"),"#REF!")</f>
        <v>#REF!</v>
      </c>
    </row>
    <row r="388" ht="51.0" customHeight="1">
      <c r="A388" s="7" t="str">
        <f t="shared" si="5"/>
        <v>1mD8yYFha3j4_Dlw9iwE6JedWBiwcARqcK1SjsXWhm2o</v>
      </c>
      <c r="B388" s="1" t="s">
        <v>415</v>
      </c>
      <c r="C388" s="2" t="str">
        <f>IFERROR(__xludf.DUMMYFUNCTION("IMPORTRANGE(""https://docs.google.com/spreadsheets/d/""&amp;$A388&amp;""/edit#gid=156619080"",C$3)"),"#REF!")</f>
        <v>#REF!</v>
      </c>
      <c r="D388" s="2" t="str">
        <f>IFERROR(__xludf.DUMMYFUNCTION("IMPORTRANGE(""https://docs.google.com/spreadsheets/d/""&amp;$A388&amp;""/edit#gid=156619080"",D$3)"),"#REF!")</f>
        <v>#REF!</v>
      </c>
      <c r="E388" s="2" t="str">
        <f>IFERROR(__xludf.DUMMYFUNCTION("IMPORTRANGE(""https://docs.google.com/spreadsheets/d/""&amp;$A388&amp;""/edit#gid=156619080"",E$3)"),"#REF!")</f>
        <v>#REF!</v>
      </c>
      <c r="F388" s="2" t="str">
        <f>IFERROR(__xludf.DUMMYFUNCTION("IMPORTRANGE(""https://docs.google.com/spreadsheets/d/""&amp;$A388&amp;""/edit#gid=156619080"",F$3)"),"#REF!")</f>
        <v>#REF!</v>
      </c>
      <c r="G388" s="2" t="str">
        <f>IFERROR(__xludf.DUMMYFUNCTION("IMPORTRANGE(""https://docs.google.com/spreadsheets/d/""&amp;$A388&amp;""/edit#gid=156619080"",G$3)"),"#REF!")</f>
        <v>#REF!</v>
      </c>
      <c r="H388" s="2" t="str">
        <f>IFERROR(__xludf.DUMMYFUNCTION("IMPORTRANGE(""https://docs.google.com/spreadsheets/d/""&amp;$A388&amp;""/edit#gid=156619080"",H$3)"),"#REF!")</f>
        <v>#REF!</v>
      </c>
      <c r="I388" s="2" t="str">
        <f>IFERROR(__xludf.DUMMYFUNCTION("IMPORTRANGE(""https://docs.google.com/spreadsheets/d/""&amp;$A388&amp;""/edit#gid=156619080"",I$3)"),"#REF!")</f>
        <v>#REF!</v>
      </c>
      <c r="J388" s="2" t="str">
        <f>IFERROR(__xludf.DUMMYFUNCTION("IMPORTRANGE(""https://docs.google.com/spreadsheets/d/""&amp;$A388&amp;""/edit#gid=156619080"",J$3)"),"#REF!")</f>
        <v>#REF!</v>
      </c>
      <c r="K388" s="2" t="str">
        <f>IFERROR(__xludf.DUMMYFUNCTION("IMPORTRANGE(""https://docs.google.com/spreadsheets/d/""&amp;$A388&amp;""/edit#gid=156619080"",K$3)"),"#REF!")</f>
        <v>#REF!</v>
      </c>
      <c r="L388" s="2" t="str">
        <f>IFERROR(__xludf.DUMMYFUNCTION("IMPORTRANGE(""https://docs.google.com/spreadsheets/d/""&amp;$A388&amp;""/edit#gid=156619080"",L$3)"),"#REF!")</f>
        <v>#REF!</v>
      </c>
      <c r="M388" s="2" t="str">
        <f>IFERROR(__xludf.DUMMYFUNCTION("IMPORTRANGE(""https://docs.google.com/spreadsheets/d/""&amp;$A388&amp;""/edit#gid=156619080"",M$3)"),"#REF!")</f>
        <v>#REF!</v>
      </c>
      <c r="N388" s="2" t="str">
        <f>IFERROR(__xludf.DUMMYFUNCTION("IMPORTRANGE(""https://docs.google.com/spreadsheets/d/""&amp;$A388&amp;""/edit#gid=156619080"",N$3)"),"#REF!")</f>
        <v>#REF!</v>
      </c>
      <c r="O388" s="2" t="str">
        <f>IFERROR(__xludf.DUMMYFUNCTION("IMPORTRANGE(""https://docs.google.com/spreadsheets/d/""&amp;$A388&amp;""/edit#gid=156619080"",O$3)"),"#REF!")</f>
        <v>#REF!</v>
      </c>
      <c r="P388" s="2" t="str">
        <f>IFERROR(__xludf.DUMMYFUNCTION("IMPORTRANGE(""https://docs.google.com/spreadsheets/d/""&amp;$A388&amp;""/edit#gid=156619080"",P$3)"),"#REF!")</f>
        <v>#REF!</v>
      </c>
      <c r="Q388" s="2" t="str">
        <f>IFERROR(__xludf.DUMMYFUNCTION("IMPORTRANGE(""https://docs.google.com/spreadsheets/d/""&amp;$A388&amp;""/edit#gid=156619080"",Q$3)"),"#REF!")</f>
        <v>#REF!</v>
      </c>
      <c r="R388" s="2" t="str">
        <f>IFERROR(__xludf.DUMMYFUNCTION("IMPORTRANGE(""https://docs.google.com/spreadsheets/d/""&amp;$A388&amp;""/edit#gid=156619080"",R$3)"),"#REF!")</f>
        <v>#REF!</v>
      </c>
      <c r="S388" s="2" t="str">
        <f>IFERROR(__xludf.DUMMYFUNCTION("IMPORTRANGE(""https://docs.google.com/spreadsheets/d/""&amp;$A388&amp;""/edit#gid=156619080"",S$3)"),"#REF!")</f>
        <v>#REF!</v>
      </c>
      <c r="T388" s="2" t="str">
        <f>IFERROR(__xludf.DUMMYFUNCTION("IMPORTRANGE(""https://docs.google.com/spreadsheets/d/""&amp;$A388&amp;""/edit#gid=156619080"",T$3)"),"#REF!")</f>
        <v>#REF!</v>
      </c>
      <c r="U388" s="2" t="str">
        <f>IFERROR(__xludf.DUMMYFUNCTION("IMPORTRANGE(""https://docs.google.com/spreadsheets/d/""&amp;$A388&amp;""/edit#gid=156619080"",U$3)"),"#REF!")</f>
        <v>#REF!</v>
      </c>
      <c r="V388" s="2" t="str">
        <f>IFERROR(__xludf.DUMMYFUNCTION("IMPORTRANGE(""https://docs.google.com/spreadsheets/d/""&amp;$A388&amp;""/edit#gid=156619080"",V$3)"),"#REF!")</f>
        <v>#REF!</v>
      </c>
      <c r="W388" s="2" t="str">
        <f>IFERROR(__xludf.DUMMYFUNCTION("IMPORTRANGE(""https://docs.google.com/spreadsheets/d/""&amp;$A388&amp;""/edit#gid=156619080"",W$3)"),"#REF!")</f>
        <v>#REF!</v>
      </c>
      <c r="X388" s="2" t="str">
        <f>IFERROR(__xludf.DUMMYFUNCTION("IMPORTRANGE(""https://docs.google.com/spreadsheets/d/""&amp;$A388&amp;""/edit#gid=156619080"",X$3)"),"#REF!")</f>
        <v>#REF!</v>
      </c>
      <c r="Y388" s="2" t="str">
        <f>IFERROR(__xludf.DUMMYFUNCTION("IMPORTRANGE(""https://docs.google.com/spreadsheets/d/""&amp;$A388&amp;""/edit#gid=156619080"",Y$3)"),"#REF!")</f>
        <v>#REF!</v>
      </c>
      <c r="Z388" s="2" t="str">
        <f>IFERROR(__xludf.DUMMYFUNCTION("IMPORTRANGE(""https://docs.google.com/spreadsheets/d/""&amp;$A388&amp;""/edit#gid=156619080"",Z$3)"),"#REF!")</f>
        <v>#REF!</v>
      </c>
      <c r="AA388" s="2" t="str">
        <f>IFERROR(__xludf.DUMMYFUNCTION("IMPORTRANGE(""https://docs.google.com/spreadsheets/d/""&amp;$A388&amp;""/edit#gid=156619080"",AA$3)"),"#REF!")</f>
        <v>#REF!</v>
      </c>
      <c r="AB388" s="2" t="str">
        <f>IFERROR(__xludf.DUMMYFUNCTION("IMPORTRANGE(""https://docs.google.com/spreadsheets/d/""&amp;$A388&amp;""/edit#gid=156619080"",AB$3)"),"#REF!")</f>
        <v>#REF!</v>
      </c>
      <c r="AC388" s="2" t="str">
        <f>IFERROR(__xludf.DUMMYFUNCTION("IMPORTRANGE(""https://docs.google.com/spreadsheets/d/""&amp;$A388&amp;""/edit#gid=156619080"",AC$3)"),"#REF!")</f>
        <v>#REF!</v>
      </c>
      <c r="AD388" s="2" t="str">
        <f>IFERROR(__xludf.DUMMYFUNCTION("IMPORTRANGE(""https://docs.google.com/spreadsheets/d/""&amp;$A388&amp;""/edit#gid=156619080"",AD$3)"),"#REF!")</f>
        <v>#REF!</v>
      </c>
      <c r="AE388" s="2" t="str">
        <f>IFERROR(__xludf.DUMMYFUNCTION("IMPORTRANGE(""https://docs.google.com/spreadsheets/d/""&amp;$A388&amp;""/edit#gid=156619080"",AE$3)"),"#REF!")</f>
        <v>#REF!</v>
      </c>
      <c r="AF388" s="2" t="str">
        <f>IFERROR(__xludf.DUMMYFUNCTION("IMPORTRANGE(""https://docs.google.com/spreadsheets/d/""&amp;$A388&amp;""/edit#gid=156619080"",AF$3)"),"#REF!")</f>
        <v>#REF!</v>
      </c>
      <c r="AG388" s="2" t="str">
        <f>IFERROR(__xludf.DUMMYFUNCTION("IMPORTRANGE(""https://docs.google.com/spreadsheets/d/""&amp;$A388&amp;""/edit#gid=156619080"",AG$3)"),"#REF!")</f>
        <v>#REF!</v>
      </c>
      <c r="AH388" s="2" t="str">
        <f>IFERROR(__xludf.DUMMYFUNCTION("IMPORTRANGE(""https://docs.google.com/spreadsheets/d/""&amp;$A388&amp;""/edit#gid=156619080"",AH$3)"),"#REF!")</f>
        <v>#REF!</v>
      </c>
      <c r="AI388" s="2" t="str">
        <f>IFERROR(__xludf.DUMMYFUNCTION("IMPORTRANGE(""https://docs.google.com/spreadsheets/d/""&amp;$A388&amp;""/edit#gid=156619080"",AI$3)"),"#REF!")</f>
        <v>#REF!</v>
      </c>
      <c r="AJ388" s="2" t="str">
        <f>IFERROR(__xludf.DUMMYFUNCTION("IMPORTRANGE(""https://docs.google.com/spreadsheets/d/""&amp;$A388&amp;""/edit#gid=156619080"",AJ$3)"),"#REF!")</f>
        <v>#REF!</v>
      </c>
      <c r="AK388" s="2" t="str">
        <f>IFERROR(__xludf.DUMMYFUNCTION("IMPORTRANGE(""https://docs.google.com/spreadsheets/d/""&amp;$A388&amp;""/edit#gid=156619080"",AK$3)"),"#REF!")</f>
        <v>#REF!</v>
      </c>
      <c r="AL388" s="2" t="str">
        <f>IFERROR(__xludf.DUMMYFUNCTION("IMPORTRANGE(""https://docs.google.com/spreadsheets/d/""&amp;$A388&amp;""/edit#gid=156619080"",AL$3)"),"#REF!")</f>
        <v>#REF!</v>
      </c>
      <c r="AM388" s="2" t="str">
        <f>IFERROR(__xludf.DUMMYFUNCTION("IMPORTRANGE(""https://docs.google.com/spreadsheets/d/""&amp;$A388&amp;""/edit#gid=156619080"",AM$3)"),"#REF!")</f>
        <v>#REF!</v>
      </c>
      <c r="AN388" s="2" t="str">
        <f>IFERROR(__xludf.DUMMYFUNCTION("IMPORTRANGE(""https://docs.google.com/spreadsheets/d/""&amp;$A388&amp;""/edit#gid=156619080"",AN$3)"),"#REF!")</f>
        <v>#REF!</v>
      </c>
      <c r="AO388" s="2" t="str">
        <f>IFERROR(__xludf.DUMMYFUNCTION("IMPORTRANGE(""https://docs.google.com/spreadsheets/d/""&amp;$A388&amp;""/edit#gid=156619080"",AO$3)"),"#REF!")</f>
        <v>#REF!</v>
      </c>
      <c r="AP388" s="2" t="str">
        <f>IFERROR(__xludf.DUMMYFUNCTION("IMPORTRANGE(""https://docs.google.com/spreadsheets/d/""&amp;$A388&amp;""/edit#gid=156619080"",AP$3)"),"#REF!")</f>
        <v>#REF!</v>
      </c>
      <c r="AQ388" s="2" t="str">
        <f>IFERROR(__xludf.DUMMYFUNCTION("IMPORTRANGE(""https://docs.google.com/spreadsheets/d/""&amp;$A388&amp;""/edit#gid=156619080"",AQ$3)"),"#REF!")</f>
        <v>#REF!</v>
      </c>
      <c r="AR388" s="2" t="str">
        <f>IFERROR(__xludf.DUMMYFUNCTION("IMPORTRANGE(""https://docs.google.com/spreadsheets/d/""&amp;$A388&amp;""/edit#gid=156619080"",AR$3)"),"#REF!")</f>
        <v>#REF!</v>
      </c>
      <c r="AS388" s="19" t="str">
        <f>IFERROR(__xludf.DUMMYFUNCTION("IMPORTRANGE(""https://docs.google.com/spreadsheets/d/""&amp;$A388&amp;""/edit#gid=156619080"",AS$3)"),"#REF!")</f>
        <v>#REF!</v>
      </c>
      <c r="AT388" s="2" t="str">
        <f>IFERROR(__xludf.DUMMYFUNCTION("IMPORTRANGE(""https://docs.google.com/spreadsheets/d/""&amp;$A388&amp;""/edit#gid=156619080"",AT$3)"),"#REF!")</f>
        <v>#REF!</v>
      </c>
      <c r="AU388" s="3" t="str">
        <f>IFERROR(__xludf.DUMMYFUNCTION("IMPORTRANGE(""https://docs.google.com/spreadsheets/d/""&amp;$A388&amp;""/edit#gid=156619080"",AU$3)"),"#REF!")</f>
        <v>#REF!</v>
      </c>
      <c r="AV388" s="2" t="str">
        <f>IFERROR(__xludf.DUMMYFUNCTION("IMPORTRANGE(""https://docs.google.com/spreadsheets/d/""&amp;$A388&amp;""/edit#gid=156619080"",AV$3)"),"#REF!")</f>
        <v>#REF!</v>
      </c>
      <c r="AW388" s="19" t="str">
        <f>IFERROR(__xludf.DUMMYFUNCTION("IMPORTRANGE(""https://docs.google.com/spreadsheets/d/""&amp;$A388&amp;""/edit#gid=156619080"",AW$3)"),"#REF!")</f>
        <v>#REF!</v>
      </c>
      <c r="AX388" s="2" t="str">
        <f>IFERROR(__xludf.DUMMYFUNCTION("IMPORTRANGE(""https://docs.google.com/spreadsheets/d/""&amp;$A388&amp;""/edit#gid=156619080"",AX$3)"),"#REF!")</f>
        <v>#REF!</v>
      </c>
      <c r="AY388" s="2" t="str">
        <f>IFERROR(__xludf.DUMMYFUNCTION("IMPORTRANGE(""https://docs.google.com/spreadsheets/d/""&amp;$A388&amp;""/edit#gid=156619080"",AY$3)"),"#REF!")</f>
        <v>#REF!</v>
      </c>
      <c r="AZ388" s="2" t="str">
        <f>IFERROR(__xludf.DUMMYFUNCTION("IMPORTRANGE(""https://docs.google.com/spreadsheets/d/""&amp;$A388&amp;""/edit#gid=156619080"",AZ$3)"),"#REF!")</f>
        <v>#REF!</v>
      </c>
      <c r="BA388" s="2" t="str">
        <f>IFERROR(__xludf.DUMMYFUNCTION("IMPORTRANGE(""https://docs.google.com/spreadsheets/d/""&amp;$A388&amp;""/edit#gid=156619080"",BA$3)"),"#REF!")</f>
        <v>#REF!</v>
      </c>
      <c r="BB388" s="2" t="str">
        <f>IFERROR(__xludf.DUMMYFUNCTION("IMPORTRANGE(""https://docs.google.com/spreadsheets/d/""&amp;$A388&amp;""/edit#gid=156619080"",BB$3)"),"#REF!")</f>
        <v>#REF!</v>
      </c>
      <c r="BC388" s="2" t="str">
        <f>IFERROR(__xludf.DUMMYFUNCTION("IMPORTRANGE(""https://docs.google.com/spreadsheets/d/""&amp;$A388&amp;""/edit#gid=156619080"",BC$3)"),"#REF!")</f>
        <v>#REF!</v>
      </c>
    </row>
    <row r="389" ht="51.0" customHeight="1">
      <c r="A389" s="7" t="str">
        <f t="shared" si="5"/>
        <v>1ml-Lr0htemPPxDlReAY7erKg9y5mhePBqUh8zYjGjrc</v>
      </c>
      <c r="B389" s="1" t="s">
        <v>416</v>
      </c>
      <c r="C389" s="2" t="str">
        <f>IFERROR(__xludf.DUMMYFUNCTION("IMPORTRANGE(""https://docs.google.com/spreadsheets/d/""&amp;$A389&amp;""/edit#gid=156619080"",C$3)"),"#REF!")</f>
        <v>#REF!</v>
      </c>
      <c r="D389" s="2" t="str">
        <f>IFERROR(__xludf.DUMMYFUNCTION("IMPORTRANGE(""https://docs.google.com/spreadsheets/d/""&amp;$A389&amp;""/edit#gid=156619080"",D$3)"),"#REF!")</f>
        <v>#REF!</v>
      </c>
      <c r="E389" s="2" t="str">
        <f>IFERROR(__xludf.DUMMYFUNCTION("IMPORTRANGE(""https://docs.google.com/spreadsheets/d/""&amp;$A389&amp;""/edit#gid=156619080"",E$3)"),"#REF!")</f>
        <v>#REF!</v>
      </c>
      <c r="F389" s="2" t="str">
        <f>IFERROR(__xludf.DUMMYFUNCTION("IMPORTRANGE(""https://docs.google.com/spreadsheets/d/""&amp;$A389&amp;""/edit#gid=156619080"",F$3)"),"#REF!")</f>
        <v>#REF!</v>
      </c>
      <c r="G389" s="2" t="str">
        <f>IFERROR(__xludf.DUMMYFUNCTION("IMPORTRANGE(""https://docs.google.com/spreadsheets/d/""&amp;$A389&amp;""/edit#gid=156619080"",G$3)"),"#REF!")</f>
        <v>#REF!</v>
      </c>
      <c r="H389" s="2" t="str">
        <f>IFERROR(__xludf.DUMMYFUNCTION("IMPORTRANGE(""https://docs.google.com/spreadsheets/d/""&amp;$A389&amp;""/edit#gid=156619080"",H$3)"),"#REF!")</f>
        <v>#REF!</v>
      </c>
      <c r="I389" s="2" t="str">
        <f>IFERROR(__xludf.DUMMYFUNCTION("IMPORTRANGE(""https://docs.google.com/spreadsheets/d/""&amp;$A389&amp;""/edit#gid=156619080"",I$3)"),"#REF!")</f>
        <v>#REF!</v>
      </c>
      <c r="J389" s="2" t="str">
        <f>IFERROR(__xludf.DUMMYFUNCTION("IMPORTRANGE(""https://docs.google.com/spreadsheets/d/""&amp;$A389&amp;""/edit#gid=156619080"",J$3)"),"#REF!")</f>
        <v>#REF!</v>
      </c>
      <c r="K389" s="2" t="str">
        <f>IFERROR(__xludf.DUMMYFUNCTION("IMPORTRANGE(""https://docs.google.com/spreadsheets/d/""&amp;$A389&amp;""/edit#gid=156619080"",K$3)"),"#REF!")</f>
        <v>#REF!</v>
      </c>
      <c r="L389" s="2" t="str">
        <f>IFERROR(__xludf.DUMMYFUNCTION("IMPORTRANGE(""https://docs.google.com/spreadsheets/d/""&amp;$A389&amp;""/edit#gid=156619080"",L$3)"),"#REF!")</f>
        <v>#REF!</v>
      </c>
      <c r="M389" s="2" t="str">
        <f>IFERROR(__xludf.DUMMYFUNCTION("IMPORTRANGE(""https://docs.google.com/spreadsheets/d/""&amp;$A389&amp;""/edit#gid=156619080"",M$3)"),"#REF!")</f>
        <v>#REF!</v>
      </c>
      <c r="N389" s="2" t="str">
        <f>IFERROR(__xludf.DUMMYFUNCTION("IMPORTRANGE(""https://docs.google.com/spreadsheets/d/""&amp;$A389&amp;""/edit#gid=156619080"",N$3)"),"#REF!")</f>
        <v>#REF!</v>
      </c>
      <c r="O389" s="2" t="str">
        <f>IFERROR(__xludf.DUMMYFUNCTION("IMPORTRANGE(""https://docs.google.com/spreadsheets/d/""&amp;$A389&amp;""/edit#gid=156619080"",O$3)"),"#REF!")</f>
        <v>#REF!</v>
      </c>
      <c r="P389" s="2" t="str">
        <f>IFERROR(__xludf.DUMMYFUNCTION("IMPORTRANGE(""https://docs.google.com/spreadsheets/d/""&amp;$A389&amp;""/edit#gid=156619080"",P$3)"),"#REF!")</f>
        <v>#REF!</v>
      </c>
      <c r="Q389" s="2" t="str">
        <f>IFERROR(__xludf.DUMMYFUNCTION("IMPORTRANGE(""https://docs.google.com/spreadsheets/d/""&amp;$A389&amp;""/edit#gid=156619080"",Q$3)"),"#REF!")</f>
        <v>#REF!</v>
      </c>
      <c r="R389" s="2" t="str">
        <f>IFERROR(__xludf.DUMMYFUNCTION("IMPORTRANGE(""https://docs.google.com/spreadsheets/d/""&amp;$A389&amp;""/edit#gid=156619080"",R$3)"),"#REF!")</f>
        <v>#REF!</v>
      </c>
      <c r="S389" s="2" t="str">
        <f>IFERROR(__xludf.DUMMYFUNCTION("IMPORTRANGE(""https://docs.google.com/spreadsheets/d/""&amp;$A389&amp;""/edit#gid=156619080"",S$3)"),"#REF!")</f>
        <v>#REF!</v>
      </c>
      <c r="T389" s="2" t="str">
        <f>IFERROR(__xludf.DUMMYFUNCTION("IMPORTRANGE(""https://docs.google.com/spreadsheets/d/""&amp;$A389&amp;""/edit#gid=156619080"",T$3)"),"#REF!")</f>
        <v>#REF!</v>
      </c>
      <c r="U389" s="2" t="str">
        <f>IFERROR(__xludf.DUMMYFUNCTION("IMPORTRANGE(""https://docs.google.com/spreadsheets/d/""&amp;$A389&amp;""/edit#gid=156619080"",U$3)"),"#REF!")</f>
        <v>#REF!</v>
      </c>
      <c r="V389" s="2" t="str">
        <f>IFERROR(__xludf.DUMMYFUNCTION("IMPORTRANGE(""https://docs.google.com/spreadsheets/d/""&amp;$A389&amp;""/edit#gid=156619080"",V$3)"),"#REF!")</f>
        <v>#REF!</v>
      </c>
      <c r="W389" s="2" t="str">
        <f>IFERROR(__xludf.DUMMYFUNCTION("IMPORTRANGE(""https://docs.google.com/spreadsheets/d/""&amp;$A389&amp;""/edit#gid=156619080"",W$3)"),"#REF!")</f>
        <v>#REF!</v>
      </c>
      <c r="X389" s="2" t="str">
        <f>IFERROR(__xludf.DUMMYFUNCTION("IMPORTRANGE(""https://docs.google.com/spreadsheets/d/""&amp;$A389&amp;""/edit#gid=156619080"",X$3)"),"#REF!")</f>
        <v>#REF!</v>
      </c>
      <c r="Y389" s="2" t="str">
        <f>IFERROR(__xludf.DUMMYFUNCTION("IMPORTRANGE(""https://docs.google.com/spreadsheets/d/""&amp;$A389&amp;""/edit#gid=156619080"",Y$3)"),"#REF!")</f>
        <v>#REF!</v>
      </c>
      <c r="Z389" s="2" t="str">
        <f>IFERROR(__xludf.DUMMYFUNCTION("IMPORTRANGE(""https://docs.google.com/spreadsheets/d/""&amp;$A389&amp;""/edit#gid=156619080"",Z$3)"),"#REF!")</f>
        <v>#REF!</v>
      </c>
      <c r="AA389" s="2" t="str">
        <f>IFERROR(__xludf.DUMMYFUNCTION("IMPORTRANGE(""https://docs.google.com/spreadsheets/d/""&amp;$A389&amp;""/edit#gid=156619080"",AA$3)"),"#REF!")</f>
        <v>#REF!</v>
      </c>
      <c r="AB389" s="2" t="str">
        <f>IFERROR(__xludf.DUMMYFUNCTION("IMPORTRANGE(""https://docs.google.com/spreadsheets/d/""&amp;$A389&amp;""/edit#gid=156619080"",AB$3)"),"#REF!")</f>
        <v>#REF!</v>
      </c>
      <c r="AC389" s="2" t="str">
        <f>IFERROR(__xludf.DUMMYFUNCTION("IMPORTRANGE(""https://docs.google.com/spreadsheets/d/""&amp;$A389&amp;""/edit#gid=156619080"",AC$3)"),"#REF!")</f>
        <v>#REF!</v>
      </c>
      <c r="AD389" s="2" t="str">
        <f>IFERROR(__xludf.DUMMYFUNCTION("IMPORTRANGE(""https://docs.google.com/spreadsheets/d/""&amp;$A389&amp;""/edit#gid=156619080"",AD$3)"),"#REF!")</f>
        <v>#REF!</v>
      </c>
      <c r="AE389" s="2" t="str">
        <f>IFERROR(__xludf.DUMMYFUNCTION("IMPORTRANGE(""https://docs.google.com/spreadsheets/d/""&amp;$A389&amp;""/edit#gid=156619080"",AE$3)"),"#REF!")</f>
        <v>#REF!</v>
      </c>
      <c r="AF389" s="2" t="str">
        <f>IFERROR(__xludf.DUMMYFUNCTION("IMPORTRANGE(""https://docs.google.com/spreadsheets/d/""&amp;$A389&amp;""/edit#gid=156619080"",AF$3)"),"#REF!")</f>
        <v>#REF!</v>
      </c>
      <c r="AG389" s="2" t="str">
        <f>IFERROR(__xludf.DUMMYFUNCTION("IMPORTRANGE(""https://docs.google.com/spreadsheets/d/""&amp;$A389&amp;""/edit#gid=156619080"",AG$3)"),"#REF!")</f>
        <v>#REF!</v>
      </c>
      <c r="AH389" s="2" t="str">
        <f>IFERROR(__xludf.DUMMYFUNCTION("IMPORTRANGE(""https://docs.google.com/spreadsheets/d/""&amp;$A389&amp;""/edit#gid=156619080"",AH$3)"),"#REF!")</f>
        <v>#REF!</v>
      </c>
      <c r="AI389" s="2" t="str">
        <f>IFERROR(__xludf.DUMMYFUNCTION("IMPORTRANGE(""https://docs.google.com/spreadsheets/d/""&amp;$A389&amp;""/edit#gid=156619080"",AI$3)"),"#REF!")</f>
        <v>#REF!</v>
      </c>
      <c r="AJ389" s="2" t="str">
        <f>IFERROR(__xludf.DUMMYFUNCTION("IMPORTRANGE(""https://docs.google.com/spreadsheets/d/""&amp;$A389&amp;""/edit#gid=156619080"",AJ$3)"),"#REF!")</f>
        <v>#REF!</v>
      </c>
      <c r="AK389" s="2" t="str">
        <f>IFERROR(__xludf.DUMMYFUNCTION("IMPORTRANGE(""https://docs.google.com/spreadsheets/d/""&amp;$A389&amp;""/edit#gid=156619080"",AK$3)"),"#REF!")</f>
        <v>#REF!</v>
      </c>
      <c r="AL389" s="2" t="str">
        <f>IFERROR(__xludf.DUMMYFUNCTION("IMPORTRANGE(""https://docs.google.com/spreadsheets/d/""&amp;$A389&amp;""/edit#gid=156619080"",AL$3)"),"#REF!")</f>
        <v>#REF!</v>
      </c>
      <c r="AM389" s="2" t="str">
        <f>IFERROR(__xludf.DUMMYFUNCTION("IMPORTRANGE(""https://docs.google.com/spreadsheets/d/""&amp;$A389&amp;""/edit#gid=156619080"",AM$3)"),"#REF!")</f>
        <v>#REF!</v>
      </c>
      <c r="AN389" s="2" t="str">
        <f>IFERROR(__xludf.DUMMYFUNCTION("IMPORTRANGE(""https://docs.google.com/spreadsheets/d/""&amp;$A389&amp;""/edit#gid=156619080"",AN$3)"),"#REF!")</f>
        <v>#REF!</v>
      </c>
      <c r="AO389" s="2" t="str">
        <f>IFERROR(__xludf.DUMMYFUNCTION("IMPORTRANGE(""https://docs.google.com/spreadsheets/d/""&amp;$A389&amp;""/edit#gid=156619080"",AO$3)"),"#REF!")</f>
        <v>#REF!</v>
      </c>
      <c r="AP389" s="2" t="str">
        <f>IFERROR(__xludf.DUMMYFUNCTION("IMPORTRANGE(""https://docs.google.com/spreadsheets/d/""&amp;$A389&amp;""/edit#gid=156619080"",AP$3)"),"#REF!")</f>
        <v>#REF!</v>
      </c>
      <c r="AQ389" s="2" t="str">
        <f>IFERROR(__xludf.DUMMYFUNCTION("IMPORTRANGE(""https://docs.google.com/spreadsheets/d/""&amp;$A389&amp;""/edit#gid=156619080"",AQ$3)"),"#REF!")</f>
        <v>#REF!</v>
      </c>
      <c r="AR389" s="2" t="str">
        <f>IFERROR(__xludf.DUMMYFUNCTION("IMPORTRANGE(""https://docs.google.com/spreadsheets/d/""&amp;$A389&amp;""/edit#gid=156619080"",AR$3)"),"#REF!")</f>
        <v>#REF!</v>
      </c>
      <c r="AS389" s="19" t="str">
        <f>IFERROR(__xludf.DUMMYFUNCTION("IMPORTRANGE(""https://docs.google.com/spreadsheets/d/""&amp;$A389&amp;""/edit#gid=156619080"",AS$3)"),"#REF!")</f>
        <v>#REF!</v>
      </c>
      <c r="AT389" s="2" t="str">
        <f>IFERROR(__xludf.DUMMYFUNCTION("IMPORTRANGE(""https://docs.google.com/spreadsheets/d/""&amp;$A389&amp;""/edit#gid=156619080"",AT$3)"),"#REF!")</f>
        <v>#REF!</v>
      </c>
      <c r="AU389" s="3" t="str">
        <f>IFERROR(__xludf.DUMMYFUNCTION("IMPORTRANGE(""https://docs.google.com/spreadsheets/d/""&amp;$A389&amp;""/edit#gid=156619080"",AU$3)"),"#REF!")</f>
        <v>#REF!</v>
      </c>
      <c r="AV389" s="2" t="str">
        <f>IFERROR(__xludf.DUMMYFUNCTION("IMPORTRANGE(""https://docs.google.com/spreadsheets/d/""&amp;$A389&amp;""/edit#gid=156619080"",AV$3)"),"#REF!")</f>
        <v>#REF!</v>
      </c>
      <c r="AW389" s="19" t="str">
        <f>IFERROR(__xludf.DUMMYFUNCTION("IMPORTRANGE(""https://docs.google.com/spreadsheets/d/""&amp;$A389&amp;""/edit#gid=156619080"",AW$3)"),"#REF!")</f>
        <v>#REF!</v>
      </c>
      <c r="AX389" s="2" t="str">
        <f>IFERROR(__xludf.DUMMYFUNCTION("IMPORTRANGE(""https://docs.google.com/spreadsheets/d/""&amp;$A389&amp;""/edit#gid=156619080"",AX$3)"),"#REF!")</f>
        <v>#REF!</v>
      </c>
      <c r="AY389" s="2" t="str">
        <f>IFERROR(__xludf.DUMMYFUNCTION("IMPORTRANGE(""https://docs.google.com/spreadsheets/d/""&amp;$A389&amp;""/edit#gid=156619080"",AY$3)"),"#REF!")</f>
        <v>#REF!</v>
      </c>
      <c r="AZ389" s="2" t="str">
        <f>IFERROR(__xludf.DUMMYFUNCTION("IMPORTRANGE(""https://docs.google.com/spreadsheets/d/""&amp;$A389&amp;""/edit#gid=156619080"",AZ$3)"),"#REF!")</f>
        <v>#REF!</v>
      </c>
      <c r="BA389" s="2" t="str">
        <f>IFERROR(__xludf.DUMMYFUNCTION("IMPORTRANGE(""https://docs.google.com/spreadsheets/d/""&amp;$A389&amp;""/edit#gid=156619080"",BA$3)"),"#REF!")</f>
        <v>#REF!</v>
      </c>
      <c r="BB389" s="2" t="str">
        <f>IFERROR(__xludf.DUMMYFUNCTION("IMPORTRANGE(""https://docs.google.com/spreadsheets/d/""&amp;$A389&amp;""/edit#gid=156619080"",BB$3)"),"#REF!")</f>
        <v>#REF!</v>
      </c>
      <c r="BC389" s="2" t="str">
        <f>IFERROR(__xludf.DUMMYFUNCTION("IMPORTRANGE(""https://docs.google.com/spreadsheets/d/""&amp;$A389&amp;""/edit#gid=156619080"",BC$3)"),"#REF!")</f>
        <v>#REF!</v>
      </c>
    </row>
    <row r="390" ht="51.0" customHeight="1">
      <c r="A390" s="7" t="str">
        <f t="shared" si="5"/>
        <v>1Ga7Z-wHip1VzqZXiykjQR3uexnXR0rz2f4gAtjuKsY0</v>
      </c>
      <c r="B390" s="1" t="s">
        <v>417</v>
      </c>
      <c r="C390" s="2" t="str">
        <f>IFERROR(__xludf.DUMMYFUNCTION("IMPORTRANGE(""https://docs.google.com/spreadsheets/d/""&amp;$A390&amp;""/edit#gid=156619080"",C$3)"),"#REF!")</f>
        <v>#REF!</v>
      </c>
      <c r="D390" s="2" t="str">
        <f>IFERROR(__xludf.DUMMYFUNCTION("IMPORTRANGE(""https://docs.google.com/spreadsheets/d/""&amp;$A390&amp;""/edit#gid=156619080"",D$3)"),"#REF!")</f>
        <v>#REF!</v>
      </c>
      <c r="E390" s="2" t="str">
        <f>IFERROR(__xludf.DUMMYFUNCTION("IMPORTRANGE(""https://docs.google.com/spreadsheets/d/""&amp;$A390&amp;""/edit#gid=156619080"",E$3)"),"#REF!")</f>
        <v>#REF!</v>
      </c>
      <c r="F390" s="2" t="str">
        <f>IFERROR(__xludf.DUMMYFUNCTION("IMPORTRANGE(""https://docs.google.com/spreadsheets/d/""&amp;$A390&amp;""/edit#gid=156619080"",F$3)"),"#REF!")</f>
        <v>#REF!</v>
      </c>
      <c r="G390" s="2" t="str">
        <f>IFERROR(__xludf.DUMMYFUNCTION("IMPORTRANGE(""https://docs.google.com/spreadsheets/d/""&amp;$A390&amp;""/edit#gid=156619080"",G$3)"),"#REF!")</f>
        <v>#REF!</v>
      </c>
      <c r="H390" s="2" t="str">
        <f>IFERROR(__xludf.DUMMYFUNCTION("IMPORTRANGE(""https://docs.google.com/spreadsheets/d/""&amp;$A390&amp;""/edit#gid=156619080"",H$3)"),"#REF!")</f>
        <v>#REF!</v>
      </c>
      <c r="I390" s="2" t="str">
        <f>IFERROR(__xludf.DUMMYFUNCTION("IMPORTRANGE(""https://docs.google.com/spreadsheets/d/""&amp;$A390&amp;""/edit#gid=156619080"",I$3)"),"#REF!")</f>
        <v>#REF!</v>
      </c>
      <c r="J390" s="2" t="str">
        <f>IFERROR(__xludf.DUMMYFUNCTION("IMPORTRANGE(""https://docs.google.com/spreadsheets/d/""&amp;$A390&amp;""/edit#gid=156619080"",J$3)"),"#REF!")</f>
        <v>#REF!</v>
      </c>
      <c r="K390" s="2" t="str">
        <f>IFERROR(__xludf.DUMMYFUNCTION("IMPORTRANGE(""https://docs.google.com/spreadsheets/d/""&amp;$A390&amp;""/edit#gid=156619080"",K$3)"),"#REF!")</f>
        <v>#REF!</v>
      </c>
      <c r="L390" s="2" t="str">
        <f>IFERROR(__xludf.DUMMYFUNCTION("IMPORTRANGE(""https://docs.google.com/spreadsheets/d/""&amp;$A390&amp;""/edit#gid=156619080"",L$3)"),"#REF!")</f>
        <v>#REF!</v>
      </c>
      <c r="M390" s="2" t="str">
        <f>IFERROR(__xludf.DUMMYFUNCTION("IMPORTRANGE(""https://docs.google.com/spreadsheets/d/""&amp;$A390&amp;""/edit#gid=156619080"",M$3)"),"#REF!")</f>
        <v>#REF!</v>
      </c>
      <c r="N390" s="2" t="str">
        <f>IFERROR(__xludf.DUMMYFUNCTION("IMPORTRANGE(""https://docs.google.com/spreadsheets/d/""&amp;$A390&amp;""/edit#gid=156619080"",N$3)"),"#REF!")</f>
        <v>#REF!</v>
      </c>
      <c r="O390" s="2" t="str">
        <f>IFERROR(__xludf.DUMMYFUNCTION("IMPORTRANGE(""https://docs.google.com/spreadsheets/d/""&amp;$A390&amp;""/edit#gid=156619080"",O$3)"),"#REF!")</f>
        <v>#REF!</v>
      </c>
      <c r="P390" s="2" t="str">
        <f>IFERROR(__xludf.DUMMYFUNCTION("IMPORTRANGE(""https://docs.google.com/spreadsheets/d/""&amp;$A390&amp;""/edit#gid=156619080"",P$3)"),"#REF!")</f>
        <v>#REF!</v>
      </c>
      <c r="Q390" s="2" t="str">
        <f>IFERROR(__xludf.DUMMYFUNCTION("IMPORTRANGE(""https://docs.google.com/spreadsheets/d/""&amp;$A390&amp;""/edit#gid=156619080"",Q$3)"),"#REF!")</f>
        <v>#REF!</v>
      </c>
      <c r="R390" s="2" t="str">
        <f>IFERROR(__xludf.DUMMYFUNCTION("IMPORTRANGE(""https://docs.google.com/spreadsheets/d/""&amp;$A390&amp;""/edit#gid=156619080"",R$3)"),"#REF!")</f>
        <v>#REF!</v>
      </c>
      <c r="S390" s="2" t="str">
        <f>IFERROR(__xludf.DUMMYFUNCTION("IMPORTRANGE(""https://docs.google.com/spreadsheets/d/""&amp;$A390&amp;""/edit#gid=156619080"",S$3)"),"#REF!")</f>
        <v>#REF!</v>
      </c>
      <c r="T390" s="2" t="str">
        <f>IFERROR(__xludf.DUMMYFUNCTION("IMPORTRANGE(""https://docs.google.com/spreadsheets/d/""&amp;$A390&amp;""/edit#gid=156619080"",T$3)"),"#REF!")</f>
        <v>#REF!</v>
      </c>
      <c r="U390" s="2" t="str">
        <f>IFERROR(__xludf.DUMMYFUNCTION("IMPORTRANGE(""https://docs.google.com/spreadsheets/d/""&amp;$A390&amp;""/edit#gid=156619080"",U$3)"),"#REF!")</f>
        <v>#REF!</v>
      </c>
      <c r="V390" s="2" t="str">
        <f>IFERROR(__xludf.DUMMYFUNCTION("IMPORTRANGE(""https://docs.google.com/spreadsheets/d/""&amp;$A390&amp;""/edit#gid=156619080"",V$3)"),"#REF!")</f>
        <v>#REF!</v>
      </c>
      <c r="W390" s="2" t="str">
        <f>IFERROR(__xludf.DUMMYFUNCTION("IMPORTRANGE(""https://docs.google.com/spreadsheets/d/""&amp;$A390&amp;""/edit#gid=156619080"",W$3)"),"#REF!")</f>
        <v>#REF!</v>
      </c>
      <c r="X390" s="2" t="str">
        <f>IFERROR(__xludf.DUMMYFUNCTION("IMPORTRANGE(""https://docs.google.com/spreadsheets/d/""&amp;$A390&amp;""/edit#gid=156619080"",X$3)"),"#REF!")</f>
        <v>#REF!</v>
      </c>
      <c r="Y390" s="2" t="str">
        <f>IFERROR(__xludf.DUMMYFUNCTION("IMPORTRANGE(""https://docs.google.com/spreadsheets/d/""&amp;$A390&amp;""/edit#gid=156619080"",Y$3)"),"#REF!")</f>
        <v>#REF!</v>
      </c>
      <c r="Z390" s="2" t="str">
        <f>IFERROR(__xludf.DUMMYFUNCTION("IMPORTRANGE(""https://docs.google.com/spreadsheets/d/""&amp;$A390&amp;""/edit#gid=156619080"",Z$3)"),"#REF!")</f>
        <v>#REF!</v>
      </c>
      <c r="AA390" s="2" t="str">
        <f>IFERROR(__xludf.DUMMYFUNCTION("IMPORTRANGE(""https://docs.google.com/spreadsheets/d/""&amp;$A390&amp;""/edit#gid=156619080"",AA$3)"),"#REF!")</f>
        <v>#REF!</v>
      </c>
      <c r="AB390" s="2" t="str">
        <f>IFERROR(__xludf.DUMMYFUNCTION("IMPORTRANGE(""https://docs.google.com/spreadsheets/d/""&amp;$A390&amp;""/edit#gid=156619080"",AB$3)"),"#REF!")</f>
        <v>#REF!</v>
      </c>
      <c r="AC390" s="2" t="str">
        <f>IFERROR(__xludf.DUMMYFUNCTION("IMPORTRANGE(""https://docs.google.com/spreadsheets/d/""&amp;$A390&amp;""/edit#gid=156619080"",AC$3)"),"#REF!")</f>
        <v>#REF!</v>
      </c>
      <c r="AD390" s="2" t="str">
        <f>IFERROR(__xludf.DUMMYFUNCTION("IMPORTRANGE(""https://docs.google.com/spreadsheets/d/""&amp;$A390&amp;""/edit#gid=156619080"",AD$3)"),"#REF!")</f>
        <v>#REF!</v>
      </c>
      <c r="AE390" s="2" t="str">
        <f>IFERROR(__xludf.DUMMYFUNCTION("IMPORTRANGE(""https://docs.google.com/spreadsheets/d/""&amp;$A390&amp;""/edit#gid=156619080"",AE$3)"),"#REF!")</f>
        <v>#REF!</v>
      </c>
      <c r="AF390" s="2" t="str">
        <f>IFERROR(__xludf.DUMMYFUNCTION("IMPORTRANGE(""https://docs.google.com/spreadsheets/d/""&amp;$A390&amp;""/edit#gid=156619080"",AF$3)"),"#REF!")</f>
        <v>#REF!</v>
      </c>
      <c r="AG390" s="2" t="str">
        <f>IFERROR(__xludf.DUMMYFUNCTION("IMPORTRANGE(""https://docs.google.com/spreadsheets/d/""&amp;$A390&amp;""/edit#gid=156619080"",AG$3)"),"#REF!")</f>
        <v>#REF!</v>
      </c>
      <c r="AH390" s="2" t="str">
        <f>IFERROR(__xludf.DUMMYFUNCTION("IMPORTRANGE(""https://docs.google.com/spreadsheets/d/""&amp;$A390&amp;""/edit#gid=156619080"",AH$3)"),"#REF!")</f>
        <v>#REF!</v>
      </c>
      <c r="AI390" s="2" t="str">
        <f>IFERROR(__xludf.DUMMYFUNCTION("IMPORTRANGE(""https://docs.google.com/spreadsheets/d/""&amp;$A390&amp;""/edit#gid=156619080"",AI$3)"),"#REF!")</f>
        <v>#REF!</v>
      </c>
      <c r="AJ390" s="2" t="str">
        <f>IFERROR(__xludf.DUMMYFUNCTION("IMPORTRANGE(""https://docs.google.com/spreadsheets/d/""&amp;$A390&amp;""/edit#gid=156619080"",AJ$3)"),"#REF!")</f>
        <v>#REF!</v>
      </c>
      <c r="AK390" s="2" t="str">
        <f>IFERROR(__xludf.DUMMYFUNCTION("IMPORTRANGE(""https://docs.google.com/spreadsheets/d/""&amp;$A390&amp;""/edit#gid=156619080"",AK$3)"),"#REF!")</f>
        <v>#REF!</v>
      </c>
      <c r="AL390" s="2" t="str">
        <f>IFERROR(__xludf.DUMMYFUNCTION("IMPORTRANGE(""https://docs.google.com/spreadsheets/d/""&amp;$A390&amp;""/edit#gid=156619080"",AL$3)"),"#REF!")</f>
        <v>#REF!</v>
      </c>
      <c r="AM390" s="2" t="str">
        <f>IFERROR(__xludf.DUMMYFUNCTION("IMPORTRANGE(""https://docs.google.com/spreadsheets/d/""&amp;$A390&amp;""/edit#gid=156619080"",AM$3)"),"#REF!")</f>
        <v>#REF!</v>
      </c>
      <c r="AN390" s="2" t="str">
        <f>IFERROR(__xludf.DUMMYFUNCTION("IMPORTRANGE(""https://docs.google.com/spreadsheets/d/""&amp;$A390&amp;""/edit#gid=156619080"",AN$3)"),"#REF!")</f>
        <v>#REF!</v>
      </c>
      <c r="AO390" s="2" t="str">
        <f>IFERROR(__xludf.DUMMYFUNCTION("IMPORTRANGE(""https://docs.google.com/spreadsheets/d/""&amp;$A390&amp;""/edit#gid=156619080"",AO$3)"),"#REF!")</f>
        <v>#REF!</v>
      </c>
      <c r="AP390" s="2" t="str">
        <f>IFERROR(__xludf.DUMMYFUNCTION("IMPORTRANGE(""https://docs.google.com/spreadsheets/d/""&amp;$A390&amp;""/edit#gid=156619080"",AP$3)"),"#REF!")</f>
        <v>#REF!</v>
      </c>
      <c r="AQ390" s="2" t="str">
        <f>IFERROR(__xludf.DUMMYFUNCTION("IMPORTRANGE(""https://docs.google.com/spreadsheets/d/""&amp;$A390&amp;""/edit#gid=156619080"",AQ$3)"),"#REF!")</f>
        <v>#REF!</v>
      </c>
      <c r="AR390" s="2" t="str">
        <f>IFERROR(__xludf.DUMMYFUNCTION("IMPORTRANGE(""https://docs.google.com/spreadsheets/d/""&amp;$A390&amp;""/edit#gid=156619080"",AR$3)"),"#REF!")</f>
        <v>#REF!</v>
      </c>
      <c r="AS390" s="19" t="str">
        <f>IFERROR(__xludf.DUMMYFUNCTION("IMPORTRANGE(""https://docs.google.com/spreadsheets/d/""&amp;$A390&amp;""/edit#gid=156619080"",AS$3)"),"#REF!")</f>
        <v>#REF!</v>
      </c>
      <c r="AT390" s="2" t="str">
        <f>IFERROR(__xludf.DUMMYFUNCTION("IMPORTRANGE(""https://docs.google.com/spreadsheets/d/""&amp;$A390&amp;""/edit#gid=156619080"",AT$3)"),"#REF!")</f>
        <v>#REF!</v>
      </c>
      <c r="AU390" s="3" t="str">
        <f>IFERROR(__xludf.DUMMYFUNCTION("IMPORTRANGE(""https://docs.google.com/spreadsheets/d/""&amp;$A390&amp;""/edit#gid=156619080"",AU$3)"),"#REF!")</f>
        <v>#REF!</v>
      </c>
      <c r="AV390" s="2" t="str">
        <f>IFERROR(__xludf.DUMMYFUNCTION("IMPORTRANGE(""https://docs.google.com/spreadsheets/d/""&amp;$A390&amp;""/edit#gid=156619080"",AV$3)"),"#REF!")</f>
        <v>#REF!</v>
      </c>
      <c r="AW390" s="19" t="str">
        <f>IFERROR(__xludf.DUMMYFUNCTION("IMPORTRANGE(""https://docs.google.com/spreadsheets/d/""&amp;$A390&amp;""/edit#gid=156619080"",AW$3)"),"#REF!")</f>
        <v>#REF!</v>
      </c>
      <c r="AX390" s="2" t="str">
        <f>IFERROR(__xludf.DUMMYFUNCTION("IMPORTRANGE(""https://docs.google.com/spreadsheets/d/""&amp;$A390&amp;""/edit#gid=156619080"",AX$3)"),"#REF!")</f>
        <v>#REF!</v>
      </c>
      <c r="AY390" s="2" t="str">
        <f>IFERROR(__xludf.DUMMYFUNCTION("IMPORTRANGE(""https://docs.google.com/spreadsheets/d/""&amp;$A390&amp;""/edit#gid=156619080"",AY$3)"),"#REF!")</f>
        <v>#REF!</v>
      </c>
      <c r="AZ390" s="2" t="str">
        <f>IFERROR(__xludf.DUMMYFUNCTION("IMPORTRANGE(""https://docs.google.com/spreadsheets/d/""&amp;$A390&amp;""/edit#gid=156619080"",AZ$3)"),"#REF!")</f>
        <v>#REF!</v>
      </c>
      <c r="BA390" s="2" t="str">
        <f>IFERROR(__xludf.DUMMYFUNCTION("IMPORTRANGE(""https://docs.google.com/spreadsheets/d/""&amp;$A390&amp;""/edit#gid=156619080"",BA$3)"),"#REF!")</f>
        <v>#REF!</v>
      </c>
      <c r="BB390" s="2" t="str">
        <f>IFERROR(__xludf.DUMMYFUNCTION("IMPORTRANGE(""https://docs.google.com/spreadsheets/d/""&amp;$A390&amp;""/edit#gid=156619080"",BB$3)"),"#REF!")</f>
        <v>#REF!</v>
      </c>
      <c r="BC390" s="2" t="str">
        <f>IFERROR(__xludf.DUMMYFUNCTION("IMPORTRANGE(""https://docs.google.com/spreadsheets/d/""&amp;$A390&amp;""/edit#gid=156619080"",BC$3)"),"#REF!")</f>
        <v>#REF!</v>
      </c>
    </row>
    <row r="391" ht="51.0" customHeight="1">
      <c r="A391" s="7" t="str">
        <f t="shared" si="5"/>
        <v>1oOE0iNPOvHJZGBS9v6v9mBo8c9cn-ppfu-MZ-QW8FHk</v>
      </c>
      <c r="B391" s="1" t="s">
        <v>418</v>
      </c>
      <c r="C391" s="2" t="str">
        <f>IFERROR(__xludf.DUMMYFUNCTION("IMPORTRANGE(""https://docs.google.com/spreadsheets/d/""&amp;$A391&amp;""/edit#gid=156619080"",C$3)"),"#REF!")</f>
        <v>#REF!</v>
      </c>
      <c r="D391" s="2" t="str">
        <f>IFERROR(__xludf.DUMMYFUNCTION("IMPORTRANGE(""https://docs.google.com/spreadsheets/d/""&amp;$A391&amp;""/edit#gid=156619080"",D$3)"),"#REF!")</f>
        <v>#REF!</v>
      </c>
      <c r="E391" s="2" t="str">
        <f>IFERROR(__xludf.DUMMYFUNCTION("IMPORTRANGE(""https://docs.google.com/spreadsheets/d/""&amp;$A391&amp;""/edit#gid=156619080"",E$3)"),"#REF!")</f>
        <v>#REF!</v>
      </c>
      <c r="F391" s="2" t="str">
        <f>IFERROR(__xludf.DUMMYFUNCTION("IMPORTRANGE(""https://docs.google.com/spreadsheets/d/""&amp;$A391&amp;""/edit#gid=156619080"",F$3)"),"#REF!")</f>
        <v>#REF!</v>
      </c>
      <c r="G391" s="2" t="str">
        <f>IFERROR(__xludf.DUMMYFUNCTION("IMPORTRANGE(""https://docs.google.com/spreadsheets/d/""&amp;$A391&amp;""/edit#gid=156619080"",G$3)"),"#REF!")</f>
        <v>#REF!</v>
      </c>
      <c r="H391" s="2" t="str">
        <f>IFERROR(__xludf.DUMMYFUNCTION("IMPORTRANGE(""https://docs.google.com/spreadsheets/d/""&amp;$A391&amp;""/edit#gid=156619080"",H$3)"),"#REF!")</f>
        <v>#REF!</v>
      </c>
      <c r="I391" s="2" t="str">
        <f>IFERROR(__xludf.DUMMYFUNCTION("IMPORTRANGE(""https://docs.google.com/spreadsheets/d/""&amp;$A391&amp;""/edit#gid=156619080"",I$3)"),"#REF!")</f>
        <v>#REF!</v>
      </c>
      <c r="J391" s="2" t="str">
        <f>IFERROR(__xludf.DUMMYFUNCTION("IMPORTRANGE(""https://docs.google.com/spreadsheets/d/""&amp;$A391&amp;""/edit#gid=156619080"",J$3)"),"#REF!")</f>
        <v>#REF!</v>
      </c>
      <c r="K391" s="2" t="str">
        <f>IFERROR(__xludf.DUMMYFUNCTION("IMPORTRANGE(""https://docs.google.com/spreadsheets/d/""&amp;$A391&amp;""/edit#gid=156619080"",K$3)"),"#REF!")</f>
        <v>#REF!</v>
      </c>
      <c r="L391" s="2" t="str">
        <f>IFERROR(__xludf.DUMMYFUNCTION("IMPORTRANGE(""https://docs.google.com/spreadsheets/d/""&amp;$A391&amp;""/edit#gid=156619080"",L$3)"),"#REF!")</f>
        <v>#REF!</v>
      </c>
      <c r="M391" s="2" t="str">
        <f>IFERROR(__xludf.DUMMYFUNCTION("IMPORTRANGE(""https://docs.google.com/spreadsheets/d/""&amp;$A391&amp;""/edit#gid=156619080"",M$3)"),"#REF!")</f>
        <v>#REF!</v>
      </c>
      <c r="N391" s="2" t="str">
        <f>IFERROR(__xludf.DUMMYFUNCTION("IMPORTRANGE(""https://docs.google.com/spreadsheets/d/""&amp;$A391&amp;""/edit#gid=156619080"",N$3)"),"#REF!")</f>
        <v>#REF!</v>
      </c>
      <c r="O391" s="2" t="str">
        <f>IFERROR(__xludf.DUMMYFUNCTION("IMPORTRANGE(""https://docs.google.com/spreadsheets/d/""&amp;$A391&amp;""/edit#gid=156619080"",O$3)"),"#REF!")</f>
        <v>#REF!</v>
      </c>
      <c r="P391" s="2" t="str">
        <f>IFERROR(__xludf.DUMMYFUNCTION("IMPORTRANGE(""https://docs.google.com/spreadsheets/d/""&amp;$A391&amp;""/edit#gid=156619080"",P$3)"),"#REF!")</f>
        <v>#REF!</v>
      </c>
      <c r="Q391" s="2" t="str">
        <f>IFERROR(__xludf.DUMMYFUNCTION("IMPORTRANGE(""https://docs.google.com/spreadsheets/d/""&amp;$A391&amp;""/edit#gid=156619080"",Q$3)"),"#REF!")</f>
        <v>#REF!</v>
      </c>
      <c r="R391" s="2" t="str">
        <f>IFERROR(__xludf.DUMMYFUNCTION("IMPORTRANGE(""https://docs.google.com/spreadsheets/d/""&amp;$A391&amp;""/edit#gid=156619080"",R$3)"),"#REF!")</f>
        <v>#REF!</v>
      </c>
      <c r="S391" s="2" t="str">
        <f>IFERROR(__xludf.DUMMYFUNCTION("IMPORTRANGE(""https://docs.google.com/spreadsheets/d/""&amp;$A391&amp;""/edit#gid=156619080"",S$3)"),"#REF!")</f>
        <v>#REF!</v>
      </c>
      <c r="T391" s="2" t="str">
        <f>IFERROR(__xludf.DUMMYFUNCTION("IMPORTRANGE(""https://docs.google.com/spreadsheets/d/""&amp;$A391&amp;""/edit#gid=156619080"",T$3)"),"#REF!")</f>
        <v>#REF!</v>
      </c>
      <c r="U391" s="2" t="str">
        <f>IFERROR(__xludf.DUMMYFUNCTION("IMPORTRANGE(""https://docs.google.com/spreadsheets/d/""&amp;$A391&amp;""/edit#gid=156619080"",U$3)"),"#REF!")</f>
        <v>#REF!</v>
      </c>
      <c r="V391" s="2" t="str">
        <f>IFERROR(__xludf.DUMMYFUNCTION("IMPORTRANGE(""https://docs.google.com/spreadsheets/d/""&amp;$A391&amp;""/edit#gid=156619080"",V$3)"),"#REF!")</f>
        <v>#REF!</v>
      </c>
      <c r="W391" s="2" t="str">
        <f>IFERROR(__xludf.DUMMYFUNCTION("IMPORTRANGE(""https://docs.google.com/spreadsheets/d/""&amp;$A391&amp;""/edit#gid=156619080"",W$3)"),"#REF!")</f>
        <v>#REF!</v>
      </c>
      <c r="X391" s="2" t="str">
        <f>IFERROR(__xludf.DUMMYFUNCTION("IMPORTRANGE(""https://docs.google.com/spreadsheets/d/""&amp;$A391&amp;""/edit#gid=156619080"",X$3)"),"#REF!")</f>
        <v>#REF!</v>
      </c>
      <c r="Y391" s="2" t="str">
        <f>IFERROR(__xludf.DUMMYFUNCTION("IMPORTRANGE(""https://docs.google.com/spreadsheets/d/""&amp;$A391&amp;""/edit#gid=156619080"",Y$3)"),"#REF!")</f>
        <v>#REF!</v>
      </c>
      <c r="Z391" s="2" t="str">
        <f>IFERROR(__xludf.DUMMYFUNCTION("IMPORTRANGE(""https://docs.google.com/spreadsheets/d/""&amp;$A391&amp;""/edit#gid=156619080"",Z$3)"),"#REF!")</f>
        <v>#REF!</v>
      </c>
      <c r="AA391" s="2" t="str">
        <f>IFERROR(__xludf.DUMMYFUNCTION("IMPORTRANGE(""https://docs.google.com/spreadsheets/d/""&amp;$A391&amp;""/edit#gid=156619080"",AA$3)"),"#REF!")</f>
        <v>#REF!</v>
      </c>
      <c r="AB391" s="2" t="str">
        <f>IFERROR(__xludf.DUMMYFUNCTION("IMPORTRANGE(""https://docs.google.com/spreadsheets/d/""&amp;$A391&amp;""/edit#gid=156619080"",AB$3)"),"#REF!")</f>
        <v>#REF!</v>
      </c>
      <c r="AC391" s="2" t="str">
        <f>IFERROR(__xludf.DUMMYFUNCTION("IMPORTRANGE(""https://docs.google.com/spreadsheets/d/""&amp;$A391&amp;""/edit#gid=156619080"",AC$3)"),"#REF!")</f>
        <v>#REF!</v>
      </c>
      <c r="AD391" s="2" t="str">
        <f>IFERROR(__xludf.DUMMYFUNCTION("IMPORTRANGE(""https://docs.google.com/spreadsheets/d/""&amp;$A391&amp;""/edit#gid=156619080"",AD$3)"),"#REF!")</f>
        <v>#REF!</v>
      </c>
      <c r="AE391" s="2" t="str">
        <f>IFERROR(__xludf.DUMMYFUNCTION("IMPORTRANGE(""https://docs.google.com/spreadsheets/d/""&amp;$A391&amp;""/edit#gid=156619080"",AE$3)"),"#REF!")</f>
        <v>#REF!</v>
      </c>
      <c r="AF391" s="2" t="str">
        <f>IFERROR(__xludf.DUMMYFUNCTION("IMPORTRANGE(""https://docs.google.com/spreadsheets/d/""&amp;$A391&amp;""/edit#gid=156619080"",AF$3)"),"#REF!")</f>
        <v>#REF!</v>
      </c>
      <c r="AG391" s="2" t="str">
        <f>IFERROR(__xludf.DUMMYFUNCTION("IMPORTRANGE(""https://docs.google.com/spreadsheets/d/""&amp;$A391&amp;""/edit#gid=156619080"",AG$3)"),"#REF!")</f>
        <v>#REF!</v>
      </c>
      <c r="AH391" s="2" t="str">
        <f>IFERROR(__xludf.DUMMYFUNCTION("IMPORTRANGE(""https://docs.google.com/spreadsheets/d/""&amp;$A391&amp;""/edit#gid=156619080"",AH$3)"),"#REF!")</f>
        <v>#REF!</v>
      </c>
      <c r="AI391" s="2" t="str">
        <f>IFERROR(__xludf.DUMMYFUNCTION("IMPORTRANGE(""https://docs.google.com/spreadsheets/d/""&amp;$A391&amp;""/edit#gid=156619080"",AI$3)"),"#REF!")</f>
        <v>#REF!</v>
      </c>
      <c r="AJ391" s="2" t="str">
        <f>IFERROR(__xludf.DUMMYFUNCTION("IMPORTRANGE(""https://docs.google.com/spreadsheets/d/""&amp;$A391&amp;""/edit#gid=156619080"",AJ$3)"),"#REF!")</f>
        <v>#REF!</v>
      </c>
      <c r="AK391" s="2" t="str">
        <f>IFERROR(__xludf.DUMMYFUNCTION("IMPORTRANGE(""https://docs.google.com/spreadsheets/d/""&amp;$A391&amp;""/edit#gid=156619080"",AK$3)"),"#REF!")</f>
        <v>#REF!</v>
      </c>
      <c r="AL391" s="2" t="str">
        <f>IFERROR(__xludf.DUMMYFUNCTION("IMPORTRANGE(""https://docs.google.com/spreadsheets/d/""&amp;$A391&amp;""/edit#gid=156619080"",AL$3)"),"#REF!")</f>
        <v>#REF!</v>
      </c>
      <c r="AM391" s="2" t="str">
        <f>IFERROR(__xludf.DUMMYFUNCTION("IMPORTRANGE(""https://docs.google.com/spreadsheets/d/""&amp;$A391&amp;""/edit#gid=156619080"",AM$3)"),"#REF!")</f>
        <v>#REF!</v>
      </c>
      <c r="AN391" s="2" t="str">
        <f>IFERROR(__xludf.DUMMYFUNCTION("IMPORTRANGE(""https://docs.google.com/spreadsheets/d/""&amp;$A391&amp;""/edit#gid=156619080"",AN$3)"),"#REF!")</f>
        <v>#REF!</v>
      </c>
      <c r="AO391" s="2" t="str">
        <f>IFERROR(__xludf.DUMMYFUNCTION("IMPORTRANGE(""https://docs.google.com/spreadsheets/d/""&amp;$A391&amp;""/edit#gid=156619080"",AO$3)"),"#REF!")</f>
        <v>#REF!</v>
      </c>
      <c r="AP391" s="2" t="str">
        <f>IFERROR(__xludf.DUMMYFUNCTION("IMPORTRANGE(""https://docs.google.com/spreadsheets/d/""&amp;$A391&amp;""/edit#gid=156619080"",AP$3)"),"#REF!")</f>
        <v>#REF!</v>
      </c>
      <c r="AQ391" s="2" t="str">
        <f>IFERROR(__xludf.DUMMYFUNCTION("IMPORTRANGE(""https://docs.google.com/spreadsheets/d/""&amp;$A391&amp;""/edit#gid=156619080"",AQ$3)"),"#REF!")</f>
        <v>#REF!</v>
      </c>
      <c r="AR391" s="2" t="str">
        <f>IFERROR(__xludf.DUMMYFUNCTION("IMPORTRANGE(""https://docs.google.com/spreadsheets/d/""&amp;$A391&amp;""/edit#gid=156619080"",AR$3)"),"#REF!")</f>
        <v>#REF!</v>
      </c>
      <c r="AS391" s="19" t="str">
        <f>IFERROR(__xludf.DUMMYFUNCTION("IMPORTRANGE(""https://docs.google.com/spreadsheets/d/""&amp;$A391&amp;""/edit#gid=156619080"",AS$3)"),"#REF!")</f>
        <v>#REF!</v>
      </c>
      <c r="AT391" s="2" t="str">
        <f>IFERROR(__xludf.DUMMYFUNCTION("IMPORTRANGE(""https://docs.google.com/spreadsheets/d/""&amp;$A391&amp;""/edit#gid=156619080"",AT$3)"),"#REF!")</f>
        <v>#REF!</v>
      </c>
      <c r="AU391" s="3" t="str">
        <f>IFERROR(__xludf.DUMMYFUNCTION("IMPORTRANGE(""https://docs.google.com/spreadsheets/d/""&amp;$A391&amp;""/edit#gid=156619080"",AU$3)"),"#REF!")</f>
        <v>#REF!</v>
      </c>
      <c r="AV391" s="2" t="str">
        <f>IFERROR(__xludf.DUMMYFUNCTION("IMPORTRANGE(""https://docs.google.com/spreadsheets/d/""&amp;$A391&amp;""/edit#gid=156619080"",AV$3)"),"#REF!")</f>
        <v>#REF!</v>
      </c>
      <c r="AW391" s="19" t="str">
        <f>IFERROR(__xludf.DUMMYFUNCTION("IMPORTRANGE(""https://docs.google.com/spreadsheets/d/""&amp;$A391&amp;""/edit#gid=156619080"",AW$3)"),"#REF!")</f>
        <v>#REF!</v>
      </c>
      <c r="AX391" s="2" t="str">
        <f>IFERROR(__xludf.DUMMYFUNCTION("IMPORTRANGE(""https://docs.google.com/spreadsheets/d/""&amp;$A391&amp;""/edit#gid=156619080"",AX$3)"),"#REF!")</f>
        <v>#REF!</v>
      </c>
      <c r="AY391" s="2" t="str">
        <f>IFERROR(__xludf.DUMMYFUNCTION("IMPORTRANGE(""https://docs.google.com/spreadsheets/d/""&amp;$A391&amp;""/edit#gid=156619080"",AY$3)"),"#REF!")</f>
        <v>#REF!</v>
      </c>
      <c r="AZ391" s="2" t="str">
        <f>IFERROR(__xludf.DUMMYFUNCTION("IMPORTRANGE(""https://docs.google.com/spreadsheets/d/""&amp;$A391&amp;""/edit#gid=156619080"",AZ$3)"),"#REF!")</f>
        <v>#REF!</v>
      </c>
      <c r="BA391" s="2" t="str">
        <f>IFERROR(__xludf.DUMMYFUNCTION("IMPORTRANGE(""https://docs.google.com/spreadsheets/d/""&amp;$A391&amp;""/edit#gid=156619080"",BA$3)"),"#REF!")</f>
        <v>#REF!</v>
      </c>
      <c r="BB391" s="2" t="str">
        <f>IFERROR(__xludf.DUMMYFUNCTION("IMPORTRANGE(""https://docs.google.com/spreadsheets/d/""&amp;$A391&amp;""/edit#gid=156619080"",BB$3)"),"#REF!")</f>
        <v>#REF!</v>
      </c>
      <c r="BC391" s="2" t="str">
        <f>IFERROR(__xludf.DUMMYFUNCTION("IMPORTRANGE(""https://docs.google.com/spreadsheets/d/""&amp;$A391&amp;""/edit#gid=156619080"",BC$3)"),"#REF!")</f>
        <v>#REF!</v>
      </c>
    </row>
    <row r="392" ht="51.0" customHeight="1">
      <c r="A392" s="7" t="str">
        <f t="shared" si="5"/>
        <v>1fsgEnnBcRL_WhtVpbcUp9rpWJQZ-iyWXhhGzbR5-rDg</v>
      </c>
      <c r="B392" s="1" t="s">
        <v>419</v>
      </c>
      <c r="C392" s="2" t="str">
        <f>IFERROR(__xludf.DUMMYFUNCTION("IMPORTRANGE(""https://docs.google.com/spreadsheets/d/""&amp;$A392&amp;""/edit#gid=156619080"",C$3)"),"#REF!")</f>
        <v>#REF!</v>
      </c>
      <c r="D392" s="2" t="str">
        <f>IFERROR(__xludf.DUMMYFUNCTION("IMPORTRANGE(""https://docs.google.com/spreadsheets/d/""&amp;$A392&amp;""/edit#gid=156619080"",D$3)"),"#REF!")</f>
        <v>#REF!</v>
      </c>
      <c r="E392" s="2" t="str">
        <f>IFERROR(__xludf.DUMMYFUNCTION("IMPORTRANGE(""https://docs.google.com/spreadsheets/d/""&amp;$A392&amp;""/edit#gid=156619080"",E$3)"),"#REF!")</f>
        <v>#REF!</v>
      </c>
      <c r="F392" s="2" t="str">
        <f>IFERROR(__xludf.DUMMYFUNCTION("IMPORTRANGE(""https://docs.google.com/spreadsheets/d/""&amp;$A392&amp;""/edit#gid=156619080"",F$3)"),"#REF!")</f>
        <v>#REF!</v>
      </c>
      <c r="G392" s="2" t="str">
        <f>IFERROR(__xludf.DUMMYFUNCTION("IMPORTRANGE(""https://docs.google.com/spreadsheets/d/""&amp;$A392&amp;""/edit#gid=156619080"",G$3)"),"#REF!")</f>
        <v>#REF!</v>
      </c>
      <c r="H392" s="2" t="str">
        <f>IFERROR(__xludf.DUMMYFUNCTION("IMPORTRANGE(""https://docs.google.com/spreadsheets/d/""&amp;$A392&amp;""/edit#gid=156619080"",H$3)"),"#REF!")</f>
        <v>#REF!</v>
      </c>
      <c r="I392" s="2" t="str">
        <f>IFERROR(__xludf.DUMMYFUNCTION("IMPORTRANGE(""https://docs.google.com/spreadsheets/d/""&amp;$A392&amp;""/edit#gid=156619080"",I$3)"),"#REF!")</f>
        <v>#REF!</v>
      </c>
      <c r="J392" s="2" t="str">
        <f>IFERROR(__xludf.DUMMYFUNCTION("IMPORTRANGE(""https://docs.google.com/spreadsheets/d/""&amp;$A392&amp;""/edit#gid=156619080"",J$3)"),"#REF!")</f>
        <v>#REF!</v>
      </c>
      <c r="K392" s="2" t="str">
        <f>IFERROR(__xludf.DUMMYFUNCTION("IMPORTRANGE(""https://docs.google.com/spreadsheets/d/""&amp;$A392&amp;""/edit#gid=156619080"",K$3)"),"#REF!")</f>
        <v>#REF!</v>
      </c>
      <c r="L392" s="2" t="str">
        <f>IFERROR(__xludf.DUMMYFUNCTION("IMPORTRANGE(""https://docs.google.com/spreadsheets/d/""&amp;$A392&amp;""/edit#gid=156619080"",L$3)"),"#REF!")</f>
        <v>#REF!</v>
      </c>
      <c r="M392" s="2" t="str">
        <f>IFERROR(__xludf.DUMMYFUNCTION("IMPORTRANGE(""https://docs.google.com/spreadsheets/d/""&amp;$A392&amp;""/edit#gid=156619080"",M$3)"),"#REF!")</f>
        <v>#REF!</v>
      </c>
      <c r="N392" s="2" t="str">
        <f>IFERROR(__xludf.DUMMYFUNCTION("IMPORTRANGE(""https://docs.google.com/spreadsheets/d/""&amp;$A392&amp;""/edit#gid=156619080"",N$3)"),"#REF!")</f>
        <v>#REF!</v>
      </c>
      <c r="O392" s="2" t="str">
        <f>IFERROR(__xludf.DUMMYFUNCTION("IMPORTRANGE(""https://docs.google.com/spreadsheets/d/""&amp;$A392&amp;""/edit#gid=156619080"",O$3)"),"#REF!")</f>
        <v>#REF!</v>
      </c>
      <c r="P392" s="2" t="str">
        <f>IFERROR(__xludf.DUMMYFUNCTION("IMPORTRANGE(""https://docs.google.com/spreadsheets/d/""&amp;$A392&amp;""/edit#gid=156619080"",P$3)"),"#REF!")</f>
        <v>#REF!</v>
      </c>
      <c r="Q392" s="2" t="str">
        <f>IFERROR(__xludf.DUMMYFUNCTION("IMPORTRANGE(""https://docs.google.com/spreadsheets/d/""&amp;$A392&amp;""/edit#gid=156619080"",Q$3)"),"#REF!")</f>
        <v>#REF!</v>
      </c>
      <c r="R392" s="2" t="str">
        <f>IFERROR(__xludf.DUMMYFUNCTION("IMPORTRANGE(""https://docs.google.com/spreadsheets/d/""&amp;$A392&amp;""/edit#gid=156619080"",R$3)"),"#REF!")</f>
        <v>#REF!</v>
      </c>
      <c r="S392" s="2" t="str">
        <f>IFERROR(__xludf.DUMMYFUNCTION("IMPORTRANGE(""https://docs.google.com/spreadsheets/d/""&amp;$A392&amp;""/edit#gid=156619080"",S$3)"),"#REF!")</f>
        <v>#REF!</v>
      </c>
      <c r="T392" s="2" t="str">
        <f>IFERROR(__xludf.DUMMYFUNCTION("IMPORTRANGE(""https://docs.google.com/spreadsheets/d/""&amp;$A392&amp;""/edit#gid=156619080"",T$3)"),"#REF!")</f>
        <v>#REF!</v>
      </c>
      <c r="U392" s="2" t="str">
        <f>IFERROR(__xludf.DUMMYFUNCTION("IMPORTRANGE(""https://docs.google.com/spreadsheets/d/""&amp;$A392&amp;""/edit#gid=156619080"",U$3)"),"#REF!")</f>
        <v>#REF!</v>
      </c>
      <c r="V392" s="2" t="str">
        <f>IFERROR(__xludf.DUMMYFUNCTION("IMPORTRANGE(""https://docs.google.com/spreadsheets/d/""&amp;$A392&amp;""/edit#gid=156619080"",V$3)"),"#REF!")</f>
        <v>#REF!</v>
      </c>
      <c r="W392" s="2" t="str">
        <f>IFERROR(__xludf.DUMMYFUNCTION("IMPORTRANGE(""https://docs.google.com/spreadsheets/d/""&amp;$A392&amp;""/edit#gid=156619080"",W$3)"),"#REF!")</f>
        <v>#REF!</v>
      </c>
      <c r="X392" s="2" t="str">
        <f>IFERROR(__xludf.DUMMYFUNCTION("IMPORTRANGE(""https://docs.google.com/spreadsheets/d/""&amp;$A392&amp;""/edit#gid=156619080"",X$3)"),"#REF!")</f>
        <v>#REF!</v>
      </c>
      <c r="Y392" s="2" t="str">
        <f>IFERROR(__xludf.DUMMYFUNCTION("IMPORTRANGE(""https://docs.google.com/spreadsheets/d/""&amp;$A392&amp;""/edit#gid=156619080"",Y$3)"),"#REF!")</f>
        <v>#REF!</v>
      </c>
      <c r="Z392" s="2" t="str">
        <f>IFERROR(__xludf.DUMMYFUNCTION("IMPORTRANGE(""https://docs.google.com/spreadsheets/d/""&amp;$A392&amp;""/edit#gid=156619080"",Z$3)"),"#REF!")</f>
        <v>#REF!</v>
      </c>
      <c r="AA392" s="2" t="str">
        <f>IFERROR(__xludf.DUMMYFUNCTION("IMPORTRANGE(""https://docs.google.com/spreadsheets/d/""&amp;$A392&amp;""/edit#gid=156619080"",AA$3)"),"#REF!")</f>
        <v>#REF!</v>
      </c>
      <c r="AB392" s="2" t="str">
        <f>IFERROR(__xludf.DUMMYFUNCTION("IMPORTRANGE(""https://docs.google.com/spreadsheets/d/""&amp;$A392&amp;""/edit#gid=156619080"",AB$3)"),"#REF!")</f>
        <v>#REF!</v>
      </c>
      <c r="AC392" s="2" t="str">
        <f>IFERROR(__xludf.DUMMYFUNCTION("IMPORTRANGE(""https://docs.google.com/spreadsheets/d/""&amp;$A392&amp;""/edit#gid=156619080"",AC$3)"),"#REF!")</f>
        <v>#REF!</v>
      </c>
      <c r="AD392" s="2" t="str">
        <f>IFERROR(__xludf.DUMMYFUNCTION("IMPORTRANGE(""https://docs.google.com/spreadsheets/d/""&amp;$A392&amp;""/edit#gid=156619080"",AD$3)"),"#REF!")</f>
        <v>#REF!</v>
      </c>
      <c r="AE392" s="2" t="str">
        <f>IFERROR(__xludf.DUMMYFUNCTION("IMPORTRANGE(""https://docs.google.com/spreadsheets/d/""&amp;$A392&amp;""/edit#gid=156619080"",AE$3)"),"#REF!")</f>
        <v>#REF!</v>
      </c>
      <c r="AF392" s="2" t="str">
        <f>IFERROR(__xludf.DUMMYFUNCTION("IMPORTRANGE(""https://docs.google.com/spreadsheets/d/""&amp;$A392&amp;""/edit#gid=156619080"",AF$3)"),"#REF!")</f>
        <v>#REF!</v>
      </c>
      <c r="AG392" s="2" t="str">
        <f>IFERROR(__xludf.DUMMYFUNCTION("IMPORTRANGE(""https://docs.google.com/spreadsheets/d/""&amp;$A392&amp;""/edit#gid=156619080"",AG$3)"),"#REF!")</f>
        <v>#REF!</v>
      </c>
      <c r="AH392" s="2" t="str">
        <f>IFERROR(__xludf.DUMMYFUNCTION("IMPORTRANGE(""https://docs.google.com/spreadsheets/d/""&amp;$A392&amp;""/edit#gid=156619080"",AH$3)"),"#REF!")</f>
        <v>#REF!</v>
      </c>
      <c r="AI392" s="2" t="str">
        <f>IFERROR(__xludf.DUMMYFUNCTION("IMPORTRANGE(""https://docs.google.com/spreadsheets/d/""&amp;$A392&amp;""/edit#gid=156619080"",AI$3)"),"#REF!")</f>
        <v>#REF!</v>
      </c>
      <c r="AJ392" s="2" t="str">
        <f>IFERROR(__xludf.DUMMYFUNCTION("IMPORTRANGE(""https://docs.google.com/spreadsheets/d/""&amp;$A392&amp;""/edit#gid=156619080"",AJ$3)"),"#REF!")</f>
        <v>#REF!</v>
      </c>
      <c r="AK392" s="2" t="str">
        <f>IFERROR(__xludf.DUMMYFUNCTION("IMPORTRANGE(""https://docs.google.com/spreadsheets/d/""&amp;$A392&amp;""/edit#gid=156619080"",AK$3)"),"#REF!")</f>
        <v>#REF!</v>
      </c>
      <c r="AL392" s="2" t="str">
        <f>IFERROR(__xludf.DUMMYFUNCTION("IMPORTRANGE(""https://docs.google.com/spreadsheets/d/""&amp;$A392&amp;""/edit#gid=156619080"",AL$3)"),"#REF!")</f>
        <v>#REF!</v>
      </c>
      <c r="AM392" s="2" t="str">
        <f>IFERROR(__xludf.DUMMYFUNCTION("IMPORTRANGE(""https://docs.google.com/spreadsheets/d/""&amp;$A392&amp;""/edit#gid=156619080"",AM$3)"),"#REF!")</f>
        <v>#REF!</v>
      </c>
      <c r="AN392" s="2" t="str">
        <f>IFERROR(__xludf.DUMMYFUNCTION("IMPORTRANGE(""https://docs.google.com/spreadsheets/d/""&amp;$A392&amp;""/edit#gid=156619080"",AN$3)"),"#REF!")</f>
        <v>#REF!</v>
      </c>
      <c r="AO392" s="2" t="str">
        <f>IFERROR(__xludf.DUMMYFUNCTION("IMPORTRANGE(""https://docs.google.com/spreadsheets/d/""&amp;$A392&amp;""/edit#gid=156619080"",AO$3)"),"#REF!")</f>
        <v>#REF!</v>
      </c>
      <c r="AP392" s="2" t="str">
        <f>IFERROR(__xludf.DUMMYFUNCTION("IMPORTRANGE(""https://docs.google.com/spreadsheets/d/""&amp;$A392&amp;""/edit#gid=156619080"",AP$3)"),"#REF!")</f>
        <v>#REF!</v>
      </c>
      <c r="AQ392" s="2" t="str">
        <f>IFERROR(__xludf.DUMMYFUNCTION("IMPORTRANGE(""https://docs.google.com/spreadsheets/d/""&amp;$A392&amp;""/edit#gid=156619080"",AQ$3)"),"#REF!")</f>
        <v>#REF!</v>
      </c>
      <c r="AR392" s="2" t="str">
        <f>IFERROR(__xludf.DUMMYFUNCTION("IMPORTRANGE(""https://docs.google.com/spreadsheets/d/""&amp;$A392&amp;""/edit#gid=156619080"",AR$3)"),"#REF!")</f>
        <v>#REF!</v>
      </c>
      <c r="AS392" s="19" t="str">
        <f>IFERROR(__xludf.DUMMYFUNCTION("IMPORTRANGE(""https://docs.google.com/spreadsheets/d/""&amp;$A392&amp;""/edit#gid=156619080"",AS$3)"),"#REF!")</f>
        <v>#REF!</v>
      </c>
      <c r="AT392" s="2" t="str">
        <f>IFERROR(__xludf.DUMMYFUNCTION("IMPORTRANGE(""https://docs.google.com/spreadsheets/d/""&amp;$A392&amp;""/edit#gid=156619080"",AT$3)"),"#REF!")</f>
        <v>#REF!</v>
      </c>
      <c r="AU392" s="3" t="str">
        <f>IFERROR(__xludf.DUMMYFUNCTION("IMPORTRANGE(""https://docs.google.com/spreadsheets/d/""&amp;$A392&amp;""/edit#gid=156619080"",AU$3)"),"#REF!")</f>
        <v>#REF!</v>
      </c>
      <c r="AV392" s="2" t="str">
        <f>IFERROR(__xludf.DUMMYFUNCTION("IMPORTRANGE(""https://docs.google.com/spreadsheets/d/""&amp;$A392&amp;""/edit#gid=156619080"",AV$3)"),"#REF!")</f>
        <v>#REF!</v>
      </c>
      <c r="AW392" s="19" t="str">
        <f>IFERROR(__xludf.DUMMYFUNCTION("IMPORTRANGE(""https://docs.google.com/spreadsheets/d/""&amp;$A392&amp;""/edit#gid=156619080"",AW$3)"),"#REF!")</f>
        <v>#REF!</v>
      </c>
      <c r="AX392" s="2" t="str">
        <f>IFERROR(__xludf.DUMMYFUNCTION("IMPORTRANGE(""https://docs.google.com/spreadsheets/d/""&amp;$A392&amp;""/edit#gid=156619080"",AX$3)"),"#REF!")</f>
        <v>#REF!</v>
      </c>
      <c r="AY392" s="2" t="str">
        <f>IFERROR(__xludf.DUMMYFUNCTION("IMPORTRANGE(""https://docs.google.com/spreadsheets/d/""&amp;$A392&amp;""/edit#gid=156619080"",AY$3)"),"#REF!")</f>
        <v>#REF!</v>
      </c>
      <c r="AZ392" s="2" t="str">
        <f>IFERROR(__xludf.DUMMYFUNCTION("IMPORTRANGE(""https://docs.google.com/spreadsheets/d/""&amp;$A392&amp;""/edit#gid=156619080"",AZ$3)"),"#REF!")</f>
        <v>#REF!</v>
      </c>
      <c r="BA392" s="2" t="str">
        <f>IFERROR(__xludf.DUMMYFUNCTION("IMPORTRANGE(""https://docs.google.com/spreadsheets/d/""&amp;$A392&amp;""/edit#gid=156619080"",BA$3)"),"#REF!")</f>
        <v>#REF!</v>
      </c>
      <c r="BB392" s="2" t="str">
        <f>IFERROR(__xludf.DUMMYFUNCTION("IMPORTRANGE(""https://docs.google.com/spreadsheets/d/""&amp;$A392&amp;""/edit#gid=156619080"",BB$3)"),"#REF!")</f>
        <v>#REF!</v>
      </c>
      <c r="BC392" s="2" t="str">
        <f>IFERROR(__xludf.DUMMYFUNCTION("IMPORTRANGE(""https://docs.google.com/spreadsheets/d/""&amp;$A392&amp;""/edit#gid=156619080"",BC$3)"),"#REF!")</f>
        <v>#REF!</v>
      </c>
    </row>
    <row r="393" ht="51.0" customHeight="1">
      <c r="A393" s="7" t="str">
        <f t="shared" si="5"/>
        <v>13UMFMNM8EgCXBXGbJVugKsN6Avrkswlvk4rG-5k_4HQ</v>
      </c>
      <c r="B393" s="1" t="s">
        <v>420</v>
      </c>
      <c r="C393" s="2" t="str">
        <f>IFERROR(__xludf.DUMMYFUNCTION("IMPORTRANGE(""https://docs.google.com/spreadsheets/d/""&amp;$A393&amp;""/edit#gid=156619080"",C$3)"),"#REF!")</f>
        <v>#REF!</v>
      </c>
      <c r="D393" s="2" t="str">
        <f>IFERROR(__xludf.DUMMYFUNCTION("IMPORTRANGE(""https://docs.google.com/spreadsheets/d/""&amp;$A393&amp;""/edit#gid=156619080"",D$3)"),"#REF!")</f>
        <v>#REF!</v>
      </c>
      <c r="E393" s="2" t="str">
        <f>IFERROR(__xludf.DUMMYFUNCTION("IMPORTRANGE(""https://docs.google.com/spreadsheets/d/""&amp;$A393&amp;""/edit#gid=156619080"",E$3)"),"#REF!")</f>
        <v>#REF!</v>
      </c>
      <c r="F393" s="2" t="str">
        <f>IFERROR(__xludf.DUMMYFUNCTION("IMPORTRANGE(""https://docs.google.com/spreadsheets/d/""&amp;$A393&amp;""/edit#gid=156619080"",F$3)"),"#REF!")</f>
        <v>#REF!</v>
      </c>
      <c r="G393" s="2" t="str">
        <f>IFERROR(__xludf.DUMMYFUNCTION("IMPORTRANGE(""https://docs.google.com/spreadsheets/d/""&amp;$A393&amp;""/edit#gid=156619080"",G$3)"),"#REF!")</f>
        <v>#REF!</v>
      </c>
      <c r="H393" s="2" t="str">
        <f>IFERROR(__xludf.DUMMYFUNCTION("IMPORTRANGE(""https://docs.google.com/spreadsheets/d/""&amp;$A393&amp;""/edit#gid=156619080"",H$3)"),"#REF!")</f>
        <v>#REF!</v>
      </c>
      <c r="I393" s="2" t="str">
        <f>IFERROR(__xludf.DUMMYFUNCTION("IMPORTRANGE(""https://docs.google.com/spreadsheets/d/""&amp;$A393&amp;""/edit#gid=156619080"",I$3)"),"#REF!")</f>
        <v>#REF!</v>
      </c>
      <c r="J393" s="2" t="str">
        <f>IFERROR(__xludf.DUMMYFUNCTION("IMPORTRANGE(""https://docs.google.com/spreadsheets/d/""&amp;$A393&amp;""/edit#gid=156619080"",J$3)"),"#REF!")</f>
        <v>#REF!</v>
      </c>
      <c r="K393" s="2" t="str">
        <f>IFERROR(__xludf.DUMMYFUNCTION("IMPORTRANGE(""https://docs.google.com/spreadsheets/d/""&amp;$A393&amp;""/edit#gid=156619080"",K$3)"),"#REF!")</f>
        <v>#REF!</v>
      </c>
      <c r="L393" s="2" t="str">
        <f>IFERROR(__xludf.DUMMYFUNCTION("IMPORTRANGE(""https://docs.google.com/spreadsheets/d/""&amp;$A393&amp;""/edit#gid=156619080"",L$3)"),"#REF!")</f>
        <v>#REF!</v>
      </c>
      <c r="M393" s="2" t="str">
        <f>IFERROR(__xludf.DUMMYFUNCTION("IMPORTRANGE(""https://docs.google.com/spreadsheets/d/""&amp;$A393&amp;""/edit#gid=156619080"",M$3)"),"#REF!")</f>
        <v>#REF!</v>
      </c>
      <c r="N393" s="2" t="str">
        <f>IFERROR(__xludf.DUMMYFUNCTION("IMPORTRANGE(""https://docs.google.com/spreadsheets/d/""&amp;$A393&amp;""/edit#gid=156619080"",N$3)"),"#REF!")</f>
        <v>#REF!</v>
      </c>
      <c r="O393" s="2" t="str">
        <f>IFERROR(__xludf.DUMMYFUNCTION("IMPORTRANGE(""https://docs.google.com/spreadsheets/d/""&amp;$A393&amp;""/edit#gid=156619080"",O$3)"),"#REF!")</f>
        <v>#REF!</v>
      </c>
      <c r="P393" s="2" t="str">
        <f>IFERROR(__xludf.DUMMYFUNCTION("IMPORTRANGE(""https://docs.google.com/spreadsheets/d/""&amp;$A393&amp;""/edit#gid=156619080"",P$3)"),"#REF!")</f>
        <v>#REF!</v>
      </c>
      <c r="Q393" s="2" t="str">
        <f>IFERROR(__xludf.DUMMYFUNCTION("IMPORTRANGE(""https://docs.google.com/spreadsheets/d/""&amp;$A393&amp;""/edit#gid=156619080"",Q$3)"),"#REF!")</f>
        <v>#REF!</v>
      </c>
      <c r="R393" s="2" t="str">
        <f>IFERROR(__xludf.DUMMYFUNCTION("IMPORTRANGE(""https://docs.google.com/spreadsheets/d/""&amp;$A393&amp;""/edit#gid=156619080"",R$3)"),"#REF!")</f>
        <v>#REF!</v>
      </c>
      <c r="S393" s="2" t="str">
        <f>IFERROR(__xludf.DUMMYFUNCTION("IMPORTRANGE(""https://docs.google.com/spreadsheets/d/""&amp;$A393&amp;""/edit#gid=156619080"",S$3)"),"#REF!")</f>
        <v>#REF!</v>
      </c>
      <c r="T393" s="2" t="str">
        <f>IFERROR(__xludf.DUMMYFUNCTION("IMPORTRANGE(""https://docs.google.com/spreadsheets/d/""&amp;$A393&amp;""/edit#gid=156619080"",T$3)"),"#REF!")</f>
        <v>#REF!</v>
      </c>
      <c r="U393" s="2" t="str">
        <f>IFERROR(__xludf.DUMMYFUNCTION("IMPORTRANGE(""https://docs.google.com/spreadsheets/d/""&amp;$A393&amp;""/edit#gid=156619080"",U$3)"),"#REF!")</f>
        <v>#REF!</v>
      </c>
      <c r="V393" s="2" t="str">
        <f>IFERROR(__xludf.DUMMYFUNCTION("IMPORTRANGE(""https://docs.google.com/spreadsheets/d/""&amp;$A393&amp;""/edit#gid=156619080"",V$3)"),"#REF!")</f>
        <v>#REF!</v>
      </c>
      <c r="W393" s="2" t="str">
        <f>IFERROR(__xludf.DUMMYFUNCTION("IMPORTRANGE(""https://docs.google.com/spreadsheets/d/""&amp;$A393&amp;""/edit#gid=156619080"",W$3)"),"#REF!")</f>
        <v>#REF!</v>
      </c>
      <c r="X393" s="2" t="str">
        <f>IFERROR(__xludf.DUMMYFUNCTION("IMPORTRANGE(""https://docs.google.com/spreadsheets/d/""&amp;$A393&amp;""/edit#gid=156619080"",X$3)"),"#REF!")</f>
        <v>#REF!</v>
      </c>
      <c r="Y393" s="2" t="str">
        <f>IFERROR(__xludf.DUMMYFUNCTION("IMPORTRANGE(""https://docs.google.com/spreadsheets/d/""&amp;$A393&amp;""/edit#gid=156619080"",Y$3)"),"#REF!")</f>
        <v>#REF!</v>
      </c>
      <c r="Z393" s="2" t="str">
        <f>IFERROR(__xludf.DUMMYFUNCTION("IMPORTRANGE(""https://docs.google.com/spreadsheets/d/""&amp;$A393&amp;""/edit#gid=156619080"",Z$3)"),"#REF!")</f>
        <v>#REF!</v>
      </c>
      <c r="AA393" s="2" t="str">
        <f>IFERROR(__xludf.DUMMYFUNCTION("IMPORTRANGE(""https://docs.google.com/spreadsheets/d/""&amp;$A393&amp;""/edit#gid=156619080"",AA$3)"),"#REF!")</f>
        <v>#REF!</v>
      </c>
      <c r="AB393" s="2" t="str">
        <f>IFERROR(__xludf.DUMMYFUNCTION("IMPORTRANGE(""https://docs.google.com/spreadsheets/d/""&amp;$A393&amp;""/edit#gid=156619080"",AB$3)"),"#REF!")</f>
        <v>#REF!</v>
      </c>
      <c r="AC393" s="2" t="str">
        <f>IFERROR(__xludf.DUMMYFUNCTION("IMPORTRANGE(""https://docs.google.com/spreadsheets/d/""&amp;$A393&amp;""/edit#gid=156619080"",AC$3)"),"#REF!")</f>
        <v>#REF!</v>
      </c>
      <c r="AD393" s="2" t="str">
        <f>IFERROR(__xludf.DUMMYFUNCTION("IMPORTRANGE(""https://docs.google.com/spreadsheets/d/""&amp;$A393&amp;""/edit#gid=156619080"",AD$3)"),"#REF!")</f>
        <v>#REF!</v>
      </c>
      <c r="AE393" s="2" t="str">
        <f>IFERROR(__xludf.DUMMYFUNCTION("IMPORTRANGE(""https://docs.google.com/spreadsheets/d/""&amp;$A393&amp;""/edit#gid=156619080"",AE$3)"),"#REF!")</f>
        <v>#REF!</v>
      </c>
      <c r="AF393" s="2" t="str">
        <f>IFERROR(__xludf.DUMMYFUNCTION("IMPORTRANGE(""https://docs.google.com/spreadsheets/d/""&amp;$A393&amp;""/edit#gid=156619080"",AF$3)"),"#REF!")</f>
        <v>#REF!</v>
      </c>
      <c r="AG393" s="2" t="str">
        <f>IFERROR(__xludf.DUMMYFUNCTION("IMPORTRANGE(""https://docs.google.com/spreadsheets/d/""&amp;$A393&amp;""/edit#gid=156619080"",AG$3)"),"#REF!")</f>
        <v>#REF!</v>
      </c>
      <c r="AH393" s="2" t="str">
        <f>IFERROR(__xludf.DUMMYFUNCTION("IMPORTRANGE(""https://docs.google.com/spreadsheets/d/""&amp;$A393&amp;""/edit#gid=156619080"",AH$3)"),"#REF!")</f>
        <v>#REF!</v>
      </c>
      <c r="AI393" s="2" t="str">
        <f>IFERROR(__xludf.DUMMYFUNCTION("IMPORTRANGE(""https://docs.google.com/spreadsheets/d/""&amp;$A393&amp;""/edit#gid=156619080"",AI$3)"),"#REF!")</f>
        <v>#REF!</v>
      </c>
      <c r="AJ393" s="2" t="str">
        <f>IFERROR(__xludf.DUMMYFUNCTION("IMPORTRANGE(""https://docs.google.com/spreadsheets/d/""&amp;$A393&amp;""/edit#gid=156619080"",AJ$3)"),"#REF!")</f>
        <v>#REF!</v>
      </c>
      <c r="AK393" s="2" t="str">
        <f>IFERROR(__xludf.DUMMYFUNCTION("IMPORTRANGE(""https://docs.google.com/spreadsheets/d/""&amp;$A393&amp;""/edit#gid=156619080"",AK$3)"),"#REF!")</f>
        <v>#REF!</v>
      </c>
      <c r="AL393" s="2" t="str">
        <f>IFERROR(__xludf.DUMMYFUNCTION("IMPORTRANGE(""https://docs.google.com/spreadsheets/d/""&amp;$A393&amp;""/edit#gid=156619080"",AL$3)"),"#REF!")</f>
        <v>#REF!</v>
      </c>
      <c r="AM393" s="2" t="str">
        <f>IFERROR(__xludf.DUMMYFUNCTION("IMPORTRANGE(""https://docs.google.com/spreadsheets/d/""&amp;$A393&amp;""/edit#gid=156619080"",AM$3)"),"#REF!")</f>
        <v>#REF!</v>
      </c>
      <c r="AN393" s="2" t="str">
        <f>IFERROR(__xludf.DUMMYFUNCTION("IMPORTRANGE(""https://docs.google.com/spreadsheets/d/""&amp;$A393&amp;""/edit#gid=156619080"",AN$3)"),"#REF!")</f>
        <v>#REF!</v>
      </c>
      <c r="AO393" s="2" t="str">
        <f>IFERROR(__xludf.DUMMYFUNCTION("IMPORTRANGE(""https://docs.google.com/spreadsheets/d/""&amp;$A393&amp;""/edit#gid=156619080"",AO$3)"),"#REF!")</f>
        <v>#REF!</v>
      </c>
      <c r="AP393" s="2" t="str">
        <f>IFERROR(__xludf.DUMMYFUNCTION("IMPORTRANGE(""https://docs.google.com/spreadsheets/d/""&amp;$A393&amp;""/edit#gid=156619080"",AP$3)"),"#REF!")</f>
        <v>#REF!</v>
      </c>
      <c r="AQ393" s="2" t="str">
        <f>IFERROR(__xludf.DUMMYFUNCTION("IMPORTRANGE(""https://docs.google.com/spreadsheets/d/""&amp;$A393&amp;""/edit#gid=156619080"",AQ$3)"),"#REF!")</f>
        <v>#REF!</v>
      </c>
      <c r="AR393" s="2" t="str">
        <f>IFERROR(__xludf.DUMMYFUNCTION("IMPORTRANGE(""https://docs.google.com/spreadsheets/d/""&amp;$A393&amp;""/edit#gid=156619080"",AR$3)"),"#REF!")</f>
        <v>#REF!</v>
      </c>
      <c r="AS393" s="19" t="str">
        <f>IFERROR(__xludf.DUMMYFUNCTION("IMPORTRANGE(""https://docs.google.com/spreadsheets/d/""&amp;$A393&amp;""/edit#gid=156619080"",AS$3)"),"#REF!")</f>
        <v>#REF!</v>
      </c>
      <c r="AT393" s="2" t="str">
        <f>IFERROR(__xludf.DUMMYFUNCTION("IMPORTRANGE(""https://docs.google.com/spreadsheets/d/""&amp;$A393&amp;""/edit#gid=156619080"",AT$3)"),"#REF!")</f>
        <v>#REF!</v>
      </c>
      <c r="AU393" s="3" t="str">
        <f>IFERROR(__xludf.DUMMYFUNCTION("IMPORTRANGE(""https://docs.google.com/spreadsheets/d/""&amp;$A393&amp;""/edit#gid=156619080"",AU$3)"),"#REF!")</f>
        <v>#REF!</v>
      </c>
      <c r="AV393" s="2" t="str">
        <f>IFERROR(__xludf.DUMMYFUNCTION("IMPORTRANGE(""https://docs.google.com/spreadsheets/d/""&amp;$A393&amp;""/edit#gid=156619080"",AV$3)"),"#REF!")</f>
        <v>#REF!</v>
      </c>
      <c r="AW393" s="19" t="str">
        <f>IFERROR(__xludf.DUMMYFUNCTION("IMPORTRANGE(""https://docs.google.com/spreadsheets/d/""&amp;$A393&amp;""/edit#gid=156619080"",AW$3)"),"#REF!")</f>
        <v>#REF!</v>
      </c>
      <c r="AX393" s="2" t="str">
        <f>IFERROR(__xludf.DUMMYFUNCTION("IMPORTRANGE(""https://docs.google.com/spreadsheets/d/""&amp;$A393&amp;""/edit#gid=156619080"",AX$3)"),"#REF!")</f>
        <v>#REF!</v>
      </c>
      <c r="AY393" s="2" t="str">
        <f>IFERROR(__xludf.DUMMYFUNCTION("IMPORTRANGE(""https://docs.google.com/spreadsheets/d/""&amp;$A393&amp;""/edit#gid=156619080"",AY$3)"),"#REF!")</f>
        <v>#REF!</v>
      </c>
      <c r="AZ393" s="2" t="str">
        <f>IFERROR(__xludf.DUMMYFUNCTION("IMPORTRANGE(""https://docs.google.com/spreadsheets/d/""&amp;$A393&amp;""/edit#gid=156619080"",AZ$3)"),"#REF!")</f>
        <v>#REF!</v>
      </c>
      <c r="BA393" s="2" t="str">
        <f>IFERROR(__xludf.DUMMYFUNCTION("IMPORTRANGE(""https://docs.google.com/spreadsheets/d/""&amp;$A393&amp;""/edit#gid=156619080"",BA$3)"),"#REF!")</f>
        <v>#REF!</v>
      </c>
      <c r="BB393" s="2" t="str">
        <f>IFERROR(__xludf.DUMMYFUNCTION("IMPORTRANGE(""https://docs.google.com/spreadsheets/d/""&amp;$A393&amp;""/edit#gid=156619080"",BB$3)"),"#REF!")</f>
        <v>#REF!</v>
      </c>
      <c r="BC393" s="2" t="str">
        <f>IFERROR(__xludf.DUMMYFUNCTION("IMPORTRANGE(""https://docs.google.com/spreadsheets/d/""&amp;$A393&amp;""/edit#gid=156619080"",BC$3)"),"#REF!")</f>
        <v>#REF!</v>
      </c>
    </row>
    <row r="394" ht="51.0" customHeight="1">
      <c r="A394" s="7" t="str">
        <f t="shared" si="5"/>
        <v>1pfc8Ml7PqHGlmN4KOCbrrub2r8bYRzbwJHmdYdiG788</v>
      </c>
      <c r="B394" s="1" t="s">
        <v>421</v>
      </c>
      <c r="C394" s="2" t="str">
        <f>IFERROR(__xludf.DUMMYFUNCTION("IMPORTRANGE(""https://docs.google.com/spreadsheets/d/""&amp;$A394&amp;""/edit#gid=156619080"",C$3)"),"#REF!")</f>
        <v>#REF!</v>
      </c>
      <c r="D394" s="2" t="str">
        <f>IFERROR(__xludf.DUMMYFUNCTION("IMPORTRANGE(""https://docs.google.com/spreadsheets/d/""&amp;$A394&amp;""/edit#gid=156619080"",D$3)"),"#REF!")</f>
        <v>#REF!</v>
      </c>
      <c r="E394" s="2" t="str">
        <f>IFERROR(__xludf.DUMMYFUNCTION("IMPORTRANGE(""https://docs.google.com/spreadsheets/d/""&amp;$A394&amp;""/edit#gid=156619080"",E$3)"),"#REF!")</f>
        <v>#REF!</v>
      </c>
      <c r="F394" s="2" t="str">
        <f>IFERROR(__xludf.DUMMYFUNCTION("IMPORTRANGE(""https://docs.google.com/spreadsheets/d/""&amp;$A394&amp;""/edit#gid=156619080"",F$3)"),"#REF!")</f>
        <v>#REF!</v>
      </c>
      <c r="G394" s="2" t="str">
        <f>IFERROR(__xludf.DUMMYFUNCTION("IMPORTRANGE(""https://docs.google.com/spreadsheets/d/""&amp;$A394&amp;""/edit#gid=156619080"",G$3)"),"#REF!")</f>
        <v>#REF!</v>
      </c>
      <c r="H394" s="2" t="str">
        <f>IFERROR(__xludf.DUMMYFUNCTION("IMPORTRANGE(""https://docs.google.com/spreadsheets/d/""&amp;$A394&amp;""/edit#gid=156619080"",H$3)"),"#REF!")</f>
        <v>#REF!</v>
      </c>
      <c r="I394" s="2" t="str">
        <f>IFERROR(__xludf.DUMMYFUNCTION("IMPORTRANGE(""https://docs.google.com/spreadsheets/d/""&amp;$A394&amp;""/edit#gid=156619080"",I$3)"),"#REF!")</f>
        <v>#REF!</v>
      </c>
      <c r="J394" s="2" t="str">
        <f>IFERROR(__xludf.DUMMYFUNCTION("IMPORTRANGE(""https://docs.google.com/spreadsheets/d/""&amp;$A394&amp;""/edit#gid=156619080"",J$3)"),"#REF!")</f>
        <v>#REF!</v>
      </c>
      <c r="K394" s="2" t="str">
        <f>IFERROR(__xludf.DUMMYFUNCTION("IMPORTRANGE(""https://docs.google.com/spreadsheets/d/""&amp;$A394&amp;""/edit#gid=156619080"",K$3)"),"#REF!")</f>
        <v>#REF!</v>
      </c>
      <c r="L394" s="2" t="str">
        <f>IFERROR(__xludf.DUMMYFUNCTION("IMPORTRANGE(""https://docs.google.com/spreadsheets/d/""&amp;$A394&amp;""/edit#gid=156619080"",L$3)"),"#REF!")</f>
        <v>#REF!</v>
      </c>
      <c r="M394" s="2" t="str">
        <f>IFERROR(__xludf.DUMMYFUNCTION("IMPORTRANGE(""https://docs.google.com/spreadsheets/d/""&amp;$A394&amp;""/edit#gid=156619080"",M$3)"),"#REF!")</f>
        <v>#REF!</v>
      </c>
      <c r="N394" s="2" t="str">
        <f>IFERROR(__xludf.DUMMYFUNCTION("IMPORTRANGE(""https://docs.google.com/spreadsheets/d/""&amp;$A394&amp;""/edit#gid=156619080"",N$3)"),"#REF!")</f>
        <v>#REF!</v>
      </c>
      <c r="O394" s="2" t="str">
        <f>IFERROR(__xludf.DUMMYFUNCTION("IMPORTRANGE(""https://docs.google.com/spreadsheets/d/""&amp;$A394&amp;""/edit#gid=156619080"",O$3)"),"#REF!")</f>
        <v>#REF!</v>
      </c>
      <c r="P394" s="2" t="str">
        <f>IFERROR(__xludf.DUMMYFUNCTION("IMPORTRANGE(""https://docs.google.com/spreadsheets/d/""&amp;$A394&amp;""/edit#gid=156619080"",P$3)"),"#REF!")</f>
        <v>#REF!</v>
      </c>
      <c r="Q394" s="2" t="str">
        <f>IFERROR(__xludf.DUMMYFUNCTION("IMPORTRANGE(""https://docs.google.com/spreadsheets/d/""&amp;$A394&amp;""/edit#gid=156619080"",Q$3)"),"#REF!")</f>
        <v>#REF!</v>
      </c>
      <c r="R394" s="2" t="str">
        <f>IFERROR(__xludf.DUMMYFUNCTION("IMPORTRANGE(""https://docs.google.com/spreadsheets/d/""&amp;$A394&amp;""/edit#gid=156619080"",R$3)"),"#REF!")</f>
        <v>#REF!</v>
      </c>
      <c r="S394" s="2" t="str">
        <f>IFERROR(__xludf.DUMMYFUNCTION("IMPORTRANGE(""https://docs.google.com/spreadsheets/d/""&amp;$A394&amp;""/edit#gid=156619080"",S$3)"),"#REF!")</f>
        <v>#REF!</v>
      </c>
      <c r="T394" s="2" t="str">
        <f>IFERROR(__xludf.DUMMYFUNCTION("IMPORTRANGE(""https://docs.google.com/spreadsheets/d/""&amp;$A394&amp;""/edit#gid=156619080"",T$3)"),"#REF!")</f>
        <v>#REF!</v>
      </c>
      <c r="U394" s="2" t="str">
        <f>IFERROR(__xludf.DUMMYFUNCTION("IMPORTRANGE(""https://docs.google.com/spreadsheets/d/""&amp;$A394&amp;""/edit#gid=156619080"",U$3)"),"#REF!")</f>
        <v>#REF!</v>
      </c>
      <c r="V394" s="2" t="str">
        <f>IFERROR(__xludf.DUMMYFUNCTION("IMPORTRANGE(""https://docs.google.com/spreadsheets/d/""&amp;$A394&amp;""/edit#gid=156619080"",V$3)"),"#REF!")</f>
        <v>#REF!</v>
      </c>
      <c r="W394" s="2" t="str">
        <f>IFERROR(__xludf.DUMMYFUNCTION("IMPORTRANGE(""https://docs.google.com/spreadsheets/d/""&amp;$A394&amp;""/edit#gid=156619080"",W$3)"),"#REF!")</f>
        <v>#REF!</v>
      </c>
      <c r="X394" s="2" t="str">
        <f>IFERROR(__xludf.DUMMYFUNCTION("IMPORTRANGE(""https://docs.google.com/spreadsheets/d/""&amp;$A394&amp;""/edit#gid=156619080"",X$3)"),"#REF!")</f>
        <v>#REF!</v>
      </c>
      <c r="Y394" s="2" t="str">
        <f>IFERROR(__xludf.DUMMYFUNCTION("IMPORTRANGE(""https://docs.google.com/spreadsheets/d/""&amp;$A394&amp;""/edit#gid=156619080"",Y$3)"),"#REF!")</f>
        <v>#REF!</v>
      </c>
      <c r="Z394" s="2" t="str">
        <f>IFERROR(__xludf.DUMMYFUNCTION("IMPORTRANGE(""https://docs.google.com/spreadsheets/d/""&amp;$A394&amp;""/edit#gid=156619080"",Z$3)"),"#REF!")</f>
        <v>#REF!</v>
      </c>
      <c r="AA394" s="2" t="str">
        <f>IFERROR(__xludf.DUMMYFUNCTION("IMPORTRANGE(""https://docs.google.com/spreadsheets/d/""&amp;$A394&amp;""/edit#gid=156619080"",AA$3)"),"#REF!")</f>
        <v>#REF!</v>
      </c>
      <c r="AB394" s="2" t="str">
        <f>IFERROR(__xludf.DUMMYFUNCTION("IMPORTRANGE(""https://docs.google.com/spreadsheets/d/""&amp;$A394&amp;""/edit#gid=156619080"",AB$3)"),"#REF!")</f>
        <v>#REF!</v>
      </c>
      <c r="AC394" s="2" t="str">
        <f>IFERROR(__xludf.DUMMYFUNCTION("IMPORTRANGE(""https://docs.google.com/spreadsheets/d/""&amp;$A394&amp;""/edit#gid=156619080"",AC$3)"),"#REF!")</f>
        <v>#REF!</v>
      </c>
      <c r="AD394" s="2" t="str">
        <f>IFERROR(__xludf.DUMMYFUNCTION("IMPORTRANGE(""https://docs.google.com/spreadsheets/d/""&amp;$A394&amp;""/edit#gid=156619080"",AD$3)"),"#REF!")</f>
        <v>#REF!</v>
      </c>
      <c r="AE394" s="2" t="str">
        <f>IFERROR(__xludf.DUMMYFUNCTION("IMPORTRANGE(""https://docs.google.com/spreadsheets/d/""&amp;$A394&amp;""/edit#gid=156619080"",AE$3)"),"#REF!")</f>
        <v>#REF!</v>
      </c>
      <c r="AF394" s="2" t="str">
        <f>IFERROR(__xludf.DUMMYFUNCTION("IMPORTRANGE(""https://docs.google.com/spreadsheets/d/""&amp;$A394&amp;""/edit#gid=156619080"",AF$3)"),"#REF!")</f>
        <v>#REF!</v>
      </c>
      <c r="AG394" s="2" t="str">
        <f>IFERROR(__xludf.DUMMYFUNCTION("IMPORTRANGE(""https://docs.google.com/spreadsheets/d/""&amp;$A394&amp;""/edit#gid=156619080"",AG$3)"),"#REF!")</f>
        <v>#REF!</v>
      </c>
      <c r="AH394" s="2" t="str">
        <f>IFERROR(__xludf.DUMMYFUNCTION("IMPORTRANGE(""https://docs.google.com/spreadsheets/d/""&amp;$A394&amp;""/edit#gid=156619080"",AH$3)"),"#REF!")</f>
        <v>#REF!</v>
      </c>
      <c r="AI394" s="2" t="str">
        <f>IFERROR(__xludf.DUMMYFUNCTION("IMPORTRANGE(""https://docs.google.com/spreadsheets/d/""&amp;$A394&amp;""/edit#gid=156619080"",AI$3)"),"#REF!")</f>
        <v>#REF!</v>
      </c>
      <c r="AJ394" s="2" t="str">
        <f>IFERROR(__xludf.DUMMYFUNCTION("IMPORTRANGE(""https://docs.google.com/spreadsheets/d/""&amp;$A394&amp;""/edit#gid=156619080"",AJ$3)"),"#REF!")</f>
        <v>#REF!</v>
      </c>
      <c r="AK394" s="2" t="str">
        <f>IFERROR(__xludf.DUMMYFUNCTION("IMPORTRANGE(""https://docs.google.com/spreadsheets/d/""&amp;$A394&amp;""/edit#gid=156619080"",AK$3)"),"#REF!")</f>
        <v>#REF!</v>
      </c>
      <c r="AL394" s="2" t="str">
        <f>IFERROR(__xludf.DUMMYFUNCTION("IMPORTRANGE(""https://docs.google.com/spreadsheets/d/""&amp;$A394&amp;""/edit#gid=156619080"",AL$3)"),"#REF!")</f>
        <v>#REF!</v>
      </c>
      <c r="AM394" s="2" t="str">
        <f>IFERROR(__xludf.DUMMYFUNCTION("IMPORTRANGE(""https://docs.google.com/spreadsheets/d/""&amp;$A394&amp;""/edit#gid=156619080"",AM$3)"),"#REF!")</f>
        <v>#REF!</v>
      </c>
      <c r="AN394" s="2" t="str">
        <f>IFERROR(__xludf.DUMMYFUNCTION("IMPORTRANGE(""https://docs.google.com/spreadsheets/d/""&amp;$A394&amp;""/edit#gid=156619080"",AN$3)"),"#REF!")</f>
        <v>#REF!</v>
      </c>
      <c r="AO394" s="2" t="str">
        <f>IFERROR(__xludf.DUMMYFUNCTION("IMPORTRANGE(""https://docs.google.com/spreadsheets/d/""&amp;$A394&amp;""/edit#gid=156619080"",AO$3)"),"#REF!")</f>
        <v>#REF!</v>
      </c>
      <c r="AP394" s="2" t="str">
        <f>IFERROR(__xludf.DUMMYFUNCTION("IMPORTRANGE(""https://docs.google.com/spreadsheets/d/""&amp;$A394&amp;""/edit#gid=156619080"",AP$3)"),"#REF!")</f>
        <v>#REF!</v>
      </c>
      <c r="AQ394" s="2" t="str">
        <f>IFERROR(__xludf.DUMMYFUNCTION("IMPORTRANGE(""https://docs.google.com/spreadsheets/d/""&amp;$A394&amp;""/edit#gid=156619080"",AQ$3)"),"#REF!")</f>
        <v>#REF!</v>
      </c>
      <c r="AR394" s="2" t="str">
        <f>IFERROR(__xludf.DUMMYFUNCTION("IMPORTRANGE(""https://docs.google.com/spreadsheets/d/""&amp;$A394&amp;""/edit#gid=156619080"",AR$3)"),"#REF!")</f>
        <v>#REF!</v>
      </c>
      <c r="AS394" s="19" t="str">
        <f>IFERROR(__xludf.DUMMYFUNCTION("IMPORTRANGE(""https://docs.google.com/spreadsheets/d/""&amp;$A394&amp;""/edit#gid=156619080"",AS$3)"),"#REF!")</f>
        <v>#REF!</v>
      </c>
      <c r="AT394" s="2" t="str">
        <f>IFERROR(__xludf.DUMMYFUNCTION("IMPORTRANGE(""https://docs.google.com/spreadsheets/d/""&amp;$A394&amp;""/edit#gid=156619080"",AT$3)"),"#REF!")</f>
        <v>#REF!</v>
      </c>
      <c r="AU394" s="3" t="str">
        <f>IFERROR(__xludf.DUMMYFUNCTION("IMPORTRANGE(""https://docs.google.com/spreadsheets/d/""&amp;$A394&amp;""/edit#gid=156619080"",AU$3)"),"#REF!")</f>
        <v>#REF!</v>
      </c>
      <c r="AV394" s="2" t="str">
        <f>IFERROR(__xludf.DUMMYFUNCTION("IMPORTRANGE(""https://docs.google.com/spreadsheets/d/""&amp;$A394&amp;""/edit#gid=156619080"",AV$3)"),"#REF!")</f>
        <v>#REF!</v>
      </c>
      <c r="AW394" s="19" t="str">
        <f>IFERROR(__xludf.DUMMYFUNCTION("IMPORTRANGE(""https://docs.google.com/spreadsheets/d/""&amp;$A394&amp;""/edit#gid=156619080"",AW$3)"),"#REF!")</f>
        <v>#REF!</v>
      </c>
      <c r="AX394" s="2" t="str">
        <f>IFERROR(__xludf.DUMMYFUNCTION("IMPORTRANGE(""https://docs.google.com/spreadsheets/d/""&amp;$A394&amp;""/edit#gid=156619080"",AX$3)"),"#REF!")</f>
        <v>#REF!</v>
      </c>
      <c r="AY394" s="2" t="str">
        <f>IFERROR(__xludf.DUMMYFUNCTION("IMPORTRANGE(""https://docs.google.com/spreadsheets/d/""&amp;$A394&amp;""/edit#gid=156619080"",AY$3)"),"#REF!")</f>
        <v>#REF!</v>
      </c>
      <c r="AZ394" s="2" t="str">
        <f>IFERROR(__xludf.DUMMYFUNCTION("IMPORTRANGE(""https://docs.google.com/spreadsheets/d/""&amp;$A394&amp;""/edit#gid=156619080"",AZ$3)"),"#REF!")</f>
        <v>#REF!</v>
      </c>
      <c r="BA394" s="2" t="str">
        <f>IFERROR(__xludf.DUMMYFUNCTION("IMPORTRANGE(""https://docs.google.com/spreadsheets/d/""&amp;$A394&amp;""/edit#gid=156619080"",BA$3)"),"#REF!")</f>
        <v>#REF!</v>
      </c>
      <c r="BB394" s="2" t="str">
        <f>IFERROR(__xludf.DUMMYFUNCTION("IMPORTRANGE(""https://docs.google.com/spreadsheets/d/""&amp;$A394&amp;""/edit#gid=156619080"",BB$3)"),"#REF!")</f>
        <v>#REF!</v>
      </c>
      <c r="BC394" s="2" t="str">
        <f>IFERROR(__xludf.DUMMYFUNCTION("IMPORTRANGE(""https://docs.google.com/spreadsheets/d/""&amp;$A394&amp;""/edit#gid=156619080"",BC$3)"),"#REF!")</f>
        <v>#REF!</v>
      </c>
    </row>
    <row r="395" ht="51.0" customHeight="1">
      <c r="A395" s="7" t="str">
        <f t="shared" si="5"/>
        <v>1cBPKmNwt35lrDqaAtzWB275LkRhxKS6v3weVKBuoA6s</v>
      </c>
      <c r="B395" s="1" t="s">
        <v>422</v>
      </c>
      <c r="C395" s="2" t="str">
        <f>IFERROR(__xludf.DUMMYFUNCTION("IMPORTRANGE(""https://docs.google.com/spreadsheets/d/""&amp;$A395&amp;""/edit#gid=156619080"",C$3)"),"#REF!")</f>
        <v>#REF!</v>
      </c>
      <c r="D395" s="2" t="str">
        <f>IFERROR(__xludf.DUMMYFUNCTION("IMPORTRANGE(""https://docs.google.com/spreadsheets/d/""&amp;$A395&amp;""/edit#gid=156619080"",D$3)"),"#REF!")</f>
        <v>#REF!</v>
      </c>
      <c r="E395" s="2" t="str">
        <f>IFERROR(__xludf.DUMMYFUNCTION("IMPORTRANGE(""https://docs.google.com/spreadsheets/d/""&amp;$A395&amp;""/edit#gid=156619080"",E$3)"),"#REF!")</f>
        <v>#REF!</v>
      </c>
      <c r="F395" s="2" t="str">
        <f>IFERROR(__xludf.DUMMYFUNCTION("IMPORTRANGE(""https://docs.google.com/spreadsheets/d/""&amp;$A395&amp;""/edit#gid=156619080"",F$3)"),"#REF!")</f>
        <v>#REF!</v>
      </c>
      <c r="G395" s="2" t="str">
        <f>IFERROR(__xludf.DUMMYFUNCTION("IMPORTRANGE(""https://docs.google.com/spreadsheets/d/""&amp;$A395&amp;""/edit#gid=156619080"",G$3)"),"#REF!")</f>
        <v>#REF!</v>
      </c>
      <c r="H395" s="2" t="str">
        <f>IFERROR(__xludf.DUMMYFUNCTION("IMPORTRANGE(""https://docs.google.com/spreadsheets/d/""&amp;$A395&amp;""/edit#gid=156619080"",H$3)"),"#REF!")</f>
        <v>#REF!</v>
      </c>
      <c r="I395" s="2" t="str">
        <f>IFERROR(__xludf.DUMMYFUNCTION("IMPORTRANGE(""https://docs.google.com/spreadsheets/d/""&amp;$A395&amp;""/edit#gid=156619080"",I$3)"),"#REF!")</f>
        <v>#REF!</v>
      </c>
      <c r="J395" s="2" t="str">
        <f>IFERROR(__xludf.DUMMYFUNCTION("IMPORTRANGE(""https://docs.google.com/spreadsheets/d/""&amp;$A395&amp;""/edit#gid=156619080"",J$3)"),"#REF!")</f>
        <v>#REF!</v>
      </c>
      <c r="K395" s="2" t="str">
        <f>IFERROR(__xludf.DUMMYFUNCTION("IMPORTRANGE(""https://docs.google.com/spreadsheets/d/""&amp;$A395&amp;""/edit#gid=156619080"",K$3)"),"#REF!")</f>
        <v>#REF!</v>
      </c>
      <c r="L395" s="2" t="str">
        <f>IFERROR(__xludf.DUMMYFUNCTION("IMPORTRANGE(""https://docs.google.com/spreadsheets/d/""&amp;$A395&amp;""/edit#gid=156619080"",L$3)"),"#REF!")</f>
        <v>#REF!</v>
      </c>
      <c r="M395" s="2" t="str">
        <f>IFERROR(__xludf.DUMMYFUNCTION("IMPORTRANGE(""https://docs.google.com/spreadsheets/d/""&amp;$A395&amp;""/edit#gid=156619080"",M$3)"),"#REF!")</f>
        <v>#REF!</v>
      </c>
      <c r="N395" s="2" t="str">
        <f>IFERROR(__xludf.DUMMYFUNCTION("IMPORTRANGE(""https://docs.google.com/spreadsheets/d/""&amp;$A395&amp;""/edit#gid=156619080"",N$3)"),"#REF!")</f>
        <v>#REF!</v>
      </c>
      <c r="O395" s="2" t="str">
        <f>IFERROR(__xludf.DUMMYFUNCTION("IMPORTRANGE(""https://docs.google.com/spreadsheets/d/""&amp;$A395&amp;""/edit#gid=156619080"",O$3)"),"#REF!")</f>
        <v>#REF!</v>
      </c>
      <c r="P395" s="2" t="str">
        <f>IFERROR(__xludf.DUMMYFUNCTION("IMPORTRANGE(""https://docs.google.com/spreadsheets/d/""&amp;$A395&amp;""/edit#gid=156619080"",P$3)"),"#REF!")</f>
        <v>#REF!</v>
      </c>
      <c r="Q395" s="2" t="str">
        <f>IFERROR(__xludf.DUMMYFUNCTION("IMPORTRANGE(""https://docs.google.com/spreadsheets/d/""&amp;$A395&amp;""/edit#gid=156619080"",Q$3)"),"#REF!")</f>
        <v>#REF!</v>
      </c>
      <c r="R395" s="2" t="str">
        <f>IFERROR(__xludf.DUMMYFUNCTION("IMPORTRANGE(""https://docs.google.com/spreadsheets/d/""&amp;$A395&amp;""/edit#gid=156619080"",R$3)"),"#REF!")</f>
        <v>#REF!</v>
      </c>
      <c r="S395" s="2" t="str">
        <f>IFERROR(__xludf.DUMMYFUNCTION("IMPORTRANGE(""https://docs.google.com/spreadsheets/d/""&amp;$A395&amp;""/edit#gid=156619080"",S$3)"),"#REF!")</f>
        <v>#REF!</v>
      </c>
      <c r="T395" s="2" t="str">
        <f>IFERROR(__xludf.DUMMYFUNCTION("IMPORTRANGE(""https://docs.google.com/spreadsheets/d/""&amp;$A395&amp;""/edit#gid=156619080"",T$3)"),"#REF!")</f>
        <v>#REF!</v>
      </c>
      <c r="U395" s="2" t="str">
        <f>IFERROR(__xludf.DUMMYFUNCTION("IMPORTRANGE(""https://docs.google.com/spreadsheets/d/""&amp;$A395&amp;""/edit#gid=156619080"",U$3)"),"#REF!")</f>
        <v>#REF!</v>
      </c>
      <c r="V395" s="2" t="str">
        <f>IFERROR(__xludf.DUMMYFUNCTION("IMPORTRANGE(""https://docs.google.com/spreadsheets/d/""&amp;$A395&amp;""/edit#gid=156619080"",V$3)"),"#REF!")</f>
        <v>#REF!</v>
      </c>
      <c r="W395" s="2" t="str">
        <f>IFERROR(__xludf.DUMMYFUNCTION("IMPORTRANGE(""https://docs.google.com/spreadsheets/d/""&amp;$A395&amp;""/edit#gid=156619080"",W$3)"),"#REF!")</f>
        <v>#REF!</v>
      </c>
      <c r="X395" s="2" t="str">
        <f>IFERROR(__xludf.DUMMYFUNCTION("IMPORTRANGE(""https://docs.google.com/spreadsheets/d/""&amp;$A395&amp;""/edit#gid=156619080"",X$3)"),"#REF!")</f>
        <v>#REF!</v>
      </c>
      <c r="Y395" s="2" t="str">
        <f>IFERROR(__xludf.DUMMYFUNCTION("IMPORTRANGE(""https://docs.google.com/spreadsheets/d/""&amp;$A395&amp;""/edit#gid=156619080"",Y$3)"),"#REF!")</f>
        <v>#REF!</v>
      </c>
      <c r="Z395" s="2" t="str">
        <f>IFERROR(__xludf.DUMMYFUNCTION("IMPORTRANGE(""https://docs.google.com/spreadsheets/d/""&amp;$A395&amp;""/edit#gid=156619080"",Z$3)"),"#REF!")</f>
        <v>#REF!</v>
      </c>
      <c r="AA395" s="2" t="str">
        <f>IFERROR(__xludf.DUMMYFUNCTION("IMPORTRANGE(""https://docs.google.com/spreadsheets/d/""&amp;$A395&amp;""/edit#gid=156619080"",AA$3)"),"#REF!")</f>
        <v>#REF!</v>
      </c>
      <c r="AB395" s="2" t="str">
        <f>IFERROR(__xludf.DUMMYFUNCTION("IMPORTRANGE(""https://docs.google.com/spreadsheets/d/""&amp;$A395&amp;""/edit#gid=156619080"",AB$3)"),"#REF!")</f>
        <v>#REF!</v>
      </c>
      <c r="AC395" s="2" t="str">
        <f>IFERROR(__xludf.DUMMYFUNCTION("IMPORTRANGE(""https://docs.google.com/spreadsheets/d/""&amp;$A395&amp;""/edit#gid=156619080"",AC$3)"),"#REF!")</f>
        <v>#REF!</v>
      </c>
      <c r="AD395" s="2" t="str">
        <f>IFERROR(__xludf.DUMMYFUNCTION("IMPORTRANGE(""https://docs.google.com/spreadsheets/d/""&amp;$A395&amp;""/edit#gid=156619080"",AD$3)"),"#REF!")</f>
        <v>#REF!</v>
      </c>
      <c r="AE395" s="2" t="str">
        <f>IFERROR(__xludf.DUMMYFUNCTION("IMPORTRANGE(""https://docs.google.com/spreadsheets/d/""&amp;$A395&amp;""/edit#gid=156619080"",AE$3)"),"#REF!")</f>
        <v>#REF!</v>
      </c>
      <c r="AF395" s="2" t="str">
        <f>IFERROR(__xludf.DUMMYFUNCTION("IMPORTRANGE(""https://docs.google.com/spreadsheets/d/""&amp;$A395&amp;""/edit#gid=156619080"",AF$3)"),"#REF!")</f>
        <v>#REF!</v>
      </c>
      <c r="AG395" s="2" t="str">
        <f>IFERROR(__xludf.DUMMYFUNCTION("IMPORTRANGE(""https://docs.google.com/spreadsheets/d/""&amp;$A395&amp;""/edit#gid=156619080"",AG$3)"),"#REF!")</f>
        <v>#REF!</v>
      </c>
      <c r="AH395" s="2" t="str">
        <f>IFERROR(__xludf.DUMMYFUNCTION("IMPORTRANGE(""https://docs.google.com/spreadsheets/d/""&amp;$A395&amp;""/edit#gid=156619080"",AH$3)"),"#REF!")</f>
        <v>#REF!</v>
      </c>
      <c r="AI395" s="2" t="str">
        <f>IFERROR(__xludf.DUMMYFUNCTION("IMPORTRANGE(""https://docs.google.com/spreadsheets/d/""&amp;$A395&amp;""/edit#gid=156619080"",AI$3)"),"#REF!")</f>
        <v>#REF!</v>
      </c>
      <c r="AJ395" s="2" t="str">
        <f>IFERROR(__xludf.DUMMYFUNCTION("IMPORTRANGE(""https://docs.google.com/spreadsheets/d/""&amp;$A395&amp;""/edit#gid=156619080"",AJ$3)"),"#REF!")</f>
        <v>#REF!</v>
      </c>
      <c r="AK395" s="2" t="str">
        <f>IFERROR(__xludf.DUMMYFUNCTION("IMPORTRANGE(""https://docs.google.com/spreadsheets/d/""&amp;$A395&amp;""/edit#gid=156619080"",AK$3)"),"#REF!")</f>
        <v>#REF!</v>
      </c>
      <c r="AL395" s="2" t="str">
        <f>IFERROR(__xludf.DUMMYFUNCTION("IMPORTRANGE(""https://docs.google.com/spreadsheets/d/""&amp;$A395&amp;""/edit#gid=156619080"",AL$3)"),"#REF!")</f>
        <v>#REF!</v>
      </c>
      <c r="AM395" s="2" t="str">
        <f>IFERROR(__xludf.DUMMYFUNCTION("IMPORTRANGE(""https://docs.google.com/spreadsheets/d/""&amp;$A395&amp;""/edit#gid=156619080"",AM$3)"),"#REF!")</f>
        <v>#REF!</v>
      </c>
      <c r="AN395" s="2" t="str">
        <f>IFERROR(__xludf.DUMMYFUNCTION("IMPORTRANGE(""https://docs.google.com/spreadsheets/d/""&amp;$A395&amp;""/edit#gid=156619080"",AN$3)"),"#REF!")</f>
        <v>#REF!</v>
      </c>
      <c r="AO395" s="2" t="str">
        <f>IFERROR(__xludf.DUMMYFUNCTION("IMPORTRANGE(""https://docs.google.com/spreadsheets/d/""&amp;$A395&amp;""/edit#gid=156619080"",AO$3)"),"#REF!")</f>
        <v>#REF!</v>
      </c>
      <c r="AP395" s="2" t="str">
        <f>IFERROR(__xludf.DUMMYFUNCTION("IMPORTRANGE(""https://docs.google.com/spreadsheets/d/""&amp;$A395&amp;""/edit#gid=156619080"",AP$3)"),"#REF!")</f>
        <v>#REF!</v>
      </c>
      <c r="AQ395" s="2" t="str">
        <f>IFERROR(__xludf.DUMMYFUNCTION("IMPORTRANGE(""https://docs.google.com/spreadsheets/d/""&amp;$A395&amp;""/edit#gid=156619080"",AQ$3)"),"#REF!")</f>
        <v>#REF!</v>
      </c>
      <c r="AR395" s="2" t="str">
        <f>IFERROR(__xludf.DUMMYFUNCTION("IMPORTRANGE(""https://docs.google.com/spreadsheets/d/""&amp;$A395&amp;""/edit#gid=156619080"",AR$3)"),"#REF!")</f>
        <v>#REF!</v>
      </c>
      <c r="AS395" s="19" t="str">
        <f>IFERROR(__xludf.DUMMYFUNCTION("IMPORTRANGE(""https://docs.google.com/spreadsheets/d/""&amp;$A395&amp;""/edit#gid=156619080"",AS$3)"),"#REF!")</f>
        <v>#REF!</v>
      </c>
      <c r="AT395" s="2" t="str">
        <f>IFERROR(__xludf.DUMMYFUNCTION("IMPORTRANGE(""https://docs.google.com/spreadsheets/d/""&amp;$A395&amp;""/edit#gid=156619080"",AT$3)"),"#REF!")</f>
        <v>#REF!</v>
      </c>
      <c r="AU395" s="3" t="str">
        <f>IFERROR(__xludf.DUMMYFUNCTION("IMPORTRANGE(""https://docs.google.com/spreadsheets/d/""&amp;$A395&amp;""/edit#gid=156619080"",AU$3)"),"#REF!")</f>
        <v>#REF!</v>
      </c>
      <c r="AV395" s="2" t="str">
        <f>IFERROR(__xludf.DUMMYFUNCTION("IMPORTRANGE(""https://docs.google.com/spreadsheets/d/""&amp;$A395&amp;""/edit#gid=156619080"",AV$3)"),"#REF!")</f>
        <v>#REF!</v>
      </c>
      <c r="AW395" s="19" t="str">
        <f>IFERROR(__xludf.DUMMYFUNCTION("IMPORTRANGE(""https://docs.google.com/spreadsheets/d/""&amp;$A395&amp;""/edit#gid=156619080"",AW$3)"),"#REF!")</f>
        <v>#REF!</v>
      </c>
      <c r="AX395" s="2" t="str">
        <f>IFERROR(__xludf.DUMMYFUNCTION("IMPORTRANGE(""https://docs.google.com/spreadsheets/d/""&amp;$A395&amp;""/edit#gid=156619080"",AX$3)"),"#REF!")</f>
        <v>#REF!</v>
      </c>
      <c r="AY395" s="2" t="str">
        <f>IFERROR(__xludf.DUMMYFUNCTION("IMPORTRANGE(""https://docs.google.com/spreadsheets/d/""&amp;$A395&amp;""/edit#gid=156619080"",AY$3)"),"#REF!")</f>
        <v>#REF!</v>
      </c>
      <c r="AZ395" s="2" t="str">
        <f>IFERROR(__xludf.DUMMYFUNCTION("IMPORTRANGE(""https://docs.google.com/spreadsheets/d/""&amp;$A395&amp;""/edit#gid=156619080"",AZ$3)"),"#REF!")</f>
        <v>#REF!</v>
      </c>
      <c r="BA395" s="2" t="str">
        <f>IFERROR(__xludf.DUMMYFUNCTION("IMPORTRANGE(""https://docs.google.com/spreadsheets/d/""&amp;$A395&amp;""/edit#gid=156619080"",BA$3)"),"#REF!")</f>
        <v>#REF!</v>
      </c>
      <c r="BB395" s="2" t="str">
        <f>IFERROR(__xludf.DUMMYFUNCTION("IMPORTRANGE(""https://docs.google.com/spreadsheets/d/""&amp;$A395&amp;""/edit#gid=156619080"",BB$3)"),"#REF!")</f>
        <v>#REF!</v>
      </c>
      <c r="BC395" s="2" t="str">
        <f>IFERROR(__xludf.DUMMYFUNCTION("IMPORTRANGE(""https://docs.google.com/spreadsheets/d/""&amp;$A395&amp;""/edit#gid=156619080"",BC$3)"),"#REF!")</f>
        <v>#REF!</v>
      </c>
    </row>
    <row r="396" ht="51.0" customHeight="1">
      <c r="A396" s="7" t="str">
        <f t="shared" si="5"/>
        <v>1aGLZ-lvRnpER_pXASlp4wO6070Y9yEkIbJKdovjhxT8</v>
      </c>
      <c r="B396" s="1" t="s">
        <v>423</v>
      </c>
      <c r="C396" s="2" t="str">
        <f>IFERROR(__xludf.DUMMYFUNCTION("IMPORTRANGE(""https://docs.google.com/spreadsheets/d/""&amp;$A396&amp;""/edit#gid=156619080"",C$3)"),"#REF!")</f>
        <v>#REF!</v>
      </c>
      <c r="D396" s="2" t="str">
        <f>IFERROR(__xludf.DUMMYFUNCTION("IMPORTRANGE(""https://docs.google.com/spreadsheets/d/""&amp;$A396&amp;""/edit#gid=156619080"",D$3)"),"#REF!")</f>
        <v>#REF!</v>
      </c>
      <c r="E396" s="2" t="str">
        <f>IFERROR(__xludf.DUMMYFUNCTION("IMPORTRANGE(""https://docs.google.com/spreadsheets/d/""&amp;$A396&amp;""/edit#gid=156619080"",E$3)"),"#REF!")</f>
        <v>#REF!</v>
      </c>
      <c r="F396" s="2" t="str">
        <f>IFERROR(__xludf.DUMMYFUNCTION("IMPORTRANGE(""https://docs.google.com/spreadsheets/d/""&amp;$A396&amp;""/edit#gid=156619080"",F$3)"),"#REF!")</f>
        <v>#REF!</v>
      </c>
      <c r="G396" s="2" t="str">
        <f>IFERROR(__xludf.DUMMYFUNCTION("IMPORTRANGE(""https://docs.google.com/spreadsheets/d/""&amp;$A396&amp;""/edit#gid=156619080"",G$3)"),"#REF!")</f>
        <v>#REF!</v>
      </c>
      <c r="H396" s="2" t="str">
        <f>IFERROR(__xludf.DUMMYFUNCTION("IMPORTRANGE(""https://docs.google.com/spreadsheets/d/""&amp;$A396&amp;""/edit#gid=156619080"",H$3)"),"#REF!")</f>
        <v>#REF!</v>
      </c>
      <c r="I396" s="2" t="str">
        <f>IFERROR(__xludf.DUMMYFUNCTION("IMPORTRANGE(""https://docs.google.com/spreadsheets/d/""&amp;$A396&amp;""/edit#gid=156619080"",I$3)"),"#REF!")</f>
        <v>#REF!</v>
      </c>
      <c r="J396" s="2" t="str">
        <f>IFERROR(__xludf.DUMMYFUNCTION("IMPORTRANGE(""https://docs.google.com/spreadsheets/d/""&amp;$A396&amp;""/edit#gid=156619080"",J$3)"),"#REF!")</f>
        <v>#REF!</v>
      </c>
      <c r="K396" s="2" t="str">
        <f>IFERROR(__xludf.DUMMYFUNCTION("IMPORTRANGE(""https://docs.google.com/spreadsheets/d/""&amp;$A396&amp;""/edit#gid=156619080"",K$3)"),"#REF!")</f>
        <v>#REF!</v>
      </c>
      <c r="L396" s="2" t="str">
        <f>IFERROR(__xludf.DUMMYFUNCTION("IMPORTRANGE(""https://docs.google.com/spreadsheets/d/""&amp;$A396&amp;""/edit#gid=156619080"",L$3)"),"#REF!")</f>
        <v>#REF!</v>
      </c>
      <c r="M396" s="2" t="str">
        <f>IFERROR(__xludf.DUMMYFUNCTION("IMPORTRANGE(""https://docs.google.com/spreadsheets/d/""&amp;$A396&amp;""/edit#gid=156619080"",M$3)"),"#REF!")</f>
        <v>#REF!</v>
      </c>
      <c r="N396" s="2" t="str">
        <f>IFERROR(__xludf.DUMMYFUNCTION("IMPORTRANGE(""https://docs.google.com/spreadsheets/d/""&amp;$A396&amp;""/edit#gid=156619080"",N$3)"),"#REF!")</f>
        <v>#REF!</v>
      </c>
      <c r="O396" s="2" t="str">
        <f>IFERROR(__xludf.DUMMYFUNCTION("IMPORTRANGE(""https://docs.google.com/spreadsheets/d/""&amp;$A396&amp;""/edit#gid=156619080"",O$3)"),"#REF!")</f>
        <v>#REF!</v>
      </c>
      <c r="P396" s="2" t="str">
        <f>IFERROR(__xludf.DUMMYFUNCTION("IMPORTRANGE(""https://docs.google.com/spreadsheets/d/""&amp;$A396&amp;""/edit#gid=156619080"",P$3)"),"#REF!")</f>
        <v>#REF!</v>
      </c>
      <c r="Q396" s="2" t="str">
        <f>IFERROR(__xludf.DUMMYFUNCTION("IMPORTRANGE(""https://docs.google.com/spreadsheets/d/""&amp;$A396&amp;""/edit#gid=156619080"",Q$3)"),"#REF!")</f>
        <v>#REF!</v>
      </c>
      <c r="R396" s="2" t="str">
        <f>IFERROR(__xludf.DUMMYFUNCTION("IMPORTRANGE(""https://docs.google.com/spreadsheets/d/""&amp;$A396&amp;""/edit#gid=156619080"",R$3)"),"#REF!")</f>
        <v>#REF!</v>
      </c>
      <c r="S396" s="2" t="str">
        <f>IFERROR(__xludf.DUMMYFUNCTION("IMPORTRANGE(""https://docs.google.com/spreadsheets/d/""&amp;$A396&amp;""/edit#gid=156619080"",S$3)"),"#REF!")</f>
        <v>#REF!</v>
      </c>
      <c r="T396" s="2" t="str">
        <f>IFERROR(__xludf.DUMMYFUNCTION("IMPORTRANGE(""https://docs.google.com/spreadsheets/d/""&amp;$A396&amp;""/edit#gid=156619080"",T$3)"),"#REF!")</f>
        <v>#REF!</v>
      </c>
      <c r="U396" s="2" t="str">
        <f>IFERROR(__xludf.DUMMYFUNCTION("IMPORTRANGE(""https://docs.google.com/spreadsheets/d/""&amp;$A396&amp;""/edit#gid=156619080"",U$3)"),"#REF!")</f>
        <v>#REF!</v>
      </c>
      <c r="V396" s="2" t="str">
        <f>IFERROR(__xludf.DUMMYFUNCTION("IMPORTRANGE(""https://docs.google.com/spreadsheets/d/""&amp;$A396&amp;""/edit#gid=156619080"",V$3)"),"#REF!")</f>
        <v>#REF!</v>
      </c>
      <c r="W396" s="2" t="str">
        <f>IFERROR(__xludf.DUMMYFUNCTION("IMPORTRANGE(""https://docs.google.com/spreadsheets/d/""&amp;$A396&amp;""/edit#gid=156619080"",W$3)"),"#REF!")</f>
        <v>#REF!</v>
      </c>
      <c r="X396" s="2" t="str">
        <f>IFERROR(__xludf.DUMMYFUNCTION("IMPORTRANGE(""https://docs.google.com/spreadsheets/d/""&amp;$A396&amp;""/edit#gid=156619080"",X$3)"),"#REF!")</f>
        <v>#REF!</v>
      </c>
      <c r="Y396" s="2" t="str">
        <f>IFERROR(__xludf.DUMMYFUNCTION("IMPORTRANGE(""https://docs.google.com/spreadsheets/d/""&amp;$A396&amp;""/edit#gid=156619080"",Y$3)"),"#REF!")</f>
        <v>#REF!</v>
      </c>
      <c r="Z396" s="2" t="str">
        <f>IFERROR(__xludf.DUMMYFUNCTION("IMPORTRANGE(""https://docs.google.com/spreadsheets/d/""&amp;$A396&amp;""/edit#gid=156619080"",Z$3)"),"#REF!")</f>
        <v>#REF!</v>
      </c>
      <c r="AA396" s="2" t="str">
        <f>IFERROR(__xludf.DUMMYFUNCTION("IMPORTRANGE(""https://docs.google.com/spreadsheets/d/""&amp;$A396&amp;""/edit#gid=156619080"",AA$3)"),"#REF!")</f>
        <v>#REF!</v>
      </c>
      <c r="AB396" s="2" t="str">
        <f>IFERROR(__xludf.DUMMYFUNCTION("IMPORTRANGE(""https://docs.google.com/spreadsheets/d/""&amp;$A396&amp;""/edit#gid=156619080"",AB$3)"),"#REF!")</f>
        <v>#REF!</v>
      </c>
      <c r="AC396" s="2" t="str">
        <f>IFERROR(__xludf.DUMMYFUNCTION("IMPORTRANGE(""https://docs.google.com/spreadsheets/d/""&amp;$A396&amp;""/edit#gid=156619080"",AC$3)"),"#REF!")</f>
        <v>#REF!</v>
      </c>
      <c r="AD396" s="2" t="str">
        <f>IFERROR(__xludf.DUMMYFUNCTION("IMPORTRANGE(""https://docs.google.com/spreadsheets/d/""&amp;$A396&amp;""/edit#gid=156619080"",AD$3)"),"#REF!")</f>
        <v>#REF!</v>
      </c>
      <c r="AE396" s="2" t="str">
        <f>IFERROR(__xludf.DUMMYFUNCTION("IMPORTRANGE(""https://docs.google.com/spreadsheets/d/""&amp;$A396&amp;""/edit#gid=156619080"",AE$3)"),"#REF!")</f>
        <v>#REF!</v>
      </c>
      <c r="AF396" s="2" t="str">
        <f>IFERROR(__xludf.DUMMYFUNCTION("IMPORTRANGE(""https://docs.google.com/spreadsheets/d/""&amp;$A396&amp;""/edit#gid=156619080"",AF$3)"),"#REF!")</f>
        <v>#REF!</v>
      </c>
      <c r="AG396" s="2" t="str">
        <f>IFERROR(__xludf.DUMMYFUNCTION("IMPORTRANGE(""https://docs.google.com/spreadsheets/d/""&amp;$A396&amp;""/edit#gid=156619080"",AG$3)"),"#REF!")</f>
        <v>#REF!</v>
      </c>
      <c r="AH396" s="2" t="str">
        <f>IFERROR(__xludf.DUMMYFUNCTION("IMPORTRANGE(""https://docs.google.com/spreadsheets/d/""&amp;$A396&amp;""/edit#gid=156619080"",AH$3)"),"#REF!")</f>
        <v>#REF!</v>
      </c>
      <c r="AI396" s="2" t="str">
        <f>IFERROR(__xludf.DUMMYFUNCTION("IMPORTRANGE(""https://docs.google.com/spreadsheets/d/""&amp;$A396&amp;""/edit#gid=156619080"",AI$3)"),"#REF!")</f>
        <v>#REF!</v>
      </c>
      <c r="AJ396" s="2" t="str">
        <f>IFERROR(__xludf.DUMMYFUNCTION("IMPORTRANGE(""https://docs.google.com/spreadsheets/d/""&amp;$A396&amp;""/edit#gid=156619080"",AJ$3)"),"#REF!")</f>
        <v>#REF!</v>
      </c>
      <c r="AK396" s="2" t="str">
        <f>IFERROR(__xludf.DUMMYFUNCTION("IMPORTRANGE(""https://docs.google.com/spreadsheets/d/""&amp;$A396&amp;""/edit#gid=156619080"",AK$3)"),"#REF!")</f>
        <v>#REF!</v>
      </c>
      <c r="AL396" s="2" t="str">
        <f>IFERROR(__xludf.DUMMYFUNCTION("IMPORTRANGE(""https://docs.google.com/spreadsheets/d/""&amp;$A396&amp;""/edit#gid=156619080"",AL$3)"),"#REF!")</f>
        <v>#REF!</v>
      </c>
      <c r="AM396" s="2" t="str">
        <f>IFERROR(__xludf.DUMMYFUNCTION("IMPORTRANGE(""https://docs.google.com/spreadsheets/d/""&amp;$A396&amp;""/edit#gid=156619080"",AM$3)"),"#REF!")</f>
        <v>#REF!</v>
      </c>
      <c r="AN396" s="2" t="str">
        <f>IFERROR(__xludf.DUMMYFUNCTION("IMPORTRANGE(""https://docs.google.com/spreadsheets/d/""&amp;$A396&amp;""/edit#gid=156619080"",AN$3)"),"#REF!")</f>
        <v>#REF!</v>
      </c>
      <c r="AO396" s="2" t="str">
        <f>IFERROR(__xludf.DUMMYFUNCTION("IMPORTRANGE(""https://docs.google.com/spreadsheets/d/""&amp;$A396&amp;""/edit#gid=156619080"",AO$3)"),"#REF!")</f>
        <v>#REF!</v>
      </c>
      <c r="AP396" s="2" t="str">
        <f>IFERROR(__xludf.DUMMYFUNCTION("IMPORTRANGE(""https://docs.google.com/spreadsheets/d/""&amp;$A396&amp;""/edit#gid=156619080"",AP$3)"),"#REF!")</f>
        <v>#REF!</v>
      </c>
      <c r="AQ396" s="2" t="str">
        <f>IFERROR(__xludf.DUMMYFUNCTION("IMPORTRANGE(""https://docs.google.com/spreadsheets/d/""&amp;$A396&amp;""/edit#gid=156619080"",AQ$3)"),"#REF!")</f>
        <v>#REF!</v>
      </c>
      <c r="AR396" s="2" t="str">
        <f>IFERROR(__xludf.DUMMYFUNCTION("IMPORTRANGE(""https://docs.google.com/spreadsheets/d/""&amp;$A396&amp;""/edit#gid=156619080"",AR$3)"),"#REF!")</f>
        <v>#REF!</v>
      </c>
      <c r="AS396" s="19" t="str">
        <f>IFERROR(__xludf.DUMMYFUNCTION("IMPORTRANGE(""https://docs.google.com/spreadsheets/d/""&amp;$A396&amp;""/edit#gid=156619080"",AS$3)"),"#REF!")</f>
        <v>#REF!</v>
      </c>
      <c r="AT396" s="2" t="str">
        <f>IFERROR(__xludf.DUMMYFUNCTION("IMPORTRANGE(""https://docs.google.com/spreadsheets/d/""&amp;$A396&amp;""/edit#gid=156619080"",AT$3)"),"#REF!")</f>
        <v>#REF!</v>
      </c>
      <c r="AU396" s="3" t="str">
        <f>IFERROR(__xludf.DUMMYFUNCTION("IMPORTRANGE(""https://docs.google.com/spreadsheets/d/""&amp;$A396&amp;""/edit#gid=156619080"",AU$3)"),"#REF!")</f>
        <v>#REF!</v>
      </c>
      <c r="AV396" s="2" t="str">
        <f>IFERROR(__xludf.DUMMYFUNCTION("IMPORTRANGE(""https://docs.google.com/spreadsheets/d/""&amp;$A396&amp;""/edit#gid=156619080"",AV$3)"),"#REF!")</f>
        <v>#REF!</v>
      </c>
      <c r="AW396" s="19" t="str">
        <f>IFERROR(__xludf.DUMMYFUNCTION("IMPORTRANGE(""https://docs.google.com/spreadsheets/d/""&amp;$A396&amp;""/edit#gid=156619080"",AW$3)"),"#REF!")</f>
        <v>#REF!</v>
      </c>
      <c r="AX396" s="2" t="str">
        <f>IFERROR(__xludf.DUMMYFUNCTION("IMPORTRANGE(""https://docs.google.com/spreadsheets/d/""&amp;$A396&amp;""/edit#gid=156619080"",AX$3)"),"#REF!")</f>
        <v>#REF!</v>
      </c>
      <c r="AY396" s="2" t="str">
        <f>IFERROR(__xludf.DUMMYFUNCTION("IMPORTRANGE(""https://docs.google.com/spreadsheets/d/""&amp;$A396&amp;""/edit#gid=156619080"",AY$3)"),"#REF!")</f>
        <v>#REF!</v>
      </c>
      <c r="AZ396" s="2" t="str">
        <f>IFERROR(__xludf.DUMMYFUNCTION("IMPORTRANGE(""https://docs.google.com/spreadsheets/d/""&amp;$A396&amp;""/edit#gid=156619080"",AZ$3)"),"#REF!")</f>
        <v>#REF!</v>
      </c>
      <c r="BA396" s="2" t="str">
        <f>IFERROR(__xludf.DUMMYFUNCTION("IMPORTRANGE(""https://docs.google.com/spreadsheets/d/""&amp;$A396&amp;""/edit#gid=156619080"",BA$3)"),"#REF!")</f>
        <v>#REF!</v>
      </c>
      <c r="BB396" s="2" t="str">
        <f>IFERROR(__xludf.DUMMYFUNCTION("IMPORTRANGE(""https://docs.google.com/spreadsheets/d/""&amp;$A396&amp;""/edit#gid=156619080"",BB$3)"),"#REF!")</f>
        <v>#REF!</v>
      </c>
      <c r="BC396" s="2" t="str">
        <f>IFERROR(__xludf.DUMMYFUNCTION("IMPORTRANGE(""https://docs.google.com/spreadsheets/d/""&amp;$A396&amp;""/edit#gid=156619080"",BC$3)"),"#REF!")</f>
        <v>#REF!</v>
      </c>
    </row>
    <row r="397" ht="51.0" customHeight="1">
      <c r="A397" s="7" t="str">
        <f t="shared" si="5"/>
        <v>1vYZVw-WygHlVpeMd-UFWjMUV9E-ZQaoWrmnmB4EI4os</v>
      </c>
      <c r="B397" s="1" t="s">
        <v>424</v>
      </c>
      <c r="C397" s="2" t="str">
        <f>IFERROR(__xludf.DUMMYFUNCTION("IMPORTRANGE(""https://docs.google.com/spreadsheets/d/""&amp;$A397&amp;""/edit#gid=156619080"",C$3)"),"#REF!")</f>
        <v>#REF!</v>
      </c>
      <c r="D397" s="2" t="str">
        <f>IFERROR(__xludf.DUMMYFUNCTION("IMPORTRANGE(""https://docs.google.com/spreadsheets/d/""&amp;$A397&amp;""/edit#gid=156619080"",D$3)"),"#REF!")</f>
        <v>#REF!</v>
      </c>
      <c r="E397" s="2" t="str">
        <f>IFERROR(__xludf.DUMMYFUNCTION("IMPORTRANGE(""https://docs.google.com/spreadsheets/d/""&amp;$A397&amp;""/edit#gid=156619080"",E$3)"),"#REF!")</f>
        <v>#REF!</v>
      </c>
      <c r="F397" s="2" t="str">
        <f>IFERROR(__xludf.DUMMYFUNCTION("IMPORTRANGE(""https://docs.google.com/spreadsheets/d/""&amp;$A397&amp;""/edit#gid=156619080"",F$3)"),"#REF!")</f>
        <v>#REF!</v>
      </c>
      <c r="G397" s="2" t="str">
        <f>IFERROR(__xludf.DUMMYFUNCTION("IMPORTRANGE(""https://docs.google.com/spreadsheets/d/""&amp;$A397&amp;""/edit#gid=156619080"",G$3)"),"#REF!")</f>
        <v>#REF!</v>
      </c>
      <c r="H397" s="2" t="str">
        <f>IFERROR(__xludf.DUMMYFUNCTION("IMPORTRANGE(""https://docs.google.com/spreadsheets/d/""&amp;$A397&amp;""/edit#gid=156619080"",H$3)"),"#REF!")</f>
        <v>#REF!</v>
      </c>
      <c r="I397" s="2" t="str">
        <f>IFERROR(__xludf.DUMMYFUNCTION("IMPORTRANGE(""https://docs.google.com/spreadsheets/d/""&amp;$A397&amp;""/edit#gid=156619080"",I$3)"),"#REF!")</f>
        <v>#REF!</v>
      </c>
      <c r="J397" s="2" t="str">
        <f>IFERROR(__xludf.DUMMYFUNCTION("IMPORTRANGE(""https://docs.google.com/spreadsheets/d/""&amp;$A397&amp;""/edit#gid=156619080"",J$3)"),"#REF!")</f>
        <v>#REF!</v>
      </c>
      <c r="K397" s="2" t="str">
        <f>IFERROR(__xludf.DUMMYFUNCTION("IMPORTRANGE(""https://docs.google.com/spreadsheets/d/""&amp;$A397&amp;""/edit#gid=156619080"",K$3)"),"#REF!")</f>
        <v>#REF!</v>
      </c>
      <c r="L397" s="2" t="str">
        <f>IFERROR(__xludf.DUMMYFUNCTION("IMPORTRANGE(""https://docs.google.com/spreadsheets/d/""&amp;$A397&amp;""/edit#gid=156619080"",L$3)"),"#REF!")</f>
        <v>#REF!</v>
      </c>
      <c r="M397" s="2" t="str">
        <f>IFERROR(__xludf.DUMMYFUNCTION("IMPORTRANGE(""https://docs.google.com/spreadsheets/d/""&amp;$A397&amp;""/edit#gid=156619080"",M$3)"),"#REF!")</f>
        <v>#REF!</v>
      </c>
      <c r="N397" s="2" t="str">
        <f>IFERROR(__xludf.DUMMYFUNCTION("IMPORTRANGE(""https://docs.google.com/spreadsheets/d/""&amp;$A397&amp;""/edit#gid=156619080"",N$3)"),"#REF!")</f>
        <v>#REF!</v>
      </c>
      <c r="O397" s="2" t="str">
        <f>IFERROR(__xludf.DUMMYFUNCTION("IMPORTRANGE(""https://docs.google.com/spreadsheets/d/""&amp;$A397&amp;""/edit#gid=156619080"",O$3)"),"#REF!")</f>
        <v>#REF!</v>
      </c>
      <c r="P397" s="2" t="str">
        <f>IFERROR(__xludf.DUMMYFUNCTION("IMPORTRANGE(""https://docs.google.com/spreadsheets/d/""&amp;$A397&amp;""/edit#gid=156619080"",P$3)"),"#REF!")</f>
        <v>#REF!</v>
      </c>
      <c r="Q397" s="2" t="str">
        <f>IFERROR(__xludf.DUMMYFUNCTION("IMPORTRANGE(""https://docs.google.com/spreadsheets/d/""&amp;$A397&amp;""/edit#gid=156619080"",Q$3)"),"#REF!")</f>
        <v>#REF!</v>
      </c>
      <c r="R397" s="2" t="str">
        <f>IFERROR(__xludf.DUMMYFUNCTION("IMPORTRANGE(""https://docs.google.com/spreadsheets/d/""&amp;$A397&amp;""/edit#gid=156619080"",R$3)"),"#REF!")</f>
        <v>#REF!</v>
      </c>
      <c r="S397" s="2" t="str">
        <f>IFERROR(__xludf.DUMMYFUNCTION("IMPORTRANGE(""https://docs.google.com/spreadsheets/d/""&amp;$A397&amp;""/edit#gid=156619080"",S$3)"),"#REF!")</f>
        <v>#REF!</v>
      </c>
      <c r="T397" s="2" t="str">
        <f>IFERROR(__xludf.DUMMYFUNCTION("IMPORTRANGE(""https://docs.google.com/spreadsheets/d/""&amp;$A397&amp;""/edit#gid=156619080"",T$3)"),"#REF!")</f>
        <v>#REF!</v>
      </c>
      <c r="U397" s="2" t="str">
        <f>IFERROR(__xludf.DUMMYFUNCTION("IMPORTRANGE(""https://docs.google.com/spreadsheets/d/""&amp;$A397&amp;""/edit#gid=156619080"",U$3)"),"#REF!")</f>
        <v>#REF!</v>
      </c>
      <c r="V397" s="2" t="str">
        <f>IFERROR(__xludf.DUMMYFUNCTION("IMPORTRANGE(""https://docs.google.com/spreadsheets/d/""&amp;$A397&amp;""/edit#gid=156619080"",V$3)"),"#REF!")</f>
        <v>#REF!</v>
      </c>
      <c r="W397" s="2" t="str">
        <f>IFERROR(__xludf.DUMMYFUNCTION("IMPORTRANGE(""https://docs.google.com/spreadsheets/d/""&amp;$A397&amp;""/edit#gid=156619080"",W$3)"),"#REF!")</f>
        <v>#REF!</v>
      </c>
      <c r="X397" s="2" t="str">
        <f>IFERROR(__xludf.DUMMYFUNCTION("IMPORTRANGE(""https://docs.google.com/spreadsheets/d/""&amp;$A397&amp;""/edit#gid=156619080"",X$3)"),"#REF!")</f>
        <v>#REF!</v>
      </c>
      <c r="Y397" s="2" t="str">
        <f>IFERROR(__xludf.DUMMYFUNCTION("IMPORTRANGE(""https://docs.google.com/spreadsheets/d/""&amp;$A397&amp;""/edit#gid=156619080"",Y$3)"),"#REF!")</f>
        <v>#REF!</v>
      </c>
      <c r="Z397" s="2" t="str">
        <f>IFERROR(__xludf.DUMMYFUNCTION("IMPORTRANGE(""https://docs.google.com/spreadsheets/d/""&amp;$A397&amp;""/edit#gid=156619080"",Z$3)"),"#REF!")</f>
        <v>#REF!</v>
      </c>
      <c r="AA397" s="2" t="str">
        <f>IFERROR(__xludf.DUMMYFUNCTION("IMPORTRANGE(""https://docs.google.com/spreadsheets/d/""&amp;$A397&amp;""/edit#gid=156619080"",AA$3)"),"#REF!")</f>
        <v>#REF!</v>
      </c>
      <c r="AB397" s="2" t="str">
        <f>IFERROR(__xludf.DUMMYFUNCTION("IMPORTRANGE(""https://docs.google.com/spreadsheets/d/""&amp;$A397&amp;""/edit#gid=156619080"",AB$3)"),"#REF!")</f>
        <v>#REF!</v>
      </c>
      <c r="AC397" s="2" t="str">
        <f>IFERROR(__xludf.DUMMYFUNCTION("IMPORTRANGE(""https://docs.google.com/spreadsheets/d/""&amp;$A397&amp;""/edit#gid=156619080"",AC$3)"),"#REF!")</f>
        <v>#REF!</v>
      </c>
      <c r="AD397" s="2" t="str">
        <f>IFERROR(__xludf.DUMMYFUNCTION("IMPORTRANGE(""https://docs.google.com/spreadsheets/d/""&amp;$A397&amp;""/edit#gid=156619080"",AD$3)"),"#REF!")</f>
        <v>#REF!</v>
      </c>
      <c r="AE397" s="2" t="str">
        <f>IFERROR(__xludf.DUMMYFUNCTION("IMPORTRANGE(""https://docs.google.com/spreadsheets/d/""&amp;$A397&amp;""/edit#gid=156619080"",AE$3)"),"#REF!")</f>
        <v>#REF!</v>
      </c>
      <c r="AF397" s="2" t="str">
        <f>IFERROR(__xludf.DUMMYFUNCTION("IMPORTRANGE(""https://docs.google.com/spreadsheets/d/""&amp;$A397&amp;""/edit#gid=156619080"",AF$3)"),"#REF!")</f>
        <v>#REF!</v>
      </c>
      <c r="AG397" s="2" t="str">
        <f>IFERROR(__xludf.DUMMYFUNCTION("IMPORTRANGE(""https://docs.google.com/spreadsheets/d/""&amp;$A397&amp;""/edit#gid=156619080"",AG$3)"),"#REF!")</f>
        <v>#REF!</v>
      </c>
      <c r="AH397" s="2" t="str">
        <f>IFERROR(__xludf.DUMMYFUNCTION("IMPORTRANGE(""https://docs.google.com/spreadsheets/d/""&amp;$A397&amp;""/edit#gid=156619080"",AH$3)"),"#REF!")</f>
        <v>#REF!</v>
      </c>
      <c r="AI397" s="2" t="str">
        <f>IFERROR(__xludf.DUMMYFUNCTION("IMPORTRANGE(""https://docs.google.com/spreadsheets/d/""&amp;$A397&amp;""/edit#gid=156619080"",AI$3)"),"#REF!")</f>
        <v>#REF!</v>
      </c>
      <c r="AJ397" s="2" t="str">
        <f>IFERROR(__xludf.DUMMYFUNCTION("IMPORTRANGE(""https://docs.google.com/spreadsheets/d/""&amp;$A397&amp;""/edit#gid=156619080"",AJ$3)"),"#REF!")</f>
        <v>#REF!</v>
      </c>
      <c r="AK397" s="2" t="str">
        <f>IFERROR(__xludf.DUMMYFUNCTION("IMPORTRANGE(""https://docs.google.com/spreadsheets/d/""&amp;$A397&amp;""/edit#gid=156619080"",AK$3)"),"#REF!")</f>
        <v>#REF!</v>
      </c>
      <c r="AL397" s="2" t="str">
        <f>IFERROR(__xludf.DUMMYFUNCTION("IMPORTRANGE(""https://docs.google.com/spreadsheets/d/""&amp;$A397&amp;""/edit#gid=156619080"",AL$3)"),"#REF!")</f>
        <v>#REF!</v>
      </c>
      <c r="AM397" s="2" t="str">
        <f>IFERROR(__xludf.DUMMYFUNCTION("IMPORTRANGE(""https://docs.google.com/spreadsheets/d/""&amp;$A397&amp;""/edit#gid=156619080"",AM$3)"),"#REF!")</f>
        <v>#REF!</v>
      </c>
      <c r="AN397" s="2" t="str">
        <f>IFERROR(__xludf.DUMMYFUNCTION("IMPORTRANGE(""https://docs.google.com/spreadsheets/d/""&amp;$A397&amp;""/edit#gid=156619080"",AN$3)"),"#REF!")</f>
        <v>#REF!</v>
      </c>
      <c r="AO397" s="2" t="str">
        <f>IFERROR(__xludf.DUMMYFUNCTION("IMPORTRANGE(""https://docs.google.com/spreadsheets/d/""&amp;$A397&amp;""/edit#gid=156619080"",AO$3)"),"#REF!")</f>
        <v>#REF!</v>
      </c>
      <c r="AP397" s="2" t="str">
        <f>IFERROR(__xludf.DUMMYFUNCTION("IMPORTRANGE(""https://docs.google.com/spreadsheets/d/""&amp;$A397&amp;""/edit#gid=156619080"",AP$3)"),"#REF!")</f>
        <v>#REF!</v>
      </c>
      <c r="AQ397" s="2" t="str">
        <f>IFERROR(__xludf.DUMMYFUNCTION("IMPORTRANGE(""https://docs.google.com/spreadsheets/d/""&amp;$A397&amp;""/edit#gid=156619080"",AQ$3)"),"#REF!")</f>
        <v>#REF!</v>
      </c>
      <c r="AR397" s="2" t="str">
        <f>IFERROR(__xludf.DUMMYFUNCTION("IMPORTRANGE(""https://docs.google.com/spreadsheets/d/""&amp;$A397&amp;""/edit#gid=156619080"",AR$3)"),"#REF!")</f>
        <v>#REF!</v>
      </c>
      <c r="AS397" s="19" t="str">
        <f>IFERROR(__xludf.DUMMYFUNCTION("IMPORTRANGE(""https://docs.google.com/spreadsheets/d/""&amp;$A397&amp;""/edit#gid=156619080"",AS$3)"),"#REF!")</f>
        <v>#REF!</v>
      </c>
      <c r="AT397" s="2" t="str">
        <f>IFERROR(__xludf.DUMMYFUNCTION("IMPORTRANGE(""https://docs.google.com/spreadsheets/d/""&amp;$A397&amp;""/edit#gid=156619080"",AT$3)"),"#REF!")</f>
        <v>#REF!</v>
      </c>
      <c r="AU397" s="3" t="str">
        <f>IFERROR(__xludf.DUMMYFUNCTION("IMPORTRANGE(""https://docs.google.com/spreadsheets/d/""&amp;$A397&amp;""/edit#gid=156619080"",AU$3)"),"#REF!")</f>
        <v>#REF!</v>
      </c>
      <c r="AV397" s="2" t="str">
        <f>IFERROR(__xludf.DUMMYFUNCTION("IMPORTRANGE(""https://docs.google.com/spreadsheets/d/""&amp;$A397&amp;""/edit#gid=156619080"",AV$3)"),"#REF!")</f>
        <v>#REF!</v>
      </c>
      <c r="AW397" s="19" t="str">
        <f>IFERROR(__xludf.DUMMYFUNCTION("IMPORTRANGE(""https://docs.google.com/spreadsheets/d/""&amp;$A397&amp;""/edit#gid=156619080"",AW$3)"),"#REF!")</f>
        <v>#REF!</v>
      </c>
      <c r="AX397" s="2" t="str">
        <f>IFERROR(__xludf.DUMMYFUNCTION("IMPORTRANGE(""https://docs.google.com/spreadsheets/d/""&amp;$A397&amp;""/edit#gid=156619080"",AX$3)"),"#REF!")</f>
        <v>#REF!</v>
      </c>
      <c r="AY397" s="2" t="str">
        <f>IFERROR(__xludf.DUMMYFUNCTION("IMPORTRANGE(""https://docs.google.com/spreadsheets/d/""&amp;$A397&amp;""/edit#gid=156619080"",AY$3)"),"#REF!")</f>
        <v>#REF!</v>
      </c>
      <c r="AZ397" s="2" t="str">
        <f>IFERROR(__xludf.DUMMYFUNCTION("IMPORTRANGE(""https://docs.google.com/spreadsheets/d/""&amp;$A397&amp;""/edit#gid=156619080"",AZ$3)"),"#REF!")</f>
        <v>#REF!</v>
      </c>
      <c r="BA397" s="2" t="str">
        <f>IFERROR(__xludf.DUMMYFUNCTION("IMPORTRANGE(""https://docs.google.com/spreadsheets/d/""&amp;$A397&amp;""/edit#gid=156619080"",BA$3)"),"#REF!")</f>
        <v>#REF!</v>
      </c>
      <c r="BB397" s="2" t="str">
        <f>IFERROR(__xludf.DUMMYFUNCTION("IMPORTRANGE(""https://docs.google.com/spreadsheets/d/""&amp;$A397&amp;""/edit#gid=156619080"",BB$3)"),"#REF!")</f>
        <v>#REF!</v>
      </c>
      <c r="BC397" s="2" t="str">
        <f>IFERROR(__xludf.DUMMYFUNCTION("IMPORTRANGE(""https://docs.google.com/spreadsheets/d/""&amp;$A397&amp;""/edit#gid=156619080"",BC$3)"),"#REF!")</f>
        <v>#REF!</v>
      </c>
    </row>
    <row r="398" ht="51.0" customHeight="1">
      <c r="A398" s="7" t="str">
        <f t="shared" si="5"/>
        <v>15uzKc_oMKyF0i6YjkWiWMk0hunG0gvWje6GS44LCBb0</v>
      </c>
      <c r="B398" s="1" t="s">
        <v>425</v>
      </c>
      <c r="C398" s="2" t="str">
        <f>IFERROR(__xludf.DUMMYFUNCTION("IMPORTRANGE(""https://docs.google.com/spreadsheets/d/""&amp;$A398&amp;""/edit#gid=156619080"",C$3)"),"#REF!")</f>
        <v>#REF!</v>
      </c>
      <c r="D398" s="2" t="str">
        <f>IFERROR(__xludf.DUMMYFUNCTION("IMPORTRANGE(""https://docs.google.com/spreadsheets/d/""&amp;$A398&amp;""/edit#gid=156619080"",D$3)"),"#REF!")</f>
        <v>#REF!</v>
      </c>
      <c r="E398" s="2" t="str">
        <f>IFERROR(__xludf.DUMMYFUNCTION("IMPORTRANGE(""https://docs.google.com/spreadsheets/d/""&amp;$A398&amp;""/edit#gid=156619080"",E$3)"),"#REF!")</f>
        <v>#REF!</v>
      </c>
      <c r="F398" s="2" t="str">
        <f>IFERROR(__xludf.DUMMYFUNCTION("IMPORTRANGE(""https://docs.google.com/spreadsheets/d/""&amp;$A398&amp;""/edit#gid=156619080"",F$3)"),"#REF!")</f>
        <v>#REF!</v>
      </c>
      <c r="G398" s="2" t="str">
        <f>IFERROR(__xludf.DUMMYFUNCTION("IMPORTRANGE(""https://docs.google.com/spreadsheets/d/""&amp;$A398&amp;""/edit#gid=156619080"",G$3)"),"#REF!")</f>
        <v>#REF!</v>
      </c>
      <c r="H398" s="2" t="str">
        <f>IFERROR(__xludf.DUMMYFUNCTION("IMPORTRANGE(""https://docs.google.com/spreadsheets/d/""&amp;$A398&amp;""/edit#gid=156619080"",H$3)"),"#REF!")</f>
        <v>#REF!</v>
      </c>
      <c r="I398" s="2" t="str">
        <f>IFERROR(__xludf.DUMMYFUNCTION("IMPORTRANGE(""https://docs.google.com/spreadsheets/d/""&amp;$A398&amp;""/edit#gid=156619080"",I$3)"),"#REF!")</f>
        <v>#REF!</v>
      </c>
      <c r="J398" s="2" t="str">
        <f>IFERROR(__xludf.DUMMYFUNCTION("IMPORTRANGE(""https://docs.google.com/spreadsheets/d/""&amp;$A398&amp;""/edit#gid=156619080"",J$3)"),"#REF!")</f>
        <v>#REF!</v>
      </c>
      <c r="K398" s="2" t="str">
        <f>IFERROR(__xludf.DUMMYFUNCTION("IMPORTRANGE(""https://docs.google.com/spreadsheets/d/""&amp;$A398&amp;""/edit#gid=156619080"",K$3)"),"#REF!")</f>
        <v>#REF!</v>
      </c>
      <c r="L398" s="2" t="str">
        <f>IFERROR(__xludf.DUMMYFUNCTION("IMPORTRANGE(""https://docs.google.com/spreadsheets/d/""&amp;$A398&amp;""/edit#gid=156619080"",L$3)"),"#REF!")</f>
        <v>#REF!</v>
      </c>
      <c r="M398" s="2" t="str">
        <f>IFERROR(__xludf.DUMMYFUNCTION("IMPORTRANGE(""https://docs.google.com/spreadsheets/d/""&amp;$A398&amp;""/edit#gid=156619080"",M$3)"),"#REF!")</f>
        <v>#REF!</v>
      </c>
      <c r="N398" s="2" t="str">
        <f>IFERROR(__xludf.DUMMYFUNCTION("IMPORTRANGE(""https://docs.google.com/spreadsheets/d/""&amp;$A398&amp;""/edit#gid=156619080"",N$3)"),"#REF!")</f>
        <v>#REF!</v>
      </c>
      <c r="O398" s="2" t="str">
        <f>IFERROR(__xludf.DUMMYFUNCTION("IMPORTRANGE(""https://docs.google.com/spreadsheets/d/""&amp;$A398&amp;""/edit#gid=156619080"",O$3)"),"#REF!")</f>
        <v>#REF!</v>
      </c>
      <c r="P398" s="2" t="str">
        <f>IFERROR(__xludf.DUMMYFUNCTION("IMPORTRANGE(""https://docs.google.com/spreadsheets/d/""&amp;$A398&amp;""/edit#gid=156619080"",P$3)"),"#REF!")</f>
        <v>#REF!</v>
      </c>
      <c r="Q398" s="2" t="str">
        <f>IFERROR(__xludf.DUMMYFUNCTION("IMPORTRANGE(""https://docs.google.com/spreadsheets/d/""&amp;$A398&amp;""/edit#gid=156619080"",Q$3)"),"#REF!")</f>
        <v>#REF!</v>
      </c>
      <c r="R398" s="2" t="str">
        <f>IFERROR(__xludf.DUMMYFUNCTION("IMPORTRANGE(""https://docs.google.com/spreadsheets/d/""&amp;$A398&amp;""/edit#gid=156619080"",R$3)"),"#REF!")</f>
        <v>#REF!</v>
      </c>
      <c r="S398" s="2" t="str">
        <f>IFERROR(__xludf.DUMMYFUNCTION("IMPORTRANGE(""https://docs.google.com/spreadsheets/d/""&amp;$A398&amp;""/edit#gid=156619080"",S$3)"),"#REF!")</f>
        <v>#REF!</v>
      </c>
      <c r="T398" s="2" t="str">
        <f>IFERROR(__xludf.DUMMYFUNCTION("IMPORTRANGE(""https://docs.google.com/spreadsheets/d/""&amp;$A398&amp;""/edit#gid=156619080"",T$3)"),"#REF!")</f>
        <v>#REF!</v>
      </c>
      <c r="U398" s="2" t="str">
        <f>IFERROR(__xludf.DUMMYFUNCTION("IMPORTRANGE(""https://docs.google.com/spreadsheets/d/""&amp;$A398&amp;""/edit#gid=156619080"",U$3)"),"#REF!")</f>
        <v>#REF!</v>
      </c>
      <c r="V398" s="2" t="str">
        <f>IFERROR(__xludf.DUMMYFUNCTION("IMPORTRANGE(""https://docs.google.com/spreadsheets/d/""&amp;$A398&amp;""/edit#gid=156619080"",V$3)"),"#REF!")</f>
        <v>#REF!</v>
      </c>
      <c r="W398" s="2" t="str">
        <f>IFERROR(__xludf.DUMMYFUNCTION("IMPORTRANGE(""https://docs.google.com/spreadsheets/d/""&amp;$A398&amp;""/edit#gid=156619080"",W$3)"),"#REF!")</f>
        <v>#REF!</v>
      </c>
      <c r="X398" s="2" t="str">
        <f>IFERROR(__xludf.DUMMYFUNCTION("IMPORTRANGE(""https://docs.google.com/spreadsheets/d/""&amp;$A398&amp;""/edit#gid=156619080"",X$3)"),"#REF!")</f>
        <v>#REF!</v>
      </c>
      <c r="Y398" s="2" t="str">
        <f>IFERROR(__xludf.DUMMYFUNCTION("IMPORTRANGE(""https://docs.google.com/spreadsheets/d/""&amp;$A398&amp;""/edit#gid=156619080"",Y$3)"),"#REF!")</f>
        <v>#REF!</v>
      </c>
      <c r="Z398" s="2" t="str">
        <f>IFERROR(__xludf.DUMMYFUNCTION("IMPORTRANGE(""https://docs.google.com/spreadsheets/d/""&amp;$A398&amp;""/edit#gid=156619080"",Z$3)"),"#REF!")</f>
        <v>#REF!</v>
      </c>
      <c r="AA398" s="2" t="str">
        <f>IFERROR(__xludf.DUMMYFUNCTION("IMPORTRANGE(""https://docs.google.com/spreadsheets/d/""&amp;$A398&amp;""/edit#gid=156619080"",AA$3)"),"#REF!")</f>
        <v>#REF!</v>
      </c>
      <c r="AB398" s="2" t="str">
        <f>IFERROR(__xludf.DUMMYFUNCTION("IMPORTRANGE(""https://docs.google.com/spreadsheets/d/""&amp;$A398&amp;""/edit#gid=156619080"",AB$3)"),"#REF!")</f>
        <v>#REF!</v>
      </c>
      <c r="AC398" s="2" t="str">
        <f>IFERROR(__xludf.DUMMYFUNCTION("IMPORTRANGE(""https://docs.google.com/spreadsheets/d/""&amp;$A398&amp;""/edit#gid=156619080"",AC$3)"),"#REF!")</f>
        <v>#REF!</v>
      </c>
      <c r="AD398" s="2" t="str">
        <f>IFERROR(__xludf.DUMMYFUNCTION("IMPORTRANGE(""https://docs.google.com/spreadsheets/d/""&amp;$A398&amp;""/edit#gid=156619080"",AD$3)"),"#REF!")</f>
        <v>#REF!</v>
      </c>
      <c r="AE398" s="2" t="str">
        <f>IFERROR(__xludf.DUMMYFUNCTION("IMPORTRANGE(""https://docs.google.com/spreadsheets/d/""&amp;$A398&amp;""/edit#gid=156619080"",AE$3)"),"#REF!")</f>
        <v>#REF!</v>
      </c>
      <c r="AF398" s="2" t="str">
        <f>IFERROR(__xludf.DUMMYFUNCTION("IMPORTRANGE(""https://docs.google.com/spreadsheets/d/""&amp;$A398&amp;""/edit#gid=156619080"",AF$3)"),"#REF!")</f>
        <v>#REF!</v>
      </c>
      <c r="AG398" s="2" t="str">
        <f>IFERROR(__xludf.DUMMYFUNCTION("IMPORTRANGE(""https://docs.google.com/spreadsheets/d/""&amp;$A398&amp;""/edit#gid=156619080"",AG$3)"),"#REF!")</f>
        <v>#REF!</v>
      </c>
      <c r="AH398" s="2" t="str">
        <f>IFERROR(__xludf.DUMMYFUNCTION("IMPORTRANGE(""https://docs.google.com/spreadsheets/d/""&amp;$A398&amp;""/edit#gid=156619080"",AH$3)"),"#REF!")</f>
        <v>#REF!</v>
      </c>
      <c r="AI398" s="2" t="str">
        <f>IFERROR(__xludf.DUMMYFUNCTION("IMPORTRANGE(""https://docs.google.com/spreadsheets/d/""&amp;$A398&amp;""/edit#gid=156619080"",AI$3)"),"#REF!")</f>
        <v>#REF!</v>
      </c>
      <c r="AJ398" s="2" t="str">
        <f>IFERROR(__xludf.DUMMYFUNCTION("IMPORTRANGE(""https://docs.google.com/spreadsheets/d/""&amp;$A398&amp;""/edit#gid=156619080"",AJ$3)"),"#REF!")</f>
        <v>#REF!</v>
      </c>
      <c r="AK398" s="2" t="str">
        <f>IFERROR(__xludf.DUMMYFUNCTION("IMPORTRANGE(""https://docs.google.com/spreadsheets/d/""&amp;$A398&amp;""/edit#gid=156619080"",AK$3)"),"#REF!")</f>
        <v>#REF!</v>
      </c>
      <c r="AL398" s="2" t="str">
        <f>IFERROR(__xludf.DUMMYFUNCTION("IMPORTRANGE(""https://docs.google.com/spreadsheets/d/""&amp;$A398&amp;""/edit#gid=156619080"",AL$3)"),"#REF!")</f>
        <v>#REF!</v>
      </c>
      <c r="AM398" s="2" t="str">
        <f>IFERROR(__xludf.DUMMYFUNCTION("IMPORTRANGE(""https://docs.google.com/spreadsheets/d/""&amp;$A398&amp;""/edit#gid=156619080"",AM$3)"),"#REF!")</f>
        <v>#REF!</v>
      </c>
      <c r="AN398" s="2" t="str">
        <f>IFERROR(__xludf.DUMMYFUNCTION("IMPORTRANGE(""https://docs.google.com/spreadsheets/d/""&amp;$A398&amp;""/edit#gid=156619080"",AN$3)"),"#REF!")</f>
        <v>#REF!</v>
      </c>
      <c r="AO398" s="2" t="str">
        <f>IFERROR(__xludf.DUMMYFUNCTION("IMPORTRANGE(""https://docs.google.com/spreadsheets/d/""&amp;$A398&amp;""/edit#gid=156619080"",AO$3)"),"#REF!")</f>
        <v>#REF!</v>
      </c>
      <c r="AP398" s="2" t="str">
        <f>IFERROR(__xludf.DUMMYFUNCTION("IMPORTRANGE(""https://docs.google.com/spreadsheets/d/""&amp;$A398&amp;""/edit#gid=156619080"",AP$3)"),"#REF!")</f>
        <v>#REF!</v>
      </c>
      <c r="AQ398" s="2" t="str">
        <f>IFERROR(__xludf.DUMMYFUNCTION("IMPORTRANGE(""https://docs.google.com/spreadsheets/d/""&amp;$A398&amp;""/edit#gid=156619080"",AQ$3)"),"#REF!")</f>
        <v>#REF!</v>
      </c>
      <c r="AR398" s="2" t="str">
        <f>IFERROR(__xludf.DUMMYFUNCTION("IMPORTRANGE(""https://docs.google.com/spreadsheets/d/""&amp;$A398&amp;""/edit#gid=156619080"",AR$3)"),"#REF!")</f>
        <v>#REF!</v>
      </c>
      <c r="AS398" s="19" t="str">
        <f>IFERROR(__xludf.DUMMYFUNCTION("IMPORTRANGE(""https://docs.google.com/spreadsheets/d/""&amp;$A398&amp;""/edit#gid=156619080"",AS$3)"),"#REF!")</f>
        <v>#REF!</v>
      </c>
      <c r="AT398" s="2" t="str">
        <f>IFERROR(__xludf.DUMMYFUNCTION("IMPORTRANGE(""https://docs.google.com/spreadsheets/d/""&amp;$A398&amp;""/edit#gid=156619080"",AT$3)"),"#REF!")</f>
        <v>#REF!</v>
      </c>
      <c r="AU398" s="3" t="str">
        <f>IFERROR(__xludf.DUMMYFUNCTION("IMPORTRANGE(""https://docs.google.com/spreadsheets/d/""&amp;$A398&amp;""/edit#gid=156619080"",AU$3)"),"#REF!")</f>
        <v>#REF!</v>
      </c>
      <c r="AV398" s="2" t="str">
        <f>IFERROR(__xludf.DUMMYFUNCTION("IMPORTRANGE(""https://docs.google.com/spreadsheets/d/""&amp;$A398&amp;""/edit#gid=156619080"",AV$3)"),"#REF!")</f>
        <v>#REF!</v>
      </c>
      <c r="AW398" s="19" t="str">
        <f>IFERROR(__xludf.DUMMYFUNCTION("IMPORTRANGE(""https://docs.google.com/spreadsheets/d/""&amp;$A398&amp;""/edit#gid=156619080"",AW$3)"),"#REF!")</f>
        <v>#REF!</v>
      </c>
      <c r="AX398" s="2" t="str">
        <f>IFERROR(__xludf.DUMMYFUNCTION("IMPORTRANGE(""https://docs.google.com/spreadsheets/d/""&amp;$A398&amp;""/edit#gid=156619080"",AX$3)"),"#REF!")</f>
        <v>#REF!</v>
      </c>
      <c r="AY398" s="2" t="str">
        <f>IFERROR(__xludf.DUMMYFUNCTION("IMPORTRANGE(""https://docs.google.com/spreadsheets/d/""&amp;$A398&amp;""/edit#gid=156619080"",AY$3)"),"#REF!")</f>
        <v>#REF!</v>
      </c>
      <c r="AZ398" s="2" t="str">
        <f>IFERROR(__xludf.DUMMYFUNCTION("IMPORTRANGE(""https://docs.google.com/spreadsheets/d/""&amp;$A398&amp;""/edit#gid=156619080"",AZ$3)"),"#REF!")</f>
        <v>#REF!</v>
      </c>
      <c r="BA398" s="2" t="str">
        <f>IFERROR(__xludf.DUMMYFUNCTION("IMPORTRANGE(""https://docs.google.com/spreadsheets/d/""&amp;$A398&amp;""/edit#gid=156619080"",BA$3)"),"#REF!")</f>
        <v>#REF!</v>
      </c>
      <c r="BB398" s="2" t="str">
        <f>IFERROR(__xludf.DUMMYFUNCTION("IMPORTRANGE(""https://docs.google.com/spreadsheets/d/""&amp;$A398&amp;""/edit#gid=156619080"",BB$3)"),"#REF!")</f>
        <v>#REF!</v>
      </c>
      <c r="BC398" s="2" t="str">
        <f>IFERROR(__xludf.DUMMYFUNCTION("IMPORTRANGE(""https://docs.google.com/spreadsheets/d/""&amp;$A398&amp;""/edit#gid=156619080"",BC$3)"),"#REF!")</f>
        <v>#REF!</v>
      </c>
    </row>
    <row r="399" ht="51.0" customHeight="1">
      <c r="A399" s="7" t="str">
        <f t="shared" si="5"/>
        <v>1XPk82veu-RLhjVriQdp0oz_ZvN9SbJVuXXTcdOscrEE</v>
      </c>
      <c r="B399" s="1" t="s">
        <v>426</v>
      </c>
      <c r="C399" s="2" t="str">
        <f>IFERROR(__xludf.DUMMYFUNCTION("IMPORTRANGE(""https://docs.google.com/spreadsheets/d/""&amp;$A399&amp;""/edit#gid=156619080"",C$3)"),"#REF!")</f>
        <v>#REF!</v>
      </c>
      <c r="D399" s="2" t="str">
        <f>IFERROR(__xludf.DUMMYFUNCTION("IMPORTRANGE(""https://docs.google.com/spreadsheets/d/""&amp;$A399&amp;""/edit#gid=156619080"",D$3)"),"#REF!")</f>
        <v>#REF!</v>
      </c>
      <c r="E399" s="2" t="str">
        <f>IFERROR(__xludf.DUMMYFUNCTION("IMPORTRANGE(""https://docs.google.com/spreadsheets/d/""&amp;$A399&amp;""/edit#gid=156619080"",E$3)"),"#REF!")</f>
        <v>#REF!</v>
      </c>
      <c r="F399" s="2" t="str">
        <f>IFERROR(__xludf.DUMMYFUNCTION("IMPORTRANGE(""https://docs.google.com/spreadsheets/d/""&amp;$A399&amp;""/edit#gid=156619080"",F$3)"),"#REF!")</f>
        <v>#REF!</v>
      </c>
      <c r="G399" s="2" t="str">
        <f>IFERROR(__xludf.DUMMYFUNCTION("IMPORTRANGE(""https://docs.google.com/spreadsheets/d/""&amp;$A399&amp;""/edit#gid=156619080"",G$3)"),"#REF!")</f>
        <v>#REF!</v>
      </c>
      <c r="H399" s="2" t="str">
        <f>IFERROR(__xludf.DUMMYFUNCTION("IMPORTRANGE(""https://docs.google.com/spreadsheets/d/""&amp;$A399&amp;""/edit#gid=156619080"",H$3)"),"#REF!")</f>
        <v>#REF!</v>
      </c>
      <c r="I399" s="2" t="str">
        <f>IFERROR(__xludf.DUMMYFUNCTION("IMPORTRANGE(""https://docs.google.com/spreadsheets/d/""&amp;$A399&amp;""/edit#gid=156619080"",I$3)"),"#REF!")</f>
        <v>#REF!</v>
      </c>
      <c r="J399" s="2" t="str">
        <f>IFERROR(__xludf.DUMMYFUNCTION("IMPORTRANGE(""https://docs.google.com/spreadsheets/d/""&amp;$A399&amp;""/edit#gid=156619080"",J$3)"),"#REF!")</f>
        <v>#REF!</v>
      </c>
      <c r="K399" s="2" t="str">
        <f>IFERROR(__xludf.DUMMYFUNCTION("IMPORTRANGE(""https://docs.google.com/spreadsheets/d/""&amp;$A399&amp;""/edit#gid=156619080"",K$3)"),"#REF!")</f>
        <v>#REF!</v>
      </c>
      <c r="L399" s="2" t="str">
        <f>IFERROR(__xludf.DUMMYFUNCTION("IMPORTRANGE(""https://docs.google.com/spreadsheets/d/""&amp;$A399&amp;""/edit#gid=156619080"",L$3)"),"#REF!")</f>
        <v>#REF!</v>
      </c>
      <c r="M399" s="2" t="str">
        <f>IFERROR(__xludf.DUMMYFUNCTION("IMPORTRANGE(""https://docs.google.com/spreadsheets/d/""&amp;$A399&amp;""/edit#gid=156619080"",M$3)"),"#REF!")</f>
        <v>#REF!</v>
      </c>
      <c r="N399" s="2" t="str">
        <f>IFERROR(__xludf.DUMMYFUNCTION("IMPORTRANGE(""https://docs.google.com/spreadsheets/d/""&amp;$A399&amp;""/edit#gid=156619080"",N$3)"),"#REF!")</f>
        <v>#REF!</v>
      </c>
      <c r="O399" s="2" t="str">
        <f>IFERROR(__xludf.DUMMYFUNCTION("IMPORTRANGE(""https://docs.google.com/spreadsheets/d/""&amp;$A399&amp;""/edit#gid=156619080"",O$3)"),"#REF!")</f>
        <v>#REF!</v>
      </c>
      <c r="P399" s="2" t="str">
        <f>IFERROR(__xludf.DUMMYFUNCTION("IMPORTRANGE(""https://docs.google.com/spreadsheets/d/""&amp;$A399&amp;""/edit#gid=156619080"",P$3)"),"#REF!")</f>
        <v>#REF!</v>
      </c>
      <c r="Q399" s="2" t="str">
        <f>IFERROR(__xludf.DUMMYFUNCTION("IMPORTRANGE(""https://docs.google.com/spreadsheets/d/""&amp;$A399&amp;""/edit#gid=156619080"",Q$3)"),"#REF!")</f>
        <v>#REF!</v>
      </c>
      <c r="R399" s="2" t="str">
        <f>IFERROR(__xludf.DUMMYFUNCTION("IMPORTRANGE(""https://docs.google.com/spreadsheets/d/""&amp;$A399&amp;""/edit#gid=156619080"",R$3)"),"#REF!")</f>
        <v>#REF!</v>
      </c>
      <c r="S399" s="2" t="str">
        <f>IFERROR(__xludf.DUMMYFUNCTION("IMPORTRANGE(""https://docs.google.com/spreadsheets/d/""&amp;$A399&amp;""/edit#gid=156619080"",S$3)"),"#REF!")</f>
        <v>#REF!</v>
      </c>
      <c r="T399" s="2" t="str">
        <f>IFERROR(__xludf.DUMMYFUNCTION("IMPORTRANGE(""https://docs.google.com/spreadsheets/d/""&amp;$A399&amp;""/edit#gid=156619080"",T$3)"),"#REF!")</f>
        <v>#REF!</v>
      </c>
      <c r="U399" s="2" t="str">
        <f>IFERROR(__xludf.DUMMYFUNCTION("IMPORTRANGE(""https://docs.google.com/spreadsheets/d/""&amp;$A399&amp;""/edit#gid=156619080"",U$3)"),"#REF!")</f>
        <v>#REF!</v>
      </c>
      <c r="V399" s="2" t="str">
        <f>IFERROR(__xludf.DUMMYFUNCTION("IMPORTRANGE(""https://docs.google.com/spreadsheets/d/""&amp;$A399&amp;""/edit#gid=156619080"",V$3)"),"#REF!")</f>
        <v>#REF!</v>
      </c>
      <c r="W399" s="2" t="str">
        <f>IFERROR(__xludf.DUMMYFUNCTION("IMPORTRANGE(""https://docs.google.com/spreadsheets/d/""&amp;$A399&amp;""/edit#gid=156619080"",W$3)"),"#REF!")</f>
        <v>#REF!</v>
      </c>
      <c r="X399" s="2" t="str">
        <f>IFERROR(__xludf.DUMMYFUNCTION("IMPORTRANGE(""https://docs.google.com/spreadsheets/d/""&amp;$A399&amp;""/edit#gid=156619080"",X$3)"),"#REF!")</f>
        <v>#REF!</v>
      </c>
      <c r="Y399" s="2" t="str">
        <f>IFERROR(__xludf.DUMMYFUNCTION("IMPORTRANGE(""https://docs.google.com/spreadsheets/d/""&amp;$A399&amp;""/edit#gid=156619080"",Y$3)"),"#REF!")</f>
        <v>#REF!</v>
      </c>
      <c r="Z399" s="2" t="str">
        <f>IFERROR(__xludf.DUMMYFUNCTION("IMPORTRANGE(""https://docs.google.com/spreadsheets/d/""&amp;$A399&amp;""/edit#gid=156619080"",Z$3)"),"#REF!")</f>
        <v>#REF!</v>
      </c>
      <c r="AA399" s="2" t="str">
        <f>IFERROR(__xludf.DUMMYFUNCTION("IMPORTRANGE(""https://docs.google.com/spreadsheets/d/""&amp;$A399&amp;""/edit#gid=156619080"",AA$3)"),"#REF!")</f>
        <v>#REF!</v>
      </c>
      <c r="AB399" s="2" t="str">
        <f>IFERROR(__xludf.DUMMYFUNCTION("IMPORTRANGE(""https://docs.google.com/spreadsheets/d/""&amp;$A399&amp;""/edit#gid=156619080"",AB$3)"),"#REF!")</f>
        <v>#REF!</v>
      </c>
      <c r="AC399" s="2" t="str">
        <f>IFERROR(__xludf.DUMMYFUNCTION("IMPORTRANGE(""https://docs.google.com/spreadsheets/d/""&amp;$A399&amp;""/edit#gid=156619080"",AC$3)"),"#REF!")</f>
        <v>#REF!</v>
      </c>
      <c r="AD399" s="2" t="str">
        <f>IFERROR(__xludf.DUMMYFUNCTION("IMPORTRANGE(""https://docs.google.com/spreadsheets/d/""&amp;$A399&amp;""/edit#gid=156619080"",AD$3)"),"#REF!")</f>
        <v>#REF!</v>
      </c>
      <c r="AE399" s="2" t="str">
        <f>IFERROR(__xludf.DUMMYFUNCTION("IMPORTRANGE(""https://docs.google.com/spreadsheets/d/""&amp;$A399&amp;""/edit#gid=156619080"",AE$3)"),"#REF!")</f>
        <v>#REF!</v>
      </c>
      <c r="AF399" s="2" t="str">
        <f>IFERROR(__xludf.DUMMYFUNCTION("IMPORTRANGE(""https://docs.google.com/spreadsheets/d/""&amp;$A399&amp;""/edit#gid=156619080"",AF$3)"),"#REF!")</f>
        <v>#REF!</v>
      </c>
      <c r="AG399" s="2" t="str">
        <f>IFERROR(__xludf.DUMMYFUNCTION("IMPORTRANGE(""https://docs.google.com/spreadsheets/d/""&amp;$A399&amp;""/edit#gid=156619080"",AG$3)"),"#REF!")</f>
        <v>#REF!</v>
      </c>
      <c r="AH399" s="2" t="str">
        <f>IFERROR(__xludf.DUMMYFUNCTION("IMPORTRANGE(""https://docs.google.com/spreadsheets/d/""&amp;$A399&amp;""/edit#gid=156619080"",AH$3)"),"#REF!")</f>
        <v>#REF!</v>
      </c>
      <c r="AI399" s="2" t="str">
        <f>IFERROR(__xludf.DUMMYFUNCTION("IMPORTRANGE(""https://docs.google.com/spreadsheets/d/""&amp;$A399&amp;""/edit#gid=156619080"",AI$3)"),"#REF!")</f>
        <v>#REF!</v>
      </c>
      <c r="AJ399" s="2" t="str">
        <f>IFERROR(__xludf.DUMMYFUNCTION("IMPORTRANGE(""https://docs.google.com/spreadsheets/d/""&amp;$A399&amp;""/edit#gid=156619080"",AJ$3)"),"#REF!")</f>
        <v>#REF!</v>
      </c>
      <c r="AK399" s="2" t="str">
        <f>IFERROR(__xludf.DUMMYFUNCTION("IMPORTRANGE(""https://docs.google.com/spreadsheets/d/""&amp;$A399&amp;""/edit#gid=156619080"",AK$3)"),"#REF!")</f>
        <v>#REF!</v>
      </c>
      <c r="AL399" s="2" t="str">
        <f>IFERROR(__xludf.DUMMYFUNCTION("IMPORTRANGE(""https://docs.google.com/spreadsheets/d/""&amp;$A399&amp;""/edit#gid=156619080"",AL$3)"),"#REF!")</f>
        <v>#REF!</v>
      </c>
      <c r="AM399" s="2" t="str">
        <f>IFERROR(__xludf.DUMMYFUNCTION("IMPORTRANGE(""https://docs.google.com/spreadsheets/d/""&amp;$A399&amp;""/edit#gid=156619080"",AM$3)"),"#REF!")</f>
        <v>#REF!</v>
      </c>
      <c r="AN399" s="2" t="str">
        <f>IFERROR(__xludf.DUMMYFUNCTION("IMPORTRANGE(""https://docs.google.com/spreadsheets/d/""&amp;$A399&amp;""/edit#gid=156619080"",AN$3)"),"#REF!")</f>
        <v>#REF!</v>
      </c>
      <c r="AO399" s="2" t="str">
        <f>IFERROR(__xludf.DUMMYFUNCTION("IMPORTRANGE(""https://docs.google.com/spreadsheets/d/""&amp;$A399&amp;""/edit#gid=156619080"",AO$3)"),"#REF!")</f>
        <v>#REF!</v>
      </c>
      <c r="AP399" s="2" t="str">
        <f>IFERROR(__xludf.DUMMYFUNCTION("IMPORTRANGE(""https://docs.google.com/spreadsheets/d/""&amp;$A399&amp;""/edit#gid=156619080"",AP$3)"),"#REF!")</f>
        <v>#REF!</v>
      </c>
      <c r="AQ399" s="2" t="str">
        <f>IFERROR(__xludf.DUMMYFUNCTION("IMPORTRANGE(""https://docs.google.com/spreadsheets/d/""&amp;$A399&amp;""/edit#gid=156619080"",AQ$3)"),"#REF!")</f>
        <v>#REF!</v>
      </c>
      <c r="AR399" s="2" t="str">
        <f>IFERROR(__xludf.DUMMYFUNCTION("IMPORTRANGE(""https://docs.google.com/spreadsheets/d/""&amp;$A399&amp;""/edit#gid=156619080"",AR$3)"),"#REF!")</f>
        <v>#REF!</v>
      </c>
      <c r="AS399" s="19" t="str">
        <f>IFERROR(__xludf.DUMMYFUNCTION("IMPORTRANGE(""https://docs.google.com/spreadsheets/d/""&amp;$A399&amp;""/edit#gid=156619080"",AS$3)"),"#REF!")</f>
        <v>#REF!</v>
      </c>
      <c r="AT399" s="2" t="str">
        <f>IFERROR(__xludf.DUMMYFUNCTION("IMPORTRANGE(""https://docs.google.com/spreadsheets/d/""&amp;$A399&amp;""/edit#gid=156619080"",AT$3)"),"#REF!")</f>
        <v>#REF!</v>
      </c>
      <c r="AU399" s="3" t="str">
        <f>IFERROR(__xludf.DUMMYFUNCTION("IMPORTRANGE(""https://docs.google.com/spreadsheets/d/""&amp;$A399&amp;""/edit#gid=156619080"",AU$3)"),"#REF!")</f>
        <v>#REF!</v>
      </c>
      <c r="AV399" s="2" t="str">
        <f>IFERROR(__xludf.DUMMYFUNCTION("IMPORTRANGE(""https://docs.google.com/spreadsheets/d/""&amp;$A399&amp;""/edit#gid=156619080"",AV$3)"),"#REF!")</f>
        <v>#REF!</v>
      </c>
      <c r="AW399" s="19" t="str">
        <f>IFERROR(__xludf.DUMMYFUNCTION("IMPORTRANGE(""https://docs.google.com/spreadsheets/d/""&amp;$A399&amp;""/edit#gid=156619080"",AW$3)"),"#REF!")</f>
        <v>#REF!</v>
      </c>
      <c r="AX399" s="2" t="str">
        <f>IFERROR(__xludf.DUMMYFUNCTION("IMPORTRANGE(""https://docs.google.com/spreadsheets/d/""&amp;$A399&amp;""/edit#gid=156619080"",AX$3)"),"#REF!")</f>
        <v>#REF!</v>
      </c>
      <c r="AY399" s="2" t="str">
        <f>IFERROR(__xludf.DUMMYFUNCTION("IMPORTRANGE(""https://docs.google.com/spreadsheets/d/""&amp;$A399&amp;""/edit#gid=156619080"",AY$3)"),"#REF!")</f>
        <v>#REF!</v>
      </c>
      <c r="AZ399" s="2" t="str">
        <f>IFERROR(__xludf.DUMMYFUNCTION("IMPORTRANGE(""https://docs.google.com/spreadsheets/d/""&amp;$A399&amp;""/edit#gid=156619080"",AZ$3)"),"#REF!")</f>
        <v>#REF!</v>
      </c>
      <c r="BA399" s="2" t="str">
        <f>IFERROR(__xludf.DUMMYFUNCTION("IMPORTRANGE(""https://docs.google.com/spreadsheets/d/""&amp;$A399&amp;""/edit#gid=156619080"",BA$3)"),"#REF!")</f>
        <v>#REF!</v>
      </c>
      <c r="BB399" s="2" t="str">
        <f>IFERROR(__xludf.DUMMYFUNCTION("IMPORTRANGE(""https://docs.google.com/spreadsheets/d/""&amp;$A399&amp;""/edit#gid=156619080"",BB$3)"),"#REF!")</f>
        <v>#REF!</v>
      </c>
      <c r="BC399" s="2" t="str">
        <f>IFERROR(__xludf.DUMMYFUNCTION("IMPORTRANGE(""https://docs.google.com/spreadsheets/d/""&amp;$A399&amp;""/edit#gid=156619080"",BC$3)"),"#REF!")</f>
        <v>#REF!</v>
      </c>
    </row>
    <row r="400" ht="51.0" customHeight="1">
      <c r="A400" s="7" t="str">
        <f t="shared" si="5"/>
        <v>1h95zMP0bDqOuC8OVTjg_i6jbpzJAXeWkOCYxL06ZmNw</v>
      </c>
      <c r="B400" s="1" t="s">
        <v>427</v>
      </c>
      <c r="C400" s="2" t="str">
        <f>IFERROR(__xludf.DUMMYFUNCTION("IMPORTRANGE(""https://docs.google.com/spreadsheets/d/""&amp;$A400&amp;""/edit#gid=156619080"",C$3)"),"#REF!")</f>
        <v>#REF!</v>
      </c>
      <c r="D400" s="2" t="str">
        <f>IFERROR(__xludf.DUMMYFUNCTION("IMPORTRANGE(""https://docs.google.com/spreadsheets/d/""&amp;$A400&amp;""/edit#gid=156619080"",D$3)"),"#REF!")</f>
        <v>#REF!</v>
      </c>
      <c r="E400" s="2" t="str">
        <f>IFERROR(__xludf.DUMMYFUNCTION("IMPORTRANGE(""https://docs.google.com/spreadsheets/d/""&amp;$A400&amp;""/edit#gid=156619080"",E$3)"),"#REF!")</f>
        <v>#REF!</v>
      </c>
      <c r="F400" s="2" t="str">
        <f>IFERROR(__xludf.DUMMYFUNCTION("IMPORTRANGE(""https://docs.google.com/spreadsheets/d/""&amp;$A400&amp;""/edit#gid=156619080"",F$3)"),"#REF!")</f>
        <v>#REF!</v>
      </c>
      <c r="G400" s="2" t="str">
        <f>IFERROR(__xludf.DUMMYFUNCTION("IMPORTRANGE(""https://docs.google.com/spreadsheets/d/""&amp;$A400&amp;""/edit#gid=156619080"",G$3)"),"#REF!")</f>
        <v>#REF!</v>
      </c>
      <c r="H400" s="2" t="str">
        <f>IFERROR(__xludf.DUMMYFUNCTION("IMPORTRANGE(""https://docs.google.com/spreadsheets/d/""&amp;$A400&amp;""/edit#gid=156619080"",H$3)"),"#REF!")</f>
        <v>#REF!</v>
      </c>
      <c r="I400" s="2" t="str">
        <f>IFERROR(__xludf.DUMMYFUNCTION("IMPORTRANGE(""https://docs.google.com/spreadsheets/d/""&amp;$A400&amp;""/edit#gid=156619080"",I$3)"),"#REF!")</f>
        <v>#REF!</v>
      </c>
      <c r="J400" s="2" t="str">
        <f>IFERROR(__xludf.DUMMYFUNCTION("IMPORTRANGE(""https://docs.google.com/spreadsheets/d/""&amp;$A400&amp;""/edit#gid=156619080"",J$3)"),"#REF!")</f>
        <v>#REF!</v>
      </c>
      <c r="K400" s="2" t="str">
        <f>IFERROR(__xludf.DUMMYFUNCTION("IMPORTRANGE(""https://docs.google.com/spreadsheets/d/""&amp;$A400&amp;""/edit#gid=156619080"",K$3)"),"#REF!")</f>
        <v>#REF!</v>
      </c>
      <c r="L400" s="2" t="str">
        <f>IFERROR(__xludf.DUMMYFUNCTION("IMPORTRANGE(""https://docs.google.com/spreadsheets/d/""&amp;$A400&amp;""/edit#gid=156619080"",L$3)"),"#REF!")</f>
        <v>#REF!</v>
      </c>
      <c r="M400" s="2" t="str">
        <f>IFERROR(__xludf.DUMMYFUNCTION("IMPORTRANGE(""https://docs.google.com/spreadsheets/d/""&amp;$A400&amp;""/edit#gid=156619080"",M$3)"),"#REF!")</f>
        <v>#REF!</v>
      </c>
      <c r="N400" s="2" t="str">
        <f>IFERROR(__xludf.DUMMYFUNCTION("IMPORTRANGE(""https://docs.google.com/spreadsheets/d/""&amp;$A400&amp;""/edit#gid=156619080"",N$3)"),"#REF!")</f>
        <v>#REF!</v>
      </c>
      <c r="O400" s="2" t="str">
        <f>IFERROR(__xludf.DUMMYFUNCTION("IMPORTRANGE(""https://docs.google.com/spreadsheets/d/""&amp;$A400&amp;""/edit#gid=156619080"",O$3)"),"#REF!")</f>
        <v>#REF!</v>
      </c>
      <c r="P400" s="2" t="str">
        <f>IFERROR(__xludf.DUMMYFUNCTION("IMPORTRANGE(""https://docs.google.com/spreadsheets/d/""&amp;$A400&amp;""/edit#gid=156619080"",P$3)"),"#REF!")</f>
        <v>#REF!</v>
      </c>
      <c r="Q400" s="2" t="str">
        <f>IFERROR(__xludf.DUMMYFUNCTION("IMPORTRANGE(""https://docs.google.com/spreadsheets/d/""&amp;$A400&amp;""/edit#gid=156619080"",Q$3)"),"#REF!")</f>
        <v>#REF!</v>
      </c>
      <c r="R400" s="2" t="str">
        <f>IFERROR(__xludf.DUMMYFUNCTION("IMPORTRANGE(""https://docs.google.com/spreadsheets/d/""&amp;$A400&amp;""/edit#gid=156619080"",R$3)"),"#REF!")</f>
        <v>#REF!</v>
      </c>
      <c r="S400" s="2" t="str">
        <f>IFERROR(__xludf.DUMMYFUNCTION("IMPORTRANGE(""https://docs.google.com/spreadsheets/d/""&amp;$A400&amp;""/edit#gid=156619080"",S$3)"),"#REF!")</f>
        <v>#REF!</v>
      </c>
      <c r="T400" s="2" t="str">
        <f>IFERROR(__xludf.DUMMYFUNCTION("IMPORTRANGE(""https://docs.google.com/spreadsheets/d/""&amp;$A400&amp;""/edit#gid=156619080"",T$3)"),"#REF!")</f>
        <v>#REF!</v>
      </c>
      <c r="U400" s="2" t="str">
        <f>IFERROR(__xludf.DUMMYFUNCTION("IMPORTRANGE(""https://docs.google.com/spreadsheets/d/""&amp;$A400&amp;""/edit#gid=156619080"",U$3)"),"#REF!")</f>
        <v>#REF!</v>
      </c>
      <c r="V400" s="2" t="str">
        <f>IFERROR(__xludf.DUMMYFUNCTION("IMPORTRANGE(""https://docs.google.com/spreadsheets/d/""&amp;$A400&amp;""/edit#gid=156619080"",V$3)"),"#REF!")</f>
        <v>#REF!</v>
      </c>
      <c r="W400" s="2" t="str">
        <f>IFERROR(__xludf.DUMMYFUNCTION("IMPORTRANGE(""https://docs.google.com/spreadsheets/d/""&amp;$A400&amp;""/edit#gid=156619080"",W$3)"),"#REF!")</f>
        <v>#REF!</v>
      </c>
      <c r="X400" s="2" t="str">
        <f>IFERROR(__xludf.DUMMYFUNCTION("IMPORTRANGE(""https://docs.google.com/spreadsheets/d/""&amp;$A400&amp;""/edit#gid=156619080"",X$3)"),"#REF!")</f>
        <v>#REF!</v>
      </c>
      <c r="Y400" s="2" t="str">
        <f>IFERROR(__xludf.DUMMYFUNCTION("IMPORTRANGE(""https://docs.google.com/spreadsheets/d/""&amp;$A400&amp;""/edit#gid=156619080"",Y$3)"),"#REF!")</f>
        <v>#REF!</v>
      </c>
      <c r="Z400" s="2" t="str">
        <f>IFERROR(__xludf.DUMMYFUNCTION("IMPORTRANGE(""https://docs.google.com/spreadsheets/d/""&amp;$A400&amp;""/edit#gid=156619080"",Z$3)"),"#REF!")</f>
        <v>#REF!</v>
      </c>
      <c r="AA400" s="2" t="str">
        <f>IFERROR(__xludf.DUMMYFUNCTION("IMPORTRANGE(""https://docs.google.com/spreadsheets/d/""&amp;$A400&amp;""/edit#gid=156619080"",AA$3)"),"#REF!")</f>
        <v>#REF!</v>
      </c>
      <c r="AB400" s="2" t="str">
        <f>IFERROR(__xludf.DUMMYFUNCTION("IMPORTRANGE(""https://docs.google.com/spreadsheets/d/""&amp;$A400&amp;""/edit#gid=156619080"",AB$3)"),"#REF!")</f>
        <v>#REF!</v>
      </c>
      <c r="AC400" s="2" t="str">
        <f>IFERROR(__xludf.DUMMYFUNCTION("IMPORTRANGE(""https://docs.google.com/spreadsheets/d/""&amp;$A400&amp;""/edit#gid=156619080"",AC$3)"),"#REF!")</f>
        <v>#REF!</v>
      </c>
      <c r="AD400" s="2" t="str">
        <f>IFERROR(__xludf.DUMMYFUNCTION("IMPORTRANGE(""https://docs.google.com/spreadsheets/d/""&amp;$A400&amp;""/edit#gid=156619080"",AD$3)"),"#REF!")</f>
        <v>#REF!</v>
      </c>
      <c r="AE400" s="2" t="str">
        <f>IFERROR(__xludf.DUMMYFUNCTION("IMPORTRANGE(""https://docs.google.com/spreadsheets/d/""&amp;$A400&amp;""/edit#gid=156619080"",AE$3)"),"#REF!")</f>
        <v>#REF!</v>
      </c>
      <c r="AF400" s="2" t="str">
        <f>IFERROR(__xludf.DUMMYFUNCTION("IMPORTRANGE(""https://docs.google.com/spreadsheets/d/""&amp;$A400&amp;""/edit#gid=156619080"",AF$3)"),"#REF!")</f>
        <v>#REF!</v>
      </c>
      <c r="AG400" s="2" t="str">
        <f>IFERROR(__xludf.DUMMYFUNCTION("IMPORTRANGE(""https://docs.google.com/spreadsheets/d/""&amp;$A400&amp;""/edit#gid=156619080"",AG$3)"),"#REF!")</f>
        <v>#REF!</v>
      </c>
      <c r="AH400" s="2" t="str">
        <f>IFERROR(__xludf.DUMMYFUNCTION("IMPORTRANGE(""https://docs.google.com/spreadsheets/d/""&amp;$A400&amp;""/edit#gid=156619080"",AH$3)"),"#REF!")</f>
        <v>#REF!</v>
      </c>
      <c r="AI400" s="2" t="str">
        <f>IFERROR(__xludf.DUMMYFUNCTION("IMPORTRANGE(""https://docs.google.com/spreadsheets/d/""&amp;$A400&amp;""/edit#gid=156619080"",AI$3)"),"#REF!")</f>
        <v>#REF!</v>
      </c>
      <c r="AJ400" s="2" t="str">
        <f>IFERROR(__xludf.DUMMYFUNCTION("IMPORTRANGE(""https://docs.google.com/spreadsheets/d/""&amp;$A400&amp;""/edit#gid=156619080"",AJ$3)"),"#REF!")</f>
        <v>#REF!</v>
      </c>
      <c r="AK400" s="2" t="str">
        <f>IFERROR(__xludf.DUMMYFUNCTION("IMPORTRANGE(""https://docs.google.com/spreadsheets/d/""&amp;$A400&amp;""/edit#gid=156619080"",AK$3)"),"#REF!")</f>
        <v>#REF!</v>
      </c>
      <c r="AL400" s="2" t="str">
        <f>IFERROR(__xludf.DUMMYFUNCTION("IMPORTRANGE(""https://docs.google.com/spreadsheets/d/""&amp;$A400&amp;""/edit#gid=156619080"",AL$3)"),"#REF!")</f>
        <v>#REF!</v>
      </c>
      <c r="AM400" s="2" t="str">
        <f>IFERROR(__xludf.DUMMYFUNCTION("IMPORTRANGE(""https://docs.google.com/spreadsheets/d/""&amp;$A400&amp;""/edit#gid=156619080"",AM$3)"),"#REF!")</f>
        <v>#REF!</v>
      </c>
      <c r="AN400" s="2" t="str">
        <f>IFERROR(__xludf.DUMMYFUNCTION("IMPORTRANGE(""https://docs.google.com/spreadsheets/d/""&amp;$A400&amp;""/edit#gid=156619080"",AN$3)"),"#REF!")</f>
        <v>#REF!</v>
      </c>
      <c r="AO400" s="2" t="str">
        <f>IFERROR(__xludf.DUMMYFUNCTION("IMPORTRANGE(""https://docs.google.com/spreadsheets/d/""&amp;$A400&amp;""/edit#gid=156619080"",AO$3)"),"#REF!")</f>
        <v>#REF!</v>
      </c>
      <c r="AP400" s="2" t="str">
        <f>IFERROR(__xludf.DUMMYFUNCTION("IMPORTRANGE(""https://docs.google.com/spreadsheets/d/""&amp;$A400&amp;""/edit#gid=156619080"",AP$3)"),"#REF!")</f>
        <v>#REF!</v>
      </c>
      <c r="AQ400" s="2" t="str">
        <f>IFERROR(__xludf.DUMMYFUNCTION("IMPORTRANGE(""https://docs.google.com/spreadsheets/d/""&amp;$A400&amp;""/edit#gid=156619080"",AQ$3)"),"#REF!")</f>
        <v>#REF!</v>
      </c>
      <c r="AR400" s="2" t="str">
        <f>IFERROR(__xludf.DUMMYFUNCTION("IMPORTRANGE(""https://docs.google.com/spreadsheets/d/""&amp;$A400&amp;""/edit#gid=156619080"",AR$3)"),"#REF!")</f>
        <v>#REF!</v>
      </c>
      <c r="AS400" s="19" t="str">
        <f>IFERROR(__xludf.DUMMYFUNCTION("IMPORTRANGE(""https://docs.google.com/spreadsheets/d/""&amp;$A400&amp;""/edit#gid=156619080"",AS$3)"),"#REF!")</f>
        <v>#REF!</v>
      </c>
      <c r="AT400" s="2" t="str">
        <f>IFERROR(__xludf.DUMMYFUNCTION("IMPORTRANGE(""https://docs.google.com/spreadsheets/d/""&amp;$A400&amp;""/edit#gid=156619080"",AT$3)"),"#REF!")</f>
        <v>#REF!</v>
      </c>
      <c r="AU400" s="3" t="str">
        <f>IFERROR(__xludf.DUMMYFUNCTION("IMPORTRANGE(""https://docs.google.com/spreadsheets/d/""&amp;$A400&amp;""/edit#gid=156619080"",AU$3)"),"#REF!")</f>
        <v>#REF!</v>
      </c>
      <c r="AV400" s="2" t="str">
        <f>IFERROR(__xludf.DUMMYFUNCTION("IMPORTRANGE(""https://docs.google.com/spreadsheets/d/""&amp;$A400&amp;""/edit#gid=156619080"",AV$3)"),"#REF!")</f>
        <v>#REF!</v>
      </c>
      <c r="AW400" s="19" t="str">
        <f>IFERROR(__xludf.DUMMYFUNCTION("IMPORTRANGE(""https://docs.google.com/spreadsheets/d/""&amp;$A400&amp;""/edit#gid=156619080"",AW$3)"),"#REF!")</f>
        <v>#REF!</v>
      </c>
      <c r="AX400" s="2" t="str">
        <f>IFERROR(__xludf.DUMMYFUNCTION("IMPORTRANGE(""https://docs.google.com/spreadsheets/d/""&amp;$A400&amp;""/edit#gid=156619080"",AX$3)"),"#REF!")</f>
        <v>#REF!</v>
      </c>
      <c r="AY400" s="2" t="str">
        <f>IFERROR(__xludf.DUMMYFUNCTION("IMPORTRANGE(""https://docs.google.com/spreadsheets/d/""&amp;$A400&amp;""/edit#gid=156619080"",AY$3)"),"#REF!")</f>
        <v>#REF!</v>
      </c>
      <c r="AZ400" s="2" t="str">
        <f>IFERROR(__xludf.DUMMYFUNCTION("IMPORTRANGE(""https://docs.google.com/spreadsheets/d/""&amp;$A400&amp;""/edit#gid=156619080"",AZ$3)"),"#REF!")</f>
        <v>#REF!</v>
      </c>
      <c r="BA400" s="2" t="str">
        <f>IFERROR(__xludf.DUMMYFUNCTION("IMPORTRANGE(""https://docs.google.com/spreadsheets/d/""&amp;$A400&amp;""/edit#gid=156619080"",BA$3)"),"#REF!")</f>
        <v>#REF!</v>
      </c>
      <c r="BB400" s="2" t="str">
        <f>IFERROR(__xludf.DUMMYFUNCTION("IMPORTRANGE(""https://docs.google.com/spreadsheets/d/""&amp;$A400&amp;""/edit#gid=156619080"",BB$3)"),"#REF!")</f>
        <v>#REF!</v>
      </c>
      <c r="BC400" s="2" t="str">
        <f>IFERROR(__xludf.DUMMYFUNCTION("IMPORTRANGE(""https://docs.google.com/spreadsheets/d/""&amp;$A400&amp;""/edit#gid=156619080"",BC$3)"),"#REF!")</f>
        <v>#REF!</v>
      </c>
    </row>
    <row r="401" ht="51.0" customHeight="1">
      <c r="A401" s="7" t="str">
        <f t="shared" si="5"/>
        <v>1g113pT-VGTj1JC6MACvAMATa4zzempaU1Devt52aQdw</v>
      </c>
      <c r="B401" s="1" t="s">
        <v>428</v>
      </c>
      <c r="C401" s="2" t="str">
        <f>IFERROR(__xludf.DUMMYFUNCTION("IMPORTRANGE(""https://docs.google.com/spreadsheets/d/""&amp;$A401&amp;""/edit#gid=156619080"",C$3)"),"#REF!")</f>
        <v>#REF!</v>
      </c>
      <c r="D401" s="2" t="str">
        <f>IFERROR(__xludf.DUMMYFUNCTION("IMPORTRANGE(""https://docs.google.com/spreadsheets/d/""&amp;$A401&amp;""/edit#gid=156619080"",D$3)"),"#REF!")</f>
        <v>#REF!</v>
      </c>
      <c r="E401" s="2" t="str">
        <f>IFERROR(__xludf.DUMMYFUNCTION("IMPORTRANGE(""https://docs.google.com/spreadsheets/d/""&amp;$A401&amp;""/edit#gid=156619080"",E$3)"),"#REF!")</f>
        <v>#REF!</v>
      </c>
      <c r="F401" s="2" t="str">
        <f>IFERROR(__xludf.DUMMYFUNCTION("IMPORTRANGE(""https://docs.google.com/spreadsheets/d/""&amp;$A401&amp;""/edit#gid=156619080"",F$3)"),"#REF!")</f>
        <v>#REF!</v>
      </c>
      <c r="G401" s="2" t="str">
        <f>IFERROR(__xludf.DUMMYFUNCTION("IMPORTRANGE(""https://docs.google.com/spreadsheets/d/""&amp;$A401&amp;""/edit#gid=156619080"",G$3)"),"#REF!")</f>
        <v>#REF!</v>
      </c>
      <c r="H401" s="2" t="str">
        <f>IFERROR(__xludf.DUMMYFUNCTION("IMPORTRANGE(""https://docs.google.com/spreadsheets/d/""&amp;$A401&amp;""/edit#gid=156619080"",H$3)"),"#REF!")</f>
        <v>#REF!</v>
      </c>
      <c r="I401" s="2" t="str">
        <f>IFERROR(__xludf.DUMMYFUNCTION("IMPORTRANGE(""https://docs.google.com/spreadsheets/d/""&amp;$A401&amp;""/edit#gid=156619080"",I$3)"),"#REF!")</f>
        <v>#REF!</v>
      </c>
      <c r="J401" s="2" t="str">
        <f>IFERROR(__xludf.DUMMYFUNCTION("IMPORTRANGE(""https://docs.google.com/spreadsheets/d/""&amp;$A401&amp;""/edit#gid=156619080"",J$3)"),"#REF!")</f>
        <v>#REF!</v>
      </c>
      <c r="K401" s="2" t="str">
        <f>IFERROR(__xludf.DUMMYFUNCTION("IMPORTRANGE(""https://docs.google.com/spreadsheets/d/""&amp;$A401&amp;""/edit#gid=156619080"",K$3)"),"#REF!")</f>
        <v>#REF!</v>
      </c>
      <c r="L401" s="2" t="str">
        <f>IFERROR(__xludf.DUMMYFUNCTION("IMPORTRANGE(""https://docs.google.com/spreadsheets/d/""&amp;$A401&amp;""/edit#gid=156619080"",L$3)"),"#REF!")</f>
        <v>#REF!</v>
      </c>
      <c r="M401" s="2" t="str">
        <f>IFERROR(__xludf.DUMMYFUNCTION("IMPORTRANGE(""https://docs.google.com/spreadsheets/d/""&amp;$A401&amp;""/edit#gid=156619080"",M$3)"),"#REF!")</f>
        <v>#REF!</v>
      </c>
      <c r="N401" s="2" t="str">
        <f>IFERROR(__xludf.DUMMYFUNCTION("IMPORTRANGE(""https://docs.google.com/spreadsheets/d/""&amp;$A401&amp;""/edit#gid=156619080"",N$3)"),"#REF!")</f>
        <v>#REF!</v>
      </c>
      <c r="O401" s="2" t="str">
        <f>IFERROR(__xludf.DUMMYFUNCTION("IMPORTRANGE(""https://docs.google.com/spreadsheets/d/""&amp;$A401&amp;""/edit#gid=156619080"",O$3)"),"#REF!")</f>
        <v>#REF!</v>
      </c>
      <c r="P401" s="2" t="str">
        <f>IFERROR(__xludf.DUMMYFUNCTION("IMPORTRANGE(""https://docs.google.com/spreadsheets/d/""&amp;$A401&amp;""/edit#gid=156619080"",P$3)"),"#REF!")</f>
        <v>#REF!</v>
      </c>
      <c r="Q401" s="2" t="str">
        <f>IFERROR(__xludf.DUMMYFUNCTION("IMPORTRANGE(""https://docs.google.com/spreadsheets/d/""&amp;$A401&amp;""/edit#gid=156619080"",Q$3)"),"#REF!")</f>
        <v>#REF!</v>
      </c>
      <c r="R401" s="2" t="str">
        <f>IFERROR(__xludf.DUMMYFUNCTION("IMPORTRANGE(""https://docs.google.com/spreadsheets/d/""&amp;$A401&amp;""/edit#gid=156619080"",R$3)"),"#REF!")</f>
        <v>#REF!</v>
      </c>
      <c r="S401" s="2" t="str">
        <f>IFERROR(__xludf.DUMMYFUNCTION("IMPORTRANGE(""https://docs.google.com/spreadsheets/d/""&amp;$A401&amp;""/edit#gid=156619080"",S$3)"),"#REF!")</f>
        <v>#REF!</v>
      </c>
      <c r="T401" s="2" t="str">
        <f>IFERROR(__xludf.DUMMYFUNCTION("IMPORTRANGE(""https://docs.google.com/spreadsheets/d/""&amp;$A401&amp;""/edit#gid=156619080"",T$3)"),"#REF!")</f>
        <v>#REF!</v>
      </c>
      <c r="U401" s="2" t="str">
        <f>IFERROR(__xludf.DUMMYFUNCTION("IMPORTRANGE(""https://docs.google.com/spreadsheets/d/""&amp;$A401&amp;""/edit#gid=156619080"",U$3)"),"#REF!")</f>
        <v>#REF!</v>
      </c>
      <c r="V401" s="2" t="str">
        <f>IFERROR(__xludf.DUMMYFUNCTION("IMPORTRANGE(""https://docs.google.com/spreadsheets/d/""&amp;$A401&amp;""/edit#gid=156619080"",V$3)"),"#REF!")</f>
        <v>#REF!</v>
      </c>
      <c r="W401" s="2" t="str">
        <f>IFERROR(__xludf.DUMMYFUNCTION("IMPORTRANGE(""https://docs.google.com/spreadsheets/d/""&amp;$A401&amp;""/edit#gid=156619080"",W$3)"),"#REF!")</f>
        <v>#REF!</v>
      </c>
      <c r="X401" s="2" t="str">
        <f>IFERROR(__xludf.DUMMYFUNCTION("IMPORTRANGE(""https://docs.google.com/spreadsheets/d/""&amp;$A401&amp;""/edit#gid=156619080"",X$3)"),"#REF!")</f>
        <v>#REF!</v>
      </c>
      <c r="Y401" s="2" t="str">
        <f>IFERROR(__xludf.DUMMYFUNCTION("IMPORTRANGE(""https://docs.google.com/spreadsheets/d/""&amp;$A401&amp;""/edit#gid=156619080"",Y$3)"),"#REF!")</f>
        <v>#REF!</v>
      </c>
      <c r="Z401" s="2" t="str">
        <f>IFERROR(__xludf.DUMMYFUNCTION("IMPORTRANGE(""https://docs.google.com/spreadsheets/d/""&amp;$A401&amp;""/edit#gid=156619080"",Z$3)"),"#REF!")</f>
        <v>#REF!</v>
      </c>
      <c r="AA401" s="2" t="str">
        <f>IFERROR(__xludf.DUMMYFUNCTION("IMPORTRANGE(""https://docs.google.com/spreadsheets/d/""&amp;$A401&amp;""/edit#gid=156619080"",AA$3)"),"#REF!")</f>
        <v>#REF!</v>
      </c>
      <c r="AB401" s="2" t="str">
        <f>IFERROR(__xludf.DUMMYFUNCTION("IMPORTRANGE(""https://docs.google.com/spreadsheets/d/""&amp;$A401&amp;""/edit#gid=156619080"",AB$3)"),"#REF!")</f>
        <v>#REF!</v>
      </c>
      <c r="AC401" s="2" t="str">
        <f>IFERROR(__xludf.DUMMYFUNCTION("IMPORTRANGE(""https://docs.google.com/spreadsheets/d/""&amp;$A401&amp;""/edit#gid=156619080"",AC$3)"),"#REF!")</f>
        <v>#REF!</v>
      </c>
      <c r="AD401" s="2" t="str">
        <f>IFERROR(__xludf.DUMMYFUNCTION("IMPORTRANGE(""https://docs.google.com/spreadsheets/d/""&amp;$A401&amp;""/edit#gid=156619080"",AD$3)"),"#REF!")</f>
        <v>#REF!</v>
      </c>
      <c r="AE401" s="2" t="str">
        <f>IFERROR(__xludf.DUMMYFUNCTION("IMPORTRANGE(""https://docs.google.com/spreadsheets/d/""&amp;$A401&amp;""/edit#gid=156619080"",AE$3)"),"#REF!")</f>
        <v>#REF!</v>
      </c>
      <c r="AF401" s="2" t="str">
        <f>IFERROR(__xludf.DUMMYFUNCTION("IMPORTRANGE(""https://docs.google.com/spreadsheets/d/""&amp;$A401&amp;""/edit#gid=156619080"",AF$3)"),"#REF!")</f>
        <v>#REF!</v>
      </c>
      <c r="AG401" s="2" t="str">
        <f>IFERROR(__xludf.DUMMYFUNCTION("IMPORTRANGE(""https://docs.google.com/spreadsheets/d/""&amp;$A401&amp;""/edit#gid=156619080"",AG$3)"),"#REF!")</f>
        <v>#REF!</v>
      </c>
      <c r="AH401" s="2" t="str">
        <f>IFERROR(__xludf.DUMMYFUNCTION("IMPORTRANGE(""https://docs.google.com/spreadsheets/d/""&amp;$A401&amp;""/edit#gid=156619080"",AH$3)"),"#REF!")</f>
        <v>#REF!</v>
      </c>
      <c r="AI401" s="2" t="str">
        <f>IFERROR(__xludf.DUMMYFUNCTION("IMPORTRANGE(""https://docs.google.com/spreadsheets/d/""&amp;$A401&amp;""/edit#gid=156619080"",AI$3)"),"#REF!")</f>
        <v>#REF!</v>
      </c>
      <c r="AJ401" s="2" t="str">
        <f>IFERROR(__xludf.DUMMYFUNCTION("IMPORTRANGE(""https://docs.google.com/spreadsheets/d/""&amp;$A401&amp;""/edit#gid=156619080"",AJ$3)"),"#REF!")</f>
        <v>#REF!</v>
      </c>
      <c r="AK401" s="2" t="str">
        <f>IFERROR(__xludf.DUMMYFUNCTION("IMPORTRANGE(""https://docs.google.com/spreadsheets/d/""&amp;$A401&amp;""/edit#gid=156619080"",AK$3)"),"#REF!")</f>
        <v>#REF!</v>
      </c>
      <c r="AL401" s="2" t="str">
        <f>IFERROR(__xludf.DUMMYFUNCTION("IMPORTRANGE(""https://docs.google.com/spreadsheets/d/""&amp;$A401&amp;""/edit#gid=156619080"",AL$3)"),"#REF!")</f>
        <v>#REF!</v>
      </c>
      <c r="AM401" s="2" t="str">
        <f>IFERROR(__xludf.DUMMYFUNCTION("IMPORTRANGE(""https://docs.google.com/spreadsheets/d/""&amp;$A401&amp;""/edit#gid=156619080"",AM$3)"),"#REF!")</f>
        <v>#REF!</v>
      </c>
      <c r="AN401" s="2" t="str">
        <f>IFERROR(__xludf.DUMMYFUNCTION("IMPORTRANGE(""https://docs.google.com/spreadsheets/d/""&amp;$A401&amp;""/edit#gid=156619080"",AN$3)"),"#REF!")</f>
        <v>#REF!</v>
      </c>
      <c r="AO401" s="2" t="str">
        <f>IFERROR(__xludf.DUMMYFUNCTION("IMPORTRANGE(""https://docs.google.com/spreadsheets/d/""&amp;$A401&amp;""/edit#gid=156619080"",AO$3)"),"#REF!")</f>
        <v>#REF!</v>
      </c>
      <c r="AP401" s="2" t="str">
        <f>IFERROR(__xludf.DUMMYFUNCTION("IMPORTRANGE(""https://docs.google.com/spreadsheets/d/""&amp;$A401&amp;""/edit#gid=156619080"",AP$3)"),"#REF!")</f>
        <v>#REF!</v>
      </c>
      <c r="AQ401" s="2" t="str">
        <f>IFERROR(__xludf.DUMMYFUNCTION("IMPORTRANGE(""https://docs.google.com/spreadsheets/d/""&amp;$A401&amp;""/edit#gid=156619080"",AQ$3)"),"#REF!")</f>
        <v>#REF!</v>
      </c>
      <c r="AR401" s="2" t="str">
        <f>IFERROR(__xludf.DUMMYFUNCTION("IMPORTRANGE(""https://docs.google.com/spreadsheets/d/""&amp;$A401&amp;""/edit#gid=156619080"",AR$3)"),"#REF!")</f>
        <v>#REF!</v>
      </c>
      <c r="AS401" s="19" t="str">
        <f>IFERROR(__xludf.DUMMYFUNCTION("IMPORTRANGE(""https://docs.google.com/spreadsheets/d/""&amp;$A401&amp;""/edit#gid=156619080"",AS$3)"),"#REF!")</f>
        <v>#REF!</v>
      </c>
      <c r="AT401" s="2" t="str">
        <f>IFERROR(__xludf.DUMMYFUNCTION("IMPORTRANGE(""https://docs.google.com/spreadsheets/d/""&amp;$A401&amp;""/edit#gid=156619080"",AT$3)"),"#REF!")</f>
        <v>#REF!</v>
      </c>
      <c r="AU401" s="3" t="str">
        <f>IFERROR(__xludf.DUMMYFUNCTION("IMPORTRANGE(""https://docs.google.com/spreadsheets/d/""&amp;$A401&amp;""/edit#gid=156619080"",AU$3)"),"#REF!")</f>
        <v>#REF!</v>
      </c>
      <c r="AV401" s="2" t="str">
        <f>IFERROR(__xludf.DUMMYFUNCTION("IMPORTRANGE(""https://docs.google.com/spreadsheets/d/""&amp;$A401&amp;""/edit#gid=156619080"",AV$3)"),"#REF!")</f>
        <v>#REF!</v>
      </c>
      <c r="AW401" s="19" t="str">
        <f>IFERROR(__xludf.DUMMYFUNCTION("IMPORTRANGE(""https://docs.google.com/spreadsheets/d/""&amp;$A401&amp;""/edit#gid=156619080"",AW$3)"),"#REF!")</f>
        <v>#REF!</v>
      </c>
      <c r="AX401" s="2" t="str">
        <f>IFERROR(__xludf.DUMMYFUNCTION("IMPORTRANGE(""https://docs.google.com/spreadsheets/d/""&amp;$A401&amp;""/edit#gid=156619080"",AX$3)"),"#REF!")</f>
        <v>#REF!</v>
      </c>
      <c r="AY401" s="2" t="str">
        <f>IFERROR(__xludf.DUMMYFUNCTION("IMPORTRANGE(""https://docs.google.com/spreadsheets/d/""&amp;$A401&amp;""/edit#gid=156619080"",AY$3)"),"#REF!")</f>
        <v>#REF!</v>
      </c>
      <c r="AZ401" s="2" t="str">
        <f>IFERROR(__xludf.DUMMYFUNCTION("IMPORTRANGE(""https://docs.google.com/spreadsheets/d/""&amp;$A401&amp;""/edit#gid=156619080"",AZ$3)"),"#REF!")</f>
        <v>#REF!</v>
      </c>
      <c r="BA401" s="2" t="str">
        <f>IFERROR(__xludf.DUMMYFUNCTION("IMPORTRANGE(""https://docs.google.com/spreadsheets/d/""&amp;$A401&amp;""/edit#gid=156619080"",BA$3)"),"#REF!")</f>
        <v>#REF!</v>
      </c>
      <c r="BB401" s="2" t="str">
        <f>IFERROR(__xludf.DUMMYFUNCTION("IMPORTRANGE(""https://docs.google.com/spreadsheets/d/""&amp;$A401&amp;""/edit#gid=156619080"",BB$3)"),"#REF!")</f>
        <v>#REF!</v>
      </c>
      <c r="BC401" s="2" t="str">
        <f>IFERROR(__xludf.DUMMYFUNCTION("IMPORTRANGE(""https://docs.google.com/spreadsheets/d/""&amp;$A401&amp;""/edit#gid=156619080"",BC$3)"),"#REF!")</f>
        <v>#REF!</v>
      </c>
    </row>
    <row r="402" ht="51.0" customHeight="1">
      <c r="A402" s="7" t="str">
        <f t="shared" si="5"/>
        <v>1--bbL6a9fLB0EUVGv72GqjpzPVTYWEd7IOCusxNp4Xc</v>
      </c>
      <c r="B402" s="1" t="s">
        <v>429</v>
      </c>
      <c r="C402" s="2" t="str">
        <f>IFERROR(__xludf.DUMMYFUNCTION("IMPORTRANGE(""https://docs.google.com/spreadsheets/d/""&amp;$A402&amp;""/edit#gid=156619080"",C$3)"),"#REF!")</f>
        <v>#REF!</v>
      </c>
      <c r="D402" s="2" t="str">
        <f>IFERROR(__xludf.DUMMYFUNCTION("IMPORTRANGE(""https://docs.google.com/spreadsheets/d/""&amp;$A402&amp;""/edit#gid=156619080"",D$3)"),"#REF!")</f>
        <v>#REF!</v>
      </c>
      <c r="E402" s="2" t="str">
        <f>IFERROR(__xludf.DUMMYFUNCTION("IMPORTRANGE(""https://docs.google.com/spreadsheets/d/""&amp;$A402&amp;""/edit#gid=156619080"",E$3)"),"#REF!")</f>
        <v>#REF!</v>
      </c>
      <c r="F402" s="2" t="str">
        <f>IFERROR(__xludf.DUMMYFUNCTION("IMPORTRANGE(""https://docs.google.com/spreadsheets/d/""&amp;$A402&amp;""/edit#gid=156619080"",F$3)"),"#REF!")</f>
        <v>#REF!</v>
      </c>
      <c r="G402" s="2" t="str">
        <f>IFERROR(__xludf.DUMMYFUNCTION("IMPORTRANGE(""https://docs.google.com/spreadsheets/d/""&amp;$A402&amp;""/edit#gid=156619080"",G$3)"),"#REF!")</f>
        <v>#REF!</v>
      </c>
      <c r="H402" s="2" t="str">
        <f>IFERROR(__xludf.DUMMYFUNCTION("IMPORTRANGE(""https://docs.google.com/spreadsheets/d/""&amp;$A402&amp;""/edit#gid=156619080"",H$3)"),"#REF!")</f>
        <v>#REF!</v>
      </c>
      <c r="I402" s="2" t="str">
        <f>IFERROR(__xludf.DUMMYFUNCTION("IMPORTRANGE(""https://docs.google.com/spreadsheets/d/""&amp;$A402&amp;""/edit#gid=156619080"",I$3)"),"#REF!")</f>
        <v>#REF!</v>
      </c>
      <c r="J402" s="2" t="str">
        <f>IFERROR(__xludf.DUMMYFUNCTION("IMPORTRANGE(""https://docs.google.com/spreadsheets/d/""&amp;$A402&amp;""/edit#gid=156619080"",J$3)"),"#REF!")</f>
        <v>#REF!</v>
      </c>
      <c r="K402" s="2" t="str">
        <f>IFERROR(__xludf.DUMMYFUNCTION("IMPORTRANGE(""https://docs.google.com/spreadsheets/d/""&amp;$A402&amp;""/edit#gid=156619080"",K$3)"),"#REF!")</f>
        <v>#REF!</v>
      </c>
      <c r="L402" s="2" t="str">
        <f>IFERROR(__xludf.DUMMYFUNCTION("IMPORTRANGE(""https://docs.google.com/spreadsheets/d/""&amp;$A402&amp;""/edit#gid=156619080"",L$3)"),"#REF!")</f>
        <v>#REF!</v>
      </c>
      <c r="M402" s="2" t="str">
        <f>IFERROR(__xludf.DUMMYFUNCTION("IMPORTRANGE(""https://docs.google.com/spreadsheets/d/""&amp;$A402&amp;""/edit#gid=156619080"",M$3)"),"#REF!")</f>
        <v>#REF!</v>
      </c>
      <c r="N402" s="2" t="str">
        <f>IFERROR(__xludf.DUMMYFUNCTION("IMPORTRANGE(""https://docs.google.com/spreadsheets/d/""&amp;$A402&amp;""/edit#gid=156619080"",N$3)"),"#REF!")</f>
        <v>#REF!</v>
      </c>
      <c r="O402" s="2" t="str">
        <f>IFERROR(__xludf.DUMMYFUNCTION("IMPORTRANGE(""https://docs.google.com/spreadsheets/d/""&amp;$A402&amp;""/edit#gid=156619080"",O$3)"),"#REF!")</f>
        <v>#REF!</v>
      </c>
      <c r="P402" s="2" t="str">
        <f>IFERROR(__xludf.DUMMYFUNCTION("IMPORTRANGE(""https://docs.google.com/spreadsheets/d/""&amp;$A402&amp;""/edit#gid=156619080"",P$3)"),"#REF!")</f>
        <v>#REF!</v>
      </c>
      <c r="Q402" s="2" t="str">
        <f>IFERROR(__xludf.DUMMYFUNCTION("IMPORTRANGE(""https://docs.google.com/spreadsheets/d/""&amp;$A402&amp;""/edit#gid=156619080"",Q$3)"),"#REF!")</f>
        <v>#REF!</v>
      </c>
      <c r="R402" s="2" t="str">
        <f>IFERROR(__xludf.DUMMYFUNCTION("IMPORTRANGE(""https://docs.google.com/spreadsheets/d/""&amp;$A402&amp;""/edit#gid=156619080"",R$3)"),"#REF!")</f>
        <v>#REF!</v>
      </c>
      <c r="S402" s="2" t="str">
        <f>IFERROR(__xludf.DUMMYFUNCTION("IMPORTRANGE(""https://docs.google.com/spreadsheets/d/""&amp;$A402&amp;""/edit#gid=156619080"",S$3)"),"#REF!")</f>
        <v>#REF!</v>
      </c>
      <c r="T402" s="2" t="str">
        <f>IFERROR(__xludf.DUMMYFUNCTION("IMPORTRANGE(""https://docs.google.com/spreadsheets/d/""&amp;$A402&amp;""/edit#gid=156619080"",T$3)"),"#REF!")</f>
        <v>#REF!</v>
      </c>
      <c r="U402" s="2" t="str">
        <f>IFERROR(__xludf.DUMMYFUNCTION("IMPORTRANGE(""https://docs.google.com/spreadsheets/d/""&amp;$A402&amp;""/edit#gid=156619080"",U$3)"),"#REF!")</f>
        <v>#REF!</v>
      </c>
      <c r="V402" s="2" t="str">
        <f>IFERROR(__xludf.DUMMYFUNCTION("IMPORTRANGE(""https://docs.google.com/spreadsheets/d/""&amp;$A402&amp;""/edit#gid=156619080"",V$3)"),"#REF!")</f>
        <v>#REF!</v>
      </c>
      <c r="W402" s="2" t="str">
        <f>IFERROR(__xludf.DUMMYFUNCTION("IMPORTRANGE(""https://docs.google.com/spreadsheets/d/""&amp;$A402&amp;""/edit#gid=156619080"",W$3)"),"#REF!")</f>
        <v>#REF!</v>
      </c>
      <c r="X402" s="2" t="str">
        <f>IFERROR(__xludf.DUMMYFUNCTION("IMPORTRANGE(""https://docs.google.com/spreadsheets/d/""&amp;$A402&amp;""/edit#gid=156619080"",X$3)"),"#REF!")</f>
        <v>#REF!</v>
      </c>
      <c r="Y402" s="2" t="str">
        <f>IFERROR(__xludf.DUMMYFUNCTION("IMPORTRANGE(""https://docs.google.com/spreadsheets/d/""&amp;$A402&amp;""/edit#gid=156619080"",Y$3)"),"#REF!")</f>
        <v>#REF!</v>
      </c>
      <c r="Z402" s="2" t="str">
        <f>IFERROR(__xludf.DUMMYFUNCTION("IMPORTRANGE(""https://docs.google.com/spreadsheets/d/""&amp;$A402&amp;""/edit#gid=156619080"",Z$3)"),"#REF!")</f>
        <v>#REF!</v>
      </c>
      <c r="AA402" s="2" t="str">
        <f>IFERROR(__xludf.DUMMYFUNCTION("IMPORTRANGE(""https://docs.google.com/spreadsheets/d/""&amp;$A402&amp;""/edit#gid=156619080"",AA$3)"),"#REF!")</f>
        <v>#REF!</v>
      </c>
      <c r="AB402" s="2" t="str">
        <f>IFERROR(__xludf.DUMMYFUNCTION("IMPORTRANGE(""https://docs.google.com/spreadsheets/d/""&amp;$A402&amp;""/edit#gid=156619080"",AB$3)"),"#REF!")</f>
        <v>#REF!</v>
      </c>
      <c r="AC402" s="2" t="str">
        <f>IFERROR(__xludf.DUMMYFUNCTION("IMPORTRANGE(""https://docs.google.com/spreadsheets/d/""&amp;$A402&amp;""/edit#gid=156619080"",AC$3)"),"#REF!")</f>
        <v>#REF!</v>
      </c>
      <c r="AD402" s="2" t="str">
        <f>IFERROR(__xludf.DUMMYFUNCTION("IMPORTRANGE(""https://docs.google.com/spreadsheets/d/""&amp;$A402&amp;""/edit#gid=156619080"",AD$3)"),"#REF!")</f>
        <v>#REF!</v>
      </c>
      <c r="AE402" s="2" t="str">
        <f>IFERROR(__xludf.DUMMYFUNCTION("IMPORTRANGE(""https://docs.google.com/spreadsheets/d/""&amp;$A402&amp;""/edit#gid=156619080"",AE$3)"),"#REF!")</f>
        <v>#REF!</v>
      </c>
      <c r="AF402" s="2" t="str">
        <f>IFERROR(__xludf.DUMMYFUNCTION("IMPORTRANGE(""https://docs.google.com/spreadsheets/d/""&amp;$A402&amp;""/edit#gid=156619080"",AF$3)"),"#REF!")</f>
        <v>#REF!</v>
      </c>
      <c r="AG402" s="2" t="str">
        <f>IFERROR(__xludf.DUMMYFUNCTION("IMPORTRANGE(""https://docs.google.com/spreadsheets/d/""&amp;$A402&amp;""/edit#gid=156619080"",AG$3)"),"#REF!")</f>
        <v>#REF!</v>
      </c>
      <c r="AH402" s="2" t="str">
        <f>IFERROR(__xludf.DUMMYFUNCTION("IMPORTRANGE(""https://docs.google.com/spreadsheets/d/""&amp;$A402&amp;""/edit#gid=156619080"",AH$3)"),"#REF!")</f>
        <v>#REF!</v>
      </c>
      <c r="AI402" s="2" t="str">
        <f>IFERROR(__xludf.DUMMYFUNCTION("IMPORTRANGE(""https://docs.google.com/spreadsheets/d/""&amp;$A402&amp;""/edit#gid=156619080"",AI$3)"),"#REF!")</f>
        <v>#REF!</v>
      </c>
      <c r="AJ402" s="2" t="str">
        <f>IFERROR(__xludf.DUMMYFUNCTION("IMPORTRANGE(""https://docs.google.com/spreadsheets/d/""&amp;$A402&amp;""/edit#gid=156619080"",AJ$3)"),"#REF!")</f>
        <v>#REF!</v>
      </c>
      <c r="AK402" s="2" t="str">
        <f>IFERROR(__xludf.DUMMYFUNCTION("IMPORTRANGE(""https://docs.google.com/spreadsheets/d/""&amp;$A402&amp;""/edit#gid=156619080"",AK$3)"),"#REF!")</f>
        <v>#REF!</v>
      </c>
      <c r="AL402" s="2" t="str">
        <f>IFERROR(__xludf.DUMMYFUNCTION("IMPORTRANGE(""https://docs.google.com/spreadsheets/d/""&amp;$A402&amp;""/edit#gid=156619080"",AL$3)"),"#REF!")</f>
        <v>#REF!</v>
      </c>
      <c r="AM402" s="2" t="str">
        <f>IFERROR(__xludf.DUMMYFUNCTION("IMPORTRANGE(""https://docs.google.com/spreadsheets/d/""&amp;$A402&amp;""/edit#gid=156619080"",AM$3)"),"#REF!")</f>
        <v>#REF!</v>
      </c>
      <c r="AN402" s="2" t="str">
        <f>IFERROR(__xludf.DUMMYFUNCTION("IMPORTRANGE(""https://docs.google.com/spreadsheets/d/""&amp;$A402&amp;""/edit#gid=156619080"",AN$3)"),"#REF!")</f>
        <v>#REF!</v>
      </c>
      <c r="AO402" s="2" t="str">
        <f>IFERROR(__xludf.DUMMYFUNCTION("IMPORTRANGE(""https://docs.google.com/spreadsheets/d/""&amp;$A402&amp;""/edit#gid=156619080"",AO$3)"),"#REF!")</f>
        <v>#REF!</v>
      </c>
      <c r="AP402" s="2" t="str">
        <f>IFERROR(__xludf.DUMMYFUNCTION("IMPORTRANGE(""https://docs.google.com/spreadsheets/d/""&amp;$A402&amp;""/edit#gid=156619080"",AP$3)"),"#REF!")</f>
        <v>#REF!</v>
      </c>
      <c r="AQ402" s="2" t="str">
        <f>IFERROR(__xludf.DUMMYFUNCTION("IMPORTRANGE(""https://docs.google.com/spreadsheets/d/""&amp;$A402&amp;""/edit#gid=156619080"",AQ$3)"),"#REF!")</f>
        <v>#REF!</v>
      </c>
      <c r="AR402" s="2" t="str">
        <f>IFERROR(__xludf.DUMMYFUNCTION("IMPORTRANGE(""https://docs.google.com/spreadsheets/d/""&amp;$A402&amp;""/edit#gid=156619080"",AR$3)"),"#REF!")</f>
        <v>#REF!</v>
      </c>
      <c r="AS402" s="19" t="str">
        <f>IFERROR(__xludf.DUMMYFUNCTION("IMPORTRANGE(""https://docs.google.com/spreadsheets/d/""&amp;$A402&amp;""/edit#gid=156619080"",AS$3)"),"#REF!")</f>
        <v>#REF!</v>
      </c>
      <c r="AT402" s="2" t="str">
        <f>IFERROR(__xludf.DUMMYFUNCTION("IMPORTRANGE(""https://docs.google.com/spreadsheets/d/""&amp;$A402&amp;""/edit#gid=156619080"",AT$3)"),"#REF!")</f>
        <v>#REF!</v>
      </c>
      <c r="AU402" s="3" t="str">
        <f>IFERROR(__xludf.DUMMYFUNCTION("IMPORTRANGE(""https://docs.google.com/spreadsheets/d/""&amp;$A402&amp;""/edit#gid=156619080"",AU$3)"),"#REF!")</f>
        <v>#REF!</v>
      </c>
      <c r="AV402" s="2" t="str">
        <f>IFERROR(__xludf.DUMMYFUNCTION("IMPORTRANGE(""https://docs.google.com/spreadsheets/d/""&amp;$A402&amp;""/edit#gid=156619080"",AV$3)"),"#REF!")</f>
        <v>#REF!</v>
      </c>
      <c r="AW402" s="19" t="str">
        <f>IFERROR(__xludf.DUMMYFUNCTION("IMPORTRANGE(""https://docs.google.com/spreadsheets/d/""&amp;$A402&amp;""/edit#gid=156619080"",AW$3)"),"#REF!")</f>
        <v>#REF!</v>
      </c>
      <c r="AX402" s="2" t="str">
        <f>IFERROR(__xludf.DUMMYFUNCTION("IMPORTRANGE(""https://docs.google.com/spreadsheets/d/""&amp;$A402&amp;""/edit#gid=156619080"",AX$3)"),"#REF!")</f>
        <v>#REF!</v>
      </c>
      <c r="AY402" s="2" t="str">
        <f>IFERROR(__xludf.DUMMYFUNCTION("IMPORTRANGE(""https://docs.google.com/spreadsheets/d/""&amp;$A402&amp;""/edit#gid=156619080"",AY$3)"),"#REF!")</f>
        <v>#REF!</v>
      </c>
      <c r="AZ402" s="2" t="str">
        <f>IFERROR(__xludf.DUMMYFUNCTION("IMPORTRANGE(""https://docs.google.com/spreadsheets/d/""&amp;$A402&amp;""/edit#gid=156619080"",AZ$3)"),"#REF!")</f>
        <v>#REF!</v>
      </c>
      <c r="BA402" s="2" t="str">
        <f>IFERROR(__xludf.DUMMYFUNCTION("IMPORTRANGE(""https://docs.google.com/spreadsheets/d/""&amp;$A402&amp;""/edit#gid=156619080"",BA$3)"),"#REF!")</f>
        <v>#REF!</v>
      </c>
      <c r="BB402" s="2" t="str">
        <f>IFERROR(__xludf.DUMMYFUNCTION("IMPORTRANGE(""https://docs.google.com/spreadsheets/d/""&amp;$A402&amp;""/edit#gid=156619080"",BB$3)"),"#REF!")</f>
        <v>#REF!</v>
      </c>
      <c r="BC402" s="2" t="str">
        <f>IFERROR(__xludf.DUMMYFUNCTION("IMPORTRANGE(""https://docs.google.com/spreadsheets/d/""&amp;$A402&amp;""/edit#gid=156619080"",BC$3)"),"#REF!")</f>
        <v>#REF!</v>
      </c>
    </row>
    <row r="403" ht="51.0" customHeight="1">
      <c r="A403" s="7" t="str">
        <f t="shared" si="5"/>
        <v>10UvdMlmi2t0KGhmf6pPUNmr6DQ9oaYLtCMKeU6tH69I</v>
      </c>
      <c r="B403" s="1" t="s">
        <v>430</v>
      </c>
      <c r="C403" s="2" t="str">
        <f>IFERROR(__xludf.DUMMYFUNCTION("IMPORTRANGE(""https://docs.google.com/spreadsheets/d/""&amp;$A403&amp;""/edit#gid=156619080"",C$3)"),"#REF!")</f>
        <v>#REF!</v>
      </c>
      <c r="D403" s="2" t="str">
        <f>IFERROR(__xludf.DUMMYFUNCTION("IMPORTRANGE(""https://docs.google.com/spreadsheets/d/""&amp;$A403&amp;""/edit#gid=156619080"",D$3)"),"#REF!")</f>
        <v>#REF!</v>
      </c>
      <c r="E403" s="2" t="str">
        <f>IFERROR(__xludf.DUMMYFUNCTION("IMPORTRANGE(""https://docs.google.com/spreadsheets/d/""&amp;$A403&amp;""/edit#gid=156619080"",E$3)"),"#REF!")</f>
        <v>#REF!</v>
      </c>
      <c r="F403" s="2" t="str">
        <f>IFERROR(__xludf.DUMMYFUNCTION("IMPORTRANGE(""https://docs.google.com/spreadsheets/d/""&amp;$A403&amp;""/edit#gid=156619080"",F$3)"),"#REF!")</f>
        <v>#REF!</v>
      </c>
      <c r="G403" s="2" t="str">
        <f>IFERROR(__xludf.DUMMYFUNCTION("IMPORTRANGE(""https://docs.google.com/spreadsheets/d/""&amp;$A403&amp;""/edit#gid=156619080"",G$3)"),"#REF!")</f>
        <v>#REF!</v>
      </c>
      <c r="H403" s="2" t="str">
        <f>IFERROR(__xludf.DUMMYFUNCTION("IMPORTRANGE(""https://docs.google.com/spreadsheets/d/""&amp;$A403&amp;""/edit#gid=156619080"",H$3)"),"#REF!")</f>
        <v>#REF!</v>
      </c>
      <c r="I403" s="2" t="str">
        <f>IFERROR(__xludf.DUMMYFUNCTION("IMPORTRANGE(""https://docs.google.com/spreadsheets/d/""&amp;$A403&amp;""/edit#gid=156619080"",I$3)"),"#REF!")</f>
        <v>#REF!</v>
      </c>
      <c r="J403" s="2" t="str">
        <f>IFERROR(__xludf.DUMMYFUNCTION("IMPORTRANGE(""https://docs.google.com/spreadsheets/d/""&amp;$A403&amp;""/edit#gid=156619080"",J$3)"),"#REF!")</f>
        <v>#REF!</v>
      </c>
      <c r="K403" s="2" t="str">
        <f>IFERROR(__xludf.DUMMYFUNCTION("IMPORTRANGE(""https://docs.google.com/spreadsheets/d/""&amp;$A403&amp;""/edit#gid=156619080"",K$3)"),"#REF!")</f>
        <v>#REF!</v>
      </c>
      <c r="L403" s="2" t="str">
        <f>IFERROR(__xludf.DUMMYFUNCTION("IMPORTRANGE(""https://docs.google.com/spreadsheets/d/""&amp;$A403&amp;""/edit#gid=156619080"",L$3)"),"#REF!")</f>
        <v>#REF!</v>
      </c>
      <c r="M403" s="2" t="str">
        <f>IFERROR(__xludf.DUMMYFUNCTION("IMPORTRANGE(""https://docs.google.com/spreadsheets/d/""&amp;$A403&amp;""/edit#gid=156619080"",M$3)"),"#REF!")</f>
        <v>#REF!</v>
      </c>
      <c r="N403" s="2" t="str">
        <f>IFERROR(__xludf.DUMMYFUNCTION("IMPORTRANGE(""https://docs.google.com/spreadsheets/d/""&amp;$A403&amp;""/edit#gid=156619080"",N$3)"),"#REF!")</f>
        <v>#REF!</v>
      </c>
      <c r="O403" s="2" t="str">
        <f>IFERROR(__xludf.DUMMYFUNCTION("IMPORTRANGE(""https://docs.google.com/spreadsheets/d/""&amp;$A403&amp;""/edit#gid=156619080"",O$3)"),"#REF!")</f>
        <v>#REF!</v>
      </c>
      <c r="P403" s="2" t="str">
        <f>IFERROR(__xludf.DUMMYFUNCTION("IMPORTRANGE(""https://docs.google.com/spreadsheets/d/""&amp;$A403&amp;""/edit#gid=156619080"",P$3)"),"#REF!")</f>
        <v>#REF!</v>
      </c>
      <c r="Q403" s="2" t="str">
        <f>IFERROR(__xludf.DUMMYFUNCTION("IMPORTRANGE(""https://docs.google.com/spreadsheets/d/""&amp;$A403&amp;""/edit#gid=156619080"",Q$3)"),"#REF!")</f>
        <v>#REF!</v>
      </c>
      <c r="R403" s="2" t="str">
        <f>IFERROR(__xludf.DUMMYFUNCTION("IMPORTRANGE(""https://docs.google.com/spreadsheets/d/""&amp;$A403&amp;""/edit#gid=156619080"",R$3)"),"#REF!")</f>
        <v>#REF!</v>
      </c>
      <c r="S403" s="2" t="str">
        <f>IFERROR(__xludf.DUMMYFUNCTION("IMPORTRANGE(""https://docs.google.com/spreadsheets/d/""&amp;$A403&amp;""/edit#gid=156619080"",S$3)"),"#REF!")</f>
        <v>#REF!</v>
      </c>
      <c r="T403" s="2" t="str">
        <f>IFERROR(__xludf.DUMMYFUNCTION("IMPORTRANGE(""https://docs.google.com/spreadsheets/d/""&amp;$A403&amp;""/edit#gid=156619080"",T$3)"),"#REF!")</f>
        <v>#REF!</v>
      </c>
      <c r="U403" s="2" t="str">
        <f>IFERROR(__xludf.DUMMYFUNCTION("IMPORTRANGE(""https://docs.google.com/spreadsheets/d/""&amp;$A403&amp;""/edit#gid=156619080"",U$3)"),"#REF!")</f>
        <v>#REF!</v>
      </c>
      <c r="V403" s="2" t="str">
        <f>IFERROR(__xludf.DUMMYFUNCTION("IMPORTRANGE(""https://docs.google.com/spreadsheets/d/""&amp;$A403&amp;""/edit#gid=156619080"",V$3)"),"#REF!")</f>
        <v>#REF!</v>
      </c>
      <c r="W403" s="2" t="str">
        <f>IFERROR(__xludf.DUMMYFUNCTION("IMPORTRANGE(""https://docs.google.com/spreadsheets/d/""&amp;$A403&amp;""/edit#gid=156619080"",W$3)"),"#REF!")</f>
        <v>#REF!</v>
      </c>
      <c r="X403" s="2" t="str">
        <f>IFERROR(__xludf.DUMMYFUNCTION("IMPORTRANGE(""https://docs.google.com/spreadsheets/d/""&amp;$A403&amp;""/edit#gid=156619080"",X$3)"),"#REF!")</f>
        <v>#REF!</v>
      </c>
      <c r="Y403" s="2" t="str">
        <f>IFERROR(__xludf.DUMMYFUNCTION("IMPORTRANGE(""https://docs.google.com/spreadsheets/d/""&amp;$A403&amp;""/edit#gid=156619080"",Y$3)"),"#REF!")</f>
        <v>#REF!</v>
      </c>
      <c r="Z403" s="2" t="str">
        <f>IFERROR(__xludf.DUMMYFUNCTION("IMPORTRANGE(""https://docs.google.com/spreadsheets/d/""&amp;$A403&amp;""/edit#gid=156619080"",Z$3)"),"#REF!")</f>
        <v>#REF!</v>
      </c>
      <c r="AA403" s="2" t="str">
        <f>IFERROR(__xludf.DUMMYFUNCTION("IMPORTRANGE(""https://docs.google.com/spreadsheets/d/""&amp;$A403&amp;""/edit#gid=156619080"",AA$3)"),"#REF!")</f>
        <v>#REF!</v>
      </c>
      <c r="AB403" s="2" t="str">
        <f>IFERROR(__xludf.DUMMYFUNCTION("IMPORTRANGE(""https://docs.google.com/spreadsheets/d/""&amp;$A403&amp;""/edit#gid=156619080"",AB$3)"),"#REF!")</f>
        <v>#REF!</v>
      </c>
      <c r="AC403" s="2" t="str">
        <f>IFERROR(__xludf.DUMMYFUNCTION("IMPORTRANGE(""https://docs.google.com/spreadsheets/d/""&amp;$A403&amp;""/edit#gid=156619080"",AC$3)"),"#REF!")</f>
        <v>#REF!</v>
      </c>
      <c r="AD403" s="2" t="str">
        <f>IFERROR(__xludf.DUMMYFUNCTION("IMPORTRANGE(""https://docs.google.com/spreadsheets/d/""&amp;$A403&amp;""/edit#gid=156619080"",AD$3)"),"#REF!")</f>
        <v>#REF!</v>
      </c>
      <c r="AE403" s="2" t="str">
        <f>IFERROR(__xludf.DUMMYFUNCTION("IMPORTRANGE(""https://docs.google.com/spreadsheets/d/""&amp;$A403&amp;""/edit#gid=156619080"",AE$3)"),"#REF!")</f>
        <v>#REF!</v>
      </c>
      <c r="AF403" s="2" t="str">
        <f>IFERROR(__xludf.DUMMYFUNCTION("IMPORTRANGE(""https://docs.google.com/spreadsheets/d/""&amp;$A403&amp;""/edit#gid=156619080"",AF$3)"),"#REF!")</f>
        <v>#REF!</v>
      </c>
      <c r="AG403" s="2" t="str">
        <f>IFERROR(__xludf.DUMMYFUNCTION("IMPORTRANGE(""https://docs.google.com/spreadsheets/d/""&amp;$A403&amp;""/edit#gid=156619080"",AG$3)"),"#REF!")</f>
        <v>#REF!</v>
      </c>
      <c r="AH403" s="2" t="str">
        <f>IFERROR(__xludf.DUMMYFUNCTION("IMPORTRANGE(""https://docs.google.com/spreadsheets/d/""&amp;$A403&amp;""/edit#gid=156619080"",AH$3)"),"#REF!")</f>
        <v>#REF!</v>
      </c>
      <c r="AI403" s="2" t="str">
        <f>IFERROR(__xludf.DUMMYFUNCTION("IMPORTRANGE(""https://docs.google.com/spreadsheets/d/""&amp;$A403&amp;""/edit#gid=156619080"",AI$3)"),"#REF!")</f>
        <v>#REF!</v>
      </c>
      <c r="AJ403" s="2" t="str">
        <f>IFERROR(__xludf.DUMMYFUNCTION("IMPORTRANGE(""https://docs.google.com/spreadsheets/d/""&amp;$A403&amp;""/edit#gid=156619080"",AJ$3)"),"#REF!")</f>
        <v>#REF!</v>
      </c>
      <c r="AK403" s="2" t="str">
        <f>IFERROR(__xludf.DUMMYFUNCTION("IMPORTRANGE(""https://docs.google.com/spreadsheets/d/""&amp;$A403&amp;""/edit#gid=156619080"",AK$3)"),"#REF!")</f>
        <v>#REF!</v>
      </c>
      <c r="AL403" s="2" t="str">
        <f>IFERROR(__xludf.DUMMYFUNCTION("IMPORTRANGE(""https://docs.google.com/spreadsheets/d/""&amp;$A403&amp;""/edit#gid=156619080"",AL$3)"),"#REF!")</f>
        <v>#REF!</v>
      </c>
      <c r="AM403" s="2" t="str">
        <f>IFERROR(__xludf.DUMMYFUNCTION("IMPORTRANGE(""https://docs.google.com/spreadsheets/d/""&amp;$A403&amp;""/edit#gid=156619080"",AM$3)"),"#REF!")</f>
        <v>#REF!</v>
      </c>
      <c r="AN403" s="2" t="str">
        <f>IFERROR(__xludf.DUMMYFUNCTION("IMPORTRANGE(""https://docs.google.com/spreadsheets/d/""&amp;$A403&amp;""/edit#gid=156619080"",AN$3)"),"#REF!")</f>
        <v>#REF!</v>
      </c>
      <c r="AO403" s="2" t="str">
        <f>IFERROR(__xludf.DUMMYFUNCTION("IMPORTRANGE(""https://docs.google.com/spreadsheets/d/""&amp;$A403&amp;""/edit#gid=156619080"",AO$3)"),"#REF!")</f>
        <v>#REF!</v>
      </c>
      <c r="AP403" s="2" t="str">
        <f>IFERROR(__xludf.DUMMYFUNCTION("IMPORTRANGE(""https://docs.google.com/spreadsheets/d/""&amp;$A403&amp;""/edit#gid=156619080"",AP$3)"),"#REF!")</f>
        <v>#REF!</v>
      </c>
      <c r="AQ403" s="2" t="str">
        <f>IFERROR(__xludf.DUMMYFUNCTION("IMPORTRANGE(""https://docs.google.com/spreadsheets/d/""&amp;$A403&amp;""/edit#gid=156619080"",AQ$3)"),"#REF!")</f>
        <v>#REF!</v>
      </c>
      <c r="AR403" s="2" t="str">
        <f>IFERROR(__xludf.DUMMYFUNCTION("IMPORTRANGE(""https://docs.google.com/spreadsheets/d/""&amp;$A403&amp;""/edit#gid=156619080"",AR$3)"),"#REF!")</f>
        <v>#REF!</v>
      </c>
      <c r="AS403" s="19" t="str">
        <f>IFERROR(__xludf.DUMMYFUNCTION("IMPORTRANGE(""https://docs.google.com/spreadsheets/d/""&amp;$A403&amp;""/edit#gid=156619080"",AS$3)"),"#REF!")</f>
        <v>#REF!</v>
      </c>
      <c r="AT403" s="2" t="str">
        <f>IFERROR(__xludf.DUMMYFUNCTION("IMPORTRANGE(""https://docs.google.com/spreadsheets/d/""&amp;$A403&amp;""/edit#gid=156619080"",AT$3)"),"#REF!")</f>
        <v>#REF!</v>
      </c>
      <c r="AU403" s="3" t="str">
        <f>IFERROR(__xludf.DUMMYFUNCTION("IMPORTRANGE(""https://docs.google.com/spreadsheets/d/""&amp;$A403&amp;""/edit#gid=156619080"",AU$3)"),"#REF!")</f>
        <v>#REF!</v>
      </c>
      <c r="AV403" s="2" t="str">
        <f>IFERROR(__xludf.DUMMYFUNCTION("IMPORTRANGE(""https://docs.google.com/spreadsheets/d/""&amp;$A403&amp;""/edit#gid=156619080"",AV$3)"),"#REF!")</f>
        <v>#REF!</v>
      </c>
      <c r="AW403" s="19" t="str">
        <f>IFERROR(__xludf.DUMMYFUNCTION("IMPORTRANGE(""https://docs.google.com/spreadsheets/d/""&amp;$A403&amp;""/edit#gid=156619080"",AW$3)"),"#REF!")</f>
        <v>#REF!</v>
      </c>
      <c r="AX403" s="2" t="str">
        <f>IFERROR(__xludf.DUMMYFUNCTION("IMPORTRANGE(""https://docs.google.com/spreadsheets/d/""&amp;$A403&amp;""/edit#gid=156619080"",AX$3)"),"#REF!")</f>
        <v>#REF!</v>
      </c>
      <c r="AY403" s="2" t="str">
        <f>IFERROR(__xludf.DUMMYFUNCTION("IMPORTRANGE(""https://docs.google.com/spreadsheets/d/""&amp;$A403&amp;""/edit#gid=156619080"",AY$3)"),"#REF!")</f>
        <v>#REF!</v>
      </c>
      <c r="AZ403" s="2" t="str">
        <f>IFERROR(__xludf.DUMMYFUNCTION("IMPORTRANGE(""https://docs.google.com/spreadsheets/d/""&amp;$A403&amp;""/edit#gid=156619080"",AZ$3)"),"#REF!")</f>
        <v>#REF!</v>
      </c>
      <c r="BA403" s="2" t="str">
        <f>IFERROR(__xludf.DUMMYFUNCTION("IMPORTRANGE(""https://docs.google.com/spreadsheets/d/""&amp;$A403&amp;""/edit#gid=156619080"",BA$3)"),"#REF!")</f>
        <v>#REF!</v>
      </c>
      <c r="BB403" s="2" t="str">
        <f>IFERROR(__xludf.DUMMYFUNCTION("IMPORTRANGE(""https://docs.google.com/spreadsheets/d/""&amp;$A403&amp;""/edit#gid=156619080"",BB$3)"),"#REF!")</f>
        <v>#REF!</v>
      </c>
      <c r="BC403" s="2" t="str">
        <f>IFERROR(__xludf.DUMMYFUNCTION("IMPORTRANGE(""https://docs.google.com/spreadsheets/d/""&amp;$A403&amp;""/edit#gid=156619080"",BC$3)"),"#REF!")</f>
        <v>#REF!</v>
      </c>
    </row>
    <row r="404" ht="51.0" customHeight="1">
      <c r="A404" s="7" t="str">
        <f t="shared" si="5"/>
        <v>1-EP3cvevHAzTBEEe2ria7X64_E19yjYmue8aWD_KVek</v>
      </c>
      <c r="B404" s="1" t="s">
        <v>431</v>
      </c>
      <c r="C404" s="2" t="str">
        <f>IFERROR(__xludf.DUMMYFUNCTION("IMPORTRANGE(""https://docs.google.com/spreadsheets/d/""&amp;$A404&amp;""/edit#gid=156619080"",C$3)"),"#REF!")</f>
        <v>#REF!</v>
      </c>
      <c r="D404" s="2" t="str">
        <f>IFERROR(__xludf.DUMMYFUNCTION("IMPORTRANGE(""https://docs.google.com/spreadsheets/d/""&amp;$A404&amp;""/edit#gid=156619080"",D$3)"),"#REF!")</f>
        <v>#REF!</v>
      </c>
      <c r="E404" s="2" t="str">
        <f>IFERROR(__xludf.DUMMYFUNCTION("IMPORTRANGE(""https://docs.google.com/spreadsheets/d/""&amp;$A404&amp;""/edit#gid=156619080"",E$3)"),"#REF!")</f>
        <v>#REF!</v>
      </c>
      <c r="F404" s="2" t="str">
        <f>IFERROR(__xludf.DUMMYFUNCTION("IMPORTRANGE(""https://docs.google.com/spreadsheets/d/""&amp;$A404&amp;""/edit#gid=156619080"",F$3)"),"#REF!")</f>
        <v>#REF!</v>
      </c>
      <c r="G404" s="2" t="str">
        <f>IFERROR(__xludf.DUMMYFUNCTION("IMPORTRANGE(""https://docs.google.com/spreadsheets/d/""&amp;$A404&amp;""/edit#gid=156619080"",G$3)"),"#REF!")</f>
        <v>#REF!</v>
      </c>
      <c r="H404" s="2" t="str">
        <f>IFERROR(__xludf.DUMMYFUNCTION("IMPORTRANGE(""https://docs.google.com/spreadsheets/d/""&amp;$A404&amp;""/edit#gid=156619080"",H$3)"),"#REF!")</f>
        <v>#REF!</v>
      </c>
      <c r="I404" s="2" t="str">
        <f>IFERROR(__xludf.DUMMYFUNCTION("IMPORTRANGE(""https://docs.google.com/spreadsheets/d/""&amp;$A404&amp;""/edit#gid=156619080"",I$3)"),"#REF!")</f>
        <v>#REF!</v>
      </c>
      <c r="J404" s="2" t="str">
        <f>IFERROR(__xludf.DUMMYFUNCTION("IMPORTRANGE(""https://docs.google.com/spreadsheets/d/""&amp;$A404&amp;""/edit#gid=156619080"",J$3)"),"#REF!")</f>
        <v>#REF!</v>
      </c>
      <c r="K404" s="2" t="str">
        <f>IFERROR(__xludf.DUMMYFUNCTION("IMPORTRANGE(""https://docs.google.com/spreadsheets/d/""&amp;$A404&amp;""/edit#gid=156619080"",K$3)"),"#REF!")</f>
        <v>#REF!</v>
      </c>
      <c r="L404" s="2" t="str">
        <f>IFERROR(__xludf.DUMMYFUNCTION("IMPORTRANGE(""https://docs.google.com/spreadsheets/d/""&amp;$A404&amp;""/edit#gid=156619080"",L$3)"),"#REF!")</f>
        <v>#REF!</v>
      </c>
      <c r="M404" s="2" t="str">
        <f>IFERROR(__xludf.DUMMYFUNCTION("IMPORTRANGE(""https://docs.google.com/spreadsheets/d/""&amp;$A404&amp;""/edit#gid=156619080"",M$3)"),"#REF!")</f>
        <v>#REF!</v>
      </c>
      <c r="N404" s="2" t="str">
        <f>IFERROR(__xludf.DUMMYFUNCTION("IMPORTRANGE(""https://docs.google.com/spreadsheets/d/""&amp;$A404&amp;""/edit#gid=156619080"",N$3)"),"#REF!")</f>
        <v>#REF!</v>
      </c>
      <c r="O404" s="2" t="str">
        <f>IFERROR(__xludf.DUMMYFUNCTION("IMPORTRANGE(""https://docs.google.com/spreadsheets/d/""&amp;$A404&amp;""/edit#gid=156619080"",O$3)"),"#REF!")</f>
        <v>#REF!</v>
      </c>
      <c r="P404" s="2" t="str">
        <f>IFERROR(__xludf.DUMMYFUNCTION("IMPORTRANGE(""https://docs.google.com/spreadsheets/d/""&amp;$A404&amp;""/edit#gid=156619080"",P$3)"),"#REF!")</f>
        <v>#REF!</v>
      </c>
      <c r="Q404" s="2" t="str">
        <f>IFERROR(__xludf.DUMMYFUNCTION("IMPORTRANGE(""https://docs.google.com/spreadsheets/d/""&amp;$A404&amp;""/edit#gid=156619080"",Q$3)"),"#REF!")</f>
        <v>#REF!</v>
      </c>
      <c r="R404" s="2" t="str">
        <f>IFERROR(__xludf.DUMMYFUNCTION("IMPORTRANGE(""https://docs.google.com/spreadsheets/d/""&amp;$A404&amp;""/edit#gid=156619080"",R$3)"),"#REF!")</f>
        <v>#REF!</v>
      </c>
      <c r="S404" s="2" t="str">
        <f>IFERROR(__xludf.DUMMYFUNCTION("IMPORTRANGE(""https://docs.google.com/spreadsheets/d/""&amp;$A404&amp;""/edit#gid=156619080"",S$3)"),"#REF!")</f>
        <v>#REF!</v>
      </c>
      <c r="T404" s="2" t="str">
        <f>IFERROR(__xludf.DUMMYFUNCTION("IMPORTRANGE(""https://docs.google.com/spreadsheets/d/""&amp;$A404&amp;""/edit#gid=156619080"",T$3)"),"#REF!")</f>
        <v>#REF!</v>
      </c>
      <c r="U404" s="2" t="str">
        <f>IFERROR(__xludf.DUMMYFUNCTION("IMPORTRANGE(""https://docs.google.com/spreadsheets/d/""&amp;$A404&amp;""/edit#gid=156619080"",U$3)"),"#REF!")</f>
        <v>#REF!</v>
      </c>
      <c r="V404" s="2" t="str">
        <f>IFERROR(__xludf.DUMMYFUNCTION("IMPORTRANGE(""https://docs.google.com/spreadsheets/d/""&amp;$A404&amp;""/edit#gid=156619080"",V$3)"),"#REF!")</f>
        <v>#REF!</v>
      </c>
      <c r="W404" s="2" t="str">
        <f>IFERROR(__xludf.DUMMYFUNCTION("IMPORTRANGE(""https://docs.google.com/spreadsheets/d/""&amp;$A404&amp;""/edit#gid=156619080"",W$3)"),"#REF!")</f>
        <v>#REF!</v>
      </c>
      <c r="X404" s="2" t="str">
        <f>IFERROR(__xludf.DUMMYFUNCTION("IMPORTRANGE(""https://docs.google.com/spreadsheets/d/""&amp;$A404&amp;""/edit#gid=156619080"",X$3)"),"#REF!")</f>
        <v>#REF!</v>
      </c>
      <c r="Y404" s="2" t="str">
        <f>IFERROR(__xludf.DUMMYFUNCTION("IMPORTRANGE(""https://docs.google.com/spreadsheets/d/""&amp;$A404&amp;""/edit#gid=156619080"",Y$3)"),"#REF!")</f>
        <v>#REF!</v>
      </c>
      <c r="Z404" s="2" t="str">
        <f>IFERROR(__xludf.DUMMYFUNCTION("IMPORTRANGE(""https://docs.google.com/spreadsheets/d/""&amp;$A404&amp;""/edit#gid=156619080"",Z$3)"),"#REF!")</f>
        <v>#REF!</v>
      </c>
      <c r="AA404" s="2" t="str">
        <f>IFERROR(__xludf.DUMMYFUNCTION("IMPORTRANGE(""https://docs.google.com/spreadsheets/d/""&amp;$A404&amp;""/edit#gid=156619080"",AA$3)"),"#REF!")</f>
        <v>#REF!</v>
      </c>
      <c r="AB404" s="2" t="str">
        <f>IFERROR(__xludf.DUMMYFUNCTION("IMPORTRANGE(""https://docs.google.com/spreadsheets/d/""&amp;$A404&amp;""/edit#gid=156619080"",AB$3)"),"#REF!")</f>
        <v>#REF!</v>
      </c>
      <c r="AC404" s="2" t="str">
        <f>IFERROR(__xludf.DUMMYFUNCTION("IMPORTRANGE(""https://docs.google.com/spreadsheets/d/""&amp;$A404&amp;""/edit#gid=156619080"",AC$3)"),"#REF!")</f>
        <v>#REF!</v>
      </c>
      <c r="AD404" s="2" t="str">
        <f>IFERROR(__xludf.DUMMYFUNCTION("IMPORTRANGE(""https://docs.google.com/spreadsheets/d/""&amp;$A404&amp;""/edit#gid=156619080"",AD$3)"),"#REF!")</f>
        <v>#REF!</v>
      </c>
      <c r="AE404" s="2" t="str">
        <f>IFERROR(__xludf.DUMMYFUNCTION("IMPORTRANGE(""https://docs.google.com/spreadsheets/d/""&amp;$A404&amp;""/edit#gid=156619080"",AE$3)"),"#REF!")</f>
        <v>#REF!</v>
      </c>
      <c r="AF404" s="2" t="str">
        <f>IFERROR(__xludf.DUMMYFUNCTION("IMPORTRANGE(""https://docs.google.com/spreadsheets/d/""&amp;$A404&amp;""/edit#gid=156619080"",AF$3)"),"#REF!")</f>
        <v>#REF!</v>
      </c>
      <c r="AG404" s="2" t="str">
        <f>IFERROR(__xludf.DUMMYFUNCTION("IMPORTRANGE(""https://docs.google.com/spreadsheets/d/""&amp;$A404&amp;""/edit#gid=156619080"",AG$3)"),"#REF!")</f>
        <v>#REF!</v>
      </c>
      <c r="AH404" s="2" t="str">
        <f>IFERROR(__xludf.DUMMYFUNCTION("IMPORTRANGE(""https://docs.google.com/spreadsheets/d/""&amp;$A404&amp;""/edit#gid=156619080"",AH$3)"),"#REF!")</f>
        <v>#REF!</v>
      </c>
      <c r="AI404" s="2" t="str">
        <f>IFERROR(__xludf.DUMMYFUNCTION("IMPORTRANGE(""https://docs.google.com/spreadsheets/d/""&amp;$A404&amp;""/edit#gid=156619080"",AI$3)"),"#REF!")</f>
        <v>#REF!</v>
      </c>
      <c r="AJ404" s="2" t="str">
        <f>IFERROR(__xludf.DUMMYFUNCTION("IMPORTRANGE(""https://docs.google.com/spreadsheets/d/""&amp;$A404&amp;""/edit#gid=156619080"",AJ$3)"),"#REF!")</f>
        <v>#REF!</v>
      </c>
      <c r="AK404" s="2" t="str">
        <f>IFERROR(__xludf.DUMMYFUNCTION("IMPORTRANGE(""https://docs.google.com/spreadsheets/d/""&amp;$A404&amp;""/edit#gid=156619080"",AK$3)"),"#REF!")</f>
        <v>#REF!</v>
      </c>
      <c r="AL404" s="2" t="str">
        <f>IFERROR(__xludf.DUMMYFUNCTION("IMPORTRANGE(""https://docs.google.com/spreadsheets/d/""&amp;$A404&amp;""/edit#gid=156619080"",AL$3)"),"#REF!")</f>
        <v>#REF!</v>
      </c>
      <c r="AM404" s="2" t="str">
        <f>IFERROR(__xludf.DUMMYFUNCTION("IMPORTRANGE(""https://docs.google.com/spreadsheets/d/""&amp;$A404&amp;""/edit#gid=156619080"",AM$3)"),"#REF!")</f>
        <v>#REF!</v>
      </c>
      <c r="AN404" s="2" t="str">
        <f>IFERROR(__xludf.DUMMYFUNCTION("IMPORTRANGE(""https://docs.google.com/spreadsheets/d/""&amp;$A404&amp;""/edit#gid=156619080"",AN$3)"),"#REF!")</f>
        <v>#REF!</v>
      </c>
      <c r="AO404" s="2" t="str">
        <f>IFERROR(__xludf.DUMMYFUNCTION("IMPORTRANGE(""https://docs.google.com/spreadsheets/d/""&amp;$A404&amp;""/edit#gid=156619080"",AO$3)"),"#REF!")</f>
        <v>#REF!</v>
      </c>
      <c r="AP404" s="2" t="str">
        <f>IFERROR(__xludf.DUMMYFUNCTION("IMPORTRANGE(""https://docs.google.com/spreadsheets/d/""&amp;$A404&amp;""/edit#gid=156619080"",AP$3)"),"#REF!")</f>
        <v>#REF!</v>
      </c>
      <c r="AQ404" s="2" t="str">
        <f>IFERROR(__xludf.DUMMYFUNCTION("IMPORTRANGE(""https://docs.google.com/spreadsheets/d/""&amp;$A404&amp;""/edit#gid=156619080"",AQ$3)"),"#REF!")</f>
        <v>#REF!</v>
      </c>
      <c r="AR404" s="2" t="str">
        <f>IFERROR(__xludf.DUMMYFUNCTION("IMPORTRANGE(""https://docs.google.com/spreadsheets/d/""&amp;$A404&amp;""/edit#gid=156619080"",AR$3)"),"#REF!")</f>
        <v>#REF!</v>
      </c>
      <c r="AS404" s="19" t="str">
        <f>IFERROR(__xludf.DUMMYFUNCTION("IMPORTRANGE(""https://docs.google.com/spreadsheets/d/""&amp;$A404&amp;""/edit#gid=156619080"",AS$3)"),"#REF!")</f>
        <v>#REF!</v>
      </c>
      <c r="AT404" s="2" t="str">
        <f>IFERROR(__xludf.DUMMYFUNCTION("IMPORTRANGE(""https://docs.google.com/spreadsheets/d/""&amp;$A404&amp;""/edit#gid=156619080"",AT$3)"),"#REF!")</f>
        <v>#REF!</v>
      </c>
      <c r="AU404" s="3" t="str">
        <f>IFERROR(__xludf.DUMMYFUNCTION("IMPORTRANGE(""https://docs.google.com/spreadsheets/d/""&amp;$A404&amp;""/edit#gid=156619080"",AU$3)"),"#REF!")</f>
        <v>#REF!</v>
      </c>
      <c r="AV404" s="2" t="str">
        <f>IFERROR(__xludf.DUMMYFUNCTION("IMPORTRANGE(""https://docs.google.com/spreadsheets/d/""&amp;$A404&amp;""/edit#gid=156619080"",AV$3)"),"#REF!")</f>
        <v>#REF!</v>
      </c>
      <c r="AW404" s="19" t="str">
        <f>IFERROR(__xludf.DUMMYFUNCTION("IMPORTRANGE(""https://docs.google.com/spreadsheets/d/""&amp;$A404&amp;""/edit#gid=156619080"",AW$3)"),"#REF!")</f>
        <v>#REF!</v>
      </c>
      <c r="AX404" s="2" t="str">
        <f>IFERROR(__xludf.DUMMYFUNCTION("IMPORTRANGE(""https://docs.google.com/spreadsheets/d/""&amp;$A404&amp;""/edit#gid=156619080"",AX$3)"),"#REF!")</f>
        <v>#REF!</v>
      </c>
      <c r="AY404" s="2" t="str">
        <f>IFERROR(__xludf.DUMMYFUNCTION("IMPORTRANGE(""https://docs.google.com/spreadsheets/d/""&amp;$A404&amp;""/edit#gid=156619080"",AY$3)"),"#REF!")</f>
        <v>#REF!</v>
      </c>
      <c r="AZ404" s="2" t="str">
        <f>IFERROR(__xludf.DUMMYFUNCTION("IMPORTRANGE(""https://docs.google.com/spreadsheets/d/""&amp;$A404&amp;""/edit#gid=156619080"",AZ$3)"),"#REF!")</f>
        <v>#REF!</v>
      </c>
      <c r="BA404" s="2" t="str">
        <f>IFERROR(__xludf.DUMMYFUNCTION("IMPORTRANGE(""https://docs.google.com/spreadsheets/d/""&amp;$A404&amp;""/edit#gid=156619080"",BA$3)"),"#REF!")</f>
        <v>#REF!</v>
      </c>
      <c r="BB404" s="2" t="str">
        <f>IFERROR(__xludf.DUMMYFUNCTION("IMPORTRANGE(""https://docs.google.com/spreadsheets/d/""&amp;$A404&amp;""/edit#gid=156619080"",BB$3)"),"#REF!")</f>
        <v>#REF!</v>
      </c>
      <c r="BC404" s="2" t="str">
        <f>IFERROR(__xludf.DUMMYFUNCTION("IMPORTRANGE(""https://docs.google.com/spreadsheets/d/""&amp;$A404&amp;""/edit#gid=156619080"",BC$3)"),"#REF!")</f>
        <v>#REF!</v>
      </c>
    </row>
    <row r="405" ht="51.0" customHeight="1">
      <c r="A405" s="7" t="str">
        <f t="shared" si="5"/>
        <v>1O9zRDgCP-i5N4m0w58sNg9idiEJX5GMgIp9_5m2Xj2Y</v>
      </c>
      <c r="B405" s="1" t="s">
        <v>432</v>
      </c>
      <c r="C405" s="2" t="str">
        <f>IFERROR(__xludf.DUMMYFUNCTION("IMPORTRANGE(""https://docs.google.com/spreadsheets/d/""&amp;$A405&amp;""/edit#gid=156619080"",C$3)"),"#REF!")</f>
        <v>#REF!</v>
      </c>
      <c r="D405" s="2" t="str">
        <f>IFERROR(__xludf.DUMMYFUNCTION("IMPORTRANGE(""https://docs.google.com/spreadsheets/d/""&amp;$A405&amp;""/edit#gid=156619080"",D$3)"),"#REF!")</f>
        <v>#REF!</v>
      </c>
      <c r="E405" s="2" t="str">
        <f>IFERROR(__xludf.DUMMYFUNCTION("IMPORTRANGE(""https://docs.google.com/spreadsheets/d/""&amp;$A405&amp;""/edit#gid=156619080"",E$3)"),"#REF!")</f>
        <v>#REF!</v>
      </c>
      <c r="F405" s="2" t="str">
        <f>IFERROR(__xludf.DUMMYFUNCTION("IMPORTRANGE(""https://docs.google.com/spreadsheets/d/""&amp;$A405&amp;""/edit#gid=156619080"",F$3)"),"#REF!")</f>
        <v>#REF!</v>
      </c>
      <c r="G405" s="2" t="str">
        <f>IFERROR(__xludf.DUMMYFUNCTION("IMPORTRANGE(""https://docs.google.com/spreadsheets/d/""&amp;$A405&amp;""/edit#gid=156619080"",G$3)"),"#REF!")</f>
        <v>#REF!</v>
      </c>
      <c r="H405" s="2" t="str">
        <f>IFERROR(__xludf.DUMMYFUNCTION("IMPORTRANGE(""https://docs.google.com/spreadsheets/d/""&amp;$A405&amp;""/edit#gid=156619080"",H$3)"),"#REF!")</f>
        <v>#REF!</v>
      </c>
      <c r="I405" s="2" t="str">
        <f>IFERROR(__xludf.DUMMYFUNCTION("IMPORTRANGE(""https://docs.google.com/spreadsheets/d/""&amp;$A405&amp;""/edit#gid=156619080"",I$3)"),"#REF!")</f>
        <v>#REF!</v>
      </c>
      <c r="J405" s="2" t="str">
        <f>IFERROR(__xludf.DUMMYFUNCTION("IMPORTRANGE(""https://docs.google.com/spreadsheets/d/""&amp;$A405&amp;""/edit#gid=156619080"",J$3)"),"#REF!")</f>
        <v>#REF!</v>
      </c>
      <c r="K405" s="2" t="str">
        <f>IFERROR(__xludf.DUMMYFUNCTION("IMPORTRANGE(""https://docs.google.com/spreadsheets/d/""&amp;$A405&amp;""/edit#gid=156619080"",K$3)"),"#REF!")</f>
        <v>#REF!</v>
      </c>
      <c r="L405" s="2" t="str">
        <f>IFERROR(__xludf.DUMMYFUNCTION("IMPORTRANGE(""https://docs.google.com/spreadsheets/d/""&amp;$A405&amp;""/edit#gid=156619080"",L$3)"),"#REF!")</f>
        <v>#REF!</v>
      </c>
      <c r="M405" s="2" t="str">
        <f>IFERROR(__xludf.DUMMYFUNCTION("IMPORTRANGE(""https://docs.google.com/spreadsheets/d/""&amp;$A405&amp;""/edit#gid=156619080"",M$3)"),"#REF!")</f>
        <v>#REF!</v>
      </c>
      <c r="N405" s="2" t="str">
        <f>IFERROR(__xludf.DUMMYFUNCTION("IMPORTRANGE(""https://docs.google.com/spreadsheets/d/""&amp;$A405&amp;""/edit#gid=156619080"",N$3)"),"#REF!")</f>
        <v>#REF!</v>
      </c>
      <c r="O405" s="2" t="str">
        <f>IFERROR(__xludf.DUMMYFUNCTION("IMPORTRANGE(""https://docs.google.com/spreadsheets/d/""&amp;$A405&amp;""/edit#gid=156619080"",O$3)"),"#REF!")</f>
        <v>#REF!</v>
      </c>
      <c r="P405" s="2" t="str">
        <f>IFERROR(__xludf.DUMMYFUNCTION("IMPORTRANGE(""https://docs.google.com/spreadsheets/d/""&amp;$A405&amp;""/edit#gid=156619080"",P$3)"),"#REF!")</f>
        <v>#REF!</v>
      </c>
      <c r="Q405" s="2" t="str">
        <f>IFERROR(__xludf.DUMMYFUNCTION("IMPORTRANGE(""https://docs.google.com/spreadsheets/d/""&amp;$A405&amp;""/edit#gid=156619080"",Q$3)"),"#REF!")</f>
        <v>#REF!</v>
      </c>
      <c r="R405" s="2" t="str">
        <f>IFERROR(__xludf.DUMMYFUNCTION("IMPORTRANGE(""https://docs.google.com/spreadsheets/d/""&amp;$A405&amp;""/edit#gid=156619080"",R$3)"),"#REF!")</f>
        <v>#REF!</v>
      </c>
      <c r="S405" s="2" t="str">
        <f>IFERROR(__xludf.DUMMYFUNCTION("IMPORTRANGE(""https://docs.google.com/spreadsheets/d/""&amp;$A405&amp;""/edit#gid=156619080"",S$3)"),"#REF!")</f>
        <v>#REF!</v>
      </c>
      <c r="T405" s="2" t="str">
        <f>IFERROR(__xludf.DUMMYFUNCTION("IMPORTRANGE(""https://docs.google.com/spreadsheets/d/""&amp;$A405&amp;""/edit#gid=156619080"",T$3)"),"#REF!")</f>
        <v>#REF!</v>
      </c>
      <c r="U405" s="2" t="str">
        <f>IFERROR(__xludf.DUMMYFUNCTION("IMPORTRANGE(""https://docs.google.com/spreadsheets/d/""&amp;$A405&amp;""/edit#gid=156619080"",U$3)"),"#REF!")</f>
        <v>#REF!</v>
      </c>
      <c r="V405" s="2" t="str">
        <f>IFERROR(__xludf.DUMMYFUNCTION("IMPORTRANGE(""https://docs.google.com/spreadsheets/d/""&amp;$A405&amp;""/edit#gid=156619080"",V$3)"),"#REF!")</f>
        <v>#REF!</v>
      </c>
      <c r="W405" s="2" t="str">
        <f>IFERROR(__xludf.DUMMYFUNCTION("IMPORTRANGE(""https://docs.google.com/spreadsheets/d/""&amp;$A405&amp;""/edit#gid=156619080"",W$3)"),"#REF!")</f>
        <v>#REF!</v>
      </c>
      <c r="X405" s="2" t="str">
        <f>IFERROR(__xludf.DUMMYFUNCTION("IMPORTRANGE(""https://docs.google.com/spreadsheets/d/""&amp;$A405&amp;""/edit#gid=156619080"",X$3)"),"#REF!")</f>
        <v>#REF!</v>
      </c>
      <c r="Y405" s="2" t="str">
        <f>IFERROR(__xludf.DUMMYFUNCTION("IMPORTRANGE(""https://docs.google.com/spreadsheets/d/""&amp;$A405&amp;""/edit#gid=156619080"",Y$3)"),"#REF!")</f>
        <v>#REF!</v>
      </c>
      <c r="Z405" s="2" t="str">
        <f>IFERROR(__xludf.DUMMYFUNCTION("IMPORTRANGE(""https://docs.google.com/spreadsheets/d/""&amp;$A405&amp;""/edit#gid=156619080"",Z$3)"),"#REF!")</f>
        <v>#REF!</v>
      </c>
      <c r="AA405" s="2" t="str">
        <f>IFERROR(__xludf.DUMMYFUNCTION("IMPORTRANGE(""https://docs.google.com/spreadsheets/d/""&amp;$A405&amp;""/edit#gid=156619080"",AA$3)"),"#REF!")</f>
        <v>#REF!</v>
      </c>
      <c r="AB405" s="2" t="str">
        <f>IFERROR(__xludf.DUMMYFUNCTION("IMPORTRANGE(""https://docs.google.com/spreadsheets/d/""&amp;$A405&amp;""/edit#gid=156619080"",AB$3)"),"#REF!")</f>
        <v>#REF!</v>
      </c>
      <c r="AC405" s="2" t="str">
        <f>IFERROR(__xludf.DUMMYFUNCTION("IMPORTRANGE(""https://docs.google.com/spreadsheets/d/""&amp;$A405&amp;""/edit#gid=156619080"",AC$3)"),"#REF!")</f>
        <v>#REF!</v>
      </c>
      <c r="AD405" s="2" t="str">
        <f>IFERROR(__xludf.DUMMYFUNCTION("IMPORTRANGE(""https://docs.google.com/spreadsheets/d/""&amp;$A405&amp;""/edit#gid=156619080"",AD$3)"),"#REF!")</f>
        <v>#REF!</v>
      </c>
      <c r="AE405" s="2" t="str">
        <f>IFERROR(__xludf.DUMMYFUNCTION("IMPORTRANGE(""https://docs.google.com/spreadsheets/d/""&amp;$A405&amp;""/edit#gid=156619080"",AE$3)"),"#REF!")</f>
        <v>#REF!</v>
      </c>
      <c r="AF405" s="2" t="str">
        <f>IFERROR(__xludf.DUMMYFUNCTION("IMPORTRANGE(""https://docs.google.com/spreadsheets/d/""&amp;$A405&amp;""/edit#gid=156619080"",AF$3)"),"#REF!")</f>
        <v>#REF!</v>
      </c>
      <c r="AG405" s="2" t="str">
        <f>IFERROR(__xludf.DUMMYFUNCTION("IMPORTRANGE(""https://docs.google.com/spreadsheets/d/""&amp;$A405&amp;""/edit#gid=156619080"",AG$3)"),"#REF!")</f>
        <v>#REF!</v>
      </c>
      <c r="AH405" s="2" t="str">
        <f>IFERROR(__xludf.DUMMYFUNCTION("IMPORTRANGE(""https://docs.google.com/spreadsheets/d/""&amp;$A405&amp;""/edit#gid=156619080"",AH$3)"),"#REF!")</f>
        <v>#REF!</v>
      </c>
      <c r="AI405" s="2" t="str">
        <f>IFERROR(__xludf.DUMMYFUNCTION("IMPORTRANGE(""https://docs.google.com/spreadsheets/d/""&amp;$A405&amp;""/edit#gid=156619080"",AI$3)"),"#REF!")</f>
        <v>#REF!</v>
      </c>
      <c r="AJ405" s="2" t="str">
        <f>IFERROR(__xludf.DUMMYFUNCTION("IMPORTRANGE(""https://docs.google.com/spreadsheets/d/""&amp;$A405&amp;""/edit#gid=156619080"",AJ$3)"),"#REF!")</f>
        <v>#REF!</v>
      </c>
      <c r="AK405" s="2" t="str">
        <f>IFERROR(__xludf.DUMMYFUNCTION("IMPORTRANGE(""https://docs.google.com/spreadsheets/d/""&amp;$A405&amp;""/edit#gid=156619080"",AK$3)"),"#REF!")</f>
        <v>#REF!</v>
      </c>
      <c r="AL405" s="2" t="str">
        <f>IFERROR(__xludf.DUMMYFUNCTION("IMPORTRANGE(""https://docs.google.com/spreadsheets/d/""&amp;$A405&amp;""/edit#gid=156619080"",AL$3)"),"#REF!")</f>
        <v>#REF!</v>
      </c>
      <c r="AM405" s="2" t="str">
        <f>IFERROR(__xludf.DUMMYFUNCTION("IMPORTRANGE(""https://docs.google.com/spreadsheets/d/""&amp;$A405&amp;""/edit#gid=156619080"",AM$3)"),"#REF!")</f>
        <v>#REF!</v>
      </c>
      <c r="AN405" s="2" t="str">
        <f>IFERROR(__xludf.DUMMYFUNCTION("IMPORTRANGE(""https://docs.google.com/spreadsheets/d/""&amp;$A405&amp;""/edit#gid=156619080"",AN$3)"),"#REF!")</f>
        <v>#REF!</v>
      </c>
      <c r="AO405" s="2" t="str">
        <f>IFERROR(__xludf.DUMMYFUNCTION("IMPORTRANGE(""https://docs.google.com/spreadsheets/d/""&amp;$A405&amp;""/edit#gid=156619080"",AO$3)"),"#REF!")</f>
        <v>#REF!</v>
      </c>
      <c r="AP405" s="2" t="str">
        <f>IFERROR(__xludf.DUMMYFUNCTION("IMPORTRANGE(""https://docs.google.com/spreadsheets/d/""&amp;$A405&amp;""/edit#gid=156619080"",AP$3)"),"#REF!")</f>
        <v>#REF!</v>
      </c>
      <c r="AQ405" s="2" t="str">
        <f>IFERROR(__xludf.DUMMYFUNCTION("IMPORTRANGE(""https://docs.google.com/spreadsheets/d/""&amp;$A405&amp;""/edit#gid=156619080"",AQ$3)"),"#REF!")</f>
        <v>#REF!</v>
      </c>
      <c r="AR405" s="2" t="str">
        <f>IFERROR(__xludf.DUMMYFUNCTION("IMPORTRANGE(""https://docs.google.com/spreadsheets/d/""&amp;$A405&amp;""/edit#gid=156619080"",AR$3)"),"#REF!")</f>
        <v>#REF!</v>
      </c>
      <c r="AS405" s="19" t="str">
        <f>IFERROR(__xludf.DUMMYFUNCTION("IMPORTRANGE(""https://docs.google.com/spreadsheets/d/""&amp;$A405&amp;""/edit#gid=156619080"",AS$3)"),"#REF!")</f>
        <v>#REF!</v>
      </c>
      <c r="AT405" s="2" t="str">
        <f>IFERROR(__xludf.DUMMYFUNCTION("IMPORTRANGE(""https://docs.google.com/spreadsheets/d/""&amp;$A405&amp;""/edit#gid=156619080"",AT$3)"),"#REF!")</f>
        <v>#REF!</v>
      </c>
      <c r="AU405" s="3" t="str">
        <f>IFERROR(__xludf.DUMMYFUNCTION("IMPORTRANGE(""https://docs.google.com/spreadsheets/d/""&amp;$A405&amp;""/edit#gid=156619080"",AU$3)"),"#REF!")</f>
        <v>#REF!</v>
      </c>
      <c r="AV405" s="2" t="str">
        <f>IFERROR(__xludf.DUMMYFUNCTION("IMPORTRANGE(""https://docs.google.com/spreadsheets/d/""&amp;$A405&amp;""/edit#gid=156619080"",AV$3)"),"#REF!")</f>
        <v>#REF!</v>
      </c>
      <c r="AW405" s="19" t="str">
        <f>IFERROR(__xludf.DUMMYFUNCTION("IMPORTRANGE(""https://docs.google.com/spreadsheets/d/""&amp;$A405&amp;""/edit#gid=156619080"",AW$3)"),"#REF!")</f>
        <v>#REF!</v>
      </c>
      <c r="AX405" s="2" t="str">
        <f>IFERROR(__xludf.DUMMYFUNCTION("IMPORTRANGE(""https://docs.google.com/spreadsheets/d/""&amp;$A405&amp;""/edit#gid=156619080"",AX$3)"),"#REF!")</f>
        <v>#REF!</v>
      </c>
      <c r="AY405" s="2" t="str">
        <f>IFERROR(__xludf.DUMMYFUNCTION("IMPORTRANGE(""https://docs.google.com/spreadsheets/d/""&amp;$A405&amp;""/edit#gid=156619080"",AY$3)"),"#REF!")</f>
        <v>#REF!</v>
      </c>
      <c r="AZ405" s="2" t="str">
        <f>IFERROR(__xludf.DUMMYFUNCTION("IMPORTRANGE(""https://docs.google.com/spreadsheets/d/""&amp;$A405&amp;""/edit#gid=156619080"",AZ$3)"),"#REF!")</f>
        <v>#REF!</v>
      </c>
      <c r="BA405" s="2" t="str">
        <f>IFERROR(__xludf.DUMMYFUNCTION("IMPORTRANGE(""https://docs.google.com/spreadsheets/d/""&amp;$A405&amp;""/edit#gid=156619080"",BA$3)"),"#REF!")</f>
        <v>#REF!</v>
      </c>
      <c r="BB405" s="2" t="str">
        <f>IFERROR(__xludf.DUMMYFUNCTION("IMPORTRANGE(""https://docs.google.com/spreadsheets/d/""&amp;$A405&amp;""/edit#gid=156619080"",BB$3)"),"#REF!")</f>
        <v>#REF!</v>
      </c>
      <c r="BC405" s="2" t="str">
        <f>IFERROR(__xludf.DUMMYFUNCTION("IMPORTRANGE(""https://docs.google.com/spreadsheets/d/""&amp;$A405&amp;""/edit#gid=156619080"",BC$3)"),"#REF!")</f>
        <v>#REF!</v>
      </c>
    </row>
    <row r="406" ht="51.0" customHeight="1">
      <c r="A406" s="7" t="str">
        <f t="shared" si="5"/>
        <v>1jmRMW9Ej4Y7v-jbCDNCTvGV1EjjQliImGwylFEJRO-k</v>
      </c>
      <c r="B406" s="1" t="s">
        <v>433</v>
      </c>
      <c r="C406" s="2" t="str">
        <f>IFERROR(__xludf.DUMMYFUNCTION("IMPORTRANGE(""https://docs.google.com/spreadsheets/d/""&amp;$A406&amp;""/edit#gid=156619080"",C$3)"),"#REF!")</f>
        <v>#REF!</v>
      </c>
      <c r="D406" s="2" t="str">
        <f>IFERROR(__xludf.DUMMYFUNCTION("IMPORTRANGE(""https://docs.google.com/spreadsheets/d/""&amp;$A406&amp;""/edit#gid=156619080"",D$3)"),"#REF!")</f>
        <v>#REF!</v>
      </c>
      <c r="E406" s="2" t="str">
        <f>IFERROR(__xludf.DUMMYFUNCTION("IMPORTRANGE(""https://docs.google.com/spreadsheets/d/""&amp;$A406&amp;""/edit#gid=156619080"",E$3)"),"#REF!")</f>
        <v>#REF!</v>
      </c>
      <c r="F406" s="2" t="str">
        <f>IFERROR(__xludf.DUMMYFUNCTION("IMPORTRANGE(""https://docs.google.com/spreadsheets/d/""&amp;$A406&amp;""/edit#gid=156619080"",F$3)"),"#REF!")</f>
        <v>#REF!</v>
      </c>
      <c r="G406" s="2" t="str">
        <f>IFERROR(__xludf.DUMMYFUNCTION("IMPORTRANGE(""https://docs.google.com/spreadsheets/d/""&amp;$A406&amp;""/edit#gid=156619080"",G$3)"),"#REF!")</f>
        <v>#REF!</v>
      </c>
      <c r="H406" s="2" t="str">
        <f>IFERROR(__xludf.DUMMYFUNCTION("IMPORTRANGE(""https://docs.google.com/spreadsheets/d/""&amp;$A406&amp;""/edit#gid=156619080"",H$3)"),"#REF!")</f>
        <v>#REF!</v>
      </c>
      <c r="I406" s="2" t="str">
        <f>IFERROR(__xludf.DUMMYFUNCTION("IMPORTRANGE(""https://docs.google.com/spreadsheets/d/""&amp;$A406&amp;""/edit#gid=156619080"",I$3)"),"#REF!")</f>
        <v>#REF!</v>
      </c>
      <c r="J406" s="2" t="str">
        <f>IFERROR(__xludf.DUMMYFUNCTION("IMPORTRANGE(""https://docs.google.com/spreadsheets/d/""&amp;$A406&amp;""/edit#gid=156619080"",J$3)"),"#REF!")</f>
        <v>#REF!</v>
      </c>
      <c r="K406" s="2" t="str">
        <f>IFERROR(__xludf.DUMMYFUNCTION("IMPORTRANGE(""https://docs.google.com/spreadsheets/d/""&amp;$A406&amp;""/edit#gid=156619080"",K$3)"),"#REF!")</f>
        <v>#REF!</v>
      </c>
      <c r="L406" s="2" t="str">
        <f>IFERROR(__xludf.DUMMYFUNCTION("IMPORTRANGE(""https://docs.google.com/spreadsheets/d/""&amp;$A406&amp;""/edit#gid=156619080"",L$3)"),"#REF!")</f>
        <v>#REF!</v>
      </c>
      <c r="M406" s="2" t="str">
        <f>IFERROR(__xludf.DUMMYFUNCTION("IMPORTRANGE(""https://docs.google.com/spreadsheets/d/""&amp;$A406&amp;""/edit#gid=156619080"",M$3)"),"#REF!")</f>
        <v>#REF!</v>
      </c>
      <c r="N406" s="2" t="str">
        <f>IFERROR(__xludf.DUMMYFUNCTION("IMPORTRANGE(""https://docs.google.com/spreadsheets/d/""&amp;$A406&amp;""/edit#gid=156619080"",N$3)"),"#REF!")</f>
        <v>#REF!</v>
      </c>
      <c r="O406" s="2" t="str">
        <f>IFERROR(__xludf.DUMMYFUNCTION("IMPORTRANGE(""https://docs.google.com/spreadsheets/d/""&amp;$A406&amp;""/edit#gid=156619080"",O$3)"),"#REF!")</f>
        <v>#REF!</v>
      </c>
      <c r="P406" s="2" t="str">
        <f>IFERROR(__xludf.DUMMYFUNCTION("IMPORTRANGE(""https://docs.google.com/spreadsheets/d/""&amp;$A406&amp;""/edit#gid=156619080"",P$3)"),"#REF!")</f>
        <v>#REF!</v>
      </c>
      <c r="Q406" s="2" t="str">
        <f>IFERROR(__xludf.DUMMYFUNCTION("IMPORTRANGE(""https://docs.google.com/spreadsheets/d/""&amp;$A406&amp;""/edit#gid=156619080"",Q$3)"),"#REF!")</f>
        <v>#REF!</v>
      </c>
      <c r="R406" s="2" t="str">
        <f>IFERROR(__xludf.DUMMYFUNCTION("IMPORTRANGE(""https://docs.google.com/spreadsheets/d/""&amp;$A406&amp;""/edit#gid=156619080"",R$3)"),"#REF!")</f>
        <v>#REF!</v>
      </c>
      <c r="S406" s="2" t="str">
        <f>IFERROR(__xludf.DUMMYFUNCTION("IMPORTRANGE(""https://docs.google.com/spreadsheets/d/""&amp;$A406&amp;""/edit#gid=156619080"",S$3)"),"#REF!")</f>
        <v>#REF!</v>
      </c>
      <c r="T406" s="2" t="str">
        <f>IFERROR(__xludf.DUMMYFUNCTION("IMPORTRANGE(""https://docs.google.com/spreadsheets/d/""&amp;$A406&amp;""/edit#gid=156619080"",T$3)"),"#REF!")</f>
        <v>#REF!</v>
      </c>
      <c r="U406" s="2" t="str">
        <f>IFERROR(__xludf.DUMMYFUNCTION("IMPORTRANGE(""https://docs.google.com/spreadsheets/d/""&amp;$A406&amp;""/edit#gid=156619080"",U$3)"),"#REF!")</f>
        <v>#REF!</v>
      </c>
      <c r="V406" s="2" t="str">
        <f>IFERROR(__xludf.DUMMYFUNCTION("IMPORTRANGE(""https://docs.google.com/spreadsheets/d/""&amp;$A406&amp;""/edit#gid=156619080"",V$3)"),"#REF!")</f>
        <v>#REF!</v>
      </c>
      <c r="W406" s="2" t="str">
        <f>IFERROR(__xludf.DUMMYFUNCTION("IMPORTRANGE(""https://docs.google.com/spreadsheets/d/""&amp;$A406&amp;""/edit#gid=156619080"",W$3)"),"#REF!")</f>
        <v>#REF!</v>
      </c>
      <c r="X406" s="2" t="str">
        <f>IFERROR(__xludf.DUMMYFUNCTION("IMPORTRANGE(""https://docs.google.com/spreadsheets/d/""&amp;$A406&amp;""/edit#gid=156619080"",X$3)"),"#REF!")</f>
        <v>#REF!</v>
      </c>
      <c r="Y406" s="2" t="str">
        <f>IFERROR(__xludf.DUMMYFUNCTION("IMPORTRANGE(""https://docs.google.com/spreadsheets/d/""&amp;$A406&amp;""/edit#gid=156619080"",Y$3)"),"#REF!")</f>
        <v>#REF!</v>
      </c>
      <c r="Z406" s="2" t="str">
        <f>IFERROR(__xludf.DUMMYFUNCTION("IMPORTRANGE(""https://docs.google.com/spreadsheets/d/""&amp;$A406&amp;""/edit#gid=156619080"",Z$3)"),"#REF!")</f>
        <v>#REF!</v>
      </c>
      <c r="AA406" s="2" t="str">
        <f>IFERROR(__xludf.DUMMYFUNCTION("IMPORTRANGE(""https://docs.google.com/spreadsheets/d/""&amp;$A406&amp;""/edit#gid=156619080"",AA$3)"),"#REF!")</f>
        <v>#REF!</v>
      </c>
      <c r="AB406" s="2" t="str">
        <f>IFERROR(__xludf.DUMMYFUNCTION("IMPORTRANGE(""https://docs.google.com/spreadsheets/d/""&amp;$A406&amp;""/edit#gid=156619080"",AB$3)"),"#REF!")</f>
        <v>#REF!</v>
      </c>
      <c r="AC406" s="2" t="str">
        <f>IFERROR(__xludf.DUMMYFUNCTION("IMPORTRANGE(""https://docs.google.com/spreadsheets/d/""&amp;$A406&amp;""/edit#gid=156619080"",AC$3)"),"#REF!")</f>
        <v>#REF!</v>
      </c>
      <c r="AD406" s="2" t="str">
        <f>IFERROR(__xludf.DUMMYFUNCTION("IMPORTRANGE(""https://docs.google.com/spreadsheets/d/""&amp;$A406&amp;""/edit#gid=156619080"",AD$3)"),"#REF!")</f>
        <v>#REF!</v>
      </c>
      <c r="AE406" s="2" t="str">
        <f>IFERROR(__xludf.DUMMYFUNCTION("IMPORTRANGE(""https://docs.google.com/spreadsheets/d/""&amp;$A406&amp;""/edit#gid=156619080"",AE$3)"),"#REF!")</f>
        <v>#REF!</v>
      </c>
      <c r="AF406" s="2" t="str">
        <f>IFERROR(__xludf.DUMMYFUNCTION("IMPORTRANGE(""https://docs.google.com/spreadsheets/d/""&amp;$A406&amp;""/edit#gid=156619080"",AF$3)"),"#REF!")</f>
        <v>#REF!</v>
      </c>
      <c r="AG406" s="2" t="str">
        <f>IFERROR(__xludf.DUMMYFUNCTION("IMPORTRANGE(""https://docs.google.com/spreadsheets/d/""&amp;$A406&amp;""/edit#gid=156619080"",AG$3)"),"#REF!")</f>
        <v>#REF!</v>
      </c>
      <c r="AH406" s="2" t="str">
        <f>IFERROR(__xludf.DUMMYFUNCTION("IMPORTRANGE(""https://docs.google.com/spreadsheets/d/""&amp;$A406&amp;""/edit#gid=156619080"",AH$3)"),"#REF!")</f>
        <v>#REF!</v>
      </c>
      <c r="AI406" s="2" t="str">
        <f>IFERROR(__xludf.DUMMYFUNCTION("IMPORTRANGE(""https://docs.google.com/spreadsheets/d/""&amp;$A406&amp;""/edit#gid=156619080"",AI$3)"),"#REF!")</f>
        <v>#REF!</v>
      </c>
      <c r="AJ406" s="2" t="str">
        <f>IFERROR(__xludf.DUMMYFUNCTION("IMPORTRANGE(""https://docs.google.com/spreadsheets/d/""&amp;$A406&amp;""/edit#gid=156619080"",AJ$3)"),"#REF!")</f>
        <v>#REF!</v>
      </c>
      <c r="AK406" s="2" t="str">
        <f>IFERROR(__xludf.DUMMYFUNCTION("IMPORTRANGE(""https://docs.google.com/spreadsheets/d/""&amp;$A406&amp;""/edit#gid=156619080"",AK$3)"),"#REF!")</f>
        <v>#REF!</v>
      </c>
      <c r="AL406" s="2" t="str">
        <f>IFERROR(__xludf.DUMMYFUNCTION("IMPORTRANGE(""https://docs.google.com/spreadsheets/d/""&amp;$A406&amp;""/edit#gid=156619080"",AL$3)"),"#REF!")</f>
        <v>#REF!</v>
      </c>
      <c r="AM406" s="2" t="str">
        <f>IFERROR(__xludf.DUMMYFUNCTION("IMPORTRANGE(""https://docs.google.com/spreadsheets/d/""&amp;$A406&amp;""/edit#gid=156619080"",AM$3)"),"#REF!")</f>
        <v>#REF!</v>
      </c>
      <c r="AN406" s="2" t="str">
        <f>IFERROR(__xludf.DUMMYFUNCTION("IMPORTRANGE(""https://docs.google.com/spreadsheets/d/""&amp;$A406&amp;""/edit#gid=156619080"",AN$3)"),"#REF!")</f>
        <v>#REF!</v>
      </c>
      <c r="AO406" s="2" t="str">
        <f>IFERROR(__xludf.DUMMYFUNCTION("IMPORTRANGE(""https://docs.google.com/spreadsheets/d/""&amp;$A406&amp;""/edit#gid=156619080"",AO$3)"),"#REF!")</f>
        <v>#REF!</v>
      </c>
      <c r="AP406" s="2" t="str">
        <f>IFERROR(__xludf.DUMMYFUNCTION("IMPORTRANGE(""https://docs.google.com/spreadsheets/d/""&amp;$A406&amp;""/edit#gid=156619080"",AP$3)"),"#REF!")</f>
        <v>#REF!</v>
      </c>
      <c r="AQ406" s="2" t="str">
        <f>IFERROR(__xludf.DUMMYFUNCTION("IMPORTRANGE(""https://docs.google.com/spreadsheets/d/""&amp;$A406&amp;""/edit#gid=156619080"",AQ$3)"),"#REF!")</f>
        <v>#REF!</v>
      </c>
      <c r="AR406" s="2" t="str">
        <f>IFERROR(__xludf.DUMMYFUNCTION("IMPORTRANGE(""https://docs.google.com/spreadsheets/d/""&amp;$A406&amp;""/edit#gid=156619080"",AR$3)"),"#REF!")</f>
        <v>#REF!</v>
      </c>
      <c r="AS406" s="19" t="str">
        <f>IFERROR(__xludf.DUMMYFUNCTION("IMPORTRANGE(""https://docs.google.com/spreadsheets/d/""&amp;$A406&amp;""/edit#gid=156619080"",AS$3)"),"#REF!")</f>
        <v>#REF!</v>
      </c>
      <c r="AT406" s="2" t="str">
        <f>IFERROR(__xludf.DUMMYFUNCTION("IMPORTRANGE(""https://docs.google.com/spreadsheets/d/""&amp;$A406&amp;""/edit#gid=156619080"",AT$3)"),"#REF!")</f>
        <v>#REF!</v>
      </c>
      <c r="AU406" s="3" t="str">
        <f>IFERROR(__xludf.DUMMYFUNCTION("IMPORTRANGE(""https://docs.google.com/spreadsheets/d/""&amp;$A406&amp;""/edit#gid=156619080"",AU$3)"),"#REF!")</f>
        <v>#REF!</v>
      </c>
      <c r="AV406" s="2" t="str">
        <f>IFERROR(__xludf.DUMMYFUNCTION("IMPORTRANGE(""https://docs.google.com/spreadsheets/d/""&amp;$A406&amp;""/edit#gid=156619080"",AV$3)"),"#REF!")</f>
        <v>#REF!</v>
      </c>
      <c r="AW406" s="19" t="str">
        <f>IFERROR(__xludf.DUMMYFUNCTION("IMPORTRANGE(""https://docs.google.com/spreadsheets/d/""&amp;$A406&amp;""/edit#gid=156619080"",AW$3)"),"#REF!")</f>
        <v>#REF!</v>
      </c>
      <c r="AX406" s="2" t="str">
        <f>IFERROR(__xludf.DUMMYFUNCTION("IMPORTRANGE(""https://docs.google.com/spreadsheets/d/""&amp;$A406&amp;""/edit#gid=156619080"",AX$3)"),"#REF!")</f>
        <v>#REF!</v>
      </c>
      <c r="AY406" s="2" t="str">
        <f>IFERROR(__xludf.DUMMYFUNCTION("IMPORTRANGE(""https://docs.google.com/spreadsheets/d/""&amp;$A406&amp;""/edit#gid=156619080"",AY$3)"),"#REF!")</f>
        <v>#REF!</v>
      </c>
      <c r="AZ406" s="2" t="str">
        <f>IFERROR(__xludf.DUMMYFUNCTION("IMPORTRANGE(""https://docs.google.com/spreadsheets/d/""&amp;$A406&amp;""/edit#gid=156619080"",AZ$3)"),"#REF!")</f>
        <v>#REF!</v>
      </c>
      <c r="BA406" s="2" t="str">
        <f>IFERROR(__xludf.DUMMYFUNCTION("IMPORTRANGE(""https://docs.google.com/spreadsheets/d/""&amp;$A406&amp;""/edit#gid=156619080"",BA$3)"),"#REF!")</f>
        <v>#REF!</v>
      </c>
      <c r="BB406" s="2" t="str">
        <f>IFERROR(__xludf.DUMMYFUNCTION("IMPORTRANGE(""https://docs.google.com/spreadsheets/d/""&amp;$A406&amp;""/edit#gid=156619080"",BB$3)"),"#REF!")</f>
        <v>#REF!</v>
      </c>
      <c r="BC406" s="2" t="str">
        <f>IFERROR(__xludf.DUMMYFUNCTION("IMPORTRANGE(""https://docs.google.com/spreadsheets/d/""&amp;$A406&amp;""/edit#gid=156619080"",BC$3)"),"#REF!")</f>
        <v>#REF!</v>
      </c>
    </row>
    <row r="407" ht="51.0" customHeight="1">
      <c r="A407" s="7" t="str">
        <f t="shared" si="5"/>
        <v>1pz7jovYhfYRmeBwnOHFMx4PfWMwwAJ7MdhtOu5ou8DQ</v>
      </c>
      <c r="B407" s="1" t="s">
        <v>434</v>
      </c>
      <c r="C407" s="2" t="str">
        <f>IFERROR(__xludf.DUMMYFUNCTION("IMPORTRANGE(""https://docs.google.com/spreadsheets/d/""&amp;$A407&amp;""/edit#gid=156619080"",C$3)"),"#REF!")</f>
        <v>#REF!</v>
      </c>
      <c r="D407" s="2" t="str">
        <f>IFERROR(__xludf.DUMMYFUNCTION("IMPORTRANGE(""https://docs.google.com/spreadsheets/d/""&amp;$A407&amp;""/edit#gid=156619080"",D$3)"),"#REF!")</f>
        <v>#REF!</v>
      </c>
      <c r="E407" s="2" t="str">
        <f>IFERROR(__xludf.DUMMYFUNCTION("IMPORTRANGE(""https://docs.google.com/spreadsheets/d/""&amp;$A407&amp;""/edit#gid=156619080"",E$3)"),"#REF!")</f>
        <v>#REF!</v>
      </c>
      <c r="F407" s="2" t="str">
        <f>IFERROR(__xludf.DUMMYFUNCTION("IMPORTRANGE(""https://docs.google.com/spreadsheets/d/""&amp;$A407&amp;""/edit#gid=156619080"",F$3)"),"#REF!")</f>
        <v>#REF!</v>
      </c>
      <c r="G407" s="2" t="str">
        <f>IFERROR(__xludf.DUMMYFUNCTION("IMPORTRANGE(""https://docs.google.com/spreadsheets/d/""&amp;$A407&amp;""/edit#gid=156619080"",G$3)"),"#REF!")</f>
        <v>#REF!</v>
      </c>
      <c r="H407" s="2" t="str">
        <f>IFERROR(__xludf.DUMMYFUNCTION("IMPORTRANGE(""https://docs.google.com/spreadsheets/d/""&amp;$A407&amp;""/edit#gid=156619080"",H$3)"),"#REF!")</f>
        <v>#REF!</v>
      </c>
      <c r="I407" s="2" t="str">
        <f>IFERROR(__xludf.DUMMYFUNCTION("IMPORTRANGE(""https://docs.google.com/spreadsheets/d/""&amp;$A407&amp;""/edit#gid=156619080"",I$3)"),"#REF!")</f>
        <v>#REF!</v>
      </c>
      <c r="J407" s="2" t="str">
        <f>IFERROR(__xludf.DUMMYFUNCTION("IMPORTRANGE(""https://docs.google.com/spreadsheets/d/""&amp;$A407&amp;""/edit#gid=156619080"",J$3)"),"#REF!")</f>
        <v>#REF!</v>
      </c>
      <c r="K407" s="2" t="str">
        <f>IFERROR(__xludf.DUMMYFUNCTION("IMPORTRANGE(""https://docs.google.com/spreadsheets/d/""&amp;$A407&amp;""/edit#gid=156619080"",K$3)"),"#REF!")</f>
        <v>#REF!</v>
      </c>
      <c r="L407" s="2" t="str">
        <f>IFERROR(__xludf.DUMMYFUNCTION("IMPORTRANGE(""https://docs.google.com/spreadsheets/d/""&amp;$A407&amp;""/edit#gid=156619080"",L$3)"),"#REF!")</f>
        <v>#REF!</v>
      </c>
      <c r="M407" s="2" t="str">
        <f>IFERROR(__xludf.DUMMYFUNCTION("IMPORTRANGE(""https://docs.google.com/spreadsheets/d/""&amp;$A407&amp;""/edit#gid=156619080"",M$3)"),"#REF!")</f>
        <v>#REF!</v>
      </c>
      <c r="N407" s="2" t="str">
        <f>IFERROR(__xludf.DUMMYFUNCTION("IMPORTRANGE(""https://docs.google.com/spreadsheets/d/""&amp;$A407&amp;""/edit#gid=156619080"",N$3)"),"#REF!")</f>
        <v>#REF!</v>
      </c>
      <c r="O407" s="2" t="str">
        <f>IFERROR(__xludf.DUMMYFUNCTION("IMPORTRANGE(""https://docs.google.com/spreadsheets/d/""&amp;$A407&amp;""/edit#gid=156619080"",O$3)"),"#REF!")</f>
        <v>#REF!</v>
      </c>
      <c r="P407" s="2" t="str">
        <f>IFERROR(__xludf.DUMMYFUNCTION("IMPORTRANGE(""https://docs.google.com/spreadsheets/d/""&amp;$A407&amp;""/edit#gid=156619080"",P$3)"),"#REF!")</f>
        <v>#REF!</v>
      </c>
      <c r="Q407" s="2" t="str">
        <f>IFERROR(__xludf.DUMMYFUNCTION("IMPORTRANGE(""https://docs.google.com/spreadsheets/d/""&amp;$A407&amp;""/edit#gid=156619080"",Q$3)"),"#REF!")</f>
        <v>#REF!</v>
      </c>
      <c r="R407" s="2" t="str">
        <f>IFERROR(__xludf.DUMMYFUNCTION("IMPORTRANGE(""https://docs.google.com/spreadsheets/d/""&amp;$A407&amp;""/edit#gid=156619080"",R$3)"),"#REF!")</f>
        <v>#REF!</v>
      </c>
      <c r="S407" s="2" t="str">
        <f>IFERROR(__xludf.DUMMYFUNCTION("IMPORTRANGE(""https://docs.google.com/spreadsheets/d/""&amp;$A407&amp;""/edit#gid=156619080"",S$3)"),"#REF!")</f>
        <v>#REF!</v>
      </c>
      <c r="T407" s="2" t="str">
        <f>IFERROR(__xludf.DUMMYFUNCTION("IMPORTRANGE(""https://docs.google.com/spreadsheets/d/""&amp;$A407&amp;""/edit#gid=156619080"",T$3)"),"#REF!")</f>
        <v>#REF!</v>
      </c>
      <c r="U407" s="2" t="str">
        <f>IFERROR(__xludf.DUMMYFUNCTION("IMPORTRANGE(""https://docs.google.com/spreadsheets/d/""&amp;$A407&amp;""/edit#gid=156619080"",U$3)"),"#REF!")</f>
        <v>#REF!</v>
      </c>
      <c r="V407" s="2" t="str">
        <f>IFERROR(__xludf.DUMMYFUNCTION("IMPORTRANGE(""https://docs.google.com/spreadsheets/d/""&amp;$A407&amp;""/edit#gid=156619080"",V$3)"),"#REF!")</f>
        <v>#REF!</v>
      </c>
      <c r="W407" s="2" t="str">
        <f>IFERROR(__xludf.DUMMYFUNCTION("IMPORTRANGE(""https://docs.google.com/spreadsheets/d/""&amp;$A407&amp;""/edit#gid=156619080"",W$3)"),"#REF!")</f>
        <v>#REF!</v>
      </c>
      <c r="X407" s="2" t="str">
        <f>IFERROR(__xludf.DUMMYFUNCTION("IMPORTRANGE(""https://docs.google.com/spreadsheets/d/""&amp;$A407&amp;""/edit#gid=156619080"",X$3)"),"#REF!")</f>
        <v>#REF!</v>
      </c>
      <c r="Y407" s="2" t="str">
        <f>IFERROR(__xludf.DUMMYFUNCTION("IMPORTRANGE(""https://docs.google.com/spreadsheets/d/""&amp;$A407&amp;""/edit#gid=156619080"",Y$3)"),"#REF!")</f>
        <v>#REF!</v>
      </c>
      <c r="Z407" s="2" t="str">
        <f>IFERROR(__xludf.DUMMYFUNCTION("IMPORTRANGE(""https://docs.google.com/spreadsheets/d/""&amp;$A407&amp;""/edit#gid=156619080"",Z$3)"),"#REF!")</f>
        <v>#REF!</v>
      </c>
      <c r="AA407" s="2" t="str">
        <f>IFERROR(__xludf.DUMMYFUNCTION("IMPORTRANGE(""https://docs.google.com/spreadsheets/d/""&amp;$A407&amp;""/edit#gid=156619080"",AA$3)"),"#REF!")</f>
        <v>#REF!</v>
      </c>
      <c r="AB407" s="2" t="str">
        <f>IFERROR(__xludf.DUMMYFUNCTION("IMPORTRANGE(""https://docs.google.com/spreadsheets/d/""&amp;$A407&amp;""/edit#gid=156619080"",AB$3)"),"#REF!")</f>
        <v>#REF!</v>
      </c>
      <c r="AC407" s="2" t="str">
        <f>IFERROR(__xludf.DUMMYFUNCTION("IMPORTRANGE(""https://docs.google.com/spreadsheets/d/""&amp;$A407&amp;""/edit#gid=156619080"",AC$3)"),"#REF!")</f>
        <v>#REF!</v>
      </c>
      <c r="AD407" s="2" t="str">
        <f>IFERROR(__xludf.DUMMYFUNCTION("IMPORTRANGE(""https://docs.google.com/spreadsheets/d/""&amp;$A407&amp;""/edit#gid=156619080"",AD$3)"),"#REF!")</f>
        <v>#REF!</v>
      </c>
      <c r="AE407" s="2" t="str">
        <f>IFERROR(__xludf.DUMMYFUNCTION("IMPORTRANGE(""https://docs.google.com/spreadsheets/d/""&amp;$A407&amp;""/edit#gid=156619080"",AE$3)"),"#REF!")</f>
        <v>#REF!</v>
      </c>
      <c r="AF407" s="2" t="str">
        <f>IFERROR(__xludf.DUMMYFUNCTION("IMPORTRANGE(""https://docs.google.com/spreadsheets/d/""&amp;$A407&amp;""/edit#gid=156619080"",AF$3)"),"#REF!")</f>
        <v>#REF!</v>
      </c>
      <c r="AG407" s="2" t="str">
        <f>IFERROR(__xludf.DUMMYFUNCTION("IMPORTRANGE(""https://docs.google.com/spreadsheets/d/""&amp;$A407&amp;""/edit#gid=156619080"",AG$3)"),"#REF!")</f>
        <v>#REF!</v>
      </c>
      <c r="AH407" s="2" t="str">
        <f>IFERROR(__xludf.DUMMYFUNCTION("IMPORTRANGE(""https://docs.google.com/spreadsheets/d/""&amp;$A407&amp;""/edit#gid=156619080"",AH$3)"),"#REF!")</f>
        <v>#REF!</v>
      </c>
      <c r="AI407" s="2" t="str">
        <f>IFERROR(__xludf.DUMMYFUNCTION("IMPORTRANGE(""https://docs.google.com/spreadsheets/d/""&amp;$A407&amp;""/edit#gid=156619080"",AI$3)"),"#REF!")</f>
        <v>#REF!</v>
      </c>
      <c r="AJ407" s="2" t="str">
        <f>IFERROR(__xludf.DUMMYFUNCTION("IMPORTRANGE(""https://docs.google.com/spreadsheets/d/""&amp;$A407&amp;""/edit#gid=156619080"",AJ$3)"),"#REF!")</f>
        <v>#REF!</v>
      </c>
      <c r="AK407" s="2" t="str">
        <f>IFERROR(__xludf.DUMMYFUNCTION("IMPORTRANGE(""https://docs.google.com/spreadsheets/d/""&amp;$A407&amp;""/edit#gid=156619080"",AK$3)"),"#REF!")</f>
        <v>#REF!</v>
      </c>
      <c r="AL407" s="2" t="str">
        <f>IFERROR(__xludf.DUMMYFUNCTION("IMPORTRANGE(""https://docs.google.com/spreadsheets/d/""&amp;$A407&amp;""/edit#gid=156619080"",AL$3)"),"#REF!")</f>
        <v>#REF!</v>
      </c>
      <c r="AM407" s="2" t="str">
        <f>IFERROR(__xludf.DUMMYFUNCTION("IMPORTRANGE(""https://docs.google.com/spreadsheets/d/""&amp;$A407&amp;""/edit#gid=156619080"",AM$3)"),"#REF!")</f>
        <v>#REF!</v>
      </c>
      <c r="AN407" s="2" t="str">
        <f>IFERROR(__xludf.DUMMYFUNCTION("IMPORTRANGE(""https://docs.google.com/spreadsheets/d/""&amp;$A407&amp;""/edit#gid=156619080"",AN$3)"),"#REF!")</f>
        <v>#REF!</v>
      </c>
      <c r="AO407" s="2" t="str">
        <f>IFERROR(__xludf.DUMMYFUNCTION("IMPORTRANGE(""https://docs.google.com/spreadsheets/d/""&amp;$A407&amp;""/edit#gid=156619080"",AO$3)"),"#REF!")</f>
        <v>#REF!</v>
      </c>
      <c r="AP407" s="2" t="str">
        <f>IFERROR(__xludf.DUMMYFUNCTION("IMPORTRANGE(""https://docs.google.com/spreadsheets/d/""&amp;$A407&amp;""/edit#gid=156619080"",AP$3)"),"#REF!")</f>
        <v>#REF!</v>
      </c>
      <c r="AQ407" s="2" t="str">
        <f>IFERROR(__xludf.DUMMYFUNCTION("IMPORTRANGE(""https://docs.google.com/spreadsheets/d/""&amp;$A407&amp;""/edit#gid=156619080"",AQ$3)"),"#REF!")</f>
        <v>#REF!</v>
      </c>
      <c r="AR407" s="2" t="str">
        <f>IFERROR(__xludf.DUMMYFUNCTION("IMPORTRANGE(""https://docs.google.com/spreadsheets/d/""&amp;$A407&amp;""/edit#gid=156619080"",AR$3)"),"#REF!")</f>
        <v>#REF!</v>
      </c>
      <c r="AS407" s="19" t="str">
        <f>IFERROR(__xludf.DUMMYFUNCTION("IMPORTRANGE(""https://docs.google.com/spreadsheets/d/""&amp;$A407&amp;""/edit#gid=156619080"",AS$3)"),"#REF!")</f>
        <v>#REF!</v>
      </c>
      <c r="AT407" s="2" t="str">
        <f>IFERROR(__xludf.DUMMYFUNCTION("IMPORTRANGE(""https://docs.google.com/spreadsheets/d/""&amp;$A407&amp;""/edit#gid=156619080"",AT$3)"),"#REF!")</f>
        <v>#REF!</v>
      </c>
      <c r="AU407" s="3" t="str">
        <f>IFERROR(__xludf.DUMMYFUNCTION("IMPORTRANGE(""https://docs.google.com/spreadsheets/d/""&amp;$A407&amp;""/edit#gid=156619080"",AU$3)"),"#REF!")</f>
        <v>#REF!</v>
      </c>
      <c r="AV407" s="2" t="str">
        <f>IFERROR(__xludf.DUMMYFUNCTION("IMPORTRANGE(""https://docs.google.com/spreadsheets/d/""&amp;$A407&amp;""/edit#gid=156619080"",AV$3)"),"#REF!")</f>
        <v>#REF!</v>
      </c>
      <c r="AW407" s="19" t="str">
        <f>IFERROR(__xludf.DUMMYFUNCTION("IMPORTRANGE(""https://docs.google.com/spreadsheets/d/""&amp;$A407&amp;""/edit#gid=156619080"",AW$3)"),"#REF!")</f>
        <v>#REF!</v>
      </c>
      <c r="AX407" s="2" t="str">
        <f>IFERROR(__xludf.DUMMYFUNCTION("IMPORTRANGE(""https://docs.google.com/spreadsheets/d/""&amp;$A407&amp;""/edit#gid=156619080"",AX$3)"),"#REF!")</f>
        <v>#REF!</v>
      </c>
      <c r="AY407" s="2" t="str">
        <f>IFERROR(__xludf.DUMMYFUNCTION("IMPORTRANGE(""https://docs.google.com/spreadsheets/d/""&amp;$A407&amp;""/edit#gid=156619080"",AY$3)"),"#REF!")</f>
        <v>#REF!</v>
      </c>
      <c r="AZ407" s="2" t="str">
        <f>IFERROR(__xludf.DUMMYFUNCTION("IMPORTRANGE(""https://docs.google.com/spreadsheets/d/""&amp;$A407&amp;""/edit#gid=156619080"",AZ$3)"),"#REF!")</f>
        <v>#REF!</v>
      </c>
      <c r="BA407" s="2" t="str">
        <f>IFERROR(__xludf.DUMMYFUNCTION("IMPORTRANGE(""https://docs.google.com/spreadsheets/d/""&amp;$A407&amp;""/edit#gid=156619080"",BA$3)"),"#REF!")</f>
        <v>#REF!</v>
      </c>
      <c r="BB407" s="2" t="str">
        <f>IFERROR(__xludf.DUMMYFUNCTION("IMPORTRANGE(""https://docs.google.com/spreadsheets/d/""&amp;$A407&amp;""/edit#gid=156619080"",BB$3)"),"#REF!")</f>
        <v>#REF!</v>
      </c>
      <c r="BC407" s="2" t="str">
        <f>IFERROR(__xludf.DUMMYFUNCTION("IMPORTRANGE(""https://docs.google.com/spreadsheets/d/""&amp;$A407&amp;""/edit#gid=156619080"",BC$3)"),"#REF!")</f>
        <v>#REF!</v>
      </c>
    </row>
    <row r="408" ht="51.0" customHeight="1">
      <c r="A408" s="7" t="str">
        <f t="shared" si="5"/>
        <v>19k-FRS7OGjvowNRUhiJxFjdAWkUTOB5RN8r2PKPT8Sc</v>
      </c>
      <c r="B408" s="1" t="s">
        <v>435</v>
      </c>
      <c r="C408" s="2" t="str">
        <f>IFERROR(__xludf.DUMMYFUNCTION("IMPORTRANGE(""https://docs.google.com/spreadsheets/d/""&amp;$A408&amp;""/edit#gid=156619080"",C$3)"),"#REF!")</f>
        <v>#REF!</v>
      </c>
      <c r="D408" s="2" t="str">
        <f>IFERROR(__xludf.DUMMYFUNCTION("IMPORTRANGE(""https://docs.google.com/spreadsheets/d/""&amp;$A408&amp;""/edit#gid=156619080"",D$3)"),"#REF!")</f>
        <v>#REF!</v>
      </c>
      <c r="E408" s="2" t="str">
        <f>IFERROR(__xludf.DUMMYFUNCTION("IMPORTRANGE(""https://docs.google.com/spreadsheets/d/""&amp;$A408&amp;""/edit#gid=156619080"",E$3)"),"#REF!")</f>
        <v>#REF!</v>
      </c>
      <c r="F408" s="2" t="str">
        <f>IFERROR(__xludf.DUMMYFUNCTION("IMPORTRANGE(""https://docs.google.com/spreadsheets/d/""&amp;$A408&amp;""/edit#gid=156619080"",F$3)"),"#REF!")</f>
        <v>#REF!</v>
      </c>
      <c r="G408" s="2" t="str">
        <f>IFERROR(__xludf.DUMMYFUNCTION("IMPORTRANGE(""https://docs.google.com/spreadsheets/d/""&amp;$A408&amp;""/edit#gid=156619080"",G$3)"),"#REF!")</f>
        <v>#REF!</v>
      </c>
      <c r="H408" s="2" t="str">
        <f>IFERROR(__xludf.DUMMYFUNCTION("IMPORTRANGE(""https://docs.google.com/spreadsheets/d/""&amp;$A408&amp;""/edit#gid=156619080"",H$3)"),"#REF!")</f>
        <v>#REF!</v>
      </c>
      <c r="I408" s="2" t="str">
        <f>IFERROR(__xludf.DUMMYFUNCTION("IMPORTRANGE(""https://docs.google.com/spreadsheets/d/""&amp;$A408&amp;""/edit#gid=156619080"",I$3)"),"#REF!")</f>
        <v>#REF!</v>
      </c>
      <c r="J408" s="2" t="str">
        <f>IFERROR(__xludf.DUMMYFUNCTION("IMPORTRANGE(""https://docs.google.com/spreadsheets/d/""&amp;$A408&amp;""/edit#gid=156619080"",J$3)"),"#REF!")</f>
        <v>#REF!</v>
      </c>
      <c r="K408" s="2" t="str">
        <f>IFERROR(__xludf.DUMMYFUNCTION("IMPORTRANGE(""https://docs.google.com/spreadsheets/d/""&amp;$A408&amp;""/edit#gid=156619080"",K$3)"),"#REF!")</f>
        <v>#REF!</v>
      </c>
      <c r="L408" s="2" t="str">
        <f>IFERROR(__xludf.DUMMYFUNCTION("IMPORTRANGE(""https://docs.google.com/spreadsheets/d/""&amp;$A408&amp;""/edit#gid=156619080"",L$3)"),"#REF!")</f>
        <v>#REF!</v>
      </c>
      <c r="M408" s="2" t="str">
        <f>IFERROR(__xludf.DUMMYFUNCTION("IMPORTRANGE(""https://docs.google.com/spreadsheets/d/""&amp;$A408&amp;""/edit#gid=156619080"",M$3)"),"#REF!")</f>
        <v>#REF!</v>
      </c>
      <c r="N408" s="2" t="str">
        <f>IFERROR(__xludf.DUMMYFUNCTION("IMPORTRANGE(""https://docs.google.com/spreadsheets/d/""&amp;$A408&amp;""/edit#gid=156619080"",N$3)"),"#REF!")</f>
        <v>#REF!</v>
      </c>
      <c r="O408" s="2" t="str">
        <f>IFERROR(__xludf.DUMMYFUNCTION("IMPORTRANGE(""https://docs.google.com/spreadsheets/d/""&amp;$A408&amp;""/edit#gid=156619080"",O$3)"),"#REF!")</f>
        <v>#REF!</v>
      </c>
      <c r="P408" s="2" t="str">
        <f>IFERROR(__xludf.DUMMYFUNCTION("IMPORTRANGE(""https://docs.google.com/spreadsheets/d/""&amp;$A408&amp;""/edit#gid=156619080"",P$3)"),"#REF!")</f>
        <v>#REF!</v>
      </c>
      <c r="Q408" s="2" t="str">
        <f>IFERROR(__xludf.DUMMYFUNCTION("IMPORTRANGE(""https://docs.google.com/spreadsheets/d/""&amp;$A408&amp;""/edit#gid=156619080"",Q$3)"),"#REF!")</f>
        <v>#REF!</v>
      </c>
      <c r="R408" s="2" t="str">
        <f>IFERROR(__xludf.DUMMYFUNCTION("IMPORTRANGE(""https://docs.google.com/spreadsheets/d/""&amp;$A408&amp;""/edit#gid=156619080"",R$3)"),"#REF!")</f>
        <v>#REF!</v>
      </c>
      <c r="S408" s="2" t="str">
        <f>IFERROR(__xludf.DUMMYFUNCTION("IMPORTRANGE(""https://docs.google.com/spreadsheets/d/""&amp;$A408&amp;""/edit#gid=156619080"",S$3)"),"#REF!")</f>
        <v>#REF!</v>
      </c>
      <c r="T408" s="2" t="str">
        <f>IFERROR(__xludf.DUMMYFUNCTION("IMPORTRANGE(""https://docs.google.com/spreadsheets/d/""&amp;$A408&amp;""/edit#gid=156619080"",T$3)"),"#REF!")</f>
        <v>#REF!</v>
      </c>
      <c r="U408" s="2" t="str">
        <f>IFERROR(__xludf.DUMMYFUNCTION("IMPORTRANGE(""https://docs.google.com/spreadsheets/d/""&amp;$A408&amp;""/edit#gid=156619080"",U$3)"),"#REF!")</f>
        <v>#REF!</v>
      </c>
      <c r="V408" s="2" t="str">
        <f>IFERROR(__xludf.DUMMYFUNCTION("IMPORTRANGE(""https://docs.google.com/spreadsheets/d/""&amp;$A408&amp;""/edit#gid=156619080"",V$3)"),"#REF!")</f>
        <v>#REF!</v>
      </c>
      <c r="W408" s="2" t="str">
        <f>IFERROR(__xludf.DUMMYFUNCTION("IMPORTRANGE(""https://docs.google.com/spreadsheets/d/""&amp;$A408&amp;""/edit#gid=156619080"",W$3)"),"#REF!")</f>
        <v>#REF!</v>
      </c>
      <c r="X408" s="2" t="str">
        <f>IFERROR(__xludf.DUMMYFUNCTION("IMPORTRANGE(""https://docs.google.com/spreadsheets/d/""&amp;$A408&amp;""/edit#gid=156619080"",X$3)"),"#REF!")</f>
        <v>#REF!</v>
      </c>
      <c r="Y408" s="2" t="str">
        <f>IFERROR(__xludf.DUMMYFUNCTION("IMPORTRANGE(""https://docs.google.com/spreadsheets/d/""&amp;$A408&amp;""/edit#gid=156619080"",Y$3)"),"#REF!")</f>
        <v>#REF!</v>
      </c>
      <c r="Z408" s="2" t="str">
        <f>IFERROR(__xludf.DUMMYFUNCTION("IMPORTRANGE(""https://docs.google.com/spreadsheets/d/""&amp;$A408&amp;""/edit#gid=156619080"",Z$3)"),"#REF!")</f>
        <v>#REF!</v>
      </c>
      <c r="AA408" s="2" t="str">
        <f>IFERROR(__xludf.DUMMYFUNCTION("IMPORTRANGE(""https://docs.google.com/spreadsheets/d/""&amp;$A408&amp;""/edit#gid=156619080"",AA$3)"),"#REF!")</f>
        <v>#REF!</v>
      </c>
      <c r="AB408" s="2" t="str">
        <f>IFERROR(__xludf.DUMMYFUNCTION("IMPORTRANGE(""https://docs.google.com/spreadsheets/d/""&amp;$A408&amp;""/edit#gid=156619080"",AB$3)"),"#REF!")</f>
        <v>#REF!</v>
      </c>
      <c r="AC408" s="2" t="str">
        <f>IFERROR(__xludf.DUMMYFUNCTION("IMPORTRANGE(""https://docs.google.com/spreadsheets/d/""&amp;$A408&amp;""/edit#gid=156619080"",AC$3)"),"#REF!")</f>
        <v>#REF!</v>
      </c>
      <c r="AD408" s="2" t="str">
        <f>IFERROR(__xludf.DUMMYFUNCTION("IMPORTRANGE(""https://docs.google.com/spreadsheets/d/""&amp;$A408&amp;""/edit#gid=156619080"",AD$3)"),"#REF!")</f>
        <v>#REF!</v>
      </c>
      <c r="AE408" s="2" t="str">
        <f>IFERROR(__xludf.DUMMYFUNCTION("IMPORTRANGE(""https://docs.google.com/spreadsheets/d/""&amp;$A408&amp;""/edit#gid=156619080"",AE$3)"),"#REF!")</f>
        <v>#REF!</v>
      </c>
      <c r="AF408" s="2" t="str">
        <f>IFERROR(__xludf.DUMMYFUNCTION("IMPORTRANGE(""https://docs.google.com/spreadsheets/d/""&amp;$A408&amp;""/edit#gid=156619080"",AF$3)"),"#REF!")</f>
        <v>#REF!</v>
      </c>
      <c r="AG408" s="2" t="str">
        <f>IFERROR(__xludf.DUMMYFUNCTION("IMPORTRANGE(""https://docs.google.com/spreadsheets/d/""&amp;$A408&amp;""/edit#gid=156619080"",AG$3)"),"#REF!")</f>
        <v>#REF!</v>
      </c>
      <c r="AH408" s="2" t="str">
        <f>IFERROR(__xludf.DUMMYFUNCTION("IMPORTRANGE(""https://docs.google.com/spreadsheets/d/""&amp;$A408&amp;""/edit#gid=156619080"",AH$3)"),"#REF!")</f>
        <v>#REF!</v>
      </c>
      <c r="AI408" s="2" t="str">
        <f>IFERROR(__xludf.DUMMYFUNCTION("IMPORTRANGE(""https://docs.google.com/spreadsheets/d/""&amp;$A408&amp;""/edit#gid=156619080"",AI$3)"),"#REF!")</f>
        <v>#REF!</v>
      </c>
      <c r="AJ408" s="2" t="str">
        <f>IFERROR(__xludf.DUMMYFUNCTION("IMPORTRANGE(""https://docs.google.com/spreadsheets/d/""&amp;$A408&amp;""/edit#gid=156619080"",AJ$3)"),"#REF!")</f>
        <v>#REF!</v>
      </c>
      <c r="AK408" s="2" t="str">
        <f>IFERROR(__xludf.DUMMYFUNCTION("IMPORTRANGE(""https://docs.google.com/spreadsheets/d/""&amp;$A408&amp;""/edit#gid=156619080"",AK$3)"),"#REF!")</f>
        <v>#REF!</v>
      </c>
      <c r="AL408" s="2" t="str">
        <f>IFERROR(__xludf.DUMMYFUNCTION("IMPORTRANGE(""https://docs.google.com/spreadsheets/d/""&amp;$A408&amp;""/edit#gid=156619080"",AL$3)"),"#REF!")</f>
        <v>#REF!</v>
      </c>
      <c r="AM408" s="2" t="str">
        <f>IFERROR(__xludf.DUMMYFUNCTION("IMPORTRANGE(""https://docs.google.com/spreadsheets/d/""&amp;$A408&amp;""/edit#gid=156619080"",AM$3)"),"#REF!")</f>
        <v>#REF!</v>
      </c>
      <c r="AN408" s="2" t="str">
        <f>IFERROR(__xludf.DUMMYFUNCTION("IMPORTRANGE(""https://docs.google.com/spreadsheets/d/""&amp;$A408&amp;""/edit#gid=156619080"",AN$3)"),"#REF!")</f>
        <v>#REF!</v>
      </c>
      <c r="AO408" s="2" t="str">
        <f>IFERROR(__xludf.DUMMYFUNCTION("IMPORTRANGE(""https://docs.google.com/spreadsheets/d/""&amp;$A408&amp;""/edit#gid=156619080"",AO$3)"),"#REF!")</f>
        <v>#REF!</v>
      </c>
      <c r="AP408" s="2" t="str">
        <f>IFERROR(__xludf.DUMMYFUNCTION("IMPORTRANGE(""https://docs.google.com/spreadsheets/d/""&amp;$A408&amp;""/edit#gid=156619080"",AP$3)"),"#REF!")</f>
        <v>#REF!</v>
      </c>
      <c r="AQ408" s="2" t="str">
        <f>IFERROR(__xludf.DUMMYFUNCTION("IMPORTRANGE(""https://docs.google.com/spreadsheets/d/""&amp;$A408&amp;""/edit#gid=156619080"",AQ$3)"),"#REF!")</f>
        <v>#REF!</v>
      </c>
      <c r="AR408" s="2" t="str">
        <f>IFERROR(__xludf.DUMMYFUNCTION("IMPORTRANGE(""https://docs.google.com/spreadsheets/d/""&amp;$A408&amp;""/edit#gid=156619080"",AR$3)"),"#REF!")</f>
        <v>#REF!</v>
      </c>
      <c r="AS408" s="19" t="str">
        <f>IFERROR(__xludf.DUMMYFUNCTION("IMPORTRANGE(""https://docs.google.com/spreadsheets/d/""&amp;$A408&amp;""/edit#gid=156619080"",AS$3)"),"#REF!")</f>
        <v>#REF!</v>
      </c>
      <c r="AT408" s="2" t="str">
        <f>IFERROR(__xludf.DUMMYFUNCTION("IMPORTRANGE(""https://docs.google.com/spreadsheets/d/""&amp;$A408&amp;""/edit#gid=156619080"",AT$3)"),"#REF!")</f>
        <v>#REF!</v>
      </c>
      <c r="AU408" s="3" t="str">
        <f>IFERROR(__xludf.DUMMYFUNCTION("IMPORTRANGE(""https://docs.google.com/spreadsheets/d/""&amp;$A408&amp;""/edit#gid=156619080"",AU$3)"),"#REF!")</f>
        <v>#REF!</v>
      </c>
      <c r="AV408" s="2" t="str">
        <f>IFERROR(__xludf.DUMMYFUNCTION("IMPORTRANGE(""https://docs.google.com/spreadsheets/d/""&amp;$A408&amp;""/edit#gid=156619080"",AV$3)"),"#REF!")</f>
        <v>#REF!</v>
      </c>
      <c r="AW408" s="19" t="str">
        <f>IFERROR(__xludf.DUMMYFUNCTION("IMPORTRANGE(""https://docs.google.com/spreadsheets/d/""&amp;$A408&amp;""/edit#gid=156619080"",AW$3)"),"#REF!")</f>
        <v>#REF!</v>
      </c>
      <c r="AX408" s="2" t="str">
        <f>IFERROR(__xludf.DUMMYFUNCTION("IMPORTRANGE(""https://docs.google.com/spreadsheets/d/""&amp;$A408&amp;""/edit#gid=156619080"",AX$3)"),"#REF!")</f>
        <v>#REF!</v>
      </c>
      <c r="AY408" s="2" t="str">
        <f>IFERROR(__xludf.DUMMYFUNCTION("IMPORTRANGE(""https://docs.google.com/spreadsheets/d/""&amp;$A408&amp;""/edit#gid=156619080"",AY$3)"),"#REF!")</f>
        <v>#REF!</v>
      </c>
      <c r="AZ408" s="2" t="str">
        <f>IFERROR(__xludf.DUMMYFUNCTION("IMPORTRANGE(""https://docs.google.com/spreadsheets/d/""&amp;$A408&amp;""/edit#gid=156619080"",AZ$3)"),"#REF!")</f>
        <v>#REF!</v>
      </c>
      <c r="BA408" s="2" t="str">
        <f>IFERROR(__xludf.DUMMYFUNCTION("IMPORTRANGE(""https://docs.google.com/spreadsheets/d/""&amp;$A408&amp;""/edit#gid=156619080"",BA$3)"),"#REF!")</f>
        <v>#REF!</v>
      </c>
      <c r="BB408" s="2" t="str">
        <f>IFERROR(__xludf.DUMMYFUNCTION("IMPORTRANGE(""https://docs.google.com/spreadsheets/d/""&amp;$A408&amp;""/edit#gid=156619080"",BB$3)"),"#REF!")</f>
        <v>#REF!</v>
      </c>
      <c r="BC408" s="2" t="str">
        <f>IFERROR(__xludf.DUMMYFUNCTION("IMPORTRANGE(""https://docs.google.com/spreadsheets/d/""&amp;$A408&amp;""/edit#gid=156619080"",BC$3)"),"#REF!")</f>
        <v>#REF!</v>
      </c>
    </row>
    <row r="409" ht="51.0" customHeight="1">
      <c r="A409" s="7" t="str">
        <f t="shared" si="5"/>
        <v>1j67rjW83fB-YkL8QLuDcQSefTcQ9Y3wh5seakPx0qWw</v>
      </c>
      <c r="B409" s="1" t="s">
        <v>436</v>
      </c>
      <c r="C409" s="2" t="str">
        <f>IFERROR(__xludf.DUMMYFUNCTION("IMPORTRANGE(""https://docs.google.com/spreadsheets/d/""&amp;$A409&amp;""/edit#gid=156619080"",C$3)"),"#REF!")</f>
        <v>#REF!</v>
      </c>
      <c r="D409" s="2" t="str">
        <f>IFERROR(__xludf.DUMMYFUNCTION("IMPORTRANGE(""https://docs.google.com/spreadsheets/d/""&amp;$A409&amp;""/edit#gid=156619080"",D$3)"),"#REF!")</f>
        <v>#REF!</v>
      </c>
      <c r="E409" s="2" t="str">
        <f>IFERROR(__xludf.DUMMYFUNCTION("IMPORTRANGE(""https://docs.google.com/spreadsheets/d/""&amp;$A409&amp;""/edit#gid=156619080"",E$3)"),"#REF!")</f>
        <v>#REF!</v>
      </c>
      <c r="F409" s="2" t="str">
        <f>IFERROR(__xludf.DUMMYFUNCTION("IMPORTRANGE(""https://docs.google.com/spreadsheets/d/""&amp;$A409&amp;""/edit#gid=156619080"",F$3)"),"#REF!")</f>
        <v>#REF!</v>
      </c>
      <c r="G409" s="2" t="str">
        <f>IFERROR(__xludf.DUMMYFUNCTION("IMPORTRANGE(""https://docs.google.com/spreadsheets/d/""&amp;$A409&amp;""/edit#gid=156619080"",G$3)"),"#REF!")</f>
        <v>#REF!</v>
      </c>
      <c r="H409" s="2" t="str">
        <f>IFERROR(__xludf.DUMMYFUNCTION("IMPORTRANGE(""https://docs.google.com/spreadsheets/d/""&amp;$A409&amp;""/edit#gid=156619080"",H$3)"),"#REF!")</f>
        <v>#REF!</v>
      </c>
      <c r="I409" s="2" t="str">
        <f>IFERROR(__xludf.DUMMYFUNCTION("IMPORTRANGE(""https://docs.google.com/spreadsheets/d/""&amp;$A409&amp;""/edit#gid=156619080"",I$3)"),"#REF!")</f>
        <v>#REF!</v>
      </c>
      <c r="J409" s="2" t="str">
        <f>IFERROR(__xludf.DUMMYFUNCTION("IMPORTRANGE(""https://docs.google.com/spreadsheets/d/""&amp;$A409&amp;""/edit#gid=156619080"",J$3)"),"#REF!")</f>
        <v>#REF!</v>
      </c>
      <c r="K409" s="2" t="str">
        <f>IFERROR(__xludf.DUMMYFUNCTION("IMPORTRANGE(""https://docs.google.com/spreadsheets/d/""&amp;$A409&amp;""/edit#gid=156619080"",K$3)"),"#REF!")</f>
        <v>#REF!</v>
      </c>
      <c r="L409" s="2" t="str">
        <f>IFERROR(__xludf.DUMMYFUNCTION("IMPORTRANGE(""https://docs.google.com/spreadsheets/d/""&amp;$A409&amp;""/edit#gid=156619080"",L$3)"),"#REF!")</f>
        <v>#REF!</v>
      </c>
      <c r="M409" s="2" t="str">
        <f>IFERROR(__xludf.DUMMYFUNCTION("IMPORTRANGE(""https://docs.google.com/spreadsheets/d/""&amp;$A409&amp;""/edit#gid=156619080"",M$3)"),"#REF!")</f>
        <v>#REF!</v>
      </c>
      <c r="N409" s="2" t="str">
        <f>IFERROR(__xludf.DUMMYFUNCTION("IMPORTRANGE(""https://docs.google.com/spreadsheets/d/""&amp;$A409&amp;""/edit#gid=156619080"",N$3)"),"#REF!")</f>
        <v>#REF!</v>
      </c>
      <c r="O409" s="2" t="str">
        <f>IFERROR(__xludf.DUMMYFUNCTION("IMPORTRANGE(""https://docs.google.com/spreadsheets/d/""&amp;$A409&amp;""/edit#gid=156619080"",O$3)"),"#REF!")</f>
        <v>#REF!</v>
      </c>
      <c r="P409" s="2" t="str">
        <f>IFERROR(__xludf.DUMMYFUNCTION("IMPORTRANGE(""https://docs.google.com/spreadsheets/d/""&amp;$A409&amp;""/edit#gid=156619080"",P$3)"),"#REF!")</f>
        <v>#REF!</v>
      </c>
      <c r="Q409" s="2" t="str">
        <f>IFERROR(__xludf.DUMMYFUNCTION("IMPORTRANGE(""https://docs.google.com/spreadsheets/d/""&amp;$A409&amp;""/edit#gid=156619080"",Q$3)"),"#REF!")</f>
        <v>#REF!</v>
      </c>
      <c r="R409" s="2" t="str">
        <f>IFERROR(__xludf.DUMMYFUNCTION("IMPORTRANGE(""https://docs.google.com/spreadsheets/d/""&amp;$A409&amp;""/edit#gid=156619080"",R$3)"),"#REF!")</f>
        <v>#REF!</v>
      </c>
      <c r="S409" s="2" t="str">
        <f>IFERROR(__xludf.DUMMYFUNCTION("IMPORTRANGE(""https://docs.google.com/spreadsheets/d/""&amp;$A409&amp;""/edit#gid=156619080"",S$3)"),"#REF!")</f>
        <v>#REF!</v>
      </c>
      <c r="T409" s="2" t="str">
        <f>IFERROR(__xludf.DUMMYFUNCTION("IMPORTRANGE(""https://docs.google.com/spreadsheets/d/""&amp;$A409&amp;""/edit#gid=156619080"",T$3)"),"#REF!")</f>
        <v>#REF!</v>
      </c>
      <c r="U409" s="2" t="str">
        <f>IFERROR(__xludf.DUMMYFUNCTION("IMPORTRANGE(""https://docs.google.com/spreadsheets/d/""&amp;$A409&amp;""/edit#gid=156619080"",U$3)"),"#REF!")</f>
        <v>#REF!</v>
      </c>
      <c r="V409" s="2" t="str">
        <f>IFERROR(__xludf.DUMMYFUNCTION("IMPORTRANGE(""https://docs.google.com/spreadsheets/d/""&amp;$A409&amp;""/edit#gid=156619080"",V$3)"),"#REF!")</f>
        <v>#REF!</v>
      </c>
      <c r="W409" s="2" t="str">
        <f>IFERROR(__xludf.DUMMYFUNCTION("IMPORTRANGE(""https://docs.google.com/spreadsheets/d/""&amp;$A409&amp;""/edit#gid=156619080"",W$3)"),"#REF!")</f>
        <v>#REF!</v>
      </c>
      <c r="X409" s="2" t="str">
        <f>IFERROR(__xludf.DUMMYFUNCTION("IMPORTRANGE(""https://docs.google.com/spreadsheets/d/""&amp;$A409&amp;""/edit#gid=156619080"",X$3)"),"#REF!")</f>
        <v>#REF!</v>
      </c>
      <c r="Y409" s="2" t="str">
        <f>IFERROR(__xludf.DUMMYFUNCTION("IMPORTRANGE(""https://docs.google.com/spreadsheets/d/""&amp;$A409&amp;""/edit#gid=156619080"",Y$3)"),"#REF!")</f>
        <v>#REF!</v>
      </c>
      <c r="Z409" s="2" t="str">
        <f>IFERROR(__xludf.DUMMYFUNCTION("IMPORTRANGE(""https://docs.google.com/spreadsheets/d/""&amp;$A409&amp;""/edit#gid=156619080"",Z$3)"),"#REF!")</f>
        <v>#REF!</v>
      </c>
      <c r="AA409" s="2" t="str">
        <f>IFERROR(__xludf.DUMMYFUNCTION("IMPORTRANGE(""https://docs.google.com/spreadsheets/d/""&amp;$A409&amp;""/edit#gid=156619080"",AA$3)"),"#REF!")</f>
        <v>#REF!</v>
      </c>
      <c r="AB409" s="2" t="str">
        <f>IFERROR(__xludf.DUMMYFUNCTION("IMPORTRANGE(""https://docs.google.com/spreadsheets/d/""&amp;$A409&amp;""/edit#gid=156619080"",AB$3)"),"#REF!")</f>
        <v>#REF!</v>
      </c>
      <c r="AC409" s="2" t="str">
        <f>IFERROR(__xludf.DUMMYFUNCTION("IMPORTRANGE(""https://docs.google.com/spreadsheets/d/""&amp;$A409&amp;""/edit#gid=156619080"",AC$3)"),"#REF!")</f>
        <v>#REF!</v>
      </c>
      <c r="AD409" s="2" t="str">
        <f>IFERROR(__xludf.DUMMYFUNCTION("IMPORTRANGE(""https://docs.google.com/spreadsheets/d/""&amp;$A409&amp;""/edit#gid=156619080"",AD$3)"),"#REF!")</f>
        <v>#REF!</v>
      </c>
      <c r="AE409" s="2" t="str">
        <f>IFERROR(__xludf.DUMMYFUNCTION("IMPORTRANGE(""https://docs.google.com/spreadsheets/d/""&amp;$A409&amp;""/edit#gid=156619080"",AE$3)"),"#REF!")</f>
        <v>#REF!</v>
      </c>
      <c r="AF409" s="2" t="str">
        <f>IFERROR(__xludf.DUMMYFUNCTION("IMPORTRANGE(""https://docs.google.com/spreadsheets/d/""&amp;$A409&amp;""/edit#gid=156619080"",AF$3)"),"#REF!")</f>
        <v>#REF!</v>
      </c>
      <c r="AG409" s="2" t="str">
        <f>IFERROR(__xludf.DUMMYFUNCTION("IMPORTRANGE(""https://docs.google.com/spreadsheets/d/""&amp;$A409&amp;""/edit#gid=156619080"",AG$3)"),"#REF!")</f>
        <v>#REF!</v>
      </c>
      <c r="AH409" s="2" t="str">
        <f>IFERROR(__xludf.DUMMYFUNCTION("IMPORTRANGE(""https://docs.google.com/spreadsheets/d/""&amp;$A409&amp;""/edit#gid=156619080"",AH$3)"),"#REF!")</f>
        <v>#REF!</v>
      </c>
      <c r="AI409" s="2" t="str">
        <f>IFERROR(__xludf.DUMMYFUNCTION("IMPORTRANGE(""https://docs.google.com/spreadsheets/d/""&amp;$A409&amp;""/edit#gid=156619080"",AI$3)"),"#REF!")</f>
        <v>#REF!</v>
      </c>
      <c r="AJ409" s="2" t="str">
        <f>IFERROR(__xludf.DUMMYFUNCTION("IMPORTRANGE(""https://docs.google.com/spreadsheets/d/""&amp;$A409&amp;""/edit#gid=156619080"",AJ$3)"),"#REF!")</f>
        <v>#REF!</v>
      </c>
      <c r="AK409" s="2" t="str">
        <f>IFERROR(__xludf.DUMMYFUNCTION("IMPORTRANGE(""https://docs.google.com/spreadsheets/d/""&amp;$A409&amp;""/edit#gid=156619080"",AK$3)"),"#REF!")</f>
        <v>#REF!</v>
      </c>
      <c r="AL409" s="2" t="str">
        <f>IFERROR(__xludf.DUMMYFUNCTION("IMPORTRANGE(""https://docs.google.com/spreadsheets/d/""&amp;$A409&amp;""/edit#gid=156619080"",AL$3)"),"#REF!")</f>
        <v>#REF!</v>
      </c>
      <c r="AM409" s="2" t="str">
        <f>IFERROR(__xludf.DUMMYFUNCTION("IMPORTRANGE(""https://docs.google.com/spreadsheets/d/""&amp;$A409&amp;""/edit#gid=156619080"",AM$3)"),"#REF!")</f>
        <v>#REF!</v>
      </c>
      <c r="AN409" s="2" t="str">
        <f>IFERROR(__xludf.DUMMYFUNCTION("IMPORTRANGE(""https://docs.google.com/spreadsheets/d/""&amp;$A409&amp;""/edit#gid=156619080"",AN$3)"),"#REF!")</f>
        <v>#REF!</v>
      </c>
      <c r="AO409" s="2" t="str">
        <f>IFERROR(__xludf.DUMMYFUNCTION("IMPORTRANGE(""https://docs.google.com/spreadsheets/d/""&amp;$A409&amp;""/edit#gid=156619080"",AO$3)"),"#REF!")</f>
        <v>#REF!</v>
      </c>
      <c r="AP409" s="2" t="str">
        <f>IFERROR(__xludf.DUMMYFUNCTION("IMPORTRANGE(""https://docs.google.com/spreadsheets/d/""&amp;$A409&amp;""/edit#gid=156619080"",AP$3)"),"#REF!")</f>
        <v>#REF!</v>
      </c>
      <c r="AQ409" s="2" t="str">
        <f>IFERROR(__xludf.DUMMYFUNCTION("IMPORTRANGE(""https://docs.google.com/spreadsheets/d/""&amp;$A409&amp;""/edit#gid=156619080"",AQ$3)"),"#REF!")</f>
        <v>#REF!</v>
      </c>
      <c r="AR409" s="2" t="str">
        <f>IFERROR(__xludf.DUMMYFUNCTION("IMPORTRANGE(""https://docs.google.com/spreadsheets/d/""&amp;$A409&amp;""/edit#gid=156619080"",AR$3)"),"#REF!")</f>
        <v>#REF!</v>
      </c>
      <c r="AS409" s="19" t="str">
        <f>IFERROR(__xludf.DUMMYFUNCTION("IMPORTRANGE(""https://docs.google.com/spreadsheets/d/""&amp;$A409&amp;""/edit#gid=156619080"",AS$3)"),"#REF!")</f>
        <v>#REF!</v>
      </c>
      <c r="AT409" s="2" t="str">
        <f>IFERROR(__xludf.DUMMYFUNCTION("IMPORTRANGE(""https://docs.google.com/spreadsheets/d/""&amp;$A409&amp;""/edit#gid=156619080"",AT$3)"),"#REF!")</f>
        <v>#REF!</v>
      </c>
      <c r="AU409" s="3" t="str">
        <f>IFERROR(__xludf.DUMMYFUNCTION("IMPORTRANGE(""https://docs.google.com/spreadsheets/d/""&amp;$A409&amp;""/edit#gid=156619080"",AU$3)"),"#REF!")</f>
        <v>#REF!</v>
      </c>
      <c r="AV409" s="2" t="str">
        <f>IFERROR(__xludf.DUMMYFUNCTION("IMPORTRANGE(""https://docs.google.com/spreadsheets/d/""&amp;$A409&amp;""/edit#gid=156619080"",AV$3)"),"#REF!")</f>
        <v>#REF!</v>
      </c>
      <c r="AW409" s="19" t="str">
        <f>IFERROR(__xludf.DUMMYFUNCTION("IMPORTRANGE(""https://docs.google.com/spreadsheets/d/""&amp;$A409&amp;""/edit#gid=156619080"",AW$3)"),"#REF!")</f>
        <v>#REF!</v>
      </c>
      <c r="AX409" s="2" t="str">
        <f>IFERROR(__xludf.DUMMYFUNCTION("IMPORTRANGE(""https://docs.google.com/spreadsheets/d/""&amp;$A409&amp;""/edit#gid=156619080"",AX$3)"),"#REF!")</f>
        <v>#REF!</v>
      </c>
      <c r="AY409" s="2" t="str">
        <f>IFERROR(__xludf.DUMMYFUNCTION("IMPORTRANGE(""https://docs.google.com/spreadsheets/d/""&amp;$A409&amp;""/edit#gid=156619080"",AY$3)"),"#REF!")</f>
        <v>#REF!</v>
      </c>
      <c r="AZ409" s="2" t="str">
        <f>IFERROR(__xludf.DUMMYFUNCTION("IMPORTRANGE(""https://docs.google.com/spreadsheets/d/""&amp;$A409&amp;""/edit#gid=156619080"",AZ$3)"),"#REF!")</f>
        <v>#REF!</v>
      </c>
      <c r="BA409" s="2" t="str">
        <f>IFERROR(__xludf.DUMMYFUNCTION("IMPORTRANGE(""https://docs.google.com/spreadsheets/d/""&amp;$A409&amp;""/edit#gid=156619080"",BA$3)"),"#REF!")</f>
        <v>#REF!</v>
      </c>
      <c r="BB409" s="2" t="str">
        <f>IFERROR(__xludf.DUMMYFUNCTION("IMPORTRANGE(""https://docs.google.com/spreadsheets/d/""&amp;$A409&amp;""/edit#gid=156619080"",BB$3)"),"#REF!")</f>
        <v>#REF!</v>
      </c>
      <c r="BC409" s="2" t="str">
        <f>IFERROR(__xludf.DUMMYFUNCTION("IMPORTRANGE(""https://docs.google.com/spreadsheets/d/""&amp;$A409&amp;""/edit#gid=156619080"",BC$3)"),"#REF!")</f>
        <v>#REF!</v>
      </c>
    </row>
    <row r="410" ht="51.0" customHeight="1">
      <c r="A410" s="7" t="str">
        <f t="shared" si="5"/>
        <v>16w44yqR9hxKxUI_6Z3KD61FO5lwDB2fqaIdloSB3ehU</v>
      </c>
      <c r="B410" s="1" t="s">
        <v>437</v>
      </c>
      <c r="C410" s="2" t="str">
        <f>IFERROR(__xludf.DUMMYFUNCTION("IMPORTRANGE(""https://docs.google.com/spreadsheets/d/""&amp;$A410&amp;""/edit#gid=156619080"",C$3)"),"#REF!")</f>
        <v>#REF!</v>
      </c>
      <c r="D410" s="2" t="str">
        <f>IFERROR(__xludf.DUMMYFUNCTION("IMPORTRANGE(""https://docs.google.com/spreadsheets/d/""&amp;$A410&amp;""/edit#gid=156619080"",D$3)"),"#REF!")</f>
        <v>#REF!</v>
      </c>
      <c r="E410" s="2" t="str">
        <f>IFERROR(__xludf.DUMMYFUNCTION("IMPORTRANGE(""https://docs.google.com/spreadsheets/d/""&amp;$A410&amp;""/edit#gid=156619080"",E$3)"),"#REF!")</f>
        <v>#REF!</v>
      </c>
      <c r="F410" s="2" t="str">
        <f>IFERROR(__xludf.DUMMYFUNCTION("IMPORTRANGE(""https://docs.google.com/spreadsheets/d/""&amp;$A410&amp;""/edit#gid=156619080"",F$3)"),"#REF!")</f>
        <v>#REF!</v>
      </c>
      <c r="G410" s="2" t="str">
        <f>IFERROR(__xludf.DUMMYFUNCTION("IMPORTRANGE(""https://docs.google.com/spreadsheets/d/""&amp;$A410&amp;""/edit#gid=156619080"",G$3)"),"#REF!")</f>
        <v>#REF!</v>
      </c>
      <c r="H410" s="2" t="str">
        <f>IFERROR(__xludf.DUMMYFUNCTION("IMPORTRANGE(""https://docs.google.com/spreadsheets/d/""&amp;$A410&amp;""/edit#gid=156619080"",H$3)"),"#REF!")</f>
        <v>#REF!</v>
      </c>
      <c r="I410" s="2" t="str">
        <f>IFERROR(__xludf.DUMMYFUNCTION("IMPORTRANGE(""https://docs.google.com/spreadsheets/d/""&amp;$A410&amp;""/edit#gid=156619080"",I$3)"),"#REF!")</f>
        <v>#REF!</v>
      </c>
      <c r="J410" s="2" t="str">
        <f>IFERROR(__xludf.DUMMYFUNCTION("IMPORTRANGE(""https://docs.google.com/spreadsheets/d/""&amp;$A410&amp;""/edit#gid=156619080"",J$3)"),"#REF!")</f>
        <v>#REF!</v>
      </c>
      <c r="K410" s="2" t="str">
        <f>IFERROR(__xludf.DUMMYFUNCTION("IMPORTRANGE(""https://docs.google.com/spreadsheets/d/""&amp;$A410&amp;""/edit#gid=156619080"",K$3)"),"#REF!")</f>
        <v>#REF!</v>
      </c>
      <c r="L410" s="2" t="str">
        <f>IFERROR(__xludf.DUMMYFUNCTION("IMPORTRANGE(""https://docs.google.com/spreadsheets/d/""&amp;$A410&amp;""/edit#gid=156619080"",L$3)"),"#REF!")</f>
        <v>#REF!</v>
      </c>
      <c r="M410" s="2" t="str">
        <f>IFERROR(__xludf.DUMMYFUNCTION("IMPORTRANGE(""https://docs.google.com/spreadsheets/d/""&amp;$A410&amp;""/edit#gid=156619080"",M$3)"),"#REF!")</f>
        <v>#REF!</v>
      </c>
      <c r="N410" s="2" t="str">
        <f>IFERROR(__xludf.DUMMYFUNCTION("IMPORTRANGE(""https://docs.google.com/spreadsheets/d/""&amp;$A410&amp;""/edit#gid=156619080"",N$3)"),"#REF!")</f>
        <v>#REF!</v>
      </c>
      <c r="O410" s="2" t="str">
        <f>IFERROR(__xludf.DUMMYFUNCTION("IMPORTRANGE(""https://docs.google.com/spreadsheets/d/""&amp;$A410&amp;""/edit#gid=156619080"",O$3)"),"#REF!")</f>
        <v>#REF!</v>
      </c>
      <c r="P410" s="2" t="str">
        <f>IFERROR(__xludf.DUMMYFUNCTION("IMPORTRANGE(""https://docs.google.com/spreadsheets/d/""&amp;$A410&amp;""/edit#gid=156619080"",P$3)"),"#REF!")</f>
        <v>#REF!</v>
      </c>
      <c r="Q410" s="2" t="str">
        <f>IFERROR(__xludf.DUMMYFUNCTION("IMPORTRANGE(""https://docs.google.com/spreadsheets/d/""&amp;$A410&amp;""/edit#gid=156619080"",Q$3)"),"#REF!")</f>
        <v>#REF!</v>
      </c>
      <c r="R410" s="2" t="str">
        <f>IFERROR(__xludf.DUMMYFUNCTION("IMPORTRANGE(""https://docs.google.com/spreadsheets/d/""&amp;$A410&amp;""/edit#gid=156619080"",R$3)"),"#REF!")</f>
        <v>#REF!</v>
      </c>
      <c r="S410" s="2" t="str">
        <f>IFERROR(__xludf.DUMMYFUNCTION("IMPORTRANGE(""https://docs.google.com/spreadsheets/d/""&amp;$A410&amp;""/edit#gid=156619080"",S$3)"),"#REF!")</f>
        <v>#REF!</v>
      </c>
      <c r="T410" s="2" t="str">
        <f>IFERROR(__xludf.DUMMYFUNCTION("IMPORTRANGE(""https://docs.google.com/spreadsheets/d/""&amp;$A410&amp;""/edit#gid=156619080"",T$3)"),"#REF!")</f>
        <v>#REF!</v>
      </c>
      <c r="U410" s="2" t="str">
        <f>IFERROR(__xludf.DUMMYFUNCTION("IMPORTRANGE(""https://docs.google.com/spreadsheets/d/""&amp;$A410&amp;""/edit#gid=156619080"",U$3)"),"#REF!")</f>
        <v>#REF!</v>
      </c>
      <c r="V410" s="2" t="str">
        <f>IFERROR(__xludf.DUMMYFUNCTION("IMPORTRANGE(""https://docs.google.com/spreadsheets/d/""&amp;$A410&amp;""/edit#gid=156619080"",V$3)"),"#REF!")</f>
        <v>#REF!</v>
      </c>
      <c r="W410" s="2" t="str">
        <f>IFERROR(__xludf.DUMMYFUNCTION("IMPORTRANGE(""https://docs.google.com/spreadsheets/d/""&amp;$A410&amp;""/edit#gid=156619080"",W$3)"),"#REF!")</f>
        <v>#REF!</v>
      </c>
      <c r="X410" s="2" t="str">
        <f>IFERROR(__xludf.DUMMYFUNCTION("IMPORTRANGE(""https://docs.google.com/spreadsheets/d/""&amp;$A410&amp;""/edit#gid=156619080"",X$3)"),"#REF!")</f>
        <v>#REF!</v>
      </c>
      <c r="Y410" s="2" t="str">
        <f>IFERROR(__xludf.DUMMYFUNCTION("IMPORTRANGE(""https://docs.google.com/spreadsheets/d/""&amp;$A410&amp;""/edit#gid=156619080"",Y$3)"),"#REF!")</f>
        <v>#REF!</v>
      </c>
      <c r="Z410" s="2" t="str">
        <f>IFERROR(__xludf.DUMMYFUNCTION("IMPORTRANGE(""https://docs.google.com/spreadsheets/d/""&amp;$A410&amp;""/edit#gid=156619080"",Z$3)"),"#REF!")</f>
        <v>#REF!</v>
      </c>
      <c r="AA410" s="2" t="str">
        <f>IFERROR(__xludf.DUMMYFUNCTION("IMPORTRANGE(""https://docs.google.com/spreadsheets/d/""&amp;$A410&amp;""/edit#gid=156619080"",AA$3)"),"#REF!")</f>
        <v>#REF!</v>
      </c>
      <c r="AB410" s="2" t="str">
        <f>IFERROR(__xludf.DUMMYFUNCTION("IMPORTRANGE(""https://docs.google.com/spreadsheets/d/""&amp;$A410&amp;""/edit#gid=156619080"",AB$3)"),"#REF!")</f>
        <v>#REF!</v>
      </c>
      <c r="AC410" s="2" t="str">
        <f>IFERROR(__xludf.DUMMYFUNCTION("IMPORTRANGE(""https://docs.google.com/spreadsheets/d/""&amp;$A410&amp;""/edit#gid=156619080"",AC$3)"),"#REF!")</f>
        <v>#REF!</v>
      </c>
      <c r="AD410" s="2" t="str">
        <f>IFERROR(__xludf.DUMMYFUNCTION("IMPORTRANGE(""https://docs.google.com/spreadsheets/d/""&amp;$A410&amp;""/edit#gid=156619080"",AD$3)"),"#REF!")</f>
        <v>#REF!</v>
      </c>
      <c r="AE410" s="2" t="str">
        <f>IFERROR(__xludf.DUMMYFUNCTION("IMPORTRANGE(""https://docs.google.com/spreadsheets/d/""&amp;$A410&amp;""/edit#gid=156619080"",AE$3)"),"#REF!")</f>
        <v>#REF!</v>
      </c>
      <c r="AF410" s="2" t="str">
        <f>IFERROR(__xludf.DUMMYFUNCTION("IMPORTRANGE(""https://docs.google.com/spreadsheets/d/""&amp;$A410&amp;""/edit#gid=156619080"",AF$3)"),"#REF!")</f>
        <v>#REF!</v>
      </c>
      <c r="AG410" s="2" t="str">
        <f>IFERROR(__xludf.DUMMYFUNCTION("IMPORTRANGE(""https://docs.google.com/spreadsheets/d/""&amp;$A410&amp;""/edit#gid=156619080"",AG$3)"),"#REF!")</f>
        <v>#REF!</v>
      </c>
      <c r="AH410" s="2" t="str">
        <f>IFERROR(__xludf.DUMMYFUNCTION("IMPORTRANGE(""https://docs.google.com/spreadsheets/d/""&amp;$A410&amp;""/edit#gid=156619080"",AH$3)"),"#REF!")</f>
        <v>#REF!</v>
      </c>
      <c r="AI410" s="2" t="str">
        <f>IFERROR(__xludf.DUMMYFUNCTION("IMPORTRANGE(""https://docs.google.com/spreadsheets/d/""&amp;$A410&amp;""/edit#gid=156619080"",AI$3)"),"#REF!")</f>
        <v>#REF!</v>
      </c>
      <c r="AJ410" s="2" t="str">
        <f>IFERROR(__xludf.DUMMYFUNCTION("IMPORTRANGE(""https://docs.google.com/spreadsheets/d/""&amp;$A410&amp;""/edit#gid=156619080"",AJ$3)"),"#REF!")</f>
        <v>#REF!</v>
      </c>
      <c r="AK410" s="2" t="str">
        <f>IFERROR(__xludf.DUMMYFUNCTION("IMPORTRANGE(""https://docs.google.com/spreadsheets/d/""&amp;$A410&amp;""/edit#gid=156619080"",AK$3)"),"#REF!")</f>
        <v>#REF!</v>
      </c>
      <c r="AL410" s="2" t="str">
        <f>IFERROR(__xludf.DUMMYFUNCTION("IMPORTRANGE(""https://docs.google.com/spreadsheets/d/""&amp;$A410&amp;""/edit#gid=156619080"",AL$3)"),"#REF!")</f>
        <v>#REF!</v>
      </c>
      <c r="AM410" s="2" t="str">
        <f>IFERROR(__xludf.DUMMYFUNCTION("IMPORTRANGE(""https://docs.google.com/spreadsheets/d/""&amp;$A410&amp;""/edit#gid=156619080"",AM$3)"),"#REF!")</f>
        <v>#REF!</v>
      </c>
      <c r="AN410" s="2" t="str">
        <f>IFERROR(__xludf.DUMMYFUNCTION("IMPORTRANGE(""https://docs.google.com/spreadsheets/d/""&amp;$A410&amp;""/edit#gid=156619080"",AN$3)"),"#REF!")</f>
        <v>#REF!</v>
      </c>
      <c r="AO410" s="2" t="str">
        <f>IFERROR(__xludf.DUMMYFUNCTION("IMPORTRANGE(""https://docs.google.com/spreadsheets/d/""&amp;$A410&amp;""/edit#gid=156619080"",AO$3)"),"#REF!")</f>
        <v>#REF!</v>
      </c>
      <c r="AP410" s="2" t="str">
        <f>IFERROR(__xludf.DUMMYFUNCTION("IMPORTRANGE(""https://docs.google.com/spreadsheets/d/""&amp;$A410&amp;""/edit#gid=156619080"",AP$3)"),"#REF!")</f>
        <v>#REF!</v>
      </c>
      <c r="AQ410" s="2" t="str">
        <f>IFERROR(__xludf.DUMMYFUNCTION("IMPORTRANGE(""https://docs.google.com/spreadsheets/d/""&amp;$A410&amp;""/edit#gid=156619080"",AQ$3)"),"#REF!")</f>
        <v>#REF!</v>
      </c>
      <c r="AR410" s="2" t="str">
        <f>IFERROR(__xludf.DUMMYFUNCTION("IMPORTRANGE(""https://docs.google.com/spreadsheets/d/""&amp;$A410&amp;""/edit#gid=156619080"",AR$3)"),"#REF!")</f>
        <v>#REF!</v>
      </c>
      <c r="AS410" s="19" t="str">
        <f>IFERROR(__xludf.DUMMYFUNCTION("IMPORTRANGE(""https://docs.google.com/spreadsheets/d/""&amp;$A410&amp;""/edit#gid=156619080"",AS$3)"),"#REF!")</f>
        <v>#REF!</v>
      </c>
      <c r="AT410" s="2" t="str">
        <f>IFERROR(__xludf.DUMMYFUNCTION("IMPORTRANGE(""https://docs.google.com/spreadsheets/d/""&amp;$A410&amp;""/edit#gid=156619080"",AT$3)"),"#REF!")</f>
        <v>#REF!</v>
      </c>
      <c r="AU410" s="3" t="str">
        <f>IFERROR(__xludf.DUMMYFUNCTION("IMPORTRANGE(""https://docs.google.com/spreadsheets/d/""&amp;$A410&amp;""/edit#gid=156619080"",AU$3)"),"#REF!")</f>
        <v>#REF!</v>
      </c>
      <c r="AV410" s="2" t="str">
        <f>IFERROR(__xludf.DUMMYFUNCTION("IMPORTRANGE(""https://docs.google.com/spreadsheets/d/""&amp;$A410&amp;""/edit#gid=156619080"",AV$3)"),"#REF!")</f>
        <v>#REF!</v>
      </c>
      <c r="AW410" s="19" t="str">
        <f>IFERROR(__xludf.DUMMYFUNCTION("IMPORTRANGE(""https://docs.google.com/spreadsheets/d/""&amp;$A410&amp;""/edit#gid=156619080"",AW$3)"),"#REF!")</f>
        <v>#REF!</v>
      </c>
      <c r="AX410" s="2" t="str">
        <f>IFERROR(__xludf.DUMMYFUNCTION("IMPORTRANGE(""https://docs.google.com/spreadsheets/d/""&amp;$A410&amp;""/edit#gid=156619080"",AX$3)"),"#REF!")</f>
        <v>#REF!</v>
      </c>
      <c r="AY410" s="2" t="str">
        <f>IFERROR(__xludf.DUMMYFUNCTION("IMPORTRANGE(""https://docs.google.com/spreadsheets/d/""&amp;$A410&amp;""/edit#gid=156619080"",AY$3)"),"#REF!")</f>
        <v>#REF!</v>
      </c>
      <c r="AZ410" s="2" t="str">
        <f>IFERROR(__xludf.DUMMYFUNCTION("IMPORTRANGE(""https://docs.google.com/spreadsheets/d/""&amp;$A410&amp;""/edit#gid=156619080"",AZ$3)"),"#REF!")</f>
        <v>#REF!</v>
      </c>
      <c r="BA410" s="2" t="str">
        <f>IFERROR(__xludf.DUMMYFUNCTION("IMPORTRANGE(""https://docs.google.com/spreadsheets/d/""&amp;$A410&amp;""/edit#gid=156619080"",BA$3)"),"#REF!")</f>
        <v>#REF!</v>
      </c>
      <c r="BB410" s="2" t="str">
        <f>IFERROR(__xludf.DUMMYFUNCTION("IMPORTRANGE(""https://docs.google.com/spreadsheets/d/""&amp;$A410&amp;""/edit#gid=156619080"",BB$3)"),"#REF!")</f>
        <v>#REF!</v>
      </c>
      <c r="BC410" s="2" t="str">
        <f>IFERROR(__xludf.DUMMYFUNCTION("IMPORTRANGE(""https://docs.google.com/spreadsheets/d/""&amp;$A410&amp;""/edit#gid=156619080"",BC$3)"),"#REF!")</f>
        <v>#REF!</v>
      </c>
    </row>
    <row r="411" ht="51.0" customHeight="1">
      <c r="A411" s="7" t="str">
        <f t="shared" si="5"/>
        <v>10iCvcGNyky3VSp0h89uJLJ5zeV9yWwzfVMtFX3UQGEc</v>
      </c>
      <c r="B411" s="1" t="s">
        <v>438</v>
      </c>
      <c r="C411" s="2" t="str">
        <f>IFERROR(__xludf.DUMMYFUNCTION("IMPORTRANGE(""https://docs.google.com/spreadsheets/d/""&amp;$A411&amp;""/edit#gid=156619080"",C$3)"),"#REF!")</f>
        <v>#REF!</v>
      </c>
      <c r="D411" s="2" t="str">
        <f>IFERROR(__xludf.DUMMYFUNCTION("IMPORTRANGE(""https://docs.google.com/spreadsheets/d/""&amp;$A411&amp;""/edit#gid=156619080"",D$3)"),"#REF!")</f>
        <v>#REF!</v>
      </c>
      <c r="E411" s="2" t="str">
        <f>IFERROR(__xludf.DUMMYFUNCTION("IMPORTRANGE(""https://docs.google.com/spreadsheets/d/""&amp;$A411&amp;""/edit#gid=156619080"",E$3)"),"#REF!")</f>
        <v>#REF!</v>
      </c>
      <c r="F411" s="2" t="str">
        <f>IFERROR(__xludf.DUMMYFUNCTION("IMPORTRANGE(""https://docs.google.com/spreadsheets/d/""&amp;$A411&amp;""/edit#gid=156619080"",F$3)"),"#REF!")</f>
        <v>#REF!</v>
      </c>
      <c r="G411" s="2" t="str">
        <f>IFERROR(__xludf.DUMMYFUNCTION("IMPORTRANGE(""https://docs.google.com/spreadsheets/d/""&amp;$A411&amp;""/edit#gid=156619080"",G$3)"),"#REF!")</f>
        <v>#REF!</v>
      </c>
      <c r="H411" s="2" t="str">
        <f>IFERROR(__xludf.DUMMYFUNCTION("IMPORTRANGE(""https://docs.google.com/spreadsheets/d/""&amp;$A411&amp;""/edit#gid=156619080"",H$3)"),"#REF!")</f>
        <v>#REF!</v>
      </c>
      <c r="I411" s="2" t="str">
        <f>IFERROR(__xludf.DUMMYFUNCTION("IMPORTRANGE(""https://docs.google.com/spreadsheets/d/""&amp;$A411&amp;""/edit#gid=156619080"",I$3)"),"#REF!")</f>
        <v>#REF!</v>
      </c>
      <c r="J411" s="2" t="str">
        <f>IFERROR(__xludf.DUMMYFUNCTION("IMPORTRANGE(""https://docs.google.com/spreadsheets/d/""&amp;$A411&amp;""/edit#gid=156619080"",J$3)"),"#REF!")</f>
        <v>#REF!</v>
      </c>
      <c r="K411" s="2" t="str">
        <f>IFERROR(__xludf.DUMMYFUNCTION("IMPORTRANGE(""https://docs.google.com/spreadsheets/d/""&amp;$A411&amp;""/edit#gid=156619080"",K$3)"),"#REF!")</f>
        <v>#REF!</v>
      </c>
      <c r="L411" s="2" t="str">
        <f>IFERROR(__xludf.DUMMYFUNCTION("IMPORTRANGE(""https://docs.google.com/spreadsheets/d/""&amp;$A411&amp;""/edit#gid=156619080"",L$3)"),"#REF!")</f>
        <v>#REF!</v>
      </c>
      <c r="M411" s="2" t="str">
        <f>IFERROR(__xludf.DUMMYFUNCTION("IMPORTRANGE(""https://docs.google.com/spreadsheets/d/""&amp;$A411&amp;""/edit#gid=156619080"",M$3)"),"#REF!")</f>
        <v>#REF!</v>
      </c>
      <c r="N411" s="2" t="str">
        <f>IFERROR(__xludf.DUMMYFUNCTION("IMPORTRANGE(""https://docs.google.com/spreadsheets/d/""&amp;$A411&amp;""/edit#gid=156619080"",N$3)"),"#REF!")</f>
        <v>#REF!</v>
      </c>
      <c r="O411" s="2" t="str">
        <f>IFERROR(__xludf.DUMMYFUNCTION("IMPORTRANGE(""https://docs.google.com/spreadsheets/d/""&amp;$A411&amp;""/edit#gid=156619080"",O$3)"),"#REF!")</f>
        <v>#REF!</v>
      </c>
      <c r="P411" s="2" t="str">
        <f>IFERROR(__xludf.DUMMYFUNCTION("IMPORTRANGE(""https://docs.google.com/spreadsheets/d/""&amp;$A411&amp;""/edit#gid=156619080"",P$3)"),"#REF!")</f>
        <v>#REF!</v>
      </c>
      <c r="Q411" s="2" t="str">
        <f>IFERROR(__xludf.DUMMYFUNCTION("IMPORTRANGE(""https://docs.google.com/spreadsheets/d/""&amp;$A411&amp;""/edit#gid=156619080"",Q$3)"),"#REF!")</f>
        <v>#REF!</v>
      </c>
      <c r="R411" s="2" t="str">
        <f>IFERROR(__xludf.DUMMYFUNCTION("IMPORTRANGE(""https://docs.google.com/spreadsheets/d/""&amp;$A411&amp;""/edit#gid=156619080"",R$3)"),"#REF!")</f>
        <v>#REF!</v>
      </c>
      <c r="S411" s="2" t="str">
        <f>IFERROR(__xludf.DUMMYFUNCTION("IMPORTRANGE(""https://docs.google.com/spreadsheets/d/""&amp;$A411&amp;""/edit#gid=156619080"",S$3)"),"#REF!")</f>
        <v>#REF!</v>
      </c>
      <c r="T411" s="2" t="str">
        <f>IFERROR(__xludf.DUMMYFUNCTION("IMPORTRANGE(""https://docs.google.com/spreadsheets/d/""&amp;$A411&amp;""/edit#gid=156619080"",T$3)"),"#REF!")</f>
        <v>#REF!</v>
      </c>
      <c r="U411" s="2" t="str">
        <f>IFERROR(__xludf.DUMMYFUNCTION("IMPORTRANGE(""https://docs.google.com/spreadsheets/d/""&amp;$A411&amp;""/edit#gid=156619080"",U$3)"),"#REF!")</f>
        <v>#REF!</v>
      </c>
      <c r="V411" s="2" t="str">
        <f>IFERROR(__xludf.DUMMYFUNCTION("IMPORTRANGE(""https://docs.google.com/spreadsheets/d/""&amp;$A411&amp;""/edit#gid=156619080"",V$3)"),"#REF!")</f>
        <v>#REF!</v>
      </c>
      <c r="W411" s="2" t="str">
        <f>IFERROR(__xludf.DUMMYFUNCTION("IMPORTRANGE(""https://docs.google.com/spreadsheets/d/""&amp;$A411&amp;""/edit#gid=156619080"",W$3)"),"#REF!")</f>
        <v>#REF!</v>
      </c>
      <c r="X411" s="2" t="str">
        <f>IFERROR(__xludf.DUMMYFUNCTION("IMPORTRANGE(""https://docs.google.com/spreadsheets/d/""&amp;$A411&amp;""/edit#gid=156619080"",X$3)"),"#REF!")</f>
        <v>#REF!</v>
      </c>
      <c r="Y411" s="2" t="str">
        <f>IFERROR(__xludf.DUMMYFUNCTION("IMPORTRANGE(""https://docs.google.com/spreadsheets/d/""&amp;$A411&amp;""/edit#gid=156619080"",Y$3)"),"#REF!")</f>
        <v>#REF!</v>
      </c>
      <c r="Z411" s="2" t="str">
        <f>IFERROR(__xludf.DUMMYFUNCTION("IMPORTRANGE(""https://docs.google.com/spreadsheets/d/""&amp;$A411&amp;""/edit#gid=156619080"",Z$3)"),"#REF!")</f>
        <v>#REF!</v>
      </c>
      <c r="AA411" s="2" t="str">
        <f>IFERROR(__xludf.DUMMYFUNCTION("IMPORTRANGE(""https://docs.google.com/spreadsheets/d/""&amp;$A411&amp;""/edit#gid=156619080"",AA$3)"),"#REF!")</f>
        <v>#REF!</v>
      </c>
      <c r="AB411" s="2" t="str">
        <f>IFERROR(__xludf.DUMMYFUNCTION("IMPORTRANGE(""https://docs.google.com/spreadsheets/d/""&amp;$A411&amp;""/edit#gid=156619080"",AB$3)"),"#REF!")</f>
        <v>#REF!</v>
      </c>
      <c r="AC411" s="2" t="str">
        <f>IFERROR(__xludf.DUMMYFUNCTION("IMPORTRANGE(""https://docs.google.com/spreadsheets/d/""&amp;$A411&amp;""/edit#gid=156619080"",AC$3)"),"#REF!")</f>
        <v>#REF!</v>
      </c>
      <c r="AD411" s="2" t="str">
        <f>IFERROR(__xludf.DUMMYFUNCTION("IMPORTRANGE(""https://docs.google.com/spreadsheets/d/""&amp;$A411&amp;""/edit#gid=156619080"",AD$3)"),"#REF!")</f>
        <v>#REF!</v>
      </c>
      <c r="AE411" s="2" t="str">
        <f>IFERROR(__xludf.DUMMYFUNCTION("IMPORTRANGE(""https://docs.google.com/spreadsheets/d/""&amp;$A411&amp;""/edit#gid=156619080"",AE$3)"),"#REF!")</f>
        <v>#REF!</v>
      </c>
      <c r="AF411" s="2" t="str">
        <f>IFERROR(__xludf.DUMMYFUNCTION("IMPORTRANGE(""https://docs.google.com/spreadsheets/d/""&amp;$A411&amp;""/edit#gid=156619080"",AF$3)"),"#REF!")</f>
        <v>#REF!</v>
      </c>
      <c r="AG411" s="2" t="str">
        <f>IFERROR(__xludf.DUMMYFUNCTION("IMPORTRANGE(""https://docs.google.com/spreadsheets/d/""&amp;$A411&amp;""/edit#gid=156619080"",AG$3)"),"#REF!")</f>
        <v>#REF!</v>
      </c>
      <c r="AH411" s="2" t="str">
        <f>IFERROR(__xludf.DUMMYFUNCTION("IMPORTRANGE(""https://docs.google.com/spreadsheets/d/""&amp;$A411&amp;""/edit#gid=156619080"",AH$3)"),"#REF!")</f>
        <v>#REF!</v>
      </c>
      <c r="AI411" s="2" t="str">
        <f>IFERROR(__xludf.DUMMYFUNCTION("IMPORTRANGE(""https://docs.google.com/spreadsheets/d/""&amp;$A411&amp;""/edit#gid=156619080"",AI$3)"),"#REF!")</f>
        <v>#REF!</v>
      </c>
      <c r="AJ411" s="2" t="str">
        <f>IFERROR(__xludf.DUMMYFUNCTION("IMPORTRANGE(""https://docs.google.com/spreadsheets/d/""&amp;$A411&amp;""/edit#gid=156619080"",AJ$3)"),"#REF!")</f>
        <v>#REF!</v>
      </c>
      <c r="AK411" s="2" t="str">
        <f>IFERROR(__xludf.DUMMYFUNCTION("IMPORTRANGE(""https://docs.google.com/spreadsheets/d/""&amp;$A411&amp;""/edit#gid=156619080"",AK$3)"),"#REF!")</f>
        <v>#REF!</v>
      </c>
      <c r="AL411" s="2" t="str">
        <f>IFERROR(__xludf.DUMMYFUNCTION("IMPORTRANGE(""https://docs.google.com/spreadsheets/d/""&amp;$A411&amp;""/edit#gid=156619080"",AL$3)"),"#REF!")</f>
        <v>#REF!</v>
      </c>
      <c r="AM411" s="2" t="str">
        <f>IFERROR(__xludf.DUMMYFUNCTION("IMPORTRANGE(""https://docs.google.com/spreadsheets/d/""&amp;$A411&amp;""/edit#gid=156619080"",AM$3)"),"#REF!")</f>
        <v>#REF!</v>
      </c>
      <c r="AN411" s="2" t="str">
        <f>IFERROR(__xludf.DUMMYFUNCTION("IMPORTRANGE(""https://docs.google.com/spreadsheets/d/""&amp;$A411&amp;""/edit#gid=156619080"",AN$3)"),"#REF!")</f>
        <v>#REF!</v>
      </c>
      <c r="AO411" s="2" t="str">
        <f>IFERROR(__xludf.DUMMYFUNCTION("IMPORTRANGE(""https://docs.google.com/spreadsheets/d/""&amp;$A411&amp;""/edit#gid=156619080"",AO$3)"),"#REF!")</f>
        <v>#REF!</v>
      </c>
      <c r="AP411" s="2" t="str">
        <f>IFERROR(__xludf.DUMMYFUNCTION("IMPORTRANGE(""https://docs.google.com/spreadsheets/d/""&amp;$A411&amp;""/edit#gid=156619080"",AP$3)"),"#REF!")</f>
        <v>#REF!</v>
      </c>
      <c r="AQ411" s="2" t="str">
        <f>IFERROR(__xludf.DUMMYFUNCTION("IMPORTRANGE(""https://docs.google.com/spreadsheets/d/""&amp;$A411&amp;""/edit#gid=156619080"",AQ$3)"),"#REF!")</f>
        <v>#REF!</v>
      </c>
      <c r="AR411" s="2" t="str">
        <f>IFERROR(__xludf.DUMMYFUNCTION("IMPORTRANGE(""https://docs.google.com/spreadsheets/d/""&amp;$A411&amp;""/edit#gid=156619080"",AR$3)"),"#REF!")</f>
        <v>#REF!</v>
      </c>
      <c r="AS411" s="19" t="str">
        <f>IFERROR(__xludf.DUMMYFUNCTION("IMPORTRANGE(""https://docs.google.com/spreadsheets/d/""&amp;$A411&amp;""/edit#gid=156619080"",AS$3)"),"#REF!")</f>
        <v>#REF!</v>
      </c>
      <c r="AT411" s="2" t="str">
        <f>IFERROR(__xludf.DUMMYFUNCTION("IMPORTRANGE(""https://docs.google.com/spreadsheets/d/""&amp;$A411&amp;""/edit#gid=156619080"",AT$3)"),"#REF!")</f>
        <v>#REF!</v>
      </c>
      <c r="AU411" s="3" t="str">
        <f>IFERROR(__xludf.DUMMYFUNCTION("IMPORTRANGE(""https://docs.google.com/spreadsheets/d/""&amp;$A411&amp;""/edit#gid=156619080"",AU$3)"),"#REF!")</f>
        <v>#REF!</v>
      </c>
      <c r="AV411" s="2" t="str">
        <f>IFERROR(__xludf.DUMMYFUNCTION("IMPORTRANGE(""https://docs.google.com/spreadsheets/d/""&amp;$A411&amp;""/edit#gid=156619080"",AV$3)"),"#REF!")</f>
        <v>#REF!</v>
      </c>
      <c r="AW411" s="19" t="str">
        <f>IFERROR(__xludf.DUMMYFUNCTION("IMPORTRANGE(""https://docs.google.com/spreadsheets/d/""&amp;$A411&amp;""/edit#gid=156619080"",AW$3)"),"#REF!")</f>
        <v>#REF!</v>
      </c>
      <c r="AX411" s="2" t="str">
        <f>IFERROR(__xludf.DUMMYFUNCTION("IMPORTRANGE(""https://docs.google.com/spreadsheets/d/""&amp;$A411&amp;""/edit#gid=156619080"",AX$3)"),"#REF!")</f>
        <v>#REF!</v>
      </c>
      <c r="AY411" s="2" t="str">
        <f>IFERROR(__xludf.DUMMYFUNCTION("IMPORTRANGE(""https://docs.google.com/spreadsheets/d/""&amp;$A411&amp;""/edit#gid=156619080"",AY$3)"),"#REF!")</f>
        <v>#REF!</v>
      </c>
      <c r="AZ411" s="2" t="str">
        <f>IFERROR(__xludf.DUMMYFUNCTION("IMPORTRANGE(""https://docs.google.com/spreadsheets/d/""&amp;$A411&amp;""/edit#gid=156619080"",AZ$3)"),"#REF!")</f>
        <v>#REF!</v>
      </c>
      <c r="BA411" s="2" t="str">
        <f>IFERROR(__xludf.DUMMYFUNCTION("IMPORTRANGE(""https://docs.google.com/spreadsheets/d/""&amp;$A411&amp;""/edit#gid=156619080"",BA$3)"),"#REF!")</f>
        <v>#REF!</v>
      </c>
      <c r="BB411" s="2" t="str">
        <f>IFERROR(__xludf.DUMMYFUNCTION("IMPORTRANGE(""https://docs.google.com/spreadsheets/d/""&amp;$A411&amp;""/edit#gid=156619080"",BB$3)"),"#REF!")</f>
        <v>#REF!</v>
      </c>
      <c r="BC411" s="2" t="str">
        <f>IFERROR(__xludf.DUMMYFUNCTION("IMPORTRANGE(""https://docs.google.com/spreadsheets/d/""&amp;$A411&amp;""/edit#gid=156619080"",BC$3)"),"#REF!")</f>
        <v>#REF!</v>
      </c>
    </row>
    <row r="412" ht="51.0" customHeight="1">
      <c r="A412" s="7" t="str">
        <f t="shared" si="5"/>
        <v>1TrkY7AGHyDGZHoa2BZK6ErEyZxBMPfgAKrS5ELNtc88</v>
      </c>
      <c r="B412" s="1" t="s">
        <v>439</v>
      </c>
      <c r="C412" s="2" t="str">
        <f>IFERROR(__xludf.DUMMYFUNCTION("IMPORTRANGE(""https://docs.google.com/spreadsheets/d/""&amp;$A412&amp;""/edit#gid=156619080"",C$3)"),"#REF!")</f>
        <v>#REF!</v>
      </c>
      <c r="D412" s="2" t="str">
        <f>IFERROR(__xludf.DUMMYFUNCTION("IMPORTRANGE(""https://docs.google.com/spreadsheets/d/""&amp;$A412&amp;""/edit#gid=156619080"",D$3)"),"#REF!")</f>
        <v>#REF!</v>
      </c>
      <c r="E412" s="2" t="str">
        <f>IFERROR(__xludf.DUMMYFUNCTION("IMPORTRANGE(""https://docs.google.com/spreadsheets/d/""&amp;$A412&amp;""/edit#gid=156619080"",E$3)"),"#REF!")</f>
        <v>#REF!</v>
      </c>
      <c r="F412" s="2" t="str">
        <f>IFERROR(__xludf.DUMMYFUNCTION("IMPORTRANGE(""https://docs.google.com/spreadsheets/d/""&amp;$A412&amp;""/edit#gid=156619080"",F$3)"),"#REF!")</f>
        <v>#REF!</v>
      </c>
      <c r="G412" s="2" t="str">
        <f>IFERROR(__xludf.DUMMYFUNCTION("IMPORTRANGE(""https://docs.google.com/spreadsheets/d/""&amp;$A412&amp;""/edit#gid=156619080"",G$3)"),"#REF!")</f>
        <v>#REF!</v>
      </c>
      <c r="H412" s="2" t="str">
        <f>IFERROR(__xludf.DUMMYFUNCTION("IMPORTRANGE(""https://docs.google.com/spreadsheets/d/""&amp;$A412&amp;""/edit#gid=156619080"",H$3)"),"#REF!")</f>
        <v>#REF!</v>
      </c>
      <c r="I412" s="2" t="str">
        <f>IFERROR(__xludf.DUMMYFUNCTION("IMPORTRANGE(""https://docs.google.com/spreadsheets/d/""&amp;$A412&amp;""/edit#gid=156619080"",I$3)"),"#REF!")</f>
        <v>#REF!</v>
      </c>
      <c r="J412" s="2" t="str">
        <f>IFERROR(__xludf.DUMMYFUNCTION("IMPORTRANGE(""https://docs.google.com/spreadsheets/d/""&amp;$A412&amp;""/edit#gid=156619080"",J$3)"),"#REF!")</f>
        <v>#REF!</v>
      </c>
      <c r="K412" s="2" t="str">
        <f>IFERROR(__xludf.DUMMYFUNCTION("IMPORTRANGE(""https://docs.google.com/spreadsheets/d/""&amp;$A412&amp;""/edit#gid=156619080"",K$3)"),"#REF!")</f>
        <v>#REF!</v>
      </c>
      <c r="L412" s="2" t="str">
        <f>IFERROR(__xludf.DUMMYFUNCTION("IMPORTRANGE(""https://docs.google.com/spreadsheets/d/""&amp;$A412&amp;""/edit#gid=156619080"",L$3)"),"#REF!")</f>
        <v>#REF!</v>
      </c>
      <c r="M412" s="2" t="str">
        <f>IFERROR(__xludf.DUMMYFUNCTION("IMPORTRANGE(""https://docs.google.com/spreadsheets/d/""&amp;$A412&amp;""/edit#gid=156619080"",M$3)"),"#REF!")</f>
        <v>#REF!</v>
      </c>
      <c r="N412" s="2" t="str">
        <f>IFERROR(__xludf.DUMMYFUNCTION("IMPORTRANGE(""https://docs.google.com/spreadsheets/d/""&amp;$A412&amp;""/edit#gid=156619080"",N$3)"),"#REF!")</f>
        <v>#REF!</v>
      </c>
      <c r="O412" s="2" t="str">
        <f>IFERROR(__xludf.DUMMYFUNCTION("IMPORTRANGE(""https://docs.google.com/spreadsheets/d/""&amp;$A412&amp;""/edit#gid=156619080"",O$3)"),"#REF!")</f>
        <v>#REF!</v>
      </c>
      <c r="P412" s="2" t="str">
        <f>IFERROR(__xludf.DUMMYFUNCTION("IMPORTRANGE(""https://docs.google.com/spreadsheets/d/""&amp;$A412&amp;""/edit#gid=156619080"",P$3)"),"#REF!")</f>
        <v>#REF!</v>
      </c>
      <c r="Q412" s="2" t="str">
        <f>IFERROR(__xludf.DUMMYFUNCTION("IMPORTRANGE(""https://docs.google.com/spreadsheets/d/""&amp;$A412&amp;""/edit#gid=156619080"",Q$3)"),"#REF!")</f>
        <v>#REF!</v>
      </c>
      <c r="R412" s="2" t="str">
        <f>IFERROR(__xludf.DUMMYFUNCTION("IMPORTRANGE(""https://docs.google.com/spreadsheets/d/""&amp;$A412&amp;""/edit#gid=156619080"",R$3)"),"#REF!")</f>
        <v>#REF!</v>
      </c>
      <c r="S412" s="2" t="str">
        <f>IFERROR(__xludf.DUMMYFUNCTION("IMPORTRANGE(""https://docs.google.com/spreadsheets/d/""&amp;$A412&amp;""/edit#gid=156619080"",S$3)"),"#REF!")</f>
        <v>#REF!</v>
      </c>
      <c r="T412" s="2" t="str">
        <f>IFERROR(__xludf.DUMMYFUNCTION("IMPORTRANGE(""https://docs.google.com/spreadsheets/d/""&amp;$A412&amp;""/edit#gid=156619080"",T$3)"),"#REF!")</f>
        <v>#REF!</v>
      </c>
      <c r="U412" s="2" t="str">
        <f>IFERROR(__xludf.DUMMYFUNCTION("IMPORTRANGE(""https://docs.google.com/spreadsheets/d/""&amp;$A412&amp;""/edit#gid=156619080"",U$3)"),"#REF!")</f>
        <v>#REF!</v>
      </c>
      <c r="V412" s="2" t="str">
        <f>IFERROR(__xludf.DUMMYFUNCTION("IMPORTRANGE(""https://docs.google.com/spreadsheets/d/""&amp;$A412&amp;""/edit#gid=156619080"",V$3)"),"#REF!")</f>
        <v>#REF!</v>
      </c>
      <c r="W412" s="2" t="str">
        <f>IFERROR(__xludf.DUMMYFUNCTION("IMPORTRANGE(""https://docs.google.com/spreadsheets/d/""&amp;$A412&amp;""/edit#gid=156619080"",W$3)"),"#REF!")</f>
        <v>#REF!</v>
      </c>
      <c r="X412" s="2" t="str">
        <f>IFERROR(__xludf.DUMMYFUNCTION("IMPORTRANGE(""https://docs.google.com/spreadsheets/d/""&amp;$A412&amp;""/edit#gid=156619080"",X$3)"),"#REF!")</f>
        <v>#REF!</v>
      </c>
      <c r="Y412" s="2" t="str">
        <f>IFERROR(__xludf.DUMMYFUNCTION("IMPORTRANGE(""https://docs.google.com/spreadsheets/d/""&amp;$A412&amp;""/edit#gid=156619080"",Y$3)"),"#REF!")</f>
        <v>#REF!</v>
      </c>
      <c r="Z412" s="2" t="str">
        <f>IFERROR(__xludf.DUMMYFUNCTION("IMPORTRANGE(""https://docs.google.com/spreadsheets/d/""&amp;$A412&amp;""/edit#gid=156619080"",Z$3)"),"#REF!")</f>
        <v>#REF!</v>
      </c>
      <c r="AA412" s="2" t="str">
        <f>IFERROR(__xludf.DUMMYFUNCTION("IMPORTRANGE(""https://docs.google.com/spreadsheets/d/""&amp;$A412&amp;""/edit#gid=156619080"",AA$3)"),"#REF!")</f>
        <v>#REF!</v>
      </c>
      <c r="AB412" s="2" t="str">
        <f>IFERROR(__xludf.DUMMYFUNCTION("IMPORTRANGE(""https://docs.google.com/spreadsheets/d/""&amp;$A412&amp;""/edit#gid=156619080"",AB$3)"),"#REF!")</f>
        <v>#REF!</v>
      </c>
      <c r="AC412" s="2" t="str">
        <f>IFERROR(__xludf.DUMMYFUNCTION("IMPORTRANGE(""https://docs.google.com/spreadsheets/d/""&amp;$A412&amp;""/edit#gid=156619080"",AC$3)"),"#REF!")</f>
        <v>#REF!</v>
      </c>
      <c r="AD412" s="2" t="str">
        <f>IFERROR(__xludf.DUMMYFUNCTION("IMPORTRANGE(""https://docs.google.com/spreadsheets/d/""&amp;$A412&amp;""/edit#gid=156619080"",AD$3)"),"#REF!")</f>
        <v>#REF!</v>
      </c>
      <c r="AE412" s="2" t="str">
        <f>IFERROR(__xludf.DUMMYFUNCTION("IMPORTRANGE(""https://docs.google.com/spreadsheets/d/""&amp;$A412&amp;""/edit#gid=156619080"",AE$3)"),"#REF!")</f>
        <v>#REF!</v>
      </c>
      <c r="AF412" s="2" t="str">
        <f>IFERROR(__xludf.DUMMYFUNCTION("IMPORTRANGE(""https://docs.google.com/spreadsheets/d/""&amp;$A412&amp;""/edit#gid=156619080"",AF$3)"),"#REF!")</f>
        <v>#REF!</v>
      </c>
      <c r="AG412" s="2" t="str">
        <f>IFERROR(__xludf.DUMMYFUNCTION("IMPORTRANGE(""https://docs.google.com/spreadsheets/d/""&amp;$A412&amp;""/edit#gid=156619080"",AG$3)"),"#REF!")</f>
        <v>#REF!</v>
      </c>
      <c r="AH412" s="2" t="str">
        <f>IFERROR(__xludf.DUMMYFUNCTION("IMPORTRANGE(""https://docs.google.com/spreadsheets/d/""&amp;$A412&amp;""/edit#gid=156619080"",AH$3)"),"#REF!")</f>
        <v>#REF!</v>
      </c>
      <c r="AI412" s="2" t="str">
        <f>IFERROR(__xludf.DUMMYFUNCTION("IMPORTRANGE(""https://docs.google.com/spreadsheets/d/""&amp;$A412&amp;""/edit#gid=156619080"",AI$3)"),"#REF!")</f>
        <v>#REF!</v>
      </c>
      <c r="AJ412" s="2" t="str">
        <f>IFERROR(__xludf.DUMMYFUNCTION("IMPORTRANGE(""https://docs.google.com/spreadsheets/d/""&amp;$A412&amp;""/edit#gid=156619080"",AJ$3)"),"#REF!")</f>
        <v>#REF!</v>
      </c>
      <c r="AK412" s="2" t="str">
        <f>IFERROR(__xludf.DUMMYFUNCTION("IMPORTRANGE(""https://docs.google.com/spreadsheets/d/""&amp;$A412&amp;""/edit#gid=156619080"",AK$3)"),"#REF!")</f>
        <v>#REF!</v>
      </c>
      <c r="AL412" s="2" t="str">
        <f>IFERROR(__xludf.DUMMYFUNCTION("IMPORTRANGE(""https://docs.google.com/spreadsheets/d/""&amp;$A412&amp;""/edit#gid=156619080"",AL$3)"),"#REF!")</f>
        <v>#REF!</v>
      </c>
      <c r="AM412" s="2" t="str">
        <f>IFERROR(__xludf.DUMMYFUNCTION("IMPORTRANGE(""https://docs.google.com/spreadsheets/d/""&amp;$A412&amp;""/edit#gid=156619080"",AM$3)"),"#REF!")</f>
        <v>#REF!</v>
      </c>
      <c r="AN412" s="2" t="str">
        <f>IFERROR(__xludf.DUMMYFUNCTION("IMPORTRANGE(""https://docs.google.com/spreadsheets/d/""&amp;$A412&amp;""/edit#gid=156619080"",AN$3)"),"#REF!")</f>
        <v>#REF!</v>
      </c>
      <c r="AO412" s="2" t="str">
        <f>IFERROR(__xludf.DUMMYFUNCTION("IMPORTRANGE(""https://docs.google.com/spreadsheets/d/""&amp;$A412&amp;""/edit#gid=156619080"",AO$3)"),"#REF!")</f>
        <v>#REF!</v>
      </c>
      <c r="AP412" s="2" t="str">
        <f>IFERROR(__xludf.DUMMYFUNCTION("IMPORTRANGE(""https://docs.google.com/spreadsheets/d/""&amp;$A412&amp;""/edit#gid=156619080"",AP$3)"),"#REF!")</f>
        <v>#REF!</v>
      </c>
      <c r="AQ412" s="2" t="str">
        <f>IFERROR(__xludf.DUMMYFUNCTION("IMPORTRANGE(""https://docs.google.com/spreadsheets/d/""&amp;$A412&amp;""/edit#gid=156619080"",AQ$3)"),"#REF!")</f>
        <v>#REF!</v>
      </c>
      <c r="AR412" s="2" t="str">
        <f>IFERROR(__xludf.DUMMYFUNCTION("IMPORTRANGE(""https://docs.google.com/spreadsheets/d/""&amp;$A412&amp;""/edit#gid=156619080"",AR$3)"),"#REF!")</f>
        <v>#REF!</v>
      </c>
      <c r="AS412" s="19" t="str">
        <f>IFERROR(__xludf.DUMMYFUNCTION("IMPORTRANGE(""https://docs.google.com/spreadsheets/d/""&amp;$A412&amp;""/edit#gid=156619080"",AS$3)"),"#REF!")</f>
        <v>#REF!</v>
      </c>
      <c r="AT412" s="2" t="str">
        <f>IFERROR(__xludf.DUMMYFUNCTION("IMPORTRANGE(""https://docs.google.com/spreadsheets/d/""&amp;$A412&amp;""/edit#gid=156619080"",AT$3)"),"#REF!")</f>
        <v>#REF!</v>
      </c>
      <c r="AU412" s="3" t="str">
        <f>IFERROR(__xludf.DUMMYFUNCTION("IMPORTRANGE(""https://docs.google.com/spreadsheets/d/""&amp;$A412&amp;""/edit#gid=156619080"",AU$3)"),"#REF!")</f>
        <v>#REF!</v>
      </c>
      <c r="AV412" s="2" t="str">
        <f>IFERROR(__xludf.DUMMYFUNCTION("IMPORTRANGE(""https://docs.google.com/spreadsheets/d/""&amp;$A412&amp;""/edit#gid=156619080"",AV$3)"),"#REF!")</f>
        <v>#REF!</v>
      </c>
      <c r="AW412" s="19" t="str">
        <f>IFERROR(__xludf.DUMMYFUNCTION("IMPORTRANGE(""https://docs.google.com/spreadsheets/d/""&amp;$A412&amp;""/edit#gid=156619080"",AW$3)"),"#REF!")</f>
        <v>#REF!</v>
      </c>
      <c r="AX412" s="2" t="str">
        <f>IFERROR(__xludf.DUMMYFUNCTION("IMPORTRANGE(""https://docs.google.com/spreadsheets/d/""&amp;$A412&amp;""/edit#gid=156619080"",AX$3)"),"#REF!")</f>
        <v>#REF!</v>
      </c>
      <c r="AY412" s="2" t="str">
        <f>IFERROR(__xludf.DUMMYFUNCTION("IMPORTRANGE(""https://docs.google.com/spreadsheets/d/""&amp;$A412&amp;""/edit#gid=156619080"",AY$3)"),"#REF!")</f>
        <v>#REF!</v>
      </c>
      <c r="AZ412" s="2" t="str">
        <f>IFERROR(__xludf.DUMMYFUNCTION("IMPORTRANGE(""https://docs.google.com/spreadsheets/d/""&amp;$A412&amp;""/edit#gid=156619080"",AZ$3)"),"#REF!")</f>
        <v>#REF!</v>
      </c>
      <c r="BA412" s="2" t="str">
        <f>IFERROR(__xludf.DUMMYFUNCTION("IMPORTRANGE(""https://docs.google.com/spreadsheets/d/""&amp;$A412&amp;""/edit#gid=156619080"",BA$3)"),"#REF!")</f>
        <v>#REF!</v>
      </c>
      <c r="BB412" s="2" t="str">
        <f>IFERROR(__xludf.DUMMYFUNCTION("IMPORTRANGE(""https://docs.google.com/spreadsheets/d/""&amp;$A412&amp;""/edit#gid=156619080"",BB$3)"),"#REF!")</f>
        <v>#REF!</v>
      </c>
      <c r="BC412" s="2" t="str">
        <f>IFERROR(__xludf.DUMMYFUNCTION("IMPORTRANGE(""https://docs.google.com/spreadsheets/d/""&amp;$A412&amp;""/edit#gid=156619080"",BC$3)"),"#REF!")</f>
        <v>#REF!</v>
      </c>
    </row>
    <row r="413" ht="51.0" customHeight="1">
      <c r="A413" s="7" t="str">
        <f t="shared" si="5"/>
        <v>16EdU-XU6uImQ2Lou-pN_pYXFb9TJv2YkMX4YgELWh4Y</v>
      </c>
      <c r="B413" s="1" t="s">
        <v>440</v>
      </c>
      <c r="C413" s="2" t="str">
        <f>IFERROR(__xludf.DUMMYFUNCTION("IMPORTRANGE(""https://docs.google.com/spreadsheets/d/""&amp;$A413&amp;""/edit#gid=156619080"",C$3)"),"#REF!")</f>
        <v>#REF!</v>
      </c>
      <c r="D413" s="2" t="str">
        <f>IFERROR(__xludf.DUMMYFUNCTION("IMPORTRANGE(""https://docs.google.com/spreadsheets/d/""&amp;$A413&amp;""/edit#gid=156619080"",D$3)"),"#REF!")</f>
        <v>#REF!</v>
      </c>
      <c r="E413" s="2" t="str">
        <f>IFERROR(__xludf.DUMMYFUNCTION("IMPORTRANGE(""https://docs.google.com/spreadsheets/d/""&amp;$A413&amp;""/edit#gid=156619080"",E$3)"),"#REF!")</f>
        <v>#REF!</v>
      </c>
      <c r="F413" s="2" t="str">
        <f>IFERROR(__xludf.DUMMYFUNCTION("IMPORTRANGE(""https://docs.google.com/spreadsheets/d/""&amp;$A413&amp;""/edit#gid=156619080"",F$3)"),"#REF!")</f>
        <v>#REF!</v>
      </c>
      <c r="G413" s="2" t="str">
        <f>IFERROR(__xludf.DUMMYFUNCTION("IMPORTRANGE(""https://docs.google.com/spreadsheets/d/""&amp;$A413&amp;""/edit#gid=156619080"",G$3)"),"#REF!")</f>
        <v>#REF!</v>
      </c>
      <c r="H413" s="2" t="str">
        <f>IFERROR(__xludf.DUMMYFUNCTION("IMPORTRANGE(""https://docs.google.com/spreadsheets/d/""&amp;$A413&amp;""/edit#gid=156619080"",H$3)"),"#REF!")</f>
        <v>#REF!</v>
      </c>
      <c r="I413" s="2" t="str">
        <f>IFERROR(__xludf.DUMMYFUNCTION("IMPORTRANGE(""https://docs.google.com/spreadsheets/d/""&amp;$A413&amp;""/edit#gid=156619080"",I$3)"),"#REF!")</f>
        <v>#REF!</v>
      </c>
      <c r="J413" s="2" t="str">
        <f>IFERROR(__xludf.DUMMYFUNCTION("IMPORTRANGE(""https://docs.google.com/spreadsheets/d/""&amp;$A413&amp;""/edit#gid=156619080"",J$3)"),"#REF!")</f>
        <v>#REF!</v>
      </c>
      <c r="K413" s="2" t="str">
        <f>IFERROR(__xludf.DUMMYFUNCTION("IMPORTRANGE(""https://docs.google.com/spreadsheets/d/""&amp;$A413&amp;""/edit#gid=156619080"",K$3)"),"#REF!")</f>
        <v>#REF!</v>
      </c>
      <c r="L413" s="2" t="str">
        <f>IFERROR(__xludf.DUMMYFUNCTION("IMPORTRANGE(""https://docs.google.com/spreadsheets/d/""&amp;$A413&amp;""/edit#gid=156619080"",L$3)"),"#REF!")</f>
        <v>#REF!</v>
      </c>
      <c r="M413" s="2" t="str">
        <f>IFERROR(__xludf.DUMMYFUNCTION("IMPORTRANGE(""https://docs.google.com/spreadsheets/d/""&amp;$A413&amp;""/edit#gid=156619080"",M$3)"),"#REF!")</f>
        <v>#REF!</v>
      </c>
      <c r="N413" s="2" t="str">
        <f>IFERROR(__xludf.DUMMYFUNCTION("IMPORTRANGE(""https://docs.google.com/spreadsheets/d/""&amp;$A413&amp;""/edit#gid=156619080"",N$3)"),"#REF!")</f>
        <v>#REF!</v>
      </c>
      <c r="O413" s="2" t="str">
        <f>IFERROR(__xludf.DUMMYFUNCTION("IMPORTRANGE(""https://docs.google.com/spreadsheets/d/""&amp;$A413&amp;""/edit#gid=156619080"",O$3)"),"#REF!")</f>
        <v>#REF!</v>
      </c>
      <c r="P413" s="2" t="str">
        <f>IFERROR(__xludf.DUMMYFUNCTION("IMPORTRANGE(""https://docs.google.com/spreadsheets/d/""&amp;$A413&amp;""/edit#gid=156619080"",P$3)"),"#REF!")</f>
        <v>#REF!</v>
      </c>
      <c r="Q413" s="2" t="str">
        <f>IFERROR(__xludf.DUMMYFUNCTION("IMPORTRANGE(""https://docs.google.com/spreadsheets/d/""&amp;$A413&amp;""/edit#gid=156619080"",Q$3)"),"#REF!")</f>
        <v>#REF!</v>
      </c>
      <c r="R413" s="2" t="str">
        <f>IFERROR(__xludf.DUMMYFUNCTION("IMPORTRANGE(""https://docs.google.com/spreadsheets/d/""&amp;$A413&amp;""/edit#gid=156619080"",R$3)"),"#REF!")</f>
        <v>#REF!</v>
      </c>
      <c r="S413" s="2" t="str">
        <f>IFERROR(__xludf.DUMMYFUNCTION("IMPORTRANGE(""https://docs.google.com/spreadsheets/d/""&amp;$A413&amp;""/edit#gid=156619080"",S$3)"),"#REF!")</f>
        <v>#REF!</v>
      </c>
      <c r="T413" s="2" t="str">
        <f>IFERROR(__xludf.DUMMYFUNCTION("IMPORTRANGE(""https://docs.google.com/spreadsheets/d/""&amp;$A413&amp;""/edit#gid=156619080"",T$3)"),"#REF!")</f>
        <v>#REF!</v>
      </c>
      <c r="U413" s="2" t="str">
        <f>IFERROR(__xludf.DUMMYFUNCTION("IMPORTRANGE(""https://docs.google.com/spreadsheets/d/""&amp;$A413&amp;""/edit#gid=156619080"",U$3)"),"#REF!")</f>
        <v>#REF!</v>
      </c>
      <c r="V413" s="2" t="str">
        <f>IFERROR(__xludf.DUMMYFUNCTION("IMPORTRANGE(""https://docs.google.com/spreadsheets/d/""&amp;$A413&amp;""/edit#gid=156619080"",V$3)"),"#REF!")</f>
        <v>#REF!</v>
      </c>
      <c r="W413" s="2" t="str">
        <f>IFERROR(__xludf.DUMMYFUNCTION("IMPORTRANGE(""https://docs.google.com/spreadsheets/d/""&amp;$A413&amp;""/edit#gid=156619080"",W$3)"),"#REF!")</f>
        <v>#REF!</v>
      </c>
      <c r="X413" s="2" t="str">
        <f>IFERROR(__xludf.DUMMYFUNCTION("IMPORTRANGE(""https://docs.google.com/spreadsheets/d/""&amp;$A413&amp;""/edit#gid=156619080"",X$3)"),"#REF!")</f>
        <v>#REF!</v>
      </c>
      <c r="Y413" s="2" t="str">
        <f>IFERROR(__xludf.DUMMYFUNCTION("IMPORTRANGE(""https://docs.google.com/spreadsheets/d/""&amp;$A413&amp;""/edit#gid=156619080"",Y$3)"),"#REF!")</f>
        <v>#REF!</v>
      </c>
      <c r="Z413" s="2" t="str">
        <f>IFERROR(__xludf.DUMMYFUNCTION("IMPORTRANGE(""https://docs.google.com/spreadsheets/d/""&amp;$A413&amp;""/edit#gid=156619080"",Z$3)"),"#REF!")</f>
        <v>#REF!</v>
      </c>
      <c r="AA413" s="2" t="str">
        <f>IFERROR(__xludf.DUMMYFUNCTION("IMPORTRANGE(""https://docs.google.com/spreadsheets/d/""&amp;$A413&amp;""/edit#gid=156619080"",AA$3)"),"#REF!")</f>
        <v>#REF!</v>
      </c>
      <c r="AB413" s="2" t="str">
        <f>IFERROR(__xludf.DUMMYFUNCTION("IMPORTRANGE(""https://docs.google.com/spreadsheets/d/""&amp;$A413&amp;""/edit#gid=156619080"",AB$3)"),"#REF!")</f>
        <v>#REF!</v>
      </c>
      <c r="AC413" s="2" t="str">
        <f>IFERROR(__xludf.DUMMYFUNCTION("IMPORTRANGE(""https://docs.google.com/spreadsheets/d/""&amp;$A413&amp;""/edit#gid=156619080"",AC$3)"),"#REF!")</f>
        <v>#REF!</v>
      </c>
      <c r="AD413" s="2" t="str">
        <f>IFERROR(__xludf.DUMMYFUNCTION("IMPORTRANGE(""https://docs.google.com/spreadsheets/d/""&amp;$A413&amp;""/edit#gid=156619080"",AD$3)"),"#REF!")</f>
        <v>#REF!</v>
      </c>
      <c r="AE413" s="2" t="str">
        <f>IFERROR(__xludf.DUMMYFUNCTION("IMPORTRANGE(""https://docs.google.com/spreadsheets/d/""&amp;$A413&amp;""/edit#gid=156619080"",AE$3)"),"#REF!")</f>
        <v>#REF!</v>
      </c>
      <c r="AF413" s="2" t="str">
        <f>IFERROR(__xludf.DUMMYFUNCTION("IMPORTRANGE(""https://docs.google.com/spreadsheets/d/""&amp;$A413&amp;""/edit#gid=156619080"",AF$3)"),"#REF!")</f>
        <v>#REF!</v>
      </c>
      <c r="AG413" s="2" t="str">
        <f>IFERROR(__xludf.DUMMYFUNCTION("IMPORTRANGE(""https://docs.google.com/spreadsheets/d/""&amp;$A413&amp;""/edit#gid=156619080"",AG$3)"),"#REF!")</f>
        <v>#REF!</v>
      </c>
      <c r="AH413" s="2" t="str">
        <f>IFERROR(__xludf.DUMMYFUNCTION("IMPORTRANGE(""https://docs.google.com/spreadsheets/d/""&amp;$A413&amp;""/edit#gid=156619080"",AH$3)"),"#REF!")</f>
        <v>#REF!</v>
      </c>
      <c r="AI413" s="2" t="str">
        <f>IFERROR(__xludf.DUMMYFUNCTION("IMPORTRANGE(""https://docs.google.com/spreadsheets/d/""&amp;$A413&amp;""/edit#gid=156619080"",AI$3)"),"#REF!")</f>
        <v>#REF!</v>
      </c>
      <c r="AJ413" s="2" t="str">
        <f>IFERROR(__xludf.DUMMYFUNCTION("IMPORTRANGE(""https://docs.google.com/spreadsheets/d/""&amp;$A413&amp;""/edit#gid=156619080"",AJ$3)"),"#REF!")</f>
        <v>#REF!</v>
      </c>
      <c r="AK413" s="2" t="str">
        <f>IFERROR(__xludf.DUMMYFUNCTION("IMPORTRANGE(""https://docs.google.com/spreadsheets/d/""&amp;$A413&amp;""/edit#gid=156619080"",AK$3)"),"#REF!")</f>
        <v>#REF!</v>
      </c>
      <c r="AL413" s="2" t="str">
        <f>IFERROR(__xludf.DUMMYFUNCTION("IMPORTRANGE(""https://docs.google.com/spreadsheets/d/""&amp;$A413&amp;""/edit#gid=156619080"",AL$3)"),"#REF!")</f>
        <v>#REF!</v>
      </c>
      <c r="AM413" s="2" t="str">
        <f>IFERROR(__xludf.DUMMYFUNCTION("IMPORTRANGE(""https://docs.google.com/spreadsheets/d/""&amp;$A413&amp;""/edit#gid=156619080"",AM$3)"),"#REF!")</f>
        <v>#REF!</v>
      </c>
      <c r="AN413" s="2" t="str">
        <f>IFERROR(__xludf.DUMMYFUNCTION("IMPORTRANGE(""https://docs.google.com/spreadsheets/d/""&amp;$A413&amp;""/edit#gid=156619080"",AN$3)"),"#REF!")</f>
        <v>#REF!</v>
      </c>
      <c r="AO413" s="2" t="str">
        <f>IFERROR(__xludf.DUMMYFUNCTION("IMPORTRANGE(""https://docs.google.com/spreadsheets/d/""&amp;$A413&amp;""/edit#gid=156619080"",AO$3)"),"#REF!")</f>
        <v>#REF!</v>
      </c>
      <c r="AP413" s="2" t="str">
        <f>IFERROR(__xludf.DUMMYFUNCTION("IMPORTRANGE(""https://docs.google.com/spreadsheets/d/""&amp;$A413&amp;""/edit#gid=156619080"",AP$3)"),"#REF!")</f>
        <v>#REF!</v>
      </c>
      <c r="AQ413" s="2" t="str">
        <f>IFERROR(__xludf.DUMMYFUNCTION("IMPORTRANGE(""https://docs.google.com/spreadsheets/d/""&amp;$A413&amp;""/edit#gid=156619080"",AQ$3)"),"#REF!")</f>
        <v>#REF!</v>
      </c>
      <c r="AR413" s="2" t="str">
        <f>IFERROR(__xludf.DUMMYFUNCTION("IMPORTRANGE(""https://docs.google.com/spreadsheets/d/""&amp;$A413&amp;""/edit#gid=156619080"",AR$3)"),"#REF!")</f>
        <v>#REF!</v>
      </c>
      <c r="AS413" s="19" t="str">
        <f>IFERROR(__xludf.DUMMYFUNCTION("IMPORTRANGE(""https://docs.google.com/spreadsheets/d/""&amp;$A413&amp;""/edit#gid=156619080"",AS$3)"),"#REF!")</f>
        <v>#REF!</v>
      </c>
      <c r="AT413" s="2" t="str">
        <f>IFERROR(__xludf.DUMMYFUNCTION("IMPORTRANGE(""https://docs.google.com/spreadsheets/d/""&amp;$A413&amp;""/edit#gid=156619080"",AT$3)"),"#REF!")</f>
        <v>#REF!</v>
      </c>
      <c r="AU413" s="3" t="str">
        <f>IFERROR(__xludf.DUMMYFUNCTION("IMPORTRANGE(""https://docs.google.com/spreadsheets/d/""&amp;$A413&amp;""/edit#gid=156619080"",AU$3)"),"#REF!")</f>
        <v>#REF!</v>
      </c>
      <c r="AV413" s="2" t="str">
        <f>IFERROR(__xludf.DUMMYFUNCTION("IMPORTRANGE(""https://docs.google.com/spreadsheets/d/""&amp;$A413&amp;""/edit#gid=156619080"",AV$3)"),"#REF!")</f>
        <v>#REF!</v>
      </c>
      <c r="AW413" s="19" t="str">
        <f>IFERROR(__xludf.DUMMYFUNCTION("IMPORTRANGE(""https://docs.google.com/spreadsheets/d/""&amp;$A413&amp;""/edit#gid=156619080"",AW$3)"),"#REF!")</f>
        <v>#REF!</v>
      </c>
      <c r="AX413" s="2" t="str">
        <f>IFERROR(__xludf.DUMMYFUNCTION("IMPORTRANGE(""https://docs.google.com/spreadsheets/d/""&amp;$A413&amp;""/edit#gid=156619080"",AX$3)"),"#REF!")</f>
        <v>#REF!</v>
      </c>
      <c r="AY413" s="2" t="str">
        <f>IFERROR(__xludf.DUMMYFUNCTION("IMPORTRANGE(""https://docs.google.com/spreadsheets/d/""&amp;$A413&amp;""/edit#gid=156619080"",AY$3)"),"#REF!")</f>
        <v>#REF!</v>
      </c>
      <c r="AZ413" s="2" t="str">
        <f>IFERROR(__xludf.DUMMYFUNCTION("IMPORTRANGE(""https://docs.google.com/spreadsheets/d/""&amp;$A413&amp;""/edit#gid=156619080"",AZ$3)"),"#REF!")</f>
        <v>#REF!</v>
      </c>
      <c r="BA413" s="2" t="str">
        <f>IFERROR(__xludf.DUMMYFUNCTION("IMPORTRANGE(""https://docs.google.com/spreadsheets/d/""&amp;$A413&amp;""/edit#gid=156619080"",BA$3)"),"#REF!")</f>
        <v>#REF!</v>
      </c>
      <c r="BB413" s="2" t="str">
        <f>IFERROR(__xludf.DUMMYFUNCTION("IMPORTRANGE(""https://docs.google.com/spreadsheets/d/""&amp;$A413&amp;""/edit#gid=156619080"",BB$3)"),"#REF!")</f>
        <v>#REF!</v>
      </c>
      <c r="BC413" s="2" t="str">
        <f>IFERROR(__xludf.DUMMYFUNCTION("IMPORTRANGE(""https://docs.google.com/spreadsheets/d/""&amp;$A413&amp;""/edit#gid=156619080"",BC$3)"),"#REF!")</f>
        <v>#REF!</v>
      </c>
    </row>
    <row r="414" ht="51.0" customHeight="1">
      <c r="A414" s="7" t="str">
        <f t="shared" si="5"/>
        <v>11YW2NRpIyUz_-DGHX9FRB0JGqCEzjKlf2g83G7CRGb0</v>
      </c>
      <c r="B414" s="1" t="s">
        <v>441</v>
      </c>
      <c r="C414" s="2" t="str">
        <f>IFERROR(__xludf.DUMMYFUNCTION("IMPORTRANGE(""https://docs.google.com/spreadsheets/d/""&amp;$A414&amp;""/edit#gid=156619080"",C$3)"),"#REF!")</f>
        <v>#REF!</v>
      </c>
      <c r="D414" s="2" t="str">
        <f>IFERROR(__xludf.DUMMYFUNCTION("IMPORTRANGE(""https://docs.google.com/spreadsheets/d/""&amp;$A414&amp;""/edit#gid=156619080"",D$3)"),"#REF!")</f>
        <v>#REF!</v>
      </c>
      <c r="E414" s="2" t="str">
        <f>IFERROR(__xludf.DUMMYFUNCTION("IMPORTRANGE(""https://docs.google.com/spreadsheets/d/""&amp;$A414&amp;""/edit#gid=156619080"",E$3)"),"#REF!")</f>
        <v>#REF!</v>
      </c>
      <c r="F414" s="2" t="str">
        <f>IFERROR(__xludf.DUMMYFUNCTION("IMPORTRANGE(""https://docs.google.com/spreadsheets/d/""&amp;$A414&amp;""/edit#gid=156619080"",F$3)"),"#REF!")</f>
        <v>#REF!</v>
      </c>
      <c r="G414" s="2" t="str">
        <f>IFERROR(__xludf.DUMMYFUNCTION("IMPORTRANGE(""https://docs.google.com/spreadsheets/d/""&amp;$A414&amp;""/edit#gid=156619080"",G$3)"),"#REF!")</f>
        <v>#REF!</v>
      </c>
      <c r="H414" s="2" t="str">
        <f>IFERROR(__xludf.DUMMYFUNCTION("IMPORTRANGE(""https://docs.google.com/spreadsheets/d/""&amp;$A414&amp;""/edit#gid=156619080"",H$3)"),"#REF!")</f>
        <v>#REF!</v>
      </c>
      <c r="I414" s="2" t="str">
        <f>IFERROR(__xludf.DUMMYFUNCTION("IMPORTRANGE(""https://docs.google.com/spreadsheets/d/""&amp;$A414&amp;""/edit#gid=156619080"",I$3)"),"#REF!")</f>
        <v>#REF!</v>
      </c>
      <c r="J414" s="2" t="str">
        <f>IFERROR(__xludf.DUMMYFUNCTION("IMPORTRANGE(""https://docs.google.com/spreadsheets/d/""&amp;$A414&amp;""/edit#gid=156619080"",J$3)"),"#REF!")</f>
        <v>#REF!</v>
      </c>
      <c r="K414" s="2" t="str">
        <f>IFERROR(__xludf.DUMMYFUNCTION("IMPORTRANGE(""https://docs.google.com/spreadsheets/d/""&amp;$A414&amp;""/edit#gid=156619080"",K$3)"),"#REF!")</f>
        <v>#REF!</v>
      </c>
      <c r="L414" s="2" t="str">
        <f>IFERROR(__xludf.DUMMYFUNCTION("IMPORTRANGE(""https://docs.google.com/spreadsheets/d/""&amp;$A414&amp;""/edit#gid=156619080"",L$3)"),"#REF!")</f>
        <v>#REF!</v>
      </c>
      <c r="M414" s="2" t="str">
        <f>IFERROR(__xludf.DUMMYFUNCTION("IMPORTRANGE(""https://docs.google.com/spreadsheets/d/""&amp;$A414&amp;""/edit#gid=156619080"",M$3)"),"#REF!")</f>
        <v>#REF!</v>
      </c>
      <c r="N414" s="2" t="str">
        <f>IFERROR(__xludf.DUMMYFUNCTION("IMPORTRANGE(""https://docs.google.com/spreadsheets/d/""&amp;$A414&amp;""/edit#gid=156619080"",N$3)"),"#REF!")</f>
        <v>#REF!</v>
      </c>
      <c r="O414" s="2" t="str">
        <f>IFERROR(__xludf.DUMMYFUNCTION("IMPORTRANGE(""https://docs.google.com/spreadsheets/d/""&amp;$A414&amp;""/edit#gid=156619080"",O$3)"),"#REF!")</f>
        <v>#REF!</v>
      </c>
      <c r="P414" s="2" t="str">
        <f>IFERROR(__xludf.DUMMYFUNCTION("IMPORTRANGE(""https://docs.google.com/spreadsheets/d/""&amp;$A414&amp;""/edit#gid=156619080"",P$3)"),"#REF!")</f>
        <v>#REF!</v>
      </c>
      <c r="Q414" s="2" t="str">
        <f>IFERROR(__xludf.DUMMYFUNCTION("IMPORTRANGE(""https://docs.google.com/spreadsheets/d/""&amp;$A414&amp;""/edit#gid=156619080"",Q$3)"),"#REF!")</f>
        <v>#REF!</v>
      </c>
      <c r="R414" s="2" t="str">
        <f>IFERROR(__xludf.DUMMYFUNCTION("IMPORTRANGE(""https://docs.google.com/spreadsheets/d/""&amp;$A414&amp;""/edit#gid=156619080"",R$3)"),"#REF!")</f>
        <v>#REF!</v>
      </c>
      <c r="S414" s="2" t="str">
        <f>IFERROR(__xludf.DUMMYFUNCTION("IMPORTRANGE(""https://docs.google.com/spreadsheets/d/""&amp;$A414&amp;""/edit#gid=156619080"",S$3)"),"#REF!")</f>
        <v>#REF!</v>
      </c>
      <c r="T414" s="2" t="str">
        <f>IFERROR(__xludf.DUMMYFUNCTION("IMPORTRANGE(""https://docs.google.com/spreadsheets/d/""&amp;$A414&amp;""/edit#gid=156619080"",T$3)"),"#REF!")</f>
        <v>#REF!</v>
      </c>
      <c r="U414" s="2" t="str">
        <f>IFERROR(__xludf.DUMMYFUNCTION("IMPORTRANGE(""https://docs.google.com/spreadsheets/d/""&amp;$A414&amp;""/edit#gid=156619080"",U$3)"),"#REF!")</f>
        <v>#REF!</v>
      </c>
      <c r="V414" s="2" t="str">
        <f>IFERROR(__xludf.DUMMYFUNCTION("IMPORTRANGE(""https://docs.google.com/spreadsheets/d/""&amp;$A414&amp;""/edit#gid=156619080"",V$3)"),"#REF!")</f>
        <v>#REF!</v>
      </c>
      <c r="W414" s="2" t="str">
        <f>IFERROR(__xludf.DUMMYFUNCTION("IMPORTRANGE(""https://docs.google.com/spreadsheets/d/""&amp;$A414&amp;""/edit#gid=156619080"",W$3)"),"#REF!")</f>
        <v>#REF!</v>
      </c>
      <c r="X414" s="2" t="str">
        <f>IFERROR(__xludf.DUMMYFUNCTION("IMPORTRANGE(""https://docs.google.com/spreadsheets/d/""&amp;$A414&amp;""/edit#gid=156619080"",X$3)"),"#REF!")</f>
        <v>#REF!</v>
      </c>
      <c r="Y414" s="2" t="str">
        <f>IFERROR(__xludf.DUMMYFUNCTION("IMPORTRANGE(""https://docs.google.com/spreadsheets/d/""&amp;$A414&amp;""/edit#gid=156619080"",Y$3)"),"#REF!")</f>
        <v>#REF!</v>
      </c>
      <c r="Z414" s="2" t="str">
        <f>IFERROR(__xludf.DUMMYFUNCTION("IMPORTRANGE(""https://docs.google.com/spreadsheets/d/""&amp;$A414&amp;""/edit#gid=156619080"",Z$3)"),"#REF!")</f>
        <v>#REF!</v>
      </c>
      <c r="AA414" s="2" t="str">
        <f>IFERROR(__xludf.DUMMYFUNCTION("IMPORTRANGE(""https://docs.google.com/spreadsheets/d/""&amp;$A414&amp;""/edit#gid=156619080"",AA$3)"),"#REF!")</f>
        <v>#REF!</v>
      </c>
      <c r="AB414" s="2" t="str">
        <f>IFERROR(__xludf.DUMMYFUNCTION("IMPORTRANGE(""https://docs.google.com/spreadsheets/d/""&amp;$A414&amp;""/edit#gid=156619080"",AB$3)"),"#REF!")</f>
        <v>#REF!</v>
      </c>
      <c r="AC414" s="2" t="str">
        <f>IFERROR(__xludf.DUMMYFUNCTION("IMPORTRANGE(""https://docs.google.com/spreadsheets/d/""&amp;$A414&amp;""/edit#gid=156619080"",AC$3)"),"#REF!")</f>
        <v>#REF!</v>
      </c>
      <c r="AD414" s="2" t="str">
        <f>IFERROR(__xludf.DUMMYFUNCTION("IMPORTRANGE(""https://docs.google.com/spreadsheets/d/""&amp;$A414&amp;""/edit#gid=156619080"",AD$3)"),"#REF!")</f>
        <v>#REF!</v>
      </c>
      <c r="AE414" s="2" t="str">
        <f>IFERROR(__xludf.DUMMYFUNCTION("IMPORTRANGE(""https://docs.google.com/spreadsheets/d/""&amp;$A414&amp;""/edit#gid=156619080"",AE$3)"),"#REF!")</f>
        <v>#REF!</v>
      </c>
      <c r="AF414" s="2" t="str">
        <f>IFERROR(__xludf.DUMMYFUNCTION("IMPORTRANGE(""https://docs.google.com/spreadsheets/d/""&amp;$A414&amp;""/edit#gid=156619080"",AF$3)"),"#REF!")</f>
        <v>#REF!</v>
      </c>
      <c r="AG414" s="2" t="str">
        <f>IFERROR(__xludf.DUMMYFUNCTION("IMPORTRANGE(""https://docs.google.com/spreadsheets/d/""&amp;$A414&amp;""/edit#gid=156619080"",AG$3)"),"#REF!")</f>
        <v>#REF!</v>
      </c>
      <c r="AH414" s="2" t="str">
        <f>IFERROR(__xludf.DUMMYFUNCTION("IMPORTRANGE(""https://docs.google.com/spreadsheets/d/""&amp;$A414&amp;""/edit#gid=156619080"",AH$3)"),"#REF!")</f>
        <v>#REF!</v>
      </c>
      <c r="AI414" s="2" t="str">
        <f>IFERROR(__xludf.DUMMYFUNCTION("IMPORTRANGE(""https://docs.google.com/spreadsheets/d/""&amp;$A414&amp;""/edit#gid=156619080"",AI$3)"),"#REF!")</f>
        <v>#REF!</v>
      </c>
      <c r="AJ414" s="2" t="str">
        <f>IFERROR(__xludf.DUMMYFUNCTION("IMPORTRANGE(""https://docs.google.com/spreadsheets/d/""&amp;$A414&amp;""/edit#gid=156619080"",AJ$3)"),"#REF!")</f>
        <v>#REF!</v>
      </c>
      <c r="AK414" s="2" t="str">
        <f>IFERROR(__xludf.DUMMYFUNCTION("IMPORTRANGE(""https://docs.google.com/spreadsheets/d/""&amp;$A414&amp;""/edit#gid=156619080"",AK$3)"),"#REF!")</f>
        <v>#REF!</v>
      </c>
      <c r="AL414" s="2" t="str">
        <f>IFERROR(__xludf.DUMMYFUNCTION("IMPORTRANGE(""https://docs.google.com/spreadsheets/d/""&amp;$A414&amp;""/edit#gid=156619080"",AL$3)"),"#REF!")</f>
        <v>#REF!</v>
      </c>
      <c r="AM414" s="2" t="str">
        <f>IFERROR(__xludf.DUMMYFUNCTION("IMPORTRANGE(""https://docs.google.com/spreadsheets/d/""&amp;$A414&amp;""/edit#gid=156619080"",AM$3)"),"#REF!")</f>
        <v>#REF!</v>
      </c>
      <c r="AN414" s="2" t="str">
        <f>IFERROR(__xludf.DUMMYFUNCTION("IMPORTRANGE(""https://docs.google.com/spreadsheets/d/""&amp;$A414&amp;""/edit#gid=156619080"",AN$3)"),"#REF!")</f>
        <v>#REF!</v>
      </c>
      <c r="AO414" s="2" t="str">
        <f>IFERROR(__xludf.DUMMYFUNCTION("IMPORTRANGE(""https://docs.google.com/spreadsheets/d/""&amp;$A414&amp;""/edit#gid=156619080"",AO$3)"),"#REF!")</f>
        <v>#REF!</v>
      </c>
      <c r="AP414" s="2" t="str">
        <f>IFERROR(__xludf.DUMMYFUNCTION("IMPORTRANGE(""https://docs.google.com/spreadsheets/d/""&amp;$A414&amp;""/edit#gid=156619080"",AP$3)"),"#REF!")</f>
        <v>#REF!</v>
      </c>
      <c r="AQ414" s="2" t="str">
        <f>IFERROR(__xludf.DUMMYFUNCTION("IMPORTRANGE(""https://docs.google.com/spreadsheets/d/""&amp;$A414&amp;""/edit#gid=156619080"",AQ$3)"),"#REF!")</f>
        <v>#REF!</v>
      </c>
      <c r="AR414" s="2" t="str">
        <f>IFERROR(__xludf.DUMMYFUNCTION("IMPORTRANGE(""https://docs.google.com/spreadsheets/d/""&amp;$A414&amp;""/edit#gid=156619080"",AR$3)"),"#REF!")</f>
        <v>#REF!</v>
      </c>
      <c r="AS414" s="19" t="str">
        <f>IFERROR(__xludf.DUMMYFUNCTION("IMPORTRANGE(""https://docs.google.com/spreadsheets/d/""&amp;$A414&amp;""/edit#gid=156619080"",AS$3)"),"#REF!")</f>
        <v>#REF!</v>
      </c>
      <c r="AT414" s="2" t="str">
        <f>IFERROR(__xludf.DUMMYFUNCTION("IMPORTRANGE(""https://docs.google.com/spreadsheets/d/""&amp;$A414&amp;""/edit#gid=156619080"",AT$3)"),"#REF!")</f>
        <v>#REF!</v>
      </c>
      <c r="AU414" s="3" t="str">
        <f>IFERROR(__xludf.DUMMYFUNCTION("IMPORTRANGE(""https://docs.google.com/spreadsheets/d/""&amp;$A414&amp;""/edit#gid=156619080"",AU$3)"),"#REF!")</f>
        <v>#REF!</v>
      </c>
      <c r="AV414" s="2" t="str">
        <f>IFERROR(__xludf.DUMMYFUNCTION("IMPORTRANGE(""https://docs.google.com/spreadsheets/d/""&amp;$A414&amp;""/edit#gid=156619080"",AV$3)"),"#REF!")</f>
        <v>#REF!</v>
      </c>
      <c r="AW414" s="19" t="str">
        <f>IFERROR(__xludf.DUMMYFUNCTION("IMPORTRANGE(""https://docs.google.com/spreadsheets/d/""&amp;$A414&amp;""/edit#gid=156619080"",AW$3)"),"#REF!")</f>
        <v>#REF!</v>
      </c>
      <c r="AX414" s="2" t="str">
        <f>IFERROR(__xludf.DUMMYFUNCTION("IMPORTRANGE(""https://docs.google.com/spreadsheets/d/""&amp;$A414&amp;""/edit#gid=156619080"",AX$3)"),"#REF!")</f>
        <v>#REF!</v>
      </c>
      <c r="AY414" s="2" t="str">
        <f>IFERROR(__xludf.DUMMYFUNCTION("IMPORTRANGE(""https://docs.google.com/spreadsheets/d/""&amp;$A414&amp;""/edit#gid=156619080"",AY$3)"),"#REF!")</f>
        <v>#REF!</v>
      </c>
      <c r="AZ414" s="2" t="str">
        <f>IFERROR(__xludf.DUMMYFUNCTION("IMPORTRANGE(""https://docs.google.com/spreadsheets/d/""&amp;$A414&amp;""/edit#gid=156619080"",AZ$3)"),"#REF!")</f>
        <v>#REF!</v>
      </c>
      <c r="BA414" s="2" t="str">
        <f>IFERROR(__xludf.DUMMYFUNCTION("IMPORTRANGE(""https://docs.google.com/spreadsheets/d/""&amp;$A414&amp;""/edit#gid=156619080"",BA$3)"),"#REF!")</f>
        <v>#REF!</v>
      </c>
      <c r="BB414" s="2" t="str">
        <f>IFERROR(__xludf.DUMMYFUNCTION("IMPORTRANGE(""https://docs.google.com/spreadsheets/d/""&amp;$A414&amp;""/edit#gid=156619080"",BB$3)"),"#REF!")</f>
        <v>#REF!</v>
      </c>
      <c r="BC414" s="2" t="str">
        <f>IFERROR(__xludf.DUMMYFUNCTION("IMPORTRANGE(""https://docs.google.com/spreadsheets/d/""&amp;$A414&amp;""/edit#gid=156619080"",BC$3)"),"#REF!")</f>
        <v>#REF!</v>
      </c>
    </row>
    <row r="415" ht="51.0" customHeight="1">
      <c r="A415" s="7" t="str">
        <f t="shared" si="5"/>
        <v>1x4DUs3eZRSjahoewfn_eBbRQpT70Zh3p3YfGEQIxf9Y</v>
      </c>
      <c r="B415" s="1" t="s">
        <v>442</v>
      </c>
      <c r="C415" s="2" t="str">
        <f>IFERROR(__xludf.DUMMYFUNCTION("IMPORTRANGE(""https://docs.google.com/spreadsheets/d/""&amp;$A415&amp;""/edit#gid=156619080"",C$3)"),"#REF!")</f>
        <v>#REF!</v>
      </c>
      <c r="D415" s="2" t="str">
        <f>IFERROR(__xludf.DUMMYFUNCTION("IMPORTRANGE(""https://docs.google.com/spreadsheets/d/""&amp;$A415&amp;""/edit#gid=156619080"",D$3)"),"#REF!")</f>
        <v>#REF!</v>
      </c>
      <c r="E415" s="2" t="str">
        <f>IFERROR(__xludf.DUMMYFUNCTION("IMPORTRANGE(""https://docs.google.com/spreadsheets/d/""&amp;$A415&amp;""/edit#gid=156619080"",E$3)"),"#REF!")</f>
        <v>#REF!</v>
      </c>
      <c r="F415" s="2" t="str">
        <f>IFERROR(__xludf.DUMMYFUNCTION("IMPORTRANGE(""https://docs.google.com/spreadsheets/d/""&amp;$A415&amp;""/edit#gid=156619080"",F$3)"),"#REF!")</f>
        <v>#REF!</v>
      </c>
      <c r="G415" s="2" t="str">
        <f>IFERROR(__xludf.DUMMYFUNCTION("IMPORTRANGE(""https://docs.google.com/spreadsheets/d/""&amp;$A415&amp;""/edit#gid=156619080"",G$3)"),"#REF!")</f>
        <v>#REF!</v>
      </c>
      <c r="H415" s="2" t="str">
        <f>IFERROR(__xludf.DUMMYFUNCTION("IMPORTRANGE(""https://docs.google.com/spreadsheets/d/""&amp;$A415&amp;""/edit#gid=156619080"",H$3)"),"#REF!")</f>
        <v>#REF!</v>
      </c>
      <c r="I415" s="2" t="str">
        <f>IFERROR(__xludf.DUMMYFUNCTION("IMPORTRANGE(""https://docs.google.com/spreadsheets/d/""&amp;$A415&amp;""/edit#gid=156619080"",I$3)"),"#REF!")</f>
        <v>#REF!</v>
      </c>
      <c r="J415" s="2" t="str">
        <f>IFERROR(__xludf.DUMMYFUNCTION("IMPORTRANGE(""https://docs.google.com/spreadsheets/d/""&amp;$A415&amp;""/edit#gid=156619080"",J$3)"),"#REF!")</f>
        <v>#REF!</v>
      </c>
      <c r="K415" s="2" t="str">
        <f>IFERROR(__xludf.DUMMYFUNCTION("IMPORTRANGE(""https://docs.google.com/spreadsheets/d/""&amp;$A415&amp;""/edit#gid=156619080"",K$3)"),"#REF!")</f>
        <v>#REF!</v>
      </c>
      <c r="L415" s="2" t="str">
        <f>IFERROR(__xludf.DUMMYFUNCTION("IMPORTRANGE(""https://docs.google.com/spreadsheets/d/""&amp;$A415&amp;""/edit#gid=156619080"",L$3)"),"#REF!")</f>
        <v>#REF!</v>
      </c>
      <c r="M415" s="2" t="str">
        <f>IFERROR(__xludf.DUMMYFUNCTION("IMPORTRANGE(""https://docs.google.com/spreadsheets/d/""&amp;$A415&amp;""/edit#gid=156619080"",M$3)"),"#REF!")</f>
        <v>#REF!</v>
      </c>
      <c r="N415" s="2" t="str">
        <f>IFERROR(__xludf.DUMMYFUNCTION("IMPORTRANGE(""https://docs.google.com/spreadsheets/d/""&amp;$A415&amp;""/edit#gid=156619080"",N$3)"),"#REF!")</f>
        <v>#REF!</v>
      </c>
      <c r="O415" s="2" t="str">
        <f>IFERROR(__xludf.DUMMYFUNCTION("IMPORTRANGE(""https://docs.google.com/spreadsheets/d/""&amp;$A415&amp;""/edit#gid=156619080"",O$3)"),"#REF!")</f>
        <v>#REF!</v>
      </c>
      <c r="P415" s="2" t="str">
        <f>IFERROR(__xludf.DUMMYFUNCTION("IMPORTRANGE(""https://docs.google.com/spreadsheets/d/""&amp;$A415&amp;""/edit#gid=156619080"",P$3)"),"#REF!")</f>
        <v>#REF!</v>
      </c>
      <c r="Q415" s="2" t="str">
        <f>IFERROR(__xludf.DUMMYFUNCTION("IMPORTRANGE(""https://docs.google.com/spreadsheets/d/""&amp;$A415&amp;""/edit#gid=156619080"",Q$3)"),"#REF!")</f>
        <v>#REF!</v>
      </c>
      <c r="R415" s="2" t="str">
        <f>IFERROR(__xludf.DUMMYFUNCTION("IMPORTRANGE(""https://docs.google.com/spreadsheets/d/""&amp;$A415&amp;""/edit#gid=156619080"",R$3)"),"#REF!")</f>
        <v>#REF!</v>
      </c>
      <c r="S415" s="2" t="str">
        <f>IFERROR(__xludf.DUMMYFUNCTION("IMPORTRANGE(""https://docs.google.com/spreadsheets/d/""&amp;$A415&amp;""/edit#gid=156619080"",S$3)"),"#REF!")</f>
        <v>#REF!</v>
      </c>
      <c r="T415" s="2" t="str">
        <f>IFERROR(__xludf.DUMMYFUNCTION("IMPORTRANGE(""https://docs.google.com/spreadsheets/d/""&amp;$A415&amp;""/edit#gid=156619080"",T$3)"),"#REF!")</f>
        <v>#REF!</v>
      </c>
      <c r="U415" s="2" t="str">
        <f>IFERROR(__xludf.DUMMYFUNCTION("IMPORTRANGE(""https://docs.google.com/spreadsheets/d/""&amp;$A415&amp;""/edit#gid=156619080"",U$3)"),"#REF!")</f>
        <v>#REF!</v>
      </c>
      <c r="V415" s="2" t="str">
        <f>IFERROR(__xludf.DUMMYFUNCTION("IMPORTRANGE(""https://docs.google.com/spreadsheets/d/""&amp;$A415&amp;""/edit#gid=156619080"",V$3)"),"#REF!")</f>
        <v>#REF!</v>
      </c>
      <c r="W415" s="2" t="str">
        <f>IFERROR(__xludf.DUMMYFUNCTION("IMPORTRANGE(""https://docs.google.com/spreadsheets/d/""&amp;$A415&amp;""/edit#gid=156619080"",W$3)"),"#REF!")</f>
        <v>#REF!</v>
      </c>
      <c r="X415" s="2" t="str">
        <f>IFERROR(__xludf.DUMMYFUNCTION("IMPORTRANGE(""https://docs.google.com/spreadsheets/d/""&amp;$A415&amp;""/edit#gid=156619080"",X$3)"),"#REF!")</f>
        <v>#REF!</v>
      </c>
      <c r="Y415" s="2" t="str">
        <f>IFERROR(__xludf.DUMMYFUNCTION("IMPORTRANGE(""https://docs.google.com/spreadsheets/d/""&amp;$A415&amp;""/edit#gid=156619080"",Y$3)"),"#REF!")</f>
        <v>#REF!</v>
      </c>
      <c r="Z415" s="2" t="str">
        <f>IFERROR(__xludf.DUMMYFUNCTION("IMPORTRANGE(""https://docs.google.com/spreadsheets/d/""&amp;$A415&amp;""/edit#gid=156619080"",Z$3)"),"#REF!")</f>
        <v>#REF!</v>
      </c>
      <c r="AA415" s="2" t="str">
        <f>IFERROR(__xludf.DUMMYFUNCTION("IMPORTRANGE(""https://docs.google.com/spreadsheets/d/""&amp;$A415&amp;""/edit#gid=156619080"",AA$3)"),"#REF!")</f>
        <v>#REF!</v>
      </c>
      <c r="AB415" s="2" t="str">
        <f>IFERROR(__xludf.DUMMYFUNCTION("IMPORTRANGE(""https://docs.google.com/spreadsheets/d/""&amp;$A415&amp;""/edit#gid=156619080"",AB$3)"),"#REF!")</f>
        <v>#REF!</v>
      </c>
      <c r="AC415" s="2" t="str">
        <f>IFERROR(__xludf.DUMMYFUNCTION("IMPORTRANGE(""https://docs.google.com/spreadsheets/d/""&amp;$A415&amp;""/edit#gid=156619080"",AC$3)"),"#REF!")</f>
        <v>#REF!</v>
      </c>
      <c r="AD415" s="2" t="str">
        <f>IFERROR(__xludf.DUMMYFUNCTION("IMPORTRANGE(""https://docs.google.com/spreadsheets/d/""&amp;$A415&amp;""/edit#gid=156619080"",AD$3)"),"#REF!")</f>
        <v>#REF!</v>
      </c>
      <c r="AE415" s="2" t="str">
        <f>IFERROR(__xludf.DUMMYFUNCTION("IMPORTRANGE(""https://docs.google.com/spreadsheets/d/""&amp;$A415&amp;""/edit#gid=156619080"",AE$3)"),"#REF!")</f>
        <v>#REF!</v>
      </c>
      <c r="AF415" s="2" t="str">
        <f>IFERROR(__xludf.DUMMYFUNCTION("IMPORTRANGE(""https://docs.google.com/spreadsheets/d/""&amp;$A415&amp;""/edit#gid=156619080"",AF$3)"),"#REF!")</f>
        <v>#REF!</v>
      </c>
      <c r="AG415" s="2" t="str">
        <f>IFERROR(__xludf.DUMMYFUNCTION("IMPORTRANGE(""https://docs.google.com/spreadsheets/d/""&amp;$A415&amp;""/edit#gid=156619080"",AG$3)"),"#REF!")</f>
        <v>#REF!</v>
      </c>
      <c r="AH415" s="2" t="str">
        <f>IFERROR(__xludf.DUMMYFUNCTION("IMPORTRANGE(""https://docs.google.com/spreadsheets/d/""&amp;$A415&amp;""/edit#gid=156619080"",AH$3)"),"#REF!")</f>
        <v>#REF!</v>
      </c>
      <c r="AI415" s="2" t="str">
        <f>IFERROR(__xludf.DUMMYFUNCTION("IMPORTRANGE(""https://docs.google.com/spreadsheets/d/""&amp;$A415&amp;""/edit#gid=156619080"",AI$3)"),"#REF!")</f>
        <v>#REF!</v>
      </c>
      <c r="AJ415" s="2" t="str">
        <f>IFERROR(__xludf.DUMMYFUNCTION("IMPORTRANGE(""https://docs.google.com/spreadsheets/d/""&amp;$A415&amp;""/edit#gid=156619080"",AJ$3)"),"#REF!")</f>
        <v>#REF!</v>
      </c>
      <c r="AK415" s="2" t="str">
        <f>IFERROR(__xludf.DUMMYFUNCTION("IMPORTRANGE(""https://docs.google.com/spreadsheets/d/""&amp;$A415&amp;""/edit#gid=156619080"",AK$3)"),"#REF!")</f>
        <v>#REF!</v>
      </c>
      <c r="AL415" s="2" t="str">
        <f>IFERROR(__xludf.DUMMYFUNCTION("IMPORTRANGE(""https://docs.google.com/spreadsheets/d/""&amp;$A415&amp;""/edit#gid=156619080"",AL$3)"),"#REF!")</f>
        <v>#REF!</v>
      </c>
      <c r="AM415" s="2" t="str">
        <f>IFERROR(__xludf.DUMMYFUNCTION("IMPORTRANGE(""https://docs.google.com/spreadsheets/d/""&amp;$A415&amp;""/edit#gid=156619080"",AM$3)"),"#REF!")</f>
        <v>#REF!</v>
      </c>
      <c r="AN415" s="2" t="str">
        <f>IFERROR(__xludf.DUMMYFUNCTION("IMPORTRANGE(""https://docs.google.com/spreadsheets/d/""&amp;$A415&amp;""/edit#gid=156619080"",AN$3)"),"#REF!")</f>
        <v>#REF!</v>
      </c>
      <c r="AO415" s="2" t="str">
        <f>IFERROR(__xludf.DUMMYFUNCTION("IMPORTRANGE(""https://docs.google.com/spreadsheets/d/""&amp;$A415&amp;""/edit#gid=156619080"",AO$3)"),"#REF!")</f>
        <v>#REF!</v>
      </c>
      <c r="AP415" s="2" t="str">
        <f>IFERROR(__xludf.DUMMYFUNCTION("IMPORTRANGE(""https://docs.google.com/spreadsheets/d/""&amp;$A415&amp;""/edit#gid=156619080"",AP$3)"),"#REF!")</f>
        <v>#REF!</v>
      </c>
      <c r="AQ415" s="2" t="str">
        <f>IFERROR(__xludf.DUMMYFUNCTION("IMPORTRANGE(""https://docs.google.com/spreadsheets/d/""&amp;$A415&amp;""/edit#gid=156619080"",AQ$3)"),"#REF!")</f>
        <v>#REF!</v>
      </c>
      <c r="AR415" s="2" t="str">
        <f>IFERROR(__xludf.DUMMYFUNCTION("IMPORTRANGE(""https://docs.google.com/spreadsheets/d/""&amp;$A415&amp;""/edit#gid=156619080"",AR$3)"),"#REF!")</f>
        <v>#REF!</v>
      </c>
      <c r="AS415" s="19" t="str">
        <f>IFERROR(__xludf.DUMMYFUNCTION("IMPORTRANGE(""https://docs.google.com/spreadsheets/d/""&amp;$A415&amp;""/edit#gid=156619080"",AS$3)"),"#REF!")</f>
        <v>#REF!</v>
      </c>
      <c r="AT415" s="2" t="str">
        <f>IFERROR(__xludf.DUMMYFUNCTION("IMPORTRANGE(""https://docs.google.com/spreadsheets/d/""&amp;$A415&amp;""/edit#gid=156619080"",AT$3)"),"#REF!")</f>
        <v>#REF!</v>
      </c>
      <c r="AU415" s="3" t="str">
        <f>IFERROR(__xludf.DUMMYFUNCTION("IMPORTRANGE(""https://docs.google.com/spreadsheets/d/""&amp;$A415&amp;""/edit#gid=156619080"",AU$3)"),"#REF!")</f>
        <v>#REF!</v>
      </c>
      <c r="AV415" s="2" t="str">
        <f>IFERROR(__xludf.DUMMYFUNCTION("IMPORTRANGE(""https://docs.google.com/spreadsheets/d/""&amp;$A415&amp;""/edit#gid=156619080"",AV$3)"),"#REF!")</f>
        <v>#REF!</v>
      </c>
      <c r="AW415" s="19" t="str">
        <f>IFERROR(__xludf.DUMMYFUNCTION("IMPORTRANGE(""https://docs.google.com/spreadsheets/d/""&amp;$A415&amp;""/edit#gid=156619080"",AW$3)"),"#REF!")</f>
        <v>#REF!</v>
      </c>
      <c r="AX415" s="2" t="str">
        <f>IFERROR(__xludf.DUMMYFUNCTION("IMPORTRANGE(""https://docs.google.com/spreadsheets/d/""&amp;$A415&amp;""/edit#gid=156619080"",AX$3)"),"#REF!")</f>
        <v>#REF!</v>
      </c>
      <c r="AY415" s="2" t="str">
        <f>IFERROR(__xludf.DUMMYFUNCTION("IMPORTRANGE(""https://docs.google.com/spreadsheets/d/""&amp;$A415&amp;""/edit#gid=156619080"",AY$3)"),"#REF!")</f>
        <v>#REF!</v>
      </c>
      <c r="AZ415" s="2" t="str">
        <f>IFERROR(__xludf.DUMMYFUNCTION("IMPORTRANGE(""https://docs.google.com/spreadsheets/d/""&amp;$A415&amp;""/edit#gid=156619080"",AZ$3)"),"#REF!")</f>
        <v>#REF!</v>
      </c>
      <c r="BA415" s="2" t="str">
        <f>IFERROR(__xludf.DUMMYFUNCTION("IMPORTRANGE(""https://docs.google.com/spreadsheets/d/""&amp;$A415&amp;""/edit#gid=156619080"",BA$3)"),"#REF!")</f>
        <v>#REF!</v>
      </c>
      <c r="BB415" s="2" t="str">
        <f>IFERROR(__xludf.DUMMYFUNCTION("IMPORTRANGE(""https://docs.google.com/spreadsheets/d/""&amp;$A415&amp;""/edit#gid=156619080"",BB$3)"),"#REF!")</f>
        <v>#REF!</v>
      </c>
      <c r="BC415" s="2" t="str">
        <f>IFERROR(__xludf.DUMMYFUNCTION("IMPORTRANGE(""https://docs.google.com/spreadsheets/d/""&amp;$A415&amp;""/edit#gid=156619080"",BC$3)"),"#REF!")</f>
        <v>#REF!</v>
      </c>
    </row>
    <row r="416" ht="51.0" customHeight="1">
      <c r="A416" s="7" t="str">
        <f t="shared" si="5"/>
        <v>1BY2fazNBcayAf8VrA4IOlqg7XLIIAHce4hIr3UuRqxI</v>
      </c>
      <c r="B416" s="1" t="s">
        <v>443</v>
      </c>
      <c r="C416" s="2" t="str">
        <f>IFERROR(__xludf.DUMMYFUNCTION("IMPORTRANGE(""https://docs.google.com/spreadsheets/d/""&amp;$A416&amp;""/edit#gid=156619080"",C$3)"),"#REF!")</f>
        <v>#REF!</v>
      </c>
      <c r="D416" s="2" t="str">
        <f>IFERROR(__xludf.DUMMYFUNCTION("IMPORTRANGE(""https://docs.google.com/spreadsheets/d/""&amp;$A416&amp;""/edit#gid=156619080"",D$3)"),"#REF!")</f>
        <v>#REF!</v>
      </c>
      <c r="E416" s="2" t="str">
        <f>IFERROR(__xludf.DUMMYFUNCTION("IMPORTRANGE(""https://docs.google.com/spreadsheets/d/""&amp;$A416&amp;""/edit#gid=156619080"",E$3)"),"#REF!")</f>
        <v>#REF!</v>
      </c>
      <c r="F416" s="2" t="str">
        <f>IFERROR(__xludf.DUMMYFUNCTION("IMPORTRANGE(""https://docs.google.com/spreadsheets/d/""&amp;$A416&amp;""/edit#gid=156619080"",F$3)"),"#REF!")</f>
        <v>#REF!</v>
      </c>
      <c r="G416" s="2" t="str">
        <f>IFERROR(__xludf.DUMMYFUNCTION("IMPORTRANGE(""https://docs.google.com/spreadsheets/d/""&amp;$A416&amp;""/edit#gid=156619080"",G$3)"),"#REF!")</f>
        <v>#REF!</v>
      </c>
      <c r="H416" s="2" t="str">
        <f>IFERROR(__xludf.DUMMYFUNCTION("IMPORTRANGE(""https://docs.google.com/spreadsheets/d/""&amp;$A416&amp;""/edit#gid=156619080"",H$3)"),"#REF!")</f>
        <v>#REF!</v>
      </c>
      <c r="I416" s="2" t="str">
        <f>IFERROR(__xludf.DUMMYFUNCTION("IMPORTRANGE(""https://docs.google.com/spreadsheets/d/""&amp;$A416&amp;""/edit#gid=156619080"",I$3)"),"#REF!")</f>
        <v>#REF!</v>
      </c>
      <c r="J416" s="2" t="str">
        <f>IFERROR(__xludf.DUMMYFUNCTION("IMPORTRANGE(""https://docs.google.com/spreadsheets/d/""&amp;$A416&amp;""/edit#gid=156619080"",J$3)"),"#REF!")</f>
        <v>#REF!</v>
      </c>
      <c r="K416" s="2" t="str">
        <f>IFERROR(__xludf.DUMMYFUNCTION("IMPORTRANGE(""https://docs.google.com/spreadsheets/d/""&amp;$A416&amp;""/edit#gid=156619080"",K$3)"),"#REF!")</f>
        <v>#REF!</v>
      </c>
      <c r="L416" s="2" t="str">
        <f>IFERROR(__xludf.DUMMYFUNCTION("IMPORTRANGE(""https://docs.google.com/spreadsheets/d/""&amp;$A416&amp;""/edit#gid=156619080"",L$3)"),"#REF!")</f>
        <v>#REF!</v>
      </c>
      <c r="M416" s="2" t="str">
        <f>IFERROR(__xludf.DUMMYFUNCTION("IMPORTRANGE(""https://docs.google.com/spreadsheets/d/""&amp;$A416&amp;""/edit#gid=156619080"",M$3)"),"#REF!")</f>
        <v>#REF!</v>
      </c>
      <c r="N416" s="2" t="str">
        <f>IFERROR(__xludf.DUMMYFUNCTION("IMPORTRANGE(""https://docs.google.com/spreadsheets/d/""&amp;$A416&amp;""/edit#gid=156619080"",N$3)"),"#REF!")</f>
        <v>#REF!</v>
      </c>
      <c r="O416" s="2" t="str">
        <f>IFERROR(__xludf.DUMMYFUNCTION("IMPORTRANGE(""https://docs.google.com/spreadsheets/d/""&amp;$A416&amp;""/edit#gid=156619080"",O$3)"),"#REF!")</f>
        <v>#REF!</v>
      </c>
      <c r="P416" s="2" t="str">
        <f>IFERROR(__xludf.DUMMYFUNCTION("IMPORTRANGE(""https://docs.google.com/spreadsheets/d/""&amp;$A416&amp;""/edit#gid=156619080"",P$3)"),"#REF!")</f>
        <v>#REF!</v>
      </c>
      <c r="Q416" s="2" t="str">
        <f>IFERROR(__xludf.DUMMYFUNCTION("IMPORTRANGE(""https://docs.google.com/spreadsheets/d/""&amp;$A416&amp;""/edit#gid=156619080"",Q$3)"),"#REF!")</f>
        <v>#REF!</v>
      </c>
      <c r="R416" s="2" t="str">
        <f>IFERROR(__xludf.DUMMYFUNCTION("IMPORTRANGE(""https://docs.google.com/spreadsheets/d/""&amp;$A416&amp;""/edit#gid=156619080"",R$3)"),"#REF!")</f>
        <v>#REF!</v>
      </c>
      <c r="S416" s="2" t="str">
        <f>IFERROR(__xludf.DUMMYFUNCTION("IMPORTRANGE(""https://docs.google.com/spreadsheets/d/""&amp;$A416&amp;""/edit#gid=156619080"",S$3)"),"#REF!")</f>
        <v>#REF!</v>
      </c>
      <c r="T416" s="2" t="str">
        <f>IFERROR(__xludf.DUMMYFUNCTION("IMPORTRANGE(""https://docs.google.com/spreadsheets/d/""&amp;$A416&amp;""/edit#gid=156619080"",T$3)"),"#REF!")</f>
        <v>#REF!</v>
      </c>
      <c r="U416" s="2" t="str">
        <f>IFERROR(__xludf.DUMMYFUNCTION("IMPORTRANGE(""https://docs.google.com/spreadsheets/d/""&amp;$A416&amp;""/edit#gid=156619080"",U$3)"),"#REF!")</f>
        <v>#REF!</v>
      </c>
      <c r="V416" s="2" t="str">
        <f>IFERROR(__xludf.DUMMYFUNCTION("IMPORTRANGE(""https://docs.google.com/spreadsheets/d/""&amp;$A416&amp;""/edit#gid=156619080"",V$3)"),"#REF!")</f>
        <v>#REF!</v>
      </c>
      <c r="W416" s="2" t="str">
        <f>IFERROR(__xludf.DUMMYFUNCTION("IMPORTRANGE(""https://docs.google.com/spreadsheets/d/""&amp;$A416&amp;""/edit#gid=156619080"",W$3)"),"#REF!")</f>
        <v>#REF!</v>
      </c>
      <c r="X416" s="2" t="str">
        <f>IFERROR(__xludf.DUMMYFUNCTION("IMPORTRANGE(""https://docs.google.com/spreadsheets/d/""&amp;$A416&amp;""/edit#gid=156619080"",X$3)"),"#REF!")</f>
        <v>#REF!</v>
      </c>
      <c r="Y416" s="2" t="str">
        <f>IFERROR(__xludf.DUMMYFUNCTION("IMPORTRANGE(""https://docs.google.com/spreadsheets/d/""&amp;$A416&amp;""/edit#gid=156619080"",Y$3)"),"#REF!")</f>
        <v>#REF!</v>
      </c>
      <c r="Z416" s="2" t="str">
        <f>IFERROR(__xludf.DUMMYFUNCTION("IMPORTRANGE(""https://docs.google.com/spreadsheets/d/""&amp;$A416&amp;""/edit#gid=156619080"",Z$3)"),"#REF!")</f>
        <v>#REF!</v>
      </c>
      <c r="AA416" s="2" t="str">
        <f>IFERROR(__xludf.DUMMYFUNCTION("IMPORTRANGE(""https://docs.google.com/spreadsheets/d/""&amp;$A416&amp;""/edit#gid=156619080"",AA$3)"),"#REF!")</f>
        <v>#REF!</v>
      </c>
      <c r="AB416" s="2" t="str">
        <f>IFERROR(__xludf.DUMMYFUNCTION("IMPORTRANGE(""https://docs.google.com/spreadsheets/d/""&amp;$A416&amp;""/edit#gid=156619080"",AB$3)"),"#REF!")</f>
        <v>#REF!</v>
      </c>
      <c r="AC416" s="2" t="str">
        <f>IFERROR(__xludf.DUMMYFUNCTION("IMPORTRANGE(""https://docs.google.com/spreadsheets/d/""&amp;$A416&amp;""/edit#gid=156619080"",AC$3)"),"#REF!")</f>
        <v>#REF!</v>
      </c>
      <c r="AD416" s="2" t="str">
        <f>IFERROR(__xludf.DUMMYFUNCTION("IMPORTRANGE(""https://docs.google.com/spreadsheets/d/""&amp;$A416&amp;""/edit#gid=156619080"",AD$3)"),"#REF!")</f>
        <v>#REF!</v>
      </c>
      <c r="AE416" s="2" t="str">
        <f>IFERROR(__xludf.DUMMYFUNCTION("IMPORTRANGE(""https://docs.google.com/spreadsheets/d/""&amp;$A416&amp;""/edit#gid=156619080"",AE$3)"),"#REF!")</f>
        <v>#REF!</v>
      </c>
      <c r="AF416" s="2" t="str">
        <f>IFERROR(__xludf.DUMMYFUNCTION("IMPORTRANGE(""https://docs.google.com/spreadsheets/d/""&amp;$A416&amp;""/edit#gid=156619080"",AF$3)"),"#REF!")</f>
        <v>#REF!</v>
      </c>
      <c r="AG416" s="2" t="str">
        <f>IFERROR(__xludf.DUMMYFUNCTION("IMPORTRANGE(""https://docs.google.com/spreadsheets/d/""&amp;$A416&amp;""/edit#gid=156619080"",AG$3)"),"#REF!")</f>
        <v>#REF!</v>
      </c>
      <c r="AH416" s="2" t="str">
        <f>IFERROR(__xludf.DUMMYFUNCTION("IMPORTRANGE(""https://docs.google.com/spreadsheets/d/""&amp;$A416&amp;""/edit#gid=156619080"",AH$3)"),"#REF!")</f>
        <v>#REF!</v>
      </c>
      <c r="AI416" s="2" t="str">
        <f>IFERROR(__xludf.DUMMYFUNCTION("IMPORTRANGE(""https://docs.google.com/spreadsheets/d/""&amp;$A416&amp;""/edit#gid=156619080"",AI$3)"),"#REF!")</f>
        <v>#REF!</v>
      </c>
      <c r="AJ416" s="2" t="str">
        <f>IFERROR(__xludf.DUMMYFUNCTION("IMPORTRANGE(""https://docs.google.com/spreadsheets/d/""&amp;$A416&amp;""/edit#gid=156619080"",AJ$3)"),"#REF!")</f>
        <v>#REF!</v>
      </c>
      <c r="AK416" s="2" t="str">
        <f>IFERROR(__xludf.DUMMYFUNCTION("IMPORTRANGE(""https://docs.google.com/spreadsheets/d/""&amp;$A416&amp;""/edit#gid=156619080"",AK$3)"),"#REF!")</f>
        <v>#REF!</v>
      </c>
      <c r="AL416" s="2" t="str">
        <f>IFERROR(__xludf.DUMMYFUNCTION("IMPORTRANGE(""https://docs.google.com/spreadsheets/d/""&amp;$A416&amp;""/edit#gid=156619080"",AL$3)"),"#REF!")</f>
        <v>#REF!</v>
      </c>
      <c r="AM416" s="2" t="str">
        <f>IFERROR(__xludf.DUMMYFUNCTION("IMPORTRANGE(""https://docs.google.com/spreadsheets/d/""&amp;$A416&amp;""/edit#gid=156619080"",AM$3)"),"#REF!")</f>
        <v>#REF!</v>
      </c>
      <c r="AN416" s="2" t="str">
        <f>IFERROR(__xludf.DUMMYFUNCTION("IMPORTRANGE(""https://docs.google.com/spreadsheets/d/""&amp;$A416&amp;""/edit#gid=156619080"",AN$3)"),"#REF!")</f>
        <v>#REF!</v>
      </c>
      <c r="AO416" s="2" t="str">
        <f>IFERROR(__xludf.DUMMYFUNCTION("IMPORTRANGE(""https://docs.google.com/spreadsheets/d/""&amp;$A416&amp;""/edit#gid=156619080"",AO$3)"),"#REF!")</f>
        <v>#REF!</v>
      </c>
      <c r="AP416" s="2" t="str">
        <f>IFERROR(__xludf.DUMMYFUNCTION("IMPORTRANGE(""https://docs.google.com/spreadsheets/d/""&amp;$A416&amp;""/edit#gid=156619080"",AP$3)"),"#REF!")</f>
        <v>#REF!</v>
      </c>
      <c r="AQ416" s="2" t="str">
        <f>IFERROR(__xludf.DUMMYFUNCTION("IMPORTRANGE(""https://docs.google.com/spreadsheets/d/""&amp;$A416&amp;""/edit#gid=156619080"",AQ$3)"),"#REF!")</f>
        <v>#REF!</v>
      </c>
      <c r="AR416" s="2" t="str">
        <f>IFERROR(__xludf.DUMMYFUNCTION("IMPORTRANGE(""https://docs.google.com/spreadsheets/d/""&amp;$A416&amp;""/edit#gid=156619080"",AR$3)"),"#REF!")</f>
        <v>#REF!</v>
      </c>
      <c r="AS416" s="19" t="str">
        <f>IFERROR(__xludf.DUMMYFUNCTION("IMPORTRANGE(""https://docs.google.com/spreadsheets/d/""&amp;$A416&amp;""/edit#gid=156619080"",AS$3)"),"#REF!")</f>
        <v>#REF!</v>
      </c>
      <c r="AT416" s="2" t="str">
        <f>IFERROR(__xludf.DUMMYFUNCTION("IMPORTRANGE(""https://docs.google.com/spreadsheets/d/""&amp;$A416&amp;""/edit#gid=156619080"",AT$3)"),"#REF!")</f>
        <v>#REF!</v>
      </c>
      <c r="AU416" s="3" t="str">
        <f>IFERROR(__xludf.DUMMYFUNCTION("IMPORTRANGE(""https://docs.google.com/spreadsheets/d/""&amp;$A416&amp;""/edit#gid=156619080"",AU$3)"),"#REF!")</f>
        <v>#REF!</v>
      </c>
      <c r="AV416" s="2" t="str">
        <f>IFERROR(__xludf.DUMMYFUNCTION("IMPORTRANGE(""https://docs.google.com/spreadsheets/d/""&amp;$A416&amp;""/edit#gid=156619080"",AV$3)"),"#REF!")</f>
        <v>#REF!</v>
      </c>
      <c r="AW416" s="19" t="str">
        <f>IFERROR(__xludf.DUMMYFUNCTION("IMPORTRANGE(""https://docs.google.com/spreadsheets/d/""&amp;$A416&amp;""/edit#gid=156619080"",AW$3)"),"#REF!")</f>
        <v>#REF!</v>
      </c>
      <c r="AX416" s="2" t="str">
        <f>IFERROR(__xludf.DUMMYFUNCTION("IMPORTRANGE(""https://docs.google.com/spreadsheets/d/""&amp;$A416&amp;""/edit#gid=156619080"",AX$3)"),"#REF!")</f>
        <v>#REF!</v>
      </c>
      <c r="AY416" s="2" t="str">
        <f>IFERROR(__xludf.DUMMYFUNCTION("IMPORTRANGE(""https://docs.google.com/spreadsheets/d/""&amp;$A416&amp;""/edit#gid=156619080"",AY$3)"),"#REF!")</f>
        <v>#REF!</v>
      </c>
      <c r="AZ416" s="2" t="str">
        <f>IFERROR(__xludf.DUMMYFUNCTION("IMPORTRANGE(""https://docs.google.com/spreadsheets/d/""&amp;$A416&amp;""/edit#gid=156619080"",AZ$3)"),"#REF!")</f>
        <v>#REF!</v>
      </c>
      <c r="BA416" s="2" t="str">
        <f>IFERROR(__xludf.DUMMYFUNCTION("IMPORTRANGE(""https://docs.google.com/spreadsheets/d/""&amp;$A416&amp;""/edit#gid=156619080"",BA$3)"),"#REF!")</f>
        <v>#REF!</v>
      </c>
      <c r="BB416" s="2" t="str">
        <f>IFERROR(__xludf.DUMMYFUNCTION("IMPORTRANGE(""https://docs.google.com/spreadsheets/d/""&amp;$A416&amp;""/edit#gid=156619080"",BB$3)"),"#REF!")</f>
        <v>#REF!</v>
      </c>
      <c r="BC416" s="2" t="str">
        <f>IFERROR(__xludf.DUMMYFUNCTION("IMPORTRANGE(""https://docs.google.com/spreadsheets/d/""&amp;$A416&amp;""/edit#gid=156619080"",BC$3)"),"#REF!")</f>
        <v>#REF!</v>
      </c>
    </row>
    <row r="417" ht="51.0" customHeight="1">
      <c r="A417" s="7" t="str">
        <f t="shared" si="5"/>
        <v>1qHVsvGvAAZ_tjyqs79Ir2wu9S6C4iBf88hvroemIPyw</v>
      </c>
      <c r="B417" s="1" t="s">
        <v>444</v>
      </c>
      <c r="C417" s="2" t="str">
        <f>IFERROR(__xludf.DUMMYFUNCTION("IMPORTRANGE(""https://docs.google.com/spreadsheets/d/""&amp;$A417&amp;""/edit#gid=156619080"",C$3)"),"#REF!")</f>
        <v>#REF!</v>
      </c>
      <c r="D417" s="2" t="str">
        <f>IFERROR(__xludf.DUMMYFUNCTION("IMPORTRANGE(""https://docs.google.com/spreadsheets/d/""&amp;$A417&amp;""/edit#gid=156619080"",D$3)"),"#REF!")</f>
        <v>#REF!</v>
      </c>
      <c r="E417" s="2" t="str">
        <f>IFERROR(__xludf.DUMMYFUNCTION("IMPORTRANGE(""https://docs.google.com/spreadsheets/d/""&amp;$A417&amp;""/edit#gid=156619080"",E$3)"),"#REF!")</f>
        <v>#REF!</v>
      </c>
      <c r="F417" s="2" t="str">
        <f>IFERROR(__xludf.DUMMYFUNCTION("IMPORTRANGE(""https://docs.google.com/spreadsheets/d/""&amp;$A417&amp;""/edit#gid=156619080"",F$3)"),"#REF!")</f>
        <v>#REF!</v>
      </c>
      <c r="G417" s="2" t="str">
        <f>IFERROR(__xludf.DUMMYFUNCTION("IMPORTRANGE(""https://docs.google.com/spreadsheets/d/""&amp;$A417&amp;""/edit#gid=156619080"",G$3)"),"#REF!")</f>
        <v>#REF!</v>
      </c>
      <c r="H417" s="2" t="str">
        <f>IFERROR(__xludf.DUMMYFUNCTION("IMPORTRANGE(""https://docs.google.com/spreadsheets/d/""&amp;$A417&amp;""/edit#gid=156619080"",H$3)"),"#REF!")</f>
        <v>#REF!</v>
      </c>
      <c r="I417" s="2" t="str">
        <f>IFERROR(__xludf.DUMMYFUNCTION("IMPORTRANGE(""https://docs.google.com/spreadsheets/d/""&amp;$A417&amp;""/edit#gid=156619080"",I$3)"),"#REF!")</f>
        <v>#REF!</v>
      </c>
      <c r="J417" s="2" t="str">
        <f>IFERROR(__xludf.DUMMYFUNCTION("IMPORTRANGE(""https://docs.google.com/spreadsheets/d/""&amp;$A417&amp;""/edit#gid=156619080"",J$3)"),"#REF!")</f>
        <v>#REF!</v>
      </c>
      <c r="K417" s="2" t="str">
        <f>IFERROR(__xludf.DUMMYFUNCTION("IMPORTRANGE(""https://docs.google.com/spreadsheets/d/""&amp;$A417&amp;""/edit#gid=156619080"",K$3)"),"#REF!")</f>
        <v>#REF!</v>
      </c>
      <c r="L417" s="2" t="str">
        <f>IFERROR(__xludf.DUMMYFUNCTION("IMPORTRANGE(""https://docs.google.com/spreadsheets/d/""&amp;$A417&amp;""/edit#gid=156619080"",L$3)"),"#REF!")</f>
        <v>#REF!</v>
      </c>
      <c r="M417" s="2" t="str">
        <f>IFERROR(__xludf.DUMMYFUNCTION("IMPORTRANGE(""https://docs.google.com/spreadsheets/d/""&amp;$A417&amp;""/edit#gid=156619080"",M$3)"),"#REF!")</f>
        <v>#REF!</v>
      </c>
      <c r="N417" s="2" t="str">
        <f>IFERROR(__xludf.DUMMYFUNCTION("IMPORTRANGE(""https://docs.google.com/spreadsheets/d/""&amp;$A417&amp;""/edit#gid=156619080"",N$3)"),"#REF!")</f>
        <v>#REF!</v>
      </c>
      <c r="O417" s="2" t="str">
        <f>IFERROR(__xludf.DUMMYFUNCTION("IMPORTRANGE(""https://docs.google.com/spreadsheets/d/""&amp;$A417&amp;""/edit#gid=156619080"",O$3)"),"#REF!")</f>
        <v>#REF!</v>
      </c>
      <c r="P417" s="2" t="str">
        <f>IFERROR(__xludf.DUMMYFUNCTION("IMPORTRANGE(""https://docs.google.com/spreadsheets/d/""&amp;$A417&amp;""/edit#gid=156619080"",P$3)"),"#REF!")</f>
        <v>#REF!</v>
      </c>
      <c r="Q417" s="2" t="str">
        <f>IFERROR(__xludf.DUMMYFUNCTION("IMPORTRANGE(""https://docs.google.com/spreadsheets/d/""&amp;$A417&amp;""/edit#gid=156619080"",Q$3)"),"#REF!")</f>
        <v>#REF!</v>
      </c>
      <c r="R417" s="2" t="str">
        <f>IFERROR(__xludf.DUMMYFUNCTION("IMPORTRANGE(""https://docs.google.com/spreadsheets/d/""&amp;$A417&amp;""/edit#gid=156619080"",R$3)"),"#REF!")</f>
        <v>#REF!</v>
      </c>
      <c r="S417" s="2" t="str">
        <f>IFERROR(__xludf.DUMMYFUNCTION("IMPORTRANGE(""https://docs.google.com/spreadsheets/d/""&amp;$A417&amp;""/edit#gid=156619080"",S$3)"),"#REF!")</f>
        <v>#REF!</v>
      </c>
      <c r="T417" s="2" t="str">
        <f>IFERROR(__xludf.DUMMYFUNCTION("IMPORTRANGE(""https://docs.google.com/spreadsheets/d/""&amp;$A417&amp;""/edit#gid=156619080"",T$3)"),"#REF!")</f>
        <v>#REF!</v>
      </c>
      <c r="U417" s="2" t="str">
        <f>IFERROR(__xludf.DUMMYFUNCTION("IMPORTRANGE(""https://docs.google.com/spreadsheets/d/""&amp;$A417&amp;""/edit#gid=156619080"",U$3)"),"#REF!")</f>
        <v>#REF!</v>
      </c>
      <c r="V417" s="2" t="str">
        <f>IFERROR(__xludf.DUMMYFUNCTION("IMPORTRANGE(""https://docs.google.com/spreadsheets/d/""&amp;$A417&amp;""/edit#gid=156619080"",V$3)"),"#REF!")</f>
        <v>#REF!</v>
      </c>
      <c r="W417" s="2" t="str">
        <f>IFERROR(__xludf.DUMMYFUNCTION("IMPORTRANGE(""https://docs.google.com/spreadsheets/d/""&amp;$A417&amp;""/edit#gid=156619080"",W$3)"),"#REF!")</f>
        <v>#REF!</v>
      </c>
      <c r="X417" s="2" t="str">
        <f>IFERROR(__xludf.DUMMYFUNCTION("IMPORTRANGE(""https://docs.google.com/spreadsheets/d/""&amp;$A417&amp;""/edit#gid=156619080"",X$3)"),"#REF!")</f>
        <v>#REF!</v>
      </c>
      <c r="Y417" s="2" t="str">
        <f>IFERROR(__xludf.DUMMYFUNCTION("IMPORTRANGE(""https://docs.google.com/spreadsheets/d/""&amp;$A417&amp;""/edit#gid=156619080"",Y$3)"),"#REF!")</f>
        <v>#REF!</v>
      </c>
      <c r="Z417" s="2" t="str">
        <f>IFERROR(__xludf.DUMMYFUNCTION("IMPORTRANGE(""https://docs.google.com/spreadsheets/d/""&amp;$A417&amp;""/edit#gid=156619080"",Z$3)"),"#REF!")</f>
        <v>#REF!</v>
      </c>
      <c r="AA417" s="2" t="str">
        <f>IFERROR(__xludf.DUMMYFUNCTION("IMPORTRANGE(""https://docs.google.com/spreadsheets/d/""&amp;$A417&amp;""/edit#gid=156619080"",AA$3)"),"#REF!")</f>
        <v>#REF!</v>
      </c>
      <c r="AB417" s="2" t="str">
        <f>IFERROR(__xludf.DUMMYFUNCTION("IMPORTRANGE(""https://docs.google.com/spreadsheets/d/""&amp;$A417&amp;""/edit#gid=156619080"",AB$3)"),"#REF!")</f>
        <v>#REF!</v>
      </c>
      <c r="AC417" s="2" t="str">
        <f>IFERROR(__xludf.DUMMYFUNCTION("IMPORTRANGE(""https://docs.google.com/spreadsheets/d/""&amp;$A417&amp;""/edit#gid=156619080"",AC$3)"),"#REF!")</f>
        <v>#REF!</v>
      </c>
      <c r="AD417" s="2" t="str">
        <f>IFERROR(__xludf.DUMMYFUNCTION("IMPORTRANGE(""https://docs.google.com/spreadsheets/d/""&amp;$A417&amp;""/edit#gid=156619080"",AD$3)"),"#REF!")</f>
        <v>#REF!</v>
      </c>
      <c r="AE417" s="2" t="str">
        <f>IFERROR(__xludf.DUMMYFUNCTION("IMPORTRANGE(""https://docs.google.com/spreadsheets/d/""&amp;$A417&amp;""/edit#gid=156619080"",AE$3)"),"#REF!")</f>
        <v>#REF!</v>
      </c>
      <c r="AF417" s="2" t="str">
        <f>IFERROR(__xludf.DUMMYFUNCTION("IMPORTRANGE(""https://docs.google.com/spreadsheets/d/""&amp;$A417&amp;""/edit#gid=156619080"",AF$3)"),"#REF!")</f>
        <v>#REF!</v>
      </c>
      <c r="AG417" s="2" t="str">
        <f>IFERROR(__xludf.DUMMYFUNCTION("IMPORTRANGE(""https://docs.google.com/spreadsheets/d/""&amp;$A417&amp;""/edit#gid=156619080"",AG$3)"),"#REF!")</f>
        <v>#REF!</v>
      </c>
      <c r="AH417" s="2" t="str">
        <f>IFERROR(__xludf.DUMMYFUNCTION("IMPORTRANGE(""https://docs.google.com/spreadsheets/d/""&amp;$A417&amp;""/edit#gid=156619080"",AH$3)"),"#REF!")</f>
        <v>#REF!</v>
      </c>
      <c r="AI417" s="2" t="str">
        <f>IFERROR(__xludf.DUMMYFUNCTION("IMPORTRANGE(""https://docs.google.com/spreadsheets/d/""&amp;$A417&amp;""/edit#gid=156619080"",AI$3)"),"#REF!")</f>
        <v>#REF!</v>
      </c>
      <c r="AJ417" s="2" t="str">
        <f>IFERROR(__xludf.DUMMYFUNCTION("IMPORTRANGE(""https://docs.google.com/spreadsheets/d/""&amp;$A417&amp;""/edit#gid=156619080"",AJ$3)"),"#REF!")</f>
        <v>#REF!</v>
      </c>
      <c r="AK417" s="2" t="str">
        <f>IFERROR(__xludf.DUMMYFUNCTION("IMPORTRANGE(""https://docs.google.com/spreadsheets/d/""&amp;$A417&amp;""/edit#gid=156619080"",AK$3)"),"#REF!")</f>
        <v>#REF!</v>
      </c>
      <c r="AL417" s="2" t="str">
        <f>IFERROR(__xludf.DUMMYFUNCTION("IMPORTRANGE(""https://docs.google.com/spreadsheets/d/""&amp;$A417&amp;""/edit#gid=156619080"",AL$3)"),"#REF!")</f>
        <v>#REF!</v>
      </c>
      <c r="AM417" s="2" t="str">
        <f>IFERROR(__xludf.DUMMYFUNCTION("IMPORTRANGE(""https://docs.google.com/spreadsheets/d/""&amp;$A417&amp;""/edit#gid=156619080"",AM$3)"),"#REF!")</f>
        <v>#REF!</v>
      </c>
      <c r="AN417" s="2" t="str">
        <f>IFERROR(__xludf.DUMMYFUNCTION("IMPORTRANGE(""https://docs.google.com/spreadsheets/d/""&amp;$A417&amp;""/edit#gid=156619080"",AN$3)"),"#REF!")</f>
        <v>#REF!</v>
      </c>
      <c r="AO417" s="2" t="str">
        <f>IFERROR(__xludf.DUMMYFUNCTION("IMPORTRANGE(""https://docs.google.com/spreadsheets/d/""&amp;$A417&amp;""/edit#gid=156619080"",AO$3)"),"#REF!")</f>
        <v>#REF!</v>
      </c>
      <c r="AP417" s="2" t="str">
        <f>IFERROR(__xludf.DUMMYFUNCTION("IMPORTRANGE(""https://docs.google.com/spreadsheets/d/""&amp;$A417&amp;""/edit#gid=156619080"",AP$3)"),"#REF!")</f>
        <v>#REF!</v>
      </c>
      <c r="AQ417" s="2" t="str">
        <f>IFERROR(__xludf.DUMMYFUNCTION("IMPORTRANGE(""https://docs.google.com/spreadsheets/d/""&amp;$A417&amp;""/edit#gid=156619080"",AQ$3)"),"#REF!")</f>
        <v>#REF!</v>
      </c>
      <c r="AR417" s="2" t="str">
        <f>IFERROR(__xludf.DUMMYFUNCTION("IMPORTRANGE(""https://docs.google.com/spreadsheets/d/""&amp;$A417&amp;""/edit#gid=156619080"",AR$3)"),"#REF!")</f>
        <v>#REF!</v>
      </c>
      <c r="AS417" s="19" t="str">
        <f>IFERROR(__xludf.DUMMYFUNCTION("IMPORTRANGE(""https://docs.google.com/spreadsheets/d/""&amp;$A417&amp;""/edit#gid=156619080"",AS$3)"),"#REF!")</f>
        <v>#REF!</v>
      </c>
      <c r="AT417" s="2" t="str">
        <f>IFERROR(__xludf.DUMMYFUNCTION("IMPORTRANGE(""https://docs.google.com/spreadsheets/d/""&amp;$A417&amp;""/edit#gid=156619080"",AT$3)"),"#REF!")</f>
        <v>#REF!</v>
      </c>
      <c r="AU417" s="3" t="str">
        <f>IFERROR(__xludf.DUMMYFUNCTION("IMPORTRANGE(""https://docs.google.com/spreadsheets/d/""&amp;$A417&amp;""/edit#gid=156619080"",AU$3)"),"#REF!")</f>
        <v>#REF!</v>
      </c>
      <c r="AV417" s="2" t="str">
        <f>IFERROR(__xludf.DUMMYFUNCTION("IMPORTRANGE(""https://docs.google.com/spreadsheets/d/""&amp;$A417&amp;""/edit#gid=156619080"",AV$3)"),"#REF!")</f>
        <v>#REF!</v>
      </c>
      <c r="AW417" s="19" t="str">
        <f>IFERROR(__xludf.DUMMYFUNCTION("IMPORTRANGE(""https://docs.google.com/spreadsheets/d/""&amp;$A417&amp;""/edit#gid=156619080"",AW$3)"),"#REF!")</f>
        <v>#REF!</v>
      </c>
      <c r="AX417" s="2" t="str">
        <f>IFERROR(__xludf.DUMMYFUNCTION("IMPORTRANGE(""https://docs.google.com/spreadsheets/d/""&amp;$A417&amp;""/edit#gid=156619080"",AX$3)"),"#REF!")</f>
        <v>#REF!</v>
      </c>
      <c r="AY417" s="2" t="str">
        <f>IFERROR(__xludf.DUMMYFUNCTION("IMPORTRANGE(""https://docs.google.com/spreadsheets/d/""&amp;$A417&amp;""/edit#gid=156619080"",AY$3)"),"#REF!")</f>
        <v>#REF!</v>
      </c>
      <c r="AZ417" s="2" t="str">
        <f>IFERROR(__xludf.DUMMYFUNCTION("IMPORTRANGE(""https://docs.google.com/spreadsheets/d/""&amp;$A417&amp;""/edit#gid=156619080"",AZ$3)"),"#REF!")</f>
        <v>#REF!</v>
      </c>
      <c r="BA417" s="2" t="str">
        <f>IFERROR(__xludf.DUMMYFUNCTION("IMPORTRANGE(""https://docs.google.com/spreadsheets/d/""&amp;$A417&amp;""/edit#gid=156619080"",BA$3)"),"#REF!")</f>
        <v>#REF!</v>
      </c>
      <c r="BB417" s="2" t="str">
        <f>IFERROR(__xludf.DUMMYFUNCTION("IMPORTRANGE(""https://docs.google.com/spreadsheets/d/""&amp;$A417&amp;""/edit#gid=156619080"",BB$3)"),"#REF!")</f>
        <v>#REF!</v>
      </c>
      <c r="BC417" s="2" t="str">
        <f>IFERROR(__xludf.DUMMYFUNCTION("IMPORTRANGE(""https://docs.google.com/spreadsheets/d/""&amp;$A417&amp;""/edit#gid=156619080"",BC$3)"),"#REF!")</f>
        <v>#REF!</v>
      </c>
    </row>
    <row r="418" ht="51.0" customHeight="1">
      <c r="A418" s="7" t="str">
        <f t="shared" si="5"/>
        <v>1tFEP4CaiHtPVX1wMHUuTQMe17EL9CZi-o0gUXOZypkc</v>
      </c>
      <c r="B418" s="1" t="s">
        <v>445</v>
      </c>
      <c r="C418" s="2" t="str">
        <f>IFERROR(__xludf.DUMMYFUNCTION("IMPORTRANGE(""https://docs.google.com/spreadsheets/d/""&amp;$A418&amp;""/edit#gid=156619080"",C$3)"),"#REF!")</f>
        <v>#REF!</v>
      </c>
      <c r="D418" s="2" t="str">
        <f>IFERROR(__xludf.DUMMYFUNCTION("IMPORTRANGE(""https://docs.google.com/spreadsheets/d/""&amp;$A418&amp;""/edit#gid=156619080"",D$3)"),"#REF!")</f>
        <v>#REF!</v>
      </c>
      <c r="E418" s="2" t="str">
        <f>IFERROR(__xludf.DUMMYFUNCTION("IMPORTRANGE(""https://docs.google.com/spreadsheets/d/""&amp;$A418&amp;""/edit#gid=156619080"",E$3)"),"#REF!")</f>
        <v>#REF!</v>
      </c>
      <c r="F418" s="2" t="str">
        <f>IFERROR(__xludf.DUMMYFUNCTION("IMPORTRANGE(""https://docs.google.com/spreadsheets/d/""&amp;$A418&amp;""/edit#gid=156619080"",F$3)"),"#REF!")</f>
        <v>#REF!</v>
      </c>
      <c r="G418" s="2" t="str">
        <f>IFERROR(__xludf.DUMMYFUNCTION("IMPORTRANGE(""https://docs.google.com/spreadsheets/d/""&amp;$A418&amp;""/edit#gid=156619080"",G$3)"),"#REF!")</f>
        <v>#REF!</v>
      </c>
      <c r="H418" s="2" t="str">
        <f>IFERROR(__xludf.DUMMYFUNCTION("IMPORTRANGE(""https://docs.google.com/spreadsheets/d/""&amp;$A418&amp;""/edit#gid=156619080"",H$3)"),"#REF!")</f>
        <v>#REF!</v>
      </c>
      <c r="I418" s="2" t="str">
        <f>IFERROR(__xludf.DUMMYFUNCTION("IMPORTRANGE(""https://docs.google.com/spreadsheets/d/""&amp;$A418&amp;""/edit#gid=156619080"",I$3)"),"#REF!")</f>
        <v>#REF!</v>
      </c>
      <c r="J418" s="2" t="str">
        <f>IFERROR(__xludf.DUMMYFUNCTION("IMPORTRANGE(""https://docs.google.com/spreadsheets/d/""&amp;$A418&amp;""/edit#gid=156619080"",J$3)"),"#REF!")</f>
        <v>#REF!</v>
      </c>
      <c r="K418" s="2" t="str">
        <f>IFERROR(__xludf.DUMMYFUNCTION("IMPORTRANGE(""https://docs.google.com/spreadsheets/d/""&amp;$A418&amp;""/edit#gid=156619080"",K$3)"),"#REF!")</f>
        <v>#REF!</v>
      </c>
      <c r="L418" s="2" t="str">
        <f>IFERROR(__xludf.DUMMYFUNCTION("IMPORTRANGE(""https://docs.google.com/spreadsheets/d/""&amp;$A418&amp;""/edit#gid=156619080"",L$3)"),"#REF!")</f>
        <v>#REF!</v>
      </c>
      <c r="M418" s="2" t="str">
        <f>IFERROR(__xludf.DUMMYFUNCTION("IMPORTRANGE(""https://docs.google.com/spreadsheets/d/""&amp;$A418&amp;""/edit#gid=156619080"",M$3)"),"#REF!")</f>
        <v>#REF!</v>
      </c>
      <c r="N418" s="2" t="str">
        <f>IFERROR(__xludf.DUMMYFUNCTION("IMPORTRANGE(""https://docs.google.com/spreadsheets/d/""&amp;$A418&amp;""/edit#gid=156619080"",N$3)"),"#REF!")</f>
        <v>#REF!</v>
      </c>
      <c r="O418" s="2" t="str">
        <f>IFERROR(__xludf.DUMMYFUNCTION("IMPORTRANGE(""https://docs.google.com/spreadsheets/d/""&amp;$A418&amp;""/edit#gid=156619080"",O$3)"),"#REF!")</f>
        <v>#REF!</v>
      </c>
      <c r="P418" s="2" t="str">
        <f>IFERROR(__xludf.DUMMYFUNCTION("IMPORTRANGE(""https://docs.google.com/spreadsheets/d/""&amp;$A418&amp;""/edit#gid=156619080"",P$3)"),"#REF!")</f>
        <v>#REF!</v>
      </c>
      <c r="Q418" s="2" t="str">
        <f>IFERROR(__xludf.DUMMYFUNCTION("IMPORTRANGE(""https://docs.google.com/spreadsheets/d/""&amp;$A418&amp;""/edit#gid=156619080"",Q$3)"),"#REF!")</f>
        <v>#REF!</v>
      </c>
      <c r="R418" s="2" t="str">
        <f>IFERROR(__xludf.DUMMYFUNCTION("IMPORTRANGE(""https://docs.google.com/spreadsheets/d/""&amp;$A418&amp;""/edit#gid=156619080"",R$3)"),"#REF!")</f>
        <v>#REF!</v>
      </c>
      <c r="S418" s="2" t="str">
        <f>IFERROR(__xludf.DUMMYFUNCTION("IMPORTRANGE(""https://docs.google.com/spreadsheets/d/""&amp;$A418&amp;""/edit#gid=156619080"",S$3)"),"#REF!")</f>
        <v>#REF!</v>
      </c>
      <c r="T418" s="2" t="str">
        <f>IFERROR(__xludf.DUMMYFUNCTION("IMPORTRANGE(""https://docs.google.com/spreadsheets/d/""&amp;$A418&amp;""/edit#gid=156619080"",T$3)"),"#REF!")</f>
        <v>#REF!</v>
      </c>
      <c r="U418" s="2" t="str">
        <f>IFERROR(__xludf.DUMMYFUNCTION("IMPORTRANGE(""https://docs.google.com/spreadsheets/d/""&amp;$A418&amp;""/edit#gid=156619080"",U$3)"),"#REF!")</f>
        <v>#REF!</v>
      </c>
      <c r="V418" s="2" t="str">
        <f>IFERROR(__xludf.DUMMYFUNCTION("IMPORTRANGE(""https://docs.google.com/spreadsheets/d/""&amp;$A418&amp;""/edit#gid=156619080"",V$3)"),"#REF!")</f>
        <v>#REF!</v>
      </c>
      <c r="W418" s="2" t="str">
        <f>IFERROR(__xludf.DUMMYFUNCTION("IMPORTRANGE(""https://docs.google.com/spreadsheets/d/""&amp;$A418&amp;""/edit#gid=156619080"",W$3)"),"#REF!")</f>
        <v>#REF!</v>
      </c>
      <c r="X418" s="2" t="str">
        <f>IFERROR(__xludf.DUMMYFUNCTION("IMPORTRANGE(""https://docs.google.com/spreadsheets/d/""&amp;$A418&amp;""/edit#gid=156619080"",X$3)"),"#REF!")</f>
        <v>#REF!</v>
      </c>
      <c r="Y418" s="2" t="str">
        <f>IFERROR(__xludf.DUMMYFUNCTION("IMPORTRANGE(""https://docs.google.com/spreadsheets/d/""&amp;$A418&amp;""/edit#gid=156619080"",Y$3)"),"#REF!")</f>
        <v>#REF!</v>
      </c>
      <c r="Z418" s="2" t="str">
        <f>IFERROR(__xludf.DUMMYFUNCTION("IMPORTRANGE(""https://docs.google.com/spreadsheets/d/""&amp;$A418&amp;""/edit#gid=156619080"",Z$3)"),"#REF!")</f>
        <v>#REF!</v>
      </c>
      <c r="AA418" s="2" t="str">
        <f>IFERROR(__xludf.DUMMYFUNCTION("IMPORTRANGE(""https://docs.google.com/spreadsheets/d/""&amp;$A418&amp;""/edit#gid=156619080"",AA$3)"),"#REF!")</f>
        <v>#REF!</v>
      </c>
      <c r="AB418" s="2" t="str">
        <f>IFERROR(__xludf.DUMMYFUNCTION("IMPORTRANGE(""https://docs.google.com/spreadsheets/d/""&amp;$A418&amp;""/edit#gid=156619080"",AB$3)"),"#REF!")</f>
        <v>#REF!</v>
      </c>
      <c r="AC418" s="2" t="str">
        <f>IFERROR(__xludf.DUMMYFUNCTION("IMPORTRANGE(""https://docs.google.com/spreadsheets/d/""&amp;$A418&amp;""/edit#gid=156619080"",AC$3)"),"#REF!")</f>
        <v>#REF!</v>
      </c>
      <c r="AD418" s="2" t="str">
        <f>IFERROR(__xludf.DUMMYFUNCTION("IMPORTRANGE(""https://docs.google.com/spreadsheets/d/""&amp;$A418&amp;""/edit#gid=156619080"",AD$3)"),"#REF!")</f>
        <v>#REF!</v>
      </c>
      <c r="AE418" s="2" t="str">
        <f>IFERROR(__xludf.DUMMYFUNCTION("IMPORTRANGE(""https://docs.google.com/spreadsheets/d/""&amp;$A418&amp;""/edit#gid=156619080"",AE$3)"),"#REF!")</f>
        <v>#REF!</v>
      </c>
      <c r="AF418" s="2" t="str">
        <f>IFERROR(__xludf.DUMMYFUNCTION("IMPORTRANGE(""https://docs.google.com/spreadsheets/d/""&amp;$A418&amp;""/edit#gid=156619080"",AF$3)"),"#REF!")</f>
        <v>#REF!</v>
      </c>
      <c r="AG418" s="2" t="str">
        <f>IFERROR(__xludf.DUMMYFUNCTION("IMPORTRANGE(""https://docs.google.com/spreadsheets/d/""&amp;$A418&amp;""/edit#gid=156619080"",AG$3)"),"#REF!")</f>
        <v>#REF!</v>
      </c>
      <c r="AH418" s="2" t="str">
        <f>IFERROR(__xludf.DUMMYFUNCTION("IMPORTRANGE(""https://docs.google.com/spreadsheets/d/""&amp;$A418&amp;""/edit#gid=156619080"",AH$3)"),"#REF!")</f>
        <v>#REF!</v>
      </c>
      <c r="AI418" s="2" t="str">
        <f>IFERROR(__xludf.DUMMYFUNCTION("IMPORTRANGE(""https://docs.google.com/spreadsheets/d/""&amp;$A418&amp;""/edit#gid=156619080"",AI$3)"),"#REF!")</f>
        <v>#REF!</v>
      </c>
      <c r="AJ418" s="2" t="str">
        <f>IFERROR(__xludf.DUMMYFUNCTION("IMPORTRANGE(""https://docs.google.com/spreadsheets/d/""&amp;$A418&amp;""/edit#gid=156619080"",AJ$3)"),"#REF!")</f>
        <v>#REF!</v>
      </c>
      <c r="AK418" s="2" t="str">
        <f>IFERROR(__xludf.DUMMYFUNCTION("IMPORTRANGE(""https://docs.google.com/spreadsheets/d/""&amp;$A418&amp;""/edit#gid=156619080"",AK$3)"),"#REF!")</f>
        <v>#REF!</v>
      </c>
      <c r="AL418" s="2" t="str">
        <f>IFERROR(__xludf.DUMMYFUNCTION("IMPORTRANGE(""https://docs.google.com/spreadsheets/d/""&amp;$A418&amp;""/edit#gid=156619080"",AL$3)"),"#REF!")</f>
        <v>#REF!</v>
      </c>
      <c r="AM418" s="2" t="str">
        <f>IFERROR(__xludf.DUMMYFUNCTION("IMPORTRANGE(""https://docs.google.com/spreadsheets/d/""&amp;$A418&amp;""/edit#gid=156619080"",AM$3)"),"#REF!")</f>
        <v>#REF!</v>
      </c>
      <c r="AN418" s="2" t="str">
        <f>IFERROR(__xludf.DUMMYFUNCTION("IMPORTRANGE(""https://docs.google.com/spreadsheets/d/""&amp;$A418&amp;""/edit#gid=156619080"",AN$3)"),"#REF!")</f>
        <v>#REF!</v>
      </c>
      <c r="AO418" s="2" t="str">
        <f>IFERROR(__xludf.DUMMYFUNCTION("IMPORTRANGE(""https://docs.google.com/spreadsheets/d/""&amp;$A418&amp;""/edit#gid=156619080"",AO$3)"),"#REF!")</f>
        <v>#REF!</v>
      </c>
      <c r="AP418" s="2" t="str">
        <f>IFERROR(__xludf.DUMMYFUNCTION("IMPORTRANGE(""https://docs.google.com/spreadsheets/d/""&amp;$A418&amp;""/edit#gid=156619080"",AP$3)"),"#REF!")</f>
        <v>#REF!</v>
      </c>
      <c r="AQ418" s="2" t="str">
        <f>IFERROR(__xludf.DUMMYFUNCTION("IMPORTRANGE(""https://docs.google.com/spreadsheets/d/""&amp;$A418&amp;""/edit#gid=156619080"",AQ$3)"),"#REF!")</f>
        <v>#REF!</v>
      </c>
      <c r="AR418" s="2" t="str">
        <f>IFERROR(__xludf.DUMMYFUNCTION("IMPORTRANGE(""https://docs.google.com/spreadsheets/d/""&amp;$A418&amp;""/edit#gid=156619080"",AR$3)"),"#REF!")</f>
        <v>#REF!</v>
      </c>
      <c r="AS418" s="19" t="str">
        <f>IFERROR(__xludf.DUMMYFUNCTION("IMPORTRANGE(""https://docs.google.com/spreadsheets/d/""&amp;$A418&amp;""/edit#gid=156619080"",AS$3)"),"#REF!")</f>
        <v>#REF!</v>
      </c>
      <c r="AT418" s="2" t="str">
        <f>IFERROR(__xludf.DUMMYFUNCTION("IMPORTRANGE(""https://docs.google.com/spreadsheets/d/""&amp;$A418&amp;""/edit#gid=156619080"",AT$3)"),"#REF!")</f>
        <v>#REF!</v>
      </c>
      <c r="AU418" s="3" t="str">
        <f>IFERROR(__xludf.DUMMYFUNCTION("IMPORTRANGE(""https://docs.google.com/spreadsheets/d/""&amp;$A418&amp;""/edit#gid=156619080"",AU$3)"),"#REF!")</f>
        <v>#REF!</v>
      </c>
      <c r="AV418" s="2" t="str">
        <f>IFERROR(__xludf.DUMMYFUNCTION("IMPORTRANGE(""https://docs.google.com/spreadsheets/d/""&amp;$A418&amp;""/edit#gid=156619080"",AV$3)"),"#REF!")</f>
        <v>#REF!</v>
      </c>
      <c r="AW418" s="19" t="str">
        <f>IFERROR(__xludf.DUMMYFUNCTION("IMPORTRANGE(""https://docs.google.com/spreadsheets/d/""&amp;$A418&amp;""/edit#gid=156619080"",AW$3)"),"#REF!")</f>
        <v>#REF!</v>
      </c>
      <c r="AX418" s="2" t="str">
        <f>IFERROR(__xludf.DUMMYFUNCTION("IMPORTRANGE(""https://docs.google.com/spreadsheets/d/""&amp;$A418&amp;""/edit#gid=156619080"",AX$3)"),"#REF!")</f>
        <v>#REF!</v>
      </c>
      <c r="AY418" s="2" t="str">
        <f>IFERROR(__xludf.DUMMYFUNCTION("IMPORTRANGE(""https://docs.google.com/spreadsheets/d/""&amp;$A418&amp;""/edit#gid=156619080"",AY$3)"),"#REF!")</f>
        <v>#REF!</v>
      </c>
      <c r="AZ418" s="2" t="str">
        <f>IFERROR(__xludf.DUMMYFUNCTION("IMPORTRANGE(""https://docs.google.com/spreadsheets/d/""&amp;$A418&amp;""/edit#gid=156619080"",AZ$3)"),"#REF!")</f>
        <v>#REF!</v>
      </c>
      <c r="BA418" s="2" t="str">
        <f>IFERROR(__xludf.DUMMYFUNCTION("IMPORTRANGE(""https://docs.google.com/spreadsheets/d/""&amp;$A418&amp;""/edit#gid=156619080"",BA$3)"),"#REF!")</f>
        <v>#REF!</v>
      </c>
      <c r="BB418" s="2" t="str">
        <f>IFERROR(__xludf.DUMMYFUNCTION("IMPORTRANGE(""https://docs.google.com/spreadsheets/d/""&amp;$A418&amp;""/edit#gid=156619080"",BB$3)"),"#REF!")</f>
        <v>#REF!</v>
      </c>
      <c r="BC418" s="2" t="str">
        <f>IFERROR(__xludf.DUMMYFUNCTION("IMPORTRANGE(""https://docs.google.com/spreadsheets/d/""&amp;$A418&amp;""/edit#gid=156619080"",BC$3)"),"#REF!")</f>
        <v>#REF!</v>
      </c>
    </row>
    <row r="419" ht="51.0" customHeight="1">
      <c r="A419" s="7" t="str">
        <f t="shared" si="5"/>
        <v>1EG0J6LjQEw_5wpimGJ1mPsnRlX7yBN-EXCA2MVzpjMc</v>
      </c>
      <c r="B419" s="1" t="s">
        <v>446</v>
      </c>
      <c r="C419" s="2" t="str">
        <f>IFERROR(__xludf.DUMMYFUNCTION("IMPORTRANGE(""https://docs.google.com/spreadsheets/d/""&amp;$A419&amp;""/edit#gid=156619080"",C$3)"),"#REF!")</f>
        <v>#REF!</v>
      </c>
      <c r="D419" s="2" t="str">
        <f>IFERROR(__xludf.DUMMYFUNCTION("IMPORTRANGE(""https://docs.google.com/spreadsheets/d/""&amp;$A419&amp;""/edit#gid=156619080"",D$3)"),"#REF!")</f>
        <v>#REF!</v>
      </c>
      <c r="E419" s="2" t="str">
        <f>IFERROR(__xludf.DUMMYFUNCTION("IMPORTRANGE(""https://docs.google.com/spreadsheets/d/""&amp;$A419&amp;""/edit#gid=156619080"",E$3)"),"#REF!")</f>
        <v>#REF!</v>
      </c>
      <c r="F419" s="2" t="str">
        <f>IFERROR(__xludf.DUMMYFUNCTION("IMPORTRANGE(""https://docs.google.com/spreadsheets/d/""&amp;$A419&amp;""/edit#gid=156619080"",F$3)"),"#REF!")</f>
        <v>#REF!</v>
      </c>
      <c r="G419" s="2" t="str">
        <f>IFERROR(__xludf.DUMMYFUNCTION("IMPORTRANGE(""https://docs.google.com/spreadsheets/d/""&amp;$A419&amp;""/edit#gid=156619080"",G$3)"),"#REF!")</f>
        <v>#REF!</v>
      </c>
      <c r="H419" s="2" t="str">
        <f>IFERROR(__xludf.DUMMYFUNCTION("IMPORTRANGE(""https://docs.google.com/spreadsheets/d/""&amp;$A419&amp;""/edit#gid=156619080"",H$3)"),"#REF!")</f>
        <v>#REF!</v>
      </c>
      <c r="I419" s="2" t="str">
        <f>IFERROR(__xludf.DUMMYFUNCTION("IMPORTRANGE(""https://docs.google.com/spreadsheets/d/""&amp;$A419&amp;""/edit#gid=156619080"",I$3)"),"#REF!")</f>
        <v>#REF!</v>
      </c>
      <c r="J419" s="2" t="str">
        <f>IFERROR(__xludf.DUMMYFUNCTION("IMPORTRANGE(""https://docs.google.com/spreadsheets/d/""&amp;$A419&amp;""/edit#gid=156619080"",J$3)"),"#REF!")</f>
        <v>#REF!</v>
      </c>
      <c r="K419" s="2" t="str">
        <f>IFERROR(__xludf.DUMMYFUNCTION("IMPORTRANGE(""https://docs.google.com/spreadsheets/d/""&amp;$A419&amp;""/edit#gid=156619080"",K$3)"),"#REF!")</f>
        <v>#REF!</v>
      </c>
      <c r="L419" s="2" t="str">
        <f>IFERROR(__xludf.DUMMYFUNCTION("IMPORTRANGE(""https://docs.google.com/spreadsheets/d/""&amp;$A419&amp;""/edit#gid=156619080"",L$3)"),"#REF!")</f>
        <v>#REF!</v>
      </c>
      <c r="M419" s="2" t="str">
        <f>IFERROR(__xludf.DUMMYFUNCTION("IMPORTRANGE(""https://docs.google.com/spreadsheets/d/""&amp;$A419&amp;""/edit#gid=156619080"",M$3)"),"#REF!")</f>
        <v>#REF!</v>
      </c>
      <c r="N419" s="2" t="str">
        <f>IFERROR(__xludf.DUMMYFUNCTION("IMPORTRANGE(""https://docs.google.com/spreadsheets/d/""&amp;$A419&amp;""/edit#gid=156619080"",N$3)"),"#REF!")</f>
        <v>#REF!</v>
      </c>
      <c r="O419" s="2" t="str">
        <f>IFERROR(__xludf.DUMMYFUNCTION("IMPORTRANGE(""https://docs.google.com/spreadsheets/d/""&amp;$A419&amp;""/edit#gid=156619080"",O$3)"),"#REF!")</f>
        <v>#REF!</v>
      </c>
      <c r="P419" s="2" t="str">
        <f>IFERROR(__xludf.DUMMYFUNCTION("IMPORTRANGE(""https://docs.google.com/spreadsheets/d/""&amp;$A419&amp;""/edit#gid=156619080"",P$3)"),"#REF!")</f>
        <v>#REF!</v>
      </c>
      <c r="Q419" s="2" t="str">
        <f>IFERROR(__xludf.DUMMYFUNCTION("IMPORTRANGE(""https://docs.google.com/spreadsheets/d/""&amp;$A419&amp;""/edit#gid=156619080"",Q$3)"),"#REF!")</f>
        <v>#REF!</v>
      </c>
      <c r="R419" s="2" t="str">
        <f>IFERROR(__xludf.DUMMYFUNCTION("IMPORTRANGE(""https://docs.google.com/spreadsheets/d/""&amp;$A419&amp;""/edit#gid=156619080"",R$3)"),"#REF!")</f>
        <v>#REF!</v>
      </c>
      <c r="S419" s="2" t="str">
        <f>IFERROR(__xludf.DUMMYFUNCTION("IMPORTRANGE(""https://docs.google.com/spreadsheets/d/""&amp;$A419&amp;""/edit#gid=156619080"",S$3)"),"#REF!")</f>
        <v>#REF!</v>
      </c>
      <c r="T419" s="2" t="str">
        <f>IFERROR(__xludf.DUMMYFUNCTION("IMPORTRANGE(""https://docs.google.com/spreadsheets/d/""&amp;$A419&amp;""/edit#gid=156619080"",T$3)"),"#REF!")</f>
        <v>#REF!</v>
      </c>
      <c r="U419" s="2" t="str">
        <f>IFERROR(__xludf.DUMMYFUNCTION("IMPORTRANGE(""https://docs.google.com/spreadsheets/d/""&amp;$A419&amp;""/edit#gid=156619080"",U$3)"),"#REF!")</f>
        <v>#REF!</v>
      </c>
      <c r="V419" s="2" t="str">
        <f>IFERROR(__xludf.DUMMYFUNCTION("IMPORTRANGE(""https://docs.google.com/spreadsheets/d/""&amp;$A419&amp;""/edit#gid=156619080"",V$3)"),"#REF!")</f>
        <v>#REF!</v>
      </c>
      <c r="W419" s="2" t="str">
        <f>IFERROR(__xludf.DUMMYFUNCTION("IMPORTRANGE(""https://docs.google.com/spreadsheets/d/""&amp;$A419&amp;""/edit#gid=156619080"",W$3)"),"#REF!")</f>
        <v>#REF!</v>
      </c>
      <c r="X419" s="2" t="str">
        <f>IFERROR(__xludf.DUMMYFUNCTION("IMPORTRANGE(""https://docs.google.com/spreadsheets/d/""&amp;$A419&amp;""/edit#gid=156619080"",X$3)"),"#REF!")</f>
        <v>#REF!</v>
      </c>
      <c r="Y419" s="2" t="str">
        <f>IFERROR(__xludf.DUMMYFUNCTION("IMPORTRANGE(""https://docs.google.com/spreadsheets/d/""&amp;$A419&amp;""/edit#gid=156619080"",Y$3)"),"#REF!")</f>
        <v>#REF!</v>
      </c>
      <c r="Z419" s="2" t="str">
        <f>IFERROR(__xludf.DUMMYFUNCTION("IMPORTRANGE(""https://docs.google.com/spreadsheets/d/""&amp;$A419&amp;""/edit#gid=156619080"",Z$3)"),"#REF!")</f>
        <v>#REF!</v>
      </c>
      <c r="AA419" s="2" t="str">
        <f>IFERROR(__xludf.DUMMYFUNCTION("IMPORTRANGE(""https://docs.google.com/spreadsheets/d/""&amp;$A419&amp;""/edit#gid=156619080"",AA$3)"),"#REF!")</f>
        <v>#REF!</v>
      </c>
      <c r="AB419" s="2" t="str">
        <f>IFERROR(__xludf.DUMMYFUNCTION("IMPORTRANGE(""https://docs.google.com/spreadsheets/d/""&amp;$A419&amp;""/edit#gid=156619080"",AB$3)"),"#REF!")</f>
        <v>#REF!</v>
      </c>
      <c r="AC419" s="2" t="str">
        <f>IFERROR(__xludf.DUMMYFUNCTION("IMPORTRANGE(""https://docs.google.com/spreadsheets/d/""&amp;$A419&amp;""/edit#gid=156619080"",AC$3)"),"#REF!")</f>
        <v>#REF!</v>
      </c>
      <c r="AD419" s="2" t="str">
        <f>IFERROR(__xludf.DUMMYFUNCTION("IMPORTRANGE(""https://docs.google.com/spreadsheets/d/""&amp;$A419&amp;""/edit#gid=156619080"",AD$3)"),"#REF!")</f>
        <v>#REF!</v>
      </c>
      <c r="AE419" s="2" t="str">
        <f>IFERROR(__xludf.DUMMYFUNCTION("IMPORTRANGE(""https://docs.google.com/spreadsheets/d/""&amp;$A419&amp;""/edit#gid=156619080"",AE$3)"),"#REF!")</f>
        <v>#REF!</v>
      </c>
      <c r="AF419" s="2" t="str">
        <f>IFERROR(__xludf.DUMMYFUNCTION("IMPORTRANGE(""https://docs.google.com/spreadsheets/d/""&amp;$A419&amp;""/edit#gid=156619080"",AF$3)"),"#REF!")</f>
        <v>#REF!</v>
      </c>
      <c r="AG419" s="2" t="str">
        <f>IFERROR(__xludf.DUMMYFUNCTION("IMPORTRANGE(""https://docs.google.com/spreadsheets/d/""&amp;$A419&amp;""/edit#gid=156619080"",AG$3)"),"#REF!")</f>
        <v>#REF!</v>
      </c>
      <c r="AH419" s="2" t="str">
        <f>IFERROR(__xludf.DUMMYFUNCTION("IMPORTRANGE(""https://docs.google.com/spreadsheets/d/""&amp;$A419&amp;""/edit#gid=156619080"",AH$3)"),"#REF!")</f>
        <v>#REF!</v>
      </c>
      <c r="AI419" s="2" t="str">
        <f>IFERROR(__xludf.DUMMYFUNCTION("IMPORTRANGE(""https://docs.google.com/spreadsheets/d/""&amp;$A419&amp;""/edit#gid=156619080"",AI$3)"),"#REF!")</f>
        <v>#REF!</v>
      </c>
      <c r="AJ419" s="2" t="str">
        <f>IFERROR(__xludf.DUMMYFUNCTION("IMPORTRANGE(""https://docs.google.com/spreadsheets/d/""&amp;$A419&amp;""/edit#gid=156619080"",AJ$3)"),"#REF!")</f>
        <v>#REF!</v>
      </c>
      <c r="AK419" s="2" t="str">
        <f>IFERROR(__xludf.DUMMYFUNCTION("IMPORTRANGE(""https://docs.google.com/spreadsheets/d/""&amp;$A419&amp;""/edit#gid=156619080"",AK$3)"),"#REF!")</f>
        <v>#REF!</v>
      </c>
      <c r="AL419" s="2" t="str">
        <f>IFERROR(__xludf.DUMMYFUNCTION("IMPORTRANGE(""https://docs.google.com/spreadsheets/d/""&amp;$A419&amp;""/edit#gid=156619080"",AL$3)"),"#REF!")</f>
        <v>#REF!</v>
      </c>
      <c r="AM419" s="2" t="str">
        <f>IFERROR(__xludf.DUMMYFUNCTION("IMPORTRANGE(""https://docs.google.com/spreadsheets/d/""&amp;$A419&amp;""/edit#gid=156619080"",AM$3)"),"#REF!")</f>
        <v>#REF!</v>
      </c>
      <c r="AN419" s="2" t="str">
        <f>IFERROR(__xludf.DUMMYFUNCTION("IMPORTRANGE(""https://docs.google.com/spreadsheets/d/""&amp;$A419&amp;""/edit#gid=156619080"",AN$3)"),"#REF!")</f>
        <v>#REF!</v>
      </c>
      <c r="AO419" s="2" t="str">
        <f>IFERROR(__xludf.DUMMYFUNCTION("IMPORTRANGE(""https://docs.google.com/spreadsheets/d/""&amp;$A419&amp;""/edit#gid=156619080"",AO$3)"),"#REF!")</f>
        <v>#REF!</v>
      </c>
      <c r="AP419" s="2" t="str">
        <f>IFERROR(__xludf.DUMMYFUNCTION("IMPORTRANGE(""https://docs.google.com/spreadsheets/d/""&amp;$A419&amp;""/edit#gid=156619080"",AP$3)"),"#REF!")</f>
        <v>#REF!</v>
      </c>
      <c r="AQ419" s="2" t="str">
        <f>IFERROR(__xludf.DUMMYFUNCTION("IMPORTRANGE(""https://docs.google.com/spreadsheets/d/""&amp;$A419&amp;""/edit#gid=156619080"",AQ$3)"),"#REF!")</f>
        <v>#REF!</v>
      </c>
      <c r="AR419" s="2" t="str">
        <f>IFERROR(__xludf.DUMMYFUNCTION("IMPORTRANGE(""https://docs.google.com/spreadsheets/d/""&amp;$A419&amp;""/edit#gid=156619080"",AR$3)"),"#REF!")</f>
        <v>#REF!</v>
      </c>
      <c r="AS419" s="19" t="str">
        <f>IFERROR(__xludf.DUMMYFUNCTION("IMPORTRANGE(""https://docs.google.com/spreadsheets/d/""&amp;$A419&amp;""/edit#gid=156619080"",AS$3)"),"#REF!")</f>
        <v>#REF!</v>
      </c>
      <c r="AT419" s="2" t="str">
        <f>IFERROR(__xludf.DUMMYFUNCTION("IMPORTRANGE(""https://docs.google.com/spreadsheets/d/""&amp;$A419&amp;""/edit#gid=156619080"",AT$3)"),"#REF!")</f>
        <v>#REF!</v>
      </c>
      <c r="AU419" s="3" t="str">
        <f>IFERROR(__xludf.DUMMYFUNCTION("IMPORTRANGE(""https://docs.google.com/spreadsheets/d/""&amp;$A419&amp;""/edit#gid=156619080"",AU$3)"),"#REF!")</f>
        <v>#REF!</v>
      </c>
      <c r="AV419" s="2" t="str">
        <f>IFERROR(__xludf.DUMMYFUNCTION("IMPORTRANGE(""https://docs.google.com/spreadsheets/d/""&amp;$A419&amp;""/edit#gid=156619080"",AV$3)"),"#REF!")</f>
        <v>#REF!</v>
      </c>
      <c r="AW419" s="19" t="str">
        <f>IFERROR(__xludf.DUMMYFUNCTION("IMPORTRANGE(""https://docs.google.com/spreadsheets/d/""&amp;$A419&amp;""/edit#gid=156619080"",AW$3)"),"#REF!")</f>
        <v>#REF!</v>
      </c>
      <c r="AX419" s="2" t="str">
        <f>IFERROR(__xludf.DUMMYFUNCTION("IMPORTRANGE(""https://docs.google.com/spreadsheets/d/""&amp;$A419&amp;""/edit#gid=156619080"",AX$3)"),"#REF!")</f>
        <v>#REF!</v>
      </c>
      <c r="AY419" s="2" t="str">
        <f>IFERROR(__xludf.DUMMYFUNCTION("IMPORTRANGE(""https://docs.google.com/spreadsheets/d/""&amp;$A419&amp;""/edit#gid=156619080"",AY$3)"),"#REF!")</f>
        <v>#REF!</v>
      </c>
      <c r="AZ419" s="2" t="str">
        <f>IFERROR(__xludf.DUMMYFUNCTION("IMPORTRANGE(""https://docs.google.com/spreadsheets/d/""&amp;$A419&amp;""/edit#gid=156619080"",AZ$3)"),"#REF!")</f>
        <v>#REF!</v>
      </c>
      <c r="BA419" s="2" t="str">
        <f>IFERROR(__xludf.DUMMYFUNCTION("IMPORTRANGE(""https://docs.google.com/spreadsheets/d/""&amp;$A419&amp;""/edit#gid=156619080"",BA$3)"),"#REF!")</f>
        <v>#REF!</v>
      </c>
      <c r="BB419" s="2" t="str">
        <f>IFERROR(__xludf.DUMMYFUNCTION("IMPORTRANGE(""https://docs.google.com/spreadsheets/d/""&amp;$A419&amp;""/edit#gid=156619080"",BB$3)"),"#REF!")</f>
        <v>#REF!</v>
      </c>
      <c r="BC419" s="2" t="str">
        <f>IFERROR(__xludf.DUMMYFUNCTION("IMPORTRANGE(""https://docs.google.com/spreadsheets/d/""&amp;$A419&amp;""/edit#gid=156619080"",BC$3)"),"#REF!")</f>
        <v>#REF!</v>
      </c>
    </row>
    <row r="420" ht="51.0" customHeight="1">
      <c r="A420" s="7" t="str">
        <f t="shared" si="5"/>
        <v>1Xs5uIeEhLAoMoeyuQ2J3sSPELczJ83rUIg-K7m3o5g0</v>
      </c>
      <c r="B420" s="1" t="s">
        <v>447</v>
      </c>
      <c r="C420" s="2" t="str">
        <f>IFERROR(__xludf.DUMMYFUNCTION("IMPORTRANGE(""https://docs.google.com/spreadsheets/d/""&amp;$A420&amp;""/edit#gid=156619080"",C$3)"),"#REF!")</f>
        <v>#REF!</v>
      </c>
      <c r="D420" s="2" t="str">
        <f>IFERROR(__xludf.DUMMYFUNCTION("IMPORTRANGE(""https://docs.google.com/spreadsheets/d/""&amp;$A420&amp;""/edit#gid=156619080"",D$3)"),"#REF!")</f>
        <v>#REF!</v>
      </c>
      <c r="E420" s="2" t="str">
        <f>IFERROR(__xludf.DUMMYFUNCTION("IMPORTRANGE(""https://docs.google.com/spreadsheets/d/""&amp;$A420&amp;""/edit#gid=156619080"",E$3)"),"#REF!")</f>
        <v>#REF!</v>
      </c>
      <c r="F420" s="2" t="str">
        <f>IFERROR(__xludf.DUMMYFUNCTION("IMPORTRANGE(""https://docs.google.com/spreadsheets/d/""&amp;$A420&amp;""/edit#gid=156619080"",F$3)"),"#REF!")</f>
        <v>#REF!</v>
      </c>
      <c r="G420" s="2" t="str">
        <f>IFERROR(__xludf.DUMMYFUNCTION("IMPORTRANGE(""https://docs.google.com/spreadsheets/d/""&amp;$A420&amp;""/edit#gid=156619080"",G$3)"),"#REF!")</f>
        <v>#REF!</v>
      </c>
      <c r="H420" s="2" t="str">
        <f>IFERROR(__xludf.DUMMYFUNCTION("IMPORTRANGE(""https://docs.google.com/spreadsheets/d/""&amp;$A420&amp;""/edit#gid=156619080"",H$3)"),"#REF!")</f>
        <v>#REF!</v>
      </c>
      <c r="I420" s="2" t="str">
        <f>IFERROR(__xludf.DUMMYFUNCTION("IMPORTRANGE(""https://docs.google.com/spreadsheets/d/""&amp;$A420&amp;""/edit#gid=156619080"",I$3)"),"#REF!")</f>
        <v>#REF!</v>
      </c>
      <c r="J420" s="2" t="str">
        <f>IFERROR(__xludf.DUMMYFUNCTION("IMPORTRANGE(""https://docs.google.com/spreadsheets/d/""&amp;$A420&amp;""/edit#gid=156619080"",J$3)"),"#REF!")</f>
        <v>#REF!</v>
      </c>
      <c r="K420" s="2" t="str">
        <f>IFERROR(__xludf.DUMMYFUNCTION("IMPORTRANGE(""https://docs.google.com/spreadsheets/d/""&amp;$A420&amp;""/edit#gid=156619080"",K$3)"),"#REF!")</f>
        <v>#REF!</v>
      </c>
      <c r="L420" s="2" t="str">
        <f>IFERROR(__xludf.DUMMYFUNCTION("IMPORTRANGE(""https://docs.google.com/spreadsheets/d/""&amp;$A420&amp;""/edit#gid=156619080"",L$3)"),"#REF!")</f>
        <v>#REF!</v>
      </c>
      <c r="M420" s="2" t="str">
        <f>IFERROR(__xludf.DUMMYFUNCTION("IMPORTRANGE(""https://docs.google.com/spreadsheets/d/""&amp;$A420&amp;""/edit#gid=156619080"",M$3)"),"#REF!")</f>
        <v>#REF!</v>
      </c>
      <c r="N420" s="2" t="str">
        <f>IFERROR(__xludf.DUMMYFUNCTION("IMPORTRANGE(""https://docs.google.com/spreadsheets/d/""&amp;$A420&amp;""/edit#gid=156619080"",N$3)"),"#REF!")</f>
        <v>#REF!</v>
      </c>
      <c r="O420" s="2" t="str">
        <f>IFERROR(__xludf.DUMMYFUNCTION("IMPORTRANGE(""https://docs.google.com/spreadsheets/d/""&amp;$A420&amp;""/edit#gid=156619080"",O$3)"),"#REF!")</f>
        <v>#REF!</v>
      </c>
      <c r="P420" s="2" t="str">
        <f>IFERROR(__xludf.DUMMYFUNCTION("IMPORTRANGE(""https://docs.google.com/spreadsheets/d/""&amp;$A420&amp;""/edit#gid=156619080"",P$3)"),"#REF!")</f>
        <v>#REF!</v>
      </c>
      <c r="Q420" s="2" t="str">
        <f>IFERROR(__xludf.DUMMYFUNCTION("IMPORTRANGE(""https://docs.google.com/spreadsheets/d/""&amp;$A420&amp;""/edit#gid=156619080"",Q$3)"),"#REF!")</f>
        <v>#REF!</v>
      </c>
      <c r="R420" s="2" t="str">
        <f>IFERROR(__xludf.DUMMYFUNCTION("IMPORTRANGE(""https://docs.google.com/spreadsheets/d/""&amp;$A420&amp;""/edit#gid=156619080"",R$3)"),"#REF!")</f>
        <v>#REF!</v>
      </c>
      <c r="S420" s="2" t="str">
        <f>IFERROR(__xludf.DUMMYFUNCTION("IMPORTRANGE(""https://docs.google.com/spreadsheets/d/""&amp;$A420&amp;""/edit#gid=156619080"",S$3)"),"#REF!")</f>
        <v>#REF!</v>
      </c>
      <c r="T420" s="2" t="str">
        <f>IFERROR(__xludf.DUMMYFUNCTION("IMPORTRANGE(""https://docs.google.com/spreadsheets/d/""&amp;$A420&amp;""/edit#gid=156619080"",T$3)"),"#REF!")</f>
        <v>#REF!</v>
      </c>
      <c r="U420" s="2" t="str">
        <f>IFERROR(__xludf.DUMMYFUNCTION("IMPORTRANGE(""https://docs.google.com/spreadsheets/d/""&amp;$A420&amp;""/edit#gid=156619080"",U$3)"),"#REF!")</f>
        <v>#REF!</v>
      </c>
      <c r="V420" s="2" t="str">
        <f>IFERROR(__xludf.DUMMYFUNCTION("IMPORTRANGE(""https://docs.google.com/spreadsheets/d/""&amp;$A420&amp;""/edit#gid=156619080"",V$3)"),"#REF!")</f>
        <v>#REF!</v>
      </c>
      <c r="W420" s="2" t="str">
        <f>IFERROR(__xludf.DUMMYFUNCTION("IMPORTRANGE(""https://docs.google.com/spreadsheets/d/""&amp;$A420&amp;""/edit#gid=156619080"",W$3)"),"#REF!")</f>
        <v>#REF!</v>
      </c>
      <c r="X420" s="2" t="str">
        <f>IFERROR(__xludf.DUMMYFUNCTION("IMPORTRANGE(""https://docs.google.com/spreadsheets/d/""&amp;$A420&amp;""/edit#gid=156619080"",X$3)"),"#REF!")</f>
        <v>#REF!</v>
      </c>
      <c r="Y420" s="2" t="str">
        <f>IFERROR(__xludf.DUMMYFUNCTION("IMPORTRANGE(""https://docs.google.com/spreadsheets/d/""&amp;$A420&amp;""/edit#gid=156619080"",Y$3)"),"#REF!")</f>
        <v>#REF!</v>
      </c>
      <c r="Z420" s="2" t="str">
        <f>IFERROR(__xludf.DUMMYFUNCTION("IMPORTRANGE(""https://docs.google.com/spreadsheets/d/""&amp;$A420&amp;""/edit#gid=156619080"",Z$3)"),"#REF!")</f>
        <v>#REF!</v>
      </c>
      <c r="AA420" s="2" t="str">
        <f>IFERROR(__xludf.DUMMYFUNCTION("IMPORTRANGE(""https://docs.google.com/spreadsheets/d/""&amp;$A420&amp;""/edit#gid=156619080"",AA$3)"),"#REF!")</f>
        <v>#REF!</v>
      </c>
      <c r="AB420" s="2" t="str">
        <f>IFERROR(__xludf.DUMMYFUNCTION("IMPORTRANGE(""https://docs.google.com/spreadsheets/d/""&amp;$A420&amp;""/edit#gid=156619080"",AB$3)"),"#REF!")</f>
        <v>#REF!</v>
      </c>
      <c r="AC420" s="2" t="str">
        <f>IFERROR(__xludf.DUMMYFUNCTION("IMPORTRANGE(""https://docs.google.com/spreadsheets/d/""&amp;$A420&amp;""/edit#gid=156619080"",AC$3)"),"#REF!")</f>
        <v>#REF!</v>
      </c>
      <c r="AD420" s="2" t="str">
        <f>IFERROR(__xludf.DUMMYFUNCTION("IMPORTRANGE(""https://docs.google.com/spreadsheets/d/""&amp;$A420&amp;""/edit#gid=156619080"",AD$3)"),"#REF!")</f>
        <v>#REF!</v>
      </c>
      <c r="AE420" s="2" t="str">
        <f>IFERROR(__xludf.DUMMYFUNCTION("IMPORTRANGE(""https://docs.google.com/spreadsheets/d/""&amp;$A420&amp;""/edit#gid=156619080"",AE$3)"),"#REF!")</f>
        <v>#REF!</v>
      </c>
      <c r="AF420" s="2" t="str">
        <f>IFERROR(__xludf.DUMMYFUNCTION("IMPORTRANGE(""https://docs.google.com/spreadsheets/d/""&amp;$A420&amp;""/edit#gid=156619080"",AF$3)"),"#REF!")</f>
        <v>#REF!</v>
      </c>
      <c r="AG420" s="2" t="str">
        <f>IFERROR(__xludf.DUMMYFUNCTION("IMPORTRANGE(""https://docs.google.com/spreadsheets/d/""&amp;$A420&amp;""/edit#gid=156619080"",AG$3)"),"#REF!")</f>
        <v>#REF!</v>
      </c>
      <c r="AH420" s="2" t="str">
        <f>IFERROR(__xludf.DUMMYFUNCTION("IMPORTRANGE(""https://docs.google.com/spreadsheets/d/""&amp;$A420&amp;""/edit#gid=156619080"",AH$3)"),"#REF!")</f>
        <v>#REF!</v>
      </c>
      <c r="AI420" s="2" t="str">
        <f>IFERROR(__xludf.DUMMYFUNCTION("IMPORTRANGE(""https://docs.google.com/spreadsheets/d/""&amp;$A420&amp;""/edit#gid=156619080"",AI$3)"),"#REF!")</f>
        <v>#REF!</v>
      </c>
      <c r="AJ420" s="2" t="str">
        <f>IFERROR(__xludf.DUMMYFUNCTION("IMPORTRANGE(""https://docs.google.com/spreadsheets/d/""&amp;$A420&amp;""/edit#gid=156619080"",AJ$3)"),"#REF!")</f>
        <v>#REF!</v>
      </c>
      <c r="AK420" s="2" t="str">
        <f>IFERROR(__xludf.DUMMYFUNCTION("IMPORTRANGE(""https://docs.google.com/spreadsheets/d/""&amp;$A420&amp;""/edit#gid=156619080"",AK$3)"),"#REF!")</f>
        <v>#REF!</v>
      </c>
      <c r="AL420" s="2" t="str">
        <f>IFERROR(__xludf.DUMMYFUNCTION("IMPORTRANGE(""https://docs.google.com/spreadsheets/d/""&amp;$A420&amp;""/edit#gid=156619080"",AL$3)"),"#REF!")</f>
        <v>#REF!</v>
      </c>
      <c r="AM420" s="2" t="str">
        <f>IFERROR(__xludf.DUMMYFUNCTION("IMPORTRANGE(""https://docs.google.com/spreadsheets/d/""&amp;$A420&amp;""/edit#gid=156619080"",AM$3)"),"#REF!")</f>
        <v>#REF!</v>
      </c>
      <c r="AN420" s="2" t="str">
        <f>IFERROR(__xludf.DUMMYFUNCTION("IMPORTRANGE(""https://docs.google.com/spreadsheets/d/""&amp;$A420&amp;""/edit#gid=156619080"",AN$3)"),"#REF!")</f>
        <v>#REF!</v>
      </c>
      <c r="AO420" s="2" t="str">
        <f>IFERROR(__xludf.DUMMYFUNCTION("IMPORTRANGE(""https://docs.google.com/spreadsheets/d/""&amp;$A420&amp;""/edit#gid=156619080"",AO$3)"),"#REF!")</f>
        <v>#REF!</v>
      </c>
      <c r="AP420" s="2" t="str">
        <f>IFERROR(__xludf.DUMMYFUNCTION("IMPORTRANGE(""https://docs.google.com/spreadsheets/d/""&amp;$A420&amp;""/edit#gid=156619080"",AP$3)"),"#REF!")</f>
        <v>#REF!</v>
      </c>
      <c r="AQ420" s="2" t="str">
        <f>IFERROR(__xludf.DUMMYFUNCTION("IMPORTRANGE(""https://docs.google.com/spreadsheets/d/""&amp;$A420&amp;""/edit#gid=156619080"",AQ$3)"),"#REF!")</f>
        <v>#REF!</v>
      </c>
      <c r="AR420" s="2" t="str">
        <f>IFERROR(__xludf.DUMMYFUNCTION("IMPORTRANGE(""https://docs.google.com/spreadsheets/d/""&amp;$A420&amp;""/edit#gid=156619080"",AR$3)"),"#REF!")</f>
        <v>#REF!</v>
      </c>
      <c r="AS420" s="19" t="str">
        <f>IFERROR(__xludf.DUMMYFUNCTION("IMPORTRANGE(""https://docs.google.com/spreadsheets/d/""&amp;$A420&amp;""/edit#gid=156619080"",AS$3)"),"#REF!")</f>
        <v>#REF!</v>
      </c>
      <c r="AT420" s="2" t="str">
        <f>IFERROR(__xludf.DUMMYFUNCTION("IMPORTRANGE(""https://docs.google.com/spreadsheets/d/""&amp;$A420&amp;""/edit#gid=156619080"",AT$3)"),"#REF!")</f>
        <v>#REF!</v>
      </c>
      <c r="AU420" s="3" t="str">
        <f>IFERROR(__xludf.DUMMYFUNCTION("IMPORTRANGE(""https://docs.google.com/spreadsheets/d/""&amp;$A420&amp;""/edit#gid=156619080"",AU$3)"),"#REF!")</f>
        <v>#REF!</v>
      </c>
      <c r="AV420" s="2" t="str">
        <f>IFERROR(__xludf.DUMMYFUNCTION("IMPORTRANGE(""https://docs.google.com/spreadsheets/d/""&amp;$A420&amp;""/edit#gid=156619080"",AV$3)"),"#REF!")</f>
        <v>#REF!</v>
      </c>
      <c r="AW420" s="19" t="str">
        <f>IFERROR(__xludf.DUMMYFUNCTION("IMPORTRANGE(""https://docs.google.com/spreadsheets/d/""&amp;$A420&amp;""/edit#gid=156619080"",AW$3)"),"#REF!")</f>
        <v>#REF!</v>
      </c>
      <c r="AX420" s="2" t="str">
        <f>IFERROR(__xludf.DUMMYFUNCTION("IMPORTRANGE(""https://docs.google.com/spreadsheets/d/""&amp;$A420&amp;""/edit#gid=156619080"",AX$3)"),"#REF!")</f>
        <v>#REF!</v>
      </c>
      <c r="AY420" s="2" t="str">
        <f>IFERROR(__xludf.DUMMYFUNCTION("IMPORTRANGE(""https://docs.google.com/spreadsheets/d/""&amp;$A420&amp;""/edit#gid=156619080"",AY$3)"),"#REF!")</f>
        <v>#REF!</v>
      </c>
      <c r="AZ420" s="2" t="str">
        <f>IFERROR(__xludf.DUMMYFUNCTION("IMPORTRANGE(""https://docs.google.com/spreadsheets/d/""&amp;$A420&amp;""/edit#gid=156619080"",AZ$3)"),"#REF!")</f>
        <v>#REF!</v>
      </c>
      <c r="BA420" s="2" t="str">
        <f>IFERROR(__xludf.DUMMYFUNCTION("IMPORTRANGE(""https://docs.google.com/spreadsheets/d/""&amp;$A420&amp;""/edit#gid=156619080"",BA$3)"),"#REF!")</f>
        <v>#REF!</v>
      </c>
      <c r="BB420" s="2" t="str">
        <f>IFERROR(__xludf.DUMMYFUNCTION("IMPORTRANGE(""https://docs.google.com/spreadsheets/d/""&amp;$A420&amp;""/edit#gid=156619080"",BB$3)"),"#REF!")</f>
        <v>#REF!</v>
      </c>
      <c r="BC420" s="2" t="str">
        <f>IFERROR(__xludf.DUMMYFUNCTION("IMPORTRANGE(""https://docs.google.com/spreadsheets/d/""&amp;$A420&amp;""/edit#gid=156619080"",BC$3)"),"#REF!")</f>
        <v>#REF!</v>
      </c>
    </row>
    <row r="421" ht="51.0" customHeight="1">
      <c r="A421" s="7" t="str">
        <f t="shared" si="5"/>
        <v>1h5yewOkHGewXKdq6YPUuDG-IrYUw_wS0izsTfzRzKiU</v>
      </c>
      <c r="B421" s="1" t="s">
        <v>448</v>
      </c>
      <c r="C421" s="2" t="str">
        <f>IFERROR(__xludf.DUMMYFUNCTION("IMPORTRANGE(""https://docs.google.com/spreadsheets/d/""&amp;$A421&amp;""/edit#gid=156619080"",C$3)"),"#REF!")</f>
        <v>#REF!</v>
      </c>
      <c r="D421" s="2" t="str">
        <f>IFERROR(__xludf.DUMMYFUNCTION("IMPORTRANGE(""https://docs.google.com/spreadsheets/d/""&amp;$A421&amp;""/edit#gid=156619080"",D$3)"),"#REF!")</f>
        <v>#REF!</v>
      </c>
      <c r="E421" s="2" t="str">
        <f>IFERROR(__xludf.DUMMYFUNCTION("IMPORTRANGE(""https://docs.google.com/spreadsheets/d/""&amp;$A421&amp;""/edit#gid=156619080"",E$3)"),"#REF!")</f>
        <v>#REF!</v>
      </c>
      <c r="F421" s="2" t="str">
        <f>IFERROR(__xludf.DUMMYFUNCTION("IMPORTRANGE(""https://docs.google.com/spreadsheets/d/""&amp;$A421&amp;""/edit#gid=156619080"",F$3)"),"#REF!")</f>
        <v>#REF!</v>
      </c>
      <c r="G421" s="2" t="str">
        <f>IFERROR(__xludf.DUMMYFUNCTION("IMPORTRANGE(""https://docs.google.com/spreadsheets/d/""&amp;$A421&amp;""/edit#gid=156619080"",G$3)"),"#REF!")</f>
        <v>#REF!</v>
      </c>
      <c r="H421" s="2" t="str">
        <f>IFERROR(__xludf.DUMMYFUNCTION("IMPORTRANGE(""https://docs.google.com/spreadsheets/d/""&amp;$A421&amp;""/edit#gid=156619080"",H$3)"),"#REF!")</f>
        <v>#REF!</v>
      </c>
      <c r="I421" s="2" t="str">
        <f>IFERROR(__xludf.DUMMYFUNCTION("IMPORTRANGE(""https://docs.google.com/spreadsheets/d/""&amp;$A421&amp;""/edit#gid=156619080"",I$3)"),"#REF!")</f>
        <v>#REF!</v>
      </c>
      <c r="J421" s="2" t="str">
        <f>IFERROR(__xludf.DUMMYFUNCTION("IMPORTRANGE(""https://docs.google.com/spreadsheets/d/""&amp;$A421&amp;""/edit#gid=156619080"",J$3)"),"#REF!")</f>
        <v>#REF!</v>
      </c>
      <c r="K421" s="2" t="str">
        <f>IFERROR(__xludf.DUMMYFUNCTION("IMPORTRANGE(""https://docs.google.com/spreadsheets/d/""&amp;$A421&amp;""/edit#gid=156619080"",K$3)"),"#REF!")</f>
        <v>#REF!</v>
      </c>
      <c r="L421" s="2" t="str">
        <f>IFERROR(__xludf.DUMMYFUNCTION("IMPORTRANGE(""https://docs.google.com/spreadsheets/d/""&amp;$A421&amp;""/edit#gid=156619080"",L$3)"),"#REF!")</f>
        <v>#REF!</v>
      </c>
      <c r="M421" s="2" t="str">
        <f>IFERROR(__xludf.DUMMYFUNCTION("IMPORTRANGE(""https://docs.google.com/spreadsheets/d/""&amp;$A421&amp;""/edit#gid=156619080"",M$3)"),"#REF!")</f>
        <v>#REF!</v>
      </c>
      <c r="N421" s="2" t="str">
        <f>IFERROR(__xludf.DUMMYFUNCTION("IMPORTRANGE(""https://docs.google.com/spreadsheets/d/""&amp;$A421&amp;""/edit#gid=156619080"",N$3)"),"#REF!")</f>
        <v>#REF!</v>
      </c>
      <c r="O421" s="2" t="str">
        <f>IFERROR(__xludf.DUMMYFUNCTION("IMPORTRANGE(""https://docs.google.com/spreadsheets/d/""&amp;$A421&amp;""/edit#gid=156619080"",O$3)"),"#REF!")</f>
        <v>#REF!</v>
      </c>
      <c r="P421" s="2" t="str">
        <f>IFERROR(__xludf.DUMMYFUNCTION("IMPORTRANGE(""https://docs.google.com/spreadsheets/d/""&amp;$A421&amp;""/edit#gid=156619080"",P$3)"),"#REF!")</f>
        <v>#REF!</v>
      </c>
      <c r="Q421" s="2" t="str">
        <f>IFERROR(__xludf.DUMMYFUNCTION("IMPORTRANGE(""https://docs.google.com/spreadsheets/d/""&amp;$A421&amp;""/edit#gid=156619080"",Q$3)"),"#REF!")</f>
        <v>#REF!</v>
      </c>
      <c r="R421" s="2" t="str">
        <f>IFERROR(__xludf.DUMMYFUNCTION("IMPORTRANGE(""https://docs.google.com/spreadsheets/d/""&amp;$A421&amp;""/edit#gid=156619080"",R$3)"),"#REF!")</f>
        <v>#REF!</v>
      </c>
      <c r="S421" s="2" t="str">
        <f>IFERROR(__xludf.DUMMYFUNCTION("IMPORTRANGE(""https://docs.google.com/spreadsheets/d/""&amp;$A421&amp;""/edit#gid=156619080"",S$3)"),"#REF!")</f>
        <v>#REF!</v>
      </c>
      <c r="T421" s="2" t="str">
        <f>IFERROR(__xludf.DUMMYFUNCTION("IMPORTRANGE(""https://docs.google.com/spreadsheets/d/""&amp;$A421&amp;""/edit#gid=156619080"",T$3)"),"#REF!")</f>
        <v>#REF!</v>
      </c>
      <c r="U421" s="2" t="str">
        <f>IFERROR(__xludf.DUMMYFUNCTION("IMPORTRANGE(""https://docs.google.com/spreadsheets/d/""&amp;$A421&amp;""/edit#gid=156619080"",U$3)"),"#REF!")</f>
        <v>#REF!</v>
      </c>
      <c r="V421" s="2" t="str">
        <f>IFERROR(__xludf.DUMMYFUNCTION("IMPORTRANGE(""https://docs.google.com/spreadsheets/d/""&amp;$A421&amp;""/edit#gid=156619080"",V$3)"),"#REF!")</f>
        <v>#REF!</v>
      </c>
      <c r="W421" s="2" t="str">
        <f>IFERROR(__xludf.DUMMYFUNCTION("IMPORTRANGE(""https://docs.google.com/spreadsheets/d/""&amp;$A421&amp;""/edit#gid=156619080"",W$3)"),"#REF!")</f>
        <v>#REF!</v>
      </c>
      <c r="X421" s="2" t="str">
        <f>IFERROR(__xludf.DUMMYFUNCTION("IMPORTRANGE(""https://docs.google.com/spreadsheets/d/""&amp;$A421&amp;""/edit#gid=156619080"",X$3)"),"#REF!")</f>
        <v>#REF!</v>
      </c>
      <c r="Y421" s="2" t="str">
        <f>IFERROR(__xludf.DUMMYFUNCTION("IMPORTRANGE(""https://docs.google.com/spreadsheets/d/""&amp;$A421&amp;""/edit#gid=156619080"",Y$3)"),"#REF!")</f>
        <v>#REF!</v>
      </c>
      <c r="Z421" s="2" t="str">
        <f>IFERROR(__xludf.DUMMYFUNCTION("IMPORTRANGE(""https://docs.google.com/spreadsheets/d/""&amp;$A421&amp;""/edit#gid=156619080"",Z$3)"),"#REF!")</f>
        <v>#REF!</v>
      </c>
      <c r="AA421" s="2" t="str">
        <f>IFERROR(__xludf.DUMMYFUNCTION("IMPORTRANGE(""https://docs.google.com/spreadsheets/d/""&amp;$A421&amp;""/edit#gid=156619080"",AA$3)"),"#REF!")</f>
        <v>#REF!</v>
      </c>
      <c r="AB421" s="2" t="str">
        <f>IFERROR(__xludf.DUMMYFUNCTION("IMPORTRANGE(""https://docs.google.com/spreadsheets/d/""&amp;$A421&amp;""/edit#gid=156619080"",AB$3)"),"#REF!")</f>
        <v>#REF!</v>
      </c>
      <c r="AC421" s="2" t="str">
        <f>IFERROR(__xludf.DUMMYFUNCTION("IMPORTRANGE(""https://docs.google.com/spreadsheets/d/""&amp;$A421&amp;""/edit#gid=156619080"",AC$3)"),"#REF!")</f>
        <v>#REF!</v>
      </c>
      <c r="AD421" s="2" t="str">
        <f>IFERROR(__xludf.DUMMYFUNCTION("IMPORTRANGE(""https://docs.google.com/spreadsheets/d/""&amp;$A421&amp;""/edit#gid=156619080"",AD$3)"),"#REF!")</f>
        <v>#REF!</v>
      </c>
      <c r="AE421" s="2" t="str">
        <f>IFERROR(__xludf.DUMMYFUNCTION("IMPORTRANGE(""https://docs.google.com/spreadsheets/d/""&amp;$A421&amp;""/edit#gid=156619080"",AE$3)"),"#REF!")</f>
        <v>#REF!</v>
      </c>
      <c r="AF421" s="2" t="str">
        <f>IFERROR(__xludf.DUMMYFUNCTION("IMPORTRANGE(""https://docs.google.com/spreadsheets/d/""&amp;$A421&amp;""/edit#gid=156619080"",AF$3)"),"#REF!")</f>
        <v>#REF!</v>
      </c>
      <c r="AG421" s="2" t="str">
        <f>IFERROR(__xludf.DUMMYFUNCTION("IMPORTRANGE(""https://docs.google.com/spreadsheets/d/""&amp;$A421&amp;""/edit#gid=156619080"",AG$3)"),"#REF!")</f>
        <v>#REF!</v>
      </c>
      <c r="AH421" s="2" t="str">
        <f>IFERROR(__xludf.DUMMYFUNCTION("IMPORTRANGE(""https://docs.google.com/spreadsheets/d/""&amp;$A421&amp;""/edit#gid=156619080"",AH$3)"),"#REF!")</f>
        <v>#REF!</v>
      </c>
      <c r="AI421" s="2" t="str">
        <f>IFERROR(__xludf.DUMMYFUNCTION("IMPORTRANGE(""https://docs.google.com/spreadsheets/d/""&amp;$A421&amp;""/edit#gid=156619080"",AI$3)"),"#REF!")</f>
        <v>#REF!</v>
      </c>
      <c r="AJ421" s="2" t="str">
        <f>IFERROR(__xludf.DUMMYFUNCTION("IMPORTRANGE(""https://docs.google.com/spreadsheets/d/""&amp;$A421&amp;""/edit#gid=156619080"",AJ$3)"),"#REF!")</f>
        <v>#REF!</v>
      </c>
      <c r="AK421" s="2" t="str">
        <f>IFERROR(__xludf.DUMMYFUNCTION("IMPORTRANGE(""https://docs.google.com/spreadsheets/d/""&amp;$A421&amp;""/edit#gid=156619080"",AK$3)"),"#REF!")</f>
        <v>#REF!</v>
      </c>
      <c r="AL421" s="2" t="str">
        <f>IFERROR(__xludf.DUMMYFUNCTION("IMPORTRANGE(""https://docs.google.com/spreadsheets/d/""&amp;$A421&amp;""/edit#gid=156619080"",AL$3)"),"#REF!")</f>
        <v>#REF!</v>
      </c>
      <c r="AM421" s="2" t="str">
        <f>IFERROR(__xludf.DUMMYFUNCTION("IMPORTRANGE(""https://docs.google.com/spreadsheets/d/""&amp;$A421&amp;""/edit#gid=156619080"",AM$3)"),"#REF!")</f>
        <v>#REF!</v>
      </c>
      <c r="AN421" s="2" t="str">
        <f>IFERROR(__xludf.DUMMYFUNCTION("IMPORTRANGE(""https://docs.google.com/spreadsheets/d/""&amp;$A421&amp;""/edit#gid=156619080"",AN$3)"),"#REF!")</f>
        <v>#REF!</v>
      </c>
      <c r="AO421" s="2" t="str">
        <f>IFERROR(__xludf.DUMMYFUNCTION("IMPORTRANGE(""https://docs.google.com/spreadsheets/d/""&amp;$A421&amp;""/edit#gid=156619080"",AO$3)"),"#REF!")</f>
        <v>#REF!</v>
      </c>
      <c r="AP421" s="2" t="str">
        <f>IFERROR(__xludf.DUMMYFUNCTION("IMPORTRANGE(""https://docs.google.com/spreadsheets/d/""&amp;$A421&amp;""/edit#gid=156619080"",AP$3)"),"#REF!")</f>
        <v>#REF!</v>
      </c>
      <c r="AQ421" s="2" t="str">
        <f>IFERROR(__xludf.DUMMYFUNCTION("IMPORTRANGE(""https://docs.google.com/spreadsheets/d/""&amp;$A421&amp;""/edit#gid=156619080"",AQ$3)"),"#REF!")</f>
        <v>#REF!</v>
      </c>
      <c r="AR421" s="2" t="str">
        <f>IFERROR(__xludf.DUMMYFUNCTION("IMPORTRANGE(""https://docs.google.com/spreadsheets/d/""&amp;$A421&amp;""/edit#gid=156619080"",AR$3)"),"#REF!")</f>
        <v>#REF!</v>
      </c>
      <c r="AS421" s="19" t="str">
        <f>IFERROR(__xludf.DUMMYFUNCTION("IMPORTRANGE(""https://docs.google.com/spreadsheets/d/""&amp;$A421&amp;""/edit#gid=156619080"",AS$3)"),"#REF!")</f>
        <v>#REF!</v>
      </c>
      <c r="AT421" s="2" t="str">
        <f>IFERROR(__xludf.DUMMYFUNCTION("IMPORTRANGE(""https://docs.google.com/spreadsheets/d/""&amp;$A421&amp;""/edit#gid=156619080"",AT$3)"),"#REF!")</f>
        <v>#REF!</v>
      </c>
      <c r="AU421" s="3" t="str">
        <f>IFERROR(__xludf.DUMMYFUNCTION("IMPORTRANGE(""https://docs.google.com/spreadsheets/d/""&amp;$A421&amp;""/edit#gid=156619080"",AU$3)"),"#REF!")</f>
        <v>#REF!</v>
      </c>
      <c r="AV421" s="2" t="str">
        <f>IFERROR(__xludf.DUMMYFUNCTION("IMPORTRANGE(""https://docs.google.com/spreadsheets/d/""&amp;$A421&amp;""/edit#gid=156619080"",AV$3)"),"#REF!")</f>
        <v>#REF!</v>
      </c>
      <c r="AW421" s="19" t="str">
        <f>IFERROR(__xludf.DUMMYFUNCTION("IMPORTRANGE(""https://docs.google.com/spreadsheets/d/""&amp;$A421&amp;""/edit#gid=156619080"",AW$3)"),"#REF!")</f>
        <v>#REF!</v>
      </c>
      <c r="AX421" s="2" t="str">
        <f>IFERROR(__xludf.DUMMYFUNCTION("IMPORTRANGE(""https://docs.google.com/spreadsheets/d/""&amp;$A421&amp;""/edit#gid=156619080"",AX$3)"),"#REF!")</f>
        <v>#REF!</v>
      </c>
      <c r="AY421" s="2" t="str">
        <f>IFERROR(__xludf.DUMMYFUNCTION("IMPORTRANGE(""https://docs.google.com/spreadsheets/d/""&amp;$A421&amp;""/edit#gid=156619080"",AY$3)"),"#REF!")</f>
        <v>#REF!</v>
      </c>
      <c r="AZ421" s="2" t="str">
        <f>IFERROR(__xludf.DUMMYFUNCTION("IMPORTRANGE(""https://docs.google.com/spreadsheets/d/""&amp;$A421&amp;""/edit#gid=156619080"",AZ$3)"),"#REF!")</f>
        <v>#REF!</v>
      </c>
      <c r="BA421" s="2" t="str">
        <f>IFERROR(__xludf.DUMMYFUNCTION("IMPORTRANGE(""https://docs.google.com/spreadsheets/d/""&amp;$A421&amp;""/edit#gid=156619080"",BA$3)"),"#REF!")</f>
        <v>#REF!</v>
      </c>
      <c r="BB421" s="2" t="str">
        <f>IFERROR(__xludf.DUMMYFUNCTION("IMPORTRANGE(""https://docs.google.com/spreadsheets/d/""&amp;$A421&amp;""/edit#gid=156619080"",BB$3)"),"#REF!")</f>
        <v>#REF!</v>
      </c>
      <c r="BC421" s="2" t="str">
        <f>IFERROR(__xludf.DUMMYFUNCTION("IMPORTRANGE(""https://docs.google.com/spreadsheets/d/""&amp;$A421&amp;""/edit#gid=156619080"",BC$3)"),"#REF!")</f>
        <v>#REF!</v>
      </c>
    </row>
    <row r="422" ht="51.0" customHeight="1">
      <c r="A422" s="7" t="str">
        <f t="shared" si="5"/>
        <v>15q4naGH1gCLHOihCjqzxPQEbx8-PlC0ocNNJJ5THvPY</v>
      </c>
      <c r="B422" s="1" t="s">
        <v>449</v>
      </c>
      <c r="C422" s="2" t="str">
        <f>IFERROR(__xludf.DUMMYFUNCTION("IMPORTRANGE(""https://docs.google.com/spreadsheets/d/""&amp;$A422&amp;""/edit#gid=156619080"",C$3)"),"#REF!")</f>
        <v>#REF!</v>
      </c>
      <c r="D422" s="2" t="str">
        <f>IFERROR(__xludf.DUMMYFUNCTION("IMPORTRANGE(""https://docs.google.com/spreadsheets/d/""&amp;$A422&amp;""/edit#gid=156619080"",D$3)"),"#REF!")</f>
        <v>#REF!</v>
      </c>
      <c r="E422" s="2" t="str">
        <f>IFERROR(__xludf.DUMMYFUNCTION("IMPORTRANGE(""https://docs.google.com/spreadsheets/d/""&amp;$A422&amp;""/edit#gid=156619080"",E$3)"),"#REF!")</f>
        <v>#REF!</v>
      </c>
      <c r="F422" s="2" t="str">
        <f>IFERROR(__xludf.DUMMYFUNCTION("IMPORTRANGE(""https://docs.google.com/spreadsheets/d/""&amp;$A422&amp;""/edit#gid=156619080"",F$3)"),"#REF!")</f>
        <v>#REF!</v>
      </c>
      <c r="G422" s="2" t="str">
        <f>IFERROR(__xludf.DUMMYFUNCTION("IMPORTRANGE(""https://docs.google.com/spreadsheets/d/""&amp;$A422&amp;""/edit#gid=156619080"",G$3)"),"#REF!")</f>
        <v>#REF!</v>
      </c>
      <c r="H422" s="2" t="str">
        <f>IFERROR(__xludf.DUMMYFUNCTION("IMPORTRANGE(""https://docs.google.com/spreadsheets/d/""&amp;$A422&amp;""/edit#gid=156619080"",H$3)"),"#REF!")</f>
        <v>#REF!</v>
      </c>
      <c r="I422" s="2" t="str">
        <f>IFERROR(__xludf.DUMMYFUNCTION("IMPORTRANGE(""https://docs.google.com/spreadsheets/d/""&amp;$A422&amp;""/edit#gid=156619080"",I$3)"),"#REF!")</f>
        <v>#REF!</v>
      </c>
      <c r="J422" s="2" t="str">
        <f>IFERROR(__xludf.DUMMYFUNCTION("IMPORTRANGE(""https://docs.google.com/spreadsheets/d/""&amp;$A422&amp;""/edit#gid=156619080"",J$3)"),"#REF!")</f>
        <v>#REF!</v>
      </c>
      <c r="K422" s="2" t="str">
        <f>IFERROR(__xludf.DUMMYFUNCTION("IMPORTRANGE(""https://docs.google.com/spreadsheets/d/""&amp;$A422&amp;""/edit#gid=156619080"",K$3)"),"#REF!")</f>
        <v>#REF!</v>
      </c>
      <c r="L422" s="2" t="str">
        <f>IFERROR(__xludf.DUMMYFUNCTION("IMPORTRANGE(""https://docs.google.com/spreadsheets/d/""&amp;$A422&amp;""/edit#gid=156619080"",L$3)"),"#REF!")</f>
        <v>#REF!</v>
      </c>
      <c r="M422" s="2" t="str">
        <f>IFERROR(__xludf.DUMMYFUNCTION("IMPORTRANGE(""https://docs.google.com/spreadsheets/d/""&amp;$A422&amp;""/edit#gid=156619080"",M$3)"),"#REF!")</f>
        <v>#REF!</v>
      </c>
      <c r="N422" s="2" t="str">
        <f>IFERROR(__xludf.DUMMYFUNCTION("IMPORTRANGE(""https://docs.google.com/spreadsheets/d/""&amp;$A422&amp;""/edit#gid=156619080"",N$3)"),"#REF!")</f>
        <v>#REF!</v>
      </c>
      <c r="O422" s="2" t="str">
        <f>IFERROR(__xludf.DUMMYFUNCTION("IMPORTRANGE(""https://docs.google.com/spreadsheets/d/""&amp;$A422&amp;""/edit#gid=156619080"",O$3)"),"#REF!")</f>
        <v>#REF!</v>
      </c>
      <c r="P422" s="2" t="str">
        <f>IFERROR(__xludf.DUMMYFUNCTION("IMPORTRANGE(""https://docs.google.com/spreadsheets/d/""&amp;$A422&amp;""/edit#gid=156619080"",P$3)"),"#REF!")</f>
        <v>#REF!</v>
      </c>
      <c r="Q422" s="2" t="str">
        <f>IFERROR(__xludf.DUMMYFUNCTION("IMPORTRANGE(""https://docs.google.com/spreadsheets/d/""&amp;$A422&amp;""/edit#gid=156619080"",Q$3)"),"#REF!")</f>
        <v>#REF!</v>
      </c>
      <c r="R422" s="2" t="str">
        <f>IFERROR(__xludf.DUMMYFUNCTION("IMPORTRANGE(""https://docs.google.com/spreadsheets/d/""&amp;$A422&amp;""/edit#gid=156619080"",R$3)"),"#REF!")</f>
        <v>#REF!</v>
      </c>
      <c r="S422" s="2" t="str">
        <f>IFERROR(__xludf.DUMMYFUNCTION("IMPORTRANGE(""https://docs.google.com/spreadsheets/d/""&amp;$A422&amp;""/edit#gid=156619080"",S$3)"),"#REF!")</f>
        <v>#REF!</v>
      </c>
      <c r="T422" s="2" t="str">
        <f>IFERROR(__xludf.DUMMYFUNCTION("IMPORTRANGE(""https://docs.google.com/spreadsheets/d/""&amp;$A422&amp;""/edit#gid=156619080"",T$3)"),"#REF!")</f>
        <v>#REF!</v>
      </c>
      <c r="U422" s="2" t="str">
        <f>IFERROR(__xludf.DUMMYFUNCTION("IMPORTRANGE(""https://docs.google.com/spreadsheets/d/""&amp;$A422&amp;""/edit#gid=156619080"",U$3)"),"#REF!")</f>
        <v>#REF!</v>
      </c>
      <c r="V422" s="2" t="str">
        <f>IFERROR(__xludf.DUMMYFUNCTION("IMPORTRANGE(""https://docs.google.com/spreadsheets/d/""&amp;$A422&amp;""/edit#gid=156619080"",V$3)"),"#REF!")</f>
        <v>#REF!</v>
      </c>
      <c r="W422" s="2" t="str">
        <f>IFERROR(__xludf.DUMMYFUNCTION("IMPORTRANGE(""https://docs.google.com/spreadsheets/d/""&amp;$A422&amp;""/edit#gid=156619080"",W$3)"),"#REF!")</f>
        <v>#REF!</v>
      </c>
      <c r="X422" s="2" t="str">
        <f>IFERROR(__xludf.DUMMYFUNCTION("IMPORTRANGE(""https://docs.google.com/spreadsheets/d/""&amp;$A422&amp;""/edit#gid=156619080"",X$3)"),"#REF!")</f>
        <v>#REF!</v>
      </c>
      <c r="Y422" s="2" t="str">
        <f>IFERROR(__xludf.DUMMYFUNCTION("IMPORTRANGE(""https://docs.google.com/spreadsheets/d/""&amp;$A422&amp;""/edit#gid=156619080"",Y$3)"),"#REF!")</f>
        <v>#REF!</v>
      </c>
      <c r="Z422" s="2" t="str">
        <f>IFERROR(__xludf.DUMMYFUNCTION("IMPORTRANGE(""https://docs.google.com/spreadsheets/d/""&amp;$A422&amp;""/edit#gid=156619080"",Z$3)"),"#REF!")</f>
        <v>#REF!</v>
      </c>
      <c r="AA422" s="2" t="str">
        <f>IFERROR(__xludf.DUMMYFUNCTION("IMPORTRANGE(""https://docs.google.com/spreadsheets/d/""&amp;$A422&amp;""/edit#gid=156619080"",AA$3)"),"#REF!")</f>
        <v>#REF!</v>
      </c>
      <c r="AB422" s="2" t="str">
        <f>IFERROR(__xludf.DUMMYFUNCTION("IMPORTRANGE(""https://docs.google.com/spreadsheets/d/""&amp;$A422&amp;""/edit#gid=156619080"",AB$3)"),"#REF!")</f>
        <v>#REF!</v>
      </c>
      <c r="AC422" s="2" t="str">
        <f>IFERROR(__xludf.DUMMYFUNCTION("IMPORTRANGE(""https://docs.google.com/spreadsheets/d/""&amp;$A422&amp;""/edit#gid=156619080"",AC$3)"),"#REF!")</f>
        <v>#REF!</v>
      </c>
      <c r="AD422" s="2" t="str">
        <f>IFERROR(__xludf.DUMMYFUNCTION("IMPORTRANGE(""https://docs.google.com/spreadsheets/d/""&amp;$A422&amp;""/edit#gid=156619080"",AD$3)"),"#REF!")</f>
        <v>#REF!</v>
      </c>
      <c r="AE422" s="2" t="str">
        <f>IFERROR(__xludf.DUMMYFUNCTION("IMPORTRANGE(""https://docs.google.com/spreadsheets/d/""&amp;$A422&amp;""/edit#gid=156619080"",AE$3)"),"#REF!")</f>
        <v>#REF!</v>
      </c>
      <c r="AF422" s="2" t="str">
        <f>IFERROR(__xludf.DUMMYFUNCTION("IMPORTRANGE(""https://docs.google.com/spreadsheets/d/""&amp;$A422&amp;""/edit#gid=156619080"",AF$3)"),"#REF!")</f>
        <v>#REF!</v>
      </c>
      <c r="AG422" s="2" t="str">
        <f>IFERROR(__xludf.DUMMYFUNCTION("IMPORTRANGE(""https://docs.google.com/spreadsheets/d/""&amp;$A422&amp;""/edit#gid=156619080"",AG$3)"),"#REF!")</f>
        <v>#REF!</v>
      </c>
      <c r="AH422" s="2" t="str">
        <f>IFERROR(__xludf.DUMMYFUNCTION("IMPORTRANGE(""https://docs.google.com/spreadsheets/d/""&amp;$A422&amp;""/edit#gid=156619080"",AH$3)"),"#REF!")</f>
        <v>#REF!</v>
      </c>
      <c r="AI422" s="2" t="str">
        <f>IFERROR(__xludf.DUMMYFUNCTION("IMPORTRANGE(""https://docs.google.com/spreadsheets/d/""&amp;$A422&amp;""/edit#gid=156619080"",AI$3)"),"#REF!")</f>
        <v>#REF!</v>
      </c>
      <c r="AJ422" s="2" t="str">
        <f>IFERROR(__xludf.DUMMYFUNCTION("IMPORTRANGE(""https://docs.google.com/spreadsheets/d/""&amp;$A422&amp;""/edit#gid=156619080"",AJ$3)"),"#REF!")</f>
        <v>#REF!</v>
      </c>
      <c r="AK422" s="2" t="str">
        <f>IFERROR(__xludf.DUMMYFUNCTION("IMPORTRANGE(""https://docs.google.com/spreadsheets/d/""&amp;$A422&amp;""/edit#gid=156619080"",AK$3)"),"#REF!")</f>
        <v>#REF!</v>
      </c>
      <c r="AL422" s="2" t="str">
        <f>IFERROR(__xludf.DUMMYFUNCTION("IMPORTRANGE(""https://docs.google.com/spreadsheets/d/""&amp;$A422&amp;""/edit#gid=156619080"",AL$3)"),"#REF!")</f>
        <v>#REF!</v>
      </c>
      <c r="AM422" s="2" t="str">
        <f>IFERROR(__xludf.DUMMYFUNCTION("IMPORTRANGE(""https://docs.google.com/spreadsheets/d/""&amp;$A422&amp;""/edit#gid=156619080"",AM$3)"),"#REF!")</f>
        <v>#REF!</v>
      </c>
      <c r="AN422" s="2" t="str">
        <f>IFERROR(__xludf.DUMMYFUNCTION("IMPORTRANGE(""https://docs.google.com/spreadsheets/d/""&amp;$A422&amp;""/edit#gid=156619080"",AN$3)"),"#REF!")</f>
        <v>#REF!</v>
      </c>
      <c r="AO422" s="2" t="str">
        <f>IFERROR(__xludf.DUMMYFUNCTION("IMPORTRANGE(""https://docs.google.com/spreadsheets/d/""&amp;$A422&amp;""/edit#gid=156619080"",AO$3)"),"#REF!")</f>
        <v>#REF!</v>
      </c>
      <c r="AP422" s="2" t="str">
        <f>IFERROR(__xludf.DUMMYFUNCTION("IMPORTRANGE(""https://docs.google.com/spreadsheets/d/""&amp;$A422&amp;""/edit#gid=156619080"",AP$3)"),"#REF!")</f>
        <v>#REF!</v>
      </c>
      <c r="AQ422" s="2" t="str">
        <f>IFERROR(__xludf.DUMMYFUNCTION("IMPORTRANGE(""https://docs.google.com/spreadsheets/d/""&amp;$A422&amp;""/edit#gid=156619080"",AQ$3)"),"#REF!")</f>
        <v>#REF!</v>
      </c>
      <c r="AR422" s="2" t="str">
        <f>IFERROR(__xludf.DUMMYFUNCTION("IMPORTRANGE(""https://docs.google.com/spreadsheets/d/""&amp;$A422&amp;""/edit#gid=156619080"",AR$3)"),"#REF!")</f>
        <v>#REF!</v>
      </c>
      <c r="AS422" s="19" t="str">
        <f>IFERROR(__xludf.DUMMYFUNCTION("IMPORTRANGE(""https://docs.google.com/spreadsheets/d/""&amp;$A422&amp;""/edit#gid=156619080"",AS$3)"),"#REF!")</f>
        <v>#REF!</v>
      </c>
      <c r="AT422" s="2" t="str">
        <f>IFERROR(__xludf.DUMMYFUNCTION("IMPORTRANGE(""https://docs.google.com/spreadsheets/d/""&amp;$A422&amp;""/edit#gid=156619080"",AT$3)"),"#REF!")</f>
        <v>#REF!</v>
      </c>
      <c r="AU422" s="3" t="str">
        <f>IFERROR(__xludf.DUMMYFUNCTION("IMPORTRANGE(""https://docs.google.com/spreadsheets/d/""&amp;$A422&amp;""/edit#gid=156619080"",AU$3)"),"#REF!")</f>
        <v>#REF!</v>
      </c>
      <c r="AV422" s="2" t="str">
        <f>IFERROR(__xludf.DUMMYFUNCTION("IMPORTRANGE(""https://docs.google.com/spreadsheets/d/""&amp;$A422&amp;""/edit#gid=156619080"",AV$3)"),"#REF!")</f>
        <v>#REF!</v>
      </c>
      <c r="AW422" s="19" t="str">
        <f>IFERROR(__xludf.DUMMYFUNCTION("IMPORTRANGE(""https://docs.google.com/spreadsheets/d/""&amp;$A422&amp;""/edit#gid=156619080"",AW$3)"),"#REF!")</f>
        <v>#REF!</v>
      </c>
      <c r="AX422" s="2" t="str">
        <f>IFERROR(__xludf.DUMMYFUNCTION("IMPORTRANGE(""https://docs.google.com/spreadsheets/d/""&amp;$A422&amp;""/edit#gid=156619080"",AX$3)"),"#REF!")</f>
        <v>#REF!</v>
      </c>
      <c r="AY422" s="2" t="str">
        <f>IFERROR(__xludf.DUMMYFUNCTION("IMPORTRANGE(""https://docs.google.com/spreadsheets/d/""&amp;$A422&amp;""/edit#gid=156619080"",AY$3)"),"#REF!")</f>
        <v>#REF!</v>
      </c>
      <c r="AZ422" s="2" t="str">
        <f>IFERROR(__xludf.DUMMYFUNCTION("IMPORTRANGE(""https://docs.google.com/spreadsheets/d/""&amp;$A422&amp;""/edit#gid=156619080"",AZ$3)"),"#REF!")</f>
        <v>#REF!</v>
      </c>
      <c r="BA422" s="2" t="str">
        <f>IFERROR(__xludf.DUMMYFUNCTION("IMPORTRANGE(""https://docs.google.com/spreadsheets/d/""&amp;$A422&amp;""/edit#gid=156619080"",BA$3)"),"#REF!")</f>
        <v>#REF!</v>
      </c>
      <c r="BB422" s="2" t="str">
        <f>IFERROR(__xludf.DUMMYFUNCTION("IMPORTRANGE(""https://docs.google.com/spreadsheets/d/""&amp;$A422&amp;""/edit#gid=156619080"",BB$3)"),"#REF!")</f>
        <v>#REF!</v>
      </c>
      <c r="BC422" s="2" t="str">
        <f>IFERROR(__xludf.DUMMYFUNCTION("IMPORTRANGE(""https://docs.google.com/spreadsheets/d/""&amp;$A422&amp;""/edit#gid=156619080"",BC$3)"),"#REF!")</f>
        <v>#REF!</v>
      </c>
    </row>
    <row r="423" ht="51.0" customHeight="1">
      <c r="A423" s="7" t="str">
        <f t="shared" si="5"/>
        <v>1y9zcdymvAf4xhCuwzBIzaEO_Ky0RdPqW1qycoQdj5_E</v>
      </c>
      <c r="B423" s="1" t="s">
        <v>450</v>
      </c>
      <c r="C423" s="2" t="str">
        <f>IFERROR(__xludf.DUMMYFUNCTION("IMPORTRANGE(""https://docs.google.com/spreadsheets/d/""&amp;$A423&amp;""/edit#gid=156619080"",C$3)"),"#REF!")</f>
        <v>#REF!</v>
      </c>
      <c r="D423" s="2" t="str">
        <f>IFERROR(__xludf.DUMMYFUNCTION("IMPORTRANGE(""https://docs.google.com/spreadsheets/d/""&amp;$A423&amp;""/edit#gid=156619080"",D$3)"),"#REF!")</f>
        <v>#REF!</v>
      </c>
      <c r="E423" s="2" t="str">
        <f>IFERROR(__xludf.DUMMYFUNCTION("IMPORTRANGE(""https://docs.google.com/spreadsheets/d/""&amp;$A423&amp;""/edit#gid=156619080"",E$3)"),"#REF!")</f>
        <v>#REF!</v>
      </c>
      <c r="F423" s="2" t="str">
        <f>IFERROR(__xludf.DUMMYFUNCTION("IMPORTRANGE(""https://docs.google.com/spreadsheets/d/""&amp;$A423&amp;""/edit#gid=156619080"",F$3)"),"#REF!")</f>
        <v>#REF!</v>
      </c>
      <c r="G423" s="2" t="str">
        <f>IFERROR(__xludf.DUMMYFUNCTION("IMPORTRANGE(""https://docs.google.com/spreadsheets/d/""&amp;$A423&amp;""/edit#gid=156619080"",G$3)"),"#REF!")</f>
        <v>#REF!</v>
      </c>
      <c r="H423" s="2" t="str">
        <f>IFERROR(__xludf.DUMMYFUNCTION("IMPORTRANGE(""https://docs.google.com/spreadsheets/d/""&amp;$A423&amp;""/edit#gid=156619080"",H$3)"),"#REF!")</f>
        <v>#REF!</v>
      </c>
      <c r="I423" s="2" t="str">
        <f>IFERROR(__xludf.DUMMYFUNCTION("IMPORTRANGE(""https://docs.google.com/spreadsheets/d/""&amp;$A423&amp;""/edit#gid=156619080"",I$3)"),"#REF!")</f>
        <v>#REF!</v>
      </c>
      <c r="J423" s="2" t="str">
        <f>IFERROR(__xludf.DUMMYFUNCTION("IMPORTRANGE(""https://docs.google.com/spreadsheets/d/""&amp;$A423&amp;""/edit#gid=156619080"",J$3)"),"#REF!")</f>
        <v>#REF!</v>
      </c>
      <c r="K423" s="2" t="str">
        <f>IFERROR(__xludf.DUMMYFUNCTION("IMPORTRANGE(""https://docs.google.com/spreadsheets/d/""&amp;$A423&amp;""/edit#gid=156619080"",K$3)"),"#REF!")</f>
        <v>#REF!</v>
      </c>
      <c r="L423" s="2" t="str">
        <f>IFERROR(__xludf.DUMMYFUNCTION("IMPORTRANGE(""https://docs.google.com/spreadsheets/d/""&amp;$A423&amp;""/edit#gid=156619080"",L$3)"),"#REF!")</f>
        <v>#REF!</v>
      </c>
      <c r="M423" s="2" t="str">
        <f>IFERROR(__xludf.DUMMYFUNCTION("IMPORTRANGE(""https://docs.google.com/spreadsheets/d/""&amp;$A423&amp;""/edit#gid=156619080"",M$3)"),"#REF!")</f>
        <v>#REF!</v>
      </c>
      <c r="N423" s="2" t="str">
        <f>IFERROR(__xludf.DUMMYFUNCTION("IMPORTRANGE(""https://docs.google.com/spreadsheets/d/""&amp;$A423&amp;""/edit#gid=156619080"",N$3)"),"#REF!")</f>
        <v>#REF!</v>
      </c>
      <c r="O423" s="2" t="str">
        <f>IFERROR(__xludf.DUMMYFUNCTION("IMPORTRANGE(""https://docs.google.com/spreadsheets/d/""&amp;$A423&amp;""/edit#gid=156619080"",O$3)"),"#REF!")</f>
        <v>#REF!</v>
      </c>
      <c r="P423" s="2" t="str">
        <f>IFERROR(__xludf.DUMMYFUNCTION("IMPORTRANGE(""https://docs.google.com/spreadsheets/d/""&amp;$A423&amp;""/edit#gid=156619080"",P$3)"),"#REF!")</f>
        <v>#REF!</v>
      </c>
      <c r="Q423" s="2" t="str">
        <f>IFERROR(__xludf.DUMMYFUNCTION("IMPORTRANGE(""https://docs.google.com/spreadsheets/d/""&amp;$A423&amp;""/edit#gid=156619080"",Q$3)"),"#REF!")</f>
        <v>#REF!</v>
      </c>
      <c r="R423" s="2" t="str">
        <f>IFERROR(__xludf.DUMMYFUNCTION("IMPORTRANGE(""https://docs.google.com/spreadsheets/d/""&amp;$A423&amp;""/edit#gid=156619080"",R$3)"),"#REF!")</f>
        <v>#REF!</v>
      </c>
      <c r="S423" s="2" t="str">
        <f>IFERROR(__xludf.DUMMYFUNCTION("IMPORTRANGE(""https://docs.google.com/spreadsheets/d/""&amp;$A423&amp;""/edit#gid=156619080"",S$3)"),"#REF!")</f>
        <v>#REF!</v>
      </c>
      <c r="T423" s="2" t="str">
        <f>IFERROR(__xludf.DUMMYFUNCTION("IMPORTRANGE(""https://docs.google.com/spreadsheets/d/""&amp;$A423&amp;""/edit#gid=156619080"",T$3)"),"#REF!")</f>
        <v>#REF!</v>
      </c>
      <c r="U423" s="2" t="str">
        <f>IFERROR(__xludf.DUMMYFUNCTION("IMPORTRANGE(""https://docs.google.com/spreadsheets/d/""&amp;$A423&amp;""/edit#gid=156619080"",U$3)"),"#REF!")</f>
        <v>#REF!</v>
      </c>
      <c r="V423" s="2" t="str">
        <f>IFERROR(__xludf.DUMMYFUNCTION("IMPORTRANGE(""https://docs.google.com/spreadsheets/d/""&amp;$A423&amp;""/edit#gid=156619080"",V$3)"),"#REF!")</f>
        <v>#REF!</v>
      </c>
      <c r="W423" s="2" t="str">
        <f>IFERROR(__xludf.DUMMYFUNCTION("IMPORTRANGE(""https://docs.google.com/spreadsheets/d/""&amp;$A423&amp;""/edit#gid=156619080"",W$3)"),"#REF!")</f>
        <v>#REF!</v>
      </c>
      <c r="X423" s="2" t="str">
        <f>IFERROR(__xludf.DUMMYFUNCTION("IMPORTRANGE(""https://docs.google.com/spreadsheets/d/""&amp;$A423&amp;""/edit#gid=156619080"",X$3)"),"#REF!")</f>
        <v>#REF!</v>
      </c>
      <c r="Y423" s="2" t="str">
        <f>IFERROR(__xludf.DUMMYFUNCTION("IMPORTRANGE(""https://docs.google.com/spreadsheets/d/""&amp;$A423&amp;""/edit#gid=156619080"",Y$3)"),"#REF!")</f>
        <v>#REF!</v>
      </c>
      <c r="Z423" s="2" t="str">
        <f>IFERROR(__xludf.DUMMYFUNCTION("IMPORTRANGE(""https://docs.google.com/spreadsheets/d/""&amp;$A423&amp;""/edit#gid=156619080"",Z$3)"),"#REF!")</f>
        <v>#REF!</v>
      </c>
      <c r="AA423" s="2" t="str">
        <f>IFERROR(__xludf.DUMMYFUNCTION("IMPORTRANGE(""https://docs.google.com/spreadsheets/d/""&amp;$A423&amp;""/edit#gid=156619080"",AA$3)"),"#REF!")</f>
        <v>#REF!</v>
      </c>
      <c r="AB423" s="2" t="str">
        <f>IFERROR(__xludf.DUMMYFUNCTION("IMPORTRANGE(""https://docs.google.com/spreadsheets/d/""&amp;$A423&amp;""/edit#gid=156619080"",AB$3)"),"#REF!")</f>
        <v>#REF!</v>
      </c>
      <c r="AC423" s="2" t="str">
        <f>IFERROR(__xludf.DUMMYFUNCTION("IMPORTRANGE(""https://docs.google.com/spreadsheets/d/""&amp;$A423&amp;""/edit#gid=156619080"",AC$3)"),"#REF!")</f>
        <v>#REF!</v>
      </c>
      <c r="AD423" s="2" t="str">
        <f>IFERROR(__xludf.DUMMYFUNCTION("IMPORTRANGE(""https://docs.google.com/spreadsheets/d/""&amp;$A423&amp;""/edit#gid=156619080"",AD$3)"),"#REF!")</f>
        <v>#REF!</v>
      </c>
      <c r="AE423" s="2" t="str">
        <f>IFERROR(__xludf.DUMMYFUNCTION("IMPORTRANGE(""https://docs.google.com/spreadsheets/d/""&amp;$A423&amp;""/edit#gid=156619080"",AE$3)"),"#REF!")</f>
        <v>#REF!</v>
      </c>
      <c r="AF423" s="2" t="str">
        <f>IFERROR(__xludf.DUMMYFUNCTION("IMPORTRANGE(""https://docs.google.com/spreadsheets/d/""&amp;$A423&amp;""/edit#gid=156619080"",AF$3)"),"#REF!")</f>
        <v>#REF!</v>
      </c>
      <c r="AG423" s="2" t="str">
        <f>IFERROR(__xludf.DUMMYFUNCTION("IMPORTRANGE(""https://docs.google.com/spreadsheets/d/""&amp;$A423&amp;""/edit#gid=156619080"",AG$3)"),"#REF!")</f>
        <v>#REF!</v>
      </c>
      <c r="AH423" s="2" t="str">
        <f>IFERROR(__xludf.DUMMYFUNCTION("IMPORTRANGE(""https://docs.google.com/spreadsheets/d/""&amp;$A423&amp;""/edit#gid=156619080"",AH$3)"),"#REF!")</f>
        <v>#REF!</v>
      </c>
      <c r="AI423" s="2" t="str">
        <f>IFERROR(__xludf.DUMMYFUNCTION("IMPORTRANGE(""https://docs.google.com/spreadsheets/d/""&amp;$A423&amp;""/edit#gid=156619080"",AI$3)"),"#REF!")</f>
        <v>#REF!</v>
      </c>
      <c r="AJ423" s="2" t="str">
        <f>IFERROR(__xludf.DUMMYFUNCTION("IMPORTRANGE(""https://docs.google.com/spreadsheets/d/""&amp;$A423&amp;""/edit#gid=156619080"",AJ$3)"),"#REF!")</f>
        <v>#REF!</v>
      </c>
      <c r="AK423" s="2" t="str">
        <f>IFERROR(__xludf.DUMMYFUNCTION("IMPORTRANGE(""https://docs.google.com/spreadsheets/d/""&amp;$A423&amp;""/edit#gid=156619080"",AK$3)"),"#REF!")</f>
        <v>#REF!</v>
      </c>
      <c r="AL423" s="2" t="str">
        <f>IFERROR(__xludf.DUMMYFUNCTION("IMPORTRANGE(""https://docs.google.com/spreadsheets/d/""&amp;$A423&amp;""/edit#gid=156619080"",AL$3)"),"#REF!")</f>
        <v>#REF!</v>
      </c>
      <c r="AM423" s="2" t="str">
        <f>IFERROR(__xludf.DUMMYFUNCTION("IMPORTRANGE(""https://docs.google.com/spreadsheets/d/""&amp;$A423&amp;""/edit#gid=156619080"",AM$3)"),"#REF!")</f>
        <v>#REF!</v>
      </c>
      <c r="AN423" s="2" t="str">
        <f>IFERROR(__xludf.DUMMYFUNCTION("IMPORTRANGE(""https://docs.google.com/spreadsheets/d/""&amp;$A423&amp;""/edit#gid=156619080"",AN$3)"),"#REF!")</f>
        <v>#REF!</v>
      </c>
      <c r="AO423" s="2" t="str">
        <f>IFERROR(__xludf.DUMMYFUNCTION("IMPORTRANGE(""https://docs.google.com/spreadsheets/d/""&amp;$A423&amp;""/edit#gid=156619080"",AO$3)"),"#REF!")</f>
        <v>#REF!</v>
      </c>
      <c r="AP423" s="2" t="str">
        <f>IFERROR(__xludf.DUMMYFUNCTION("IMPORTRANGE(""https://docs.google.com/spreadsheets/d/""&amp;$A423&amp;""/edit#gid=156619080"",AP$3)"),"#REF!")</f>
        <v>#REF!</v>
      </c>
      <c r="AQ423" s="2" t="str">
        <f>IFERROR(__xludf.DUMMYFUNCTION("IMPORTRANGE(""https://docs.google.com/spreadsheets/d/""&amp;$A423&amp;""/edit#gid=156619080"",AQ$3)"),"#REF!")</f>
        <v>#REF!</v>
      </c>
      <c r="AR423" s="2" t="str">
        <f>IFERROR(__xludf.DUMMYFUNCTION("IMPORTRANGE(""https://docs.google.com/spreadsheets/d/""&amp;$A423&amp;""/edit#gid=156619080"",AR$3)"),"#REF!")</f>
        <v>#REF!</v>
      </c>
      <c r="AS423" s="19" t="str">
        <f>IFERROR(__xludf.DUMMYFUNCTION("IMPORTRANGE(""https://docs.google.com/spreadsheets/d/""&amp;$A423&amp;""/edit#gid=156619080"",AS$3)"),"#REF!")</f>
        <v>#REF!</v>
      </c>
      <c r="AT423" s="2" t="str">
        <f>IFERROR(__xludf.DUMMYFUNCTION("IMPORTRANGE(""https://docs.google.com/spreadsheets/d/""&amp;$A423&amp;""/edit#gid=156619080"",AT$3)"),"#REF!")</f>
        <v>#REF!</v>
      </c>
      <c r="AU423" s="3" t="str">
        <f>IFERROR(__xludf.DUMMYFUNCTION("IMPORTRANGE(""https://docs.google.com/spreadsheets/d/""&amp;$A423&amp;""/edit#gid=156619080"",AU$3)"),"#REF!")</f>
        <v>#REF!</v>
      </c>
      <c r="AV423" s="2" t="str">
        <f>IFERROR(__xludf.DUMMYFUNCTION("IMPORTRANGE(""https://docs.google.com/spreadsheets/d/""&amp;$A423&amp;""/edit#gid=156619080"",AV$3)"),"#REF!")</f>
        <v>#REF!</v>
      </c>
      <c r="AW423" s="19" t="str">
        <f>IFERROR(__xludf.DUMMYFUNCTION("IMPORTRANGE(""https://docs.google.com/spreadsheets/d/""&amp;$A423&amp;""/edit#gid=156619080"",AW$3)"),"#REF!")</f>
        <v>#REF!</v>
      </c>
      <c r="AX423" s="2" t="str">
        <f>IFERROR(__xludf.DUMMYFUNCTION("IMPORTRANGE(""https://docs.google.com/spreadsheets/d/""&amp;$A423&amp;""/edit#gid=156619080"",AX$3)"),"#REF!")</f>
        <v>#REF!</v>
      </c>
      <c r="AY423" s="2" t="str">
        <f>IFERROR(__xludf.DUMMYFUNCTION("IMPORTRANGE(""https://docs.google.com/spreadsheets/d/""&amp;$A423&amp;""/edit#gid=156619080"",AY$3)"),"#REF!")</f>
        <v>#REF!</v>
      </c>
      <c r="AZ423" s="2" t="str">
        <f>IFERROR(__xludf.DUMMYFUNCTION("IMPORTRANGE(""https://docs.google.com/spreadsheets/d/""&amp;$A423&amp;""/edit#gid=156619080"",AZ$3)"),"#REF!")</f>
        <v>#REF!</v>
      </c>
      <c r="BA423" s="2" t="str">
        <f>IFERROR(__xludf.DUMMYFUNCTION("IMPORTRANGE(""https://docs.google.com/spreadsheets/d/""&amp;$A423&amp;""/edit#gid=156619080"",BA$3)"),"#REF!")</f>
        <v>#REF!</v>
      </c>
      <c r="BB423" s="2" t="str">
        <f>IFERROR(__xludf.DUMMYFUNCTION("IMPORTRANGE(""https://docs.google.com/spreadsheets/d/""&amp;$A423&amp;""/edit#gid=156619080"",BB$3)"),"#REF!")</f>
        <v>#REF!</v>
      </c>
      <c r="BC423" s="2" t="str">
        <f>IFERROR(__xludf.DUMMYFUNCTION("IMPORTRANGE(""https://docs.google.com/spreadsheets/d/""&amp;$A423&amp;""/edit#gid=156619080"",BC$3)"),"#REF!")</f>
        <v>#REF!</v>
      </c>
    </row>
    <row r="424" ht="51.0" customHeight="1">
      <c r="A424" s="7" t="str">
        <f t="shared" si="5"/>
        <v>1bg2bGzMzf3OonwN6CO9T8wFV17K7Yk8jrg5N7o-IYhw</v>
      </c>
      <c r="B424" s="1" t="s">
        <v>451</v>
      </c>
      <c r="C424" s="2" t="str">
        <f>IFERROR(__xludf.DUMMYFUNCTION("IMPORTRANGE(""https://docs.google.com/spreadsheets/d/""&amp;$A424&amp;""/edit#gid=156619080"",C$3)"),"#REF!")</f>
        <v>#REF!</v>
      </c>
      <c r="D424" s="2" t="str">
        <f>IFERROR(__xludf.DUMMYFUNCTION("IMPORTRANGE(""https://docs.google.com/spreadsheets/d/""&amp;$A424&amp;""/edit#gid=156619080"",D$3)"),"#REF!")</f>
        <v>#REF!</v>
      </c>
      <c r="E424" s="2" t="str">
        <f>IFERROR(__xludf.DUMMYFUNCTION("IMPORTRANGE(""https://docs.google.com/spreadsheets/d/""&amp;$A424&amp;""/edit#gid=156619080"",E$3)"),"#REF!")</f>
        <v>#REF!</v>
      </c>
      <c r="F424" s="2" t="str">
        <f>IFERROR(__xludf.DUMMYFUNCTION("IMPORTRANGE(""https://docs.google.com/spreadsheets/d/""&amp;$A424&amp;""/edit#gid=156619080"",F$3)"),"#REF!")</f>
        <v>#REF!</v>
      </c>
      <c r="G424" s="2" t="str">
        <f>IFERROR(__xludf.DUMMYFUNCTION("IMPORTRANGE(""https://docs.google.com/spreadsheets/d/""&amp;$A424&amp;""/edit#gid=156619080"",G$3)"),"#REF!")</f>
        <v>#REF!</v>
      </c>
      <c r="H424" s="2" t="str">
        <f>IFERROR(__xludf.DUMMYFUNCTION("IMPORTRANGE(""https://docs.google.com/spreadsheets/d/""&amp;$A424&amp;""/edit#gid=156619080"",H$3)"),"#REF!")</f>
        <v>#REF!</v>
      </c>
      <c r="I424" s="2" t="str">
        <f>IFERROR(__xludf.DUMMYFUNCTION("IMPORTRANGE(""https://docs.google.com/spreadsheets/d/""&amp;$A424&amp;""/edit#gid=156619080"",I$3)"),"#REF!")</f>
        <v>#REF!</v>
      </c>
      <c r="J424" s="2" t="str">
        <f>IFERROR(__xludf.DUMMYFUNCTION("IMPORTRANGE(""https://docs.google.com/spreadsheets/d/""&amp;$A424&amp;""/edit#gid=156619080"",J$3)"),"#REF!")</f>
        <v>#REF!</v>
      </c>
      <c r="K424" s="2" t="str">
        <f>IFERROR(__xludf.DUMMYFUNCTION("IMPORTRANGE(""https://docs.google.com/spreadsheets/d/""&amp;$A424&amp;""/edit#gid=156619080"",K$3)"),"#REF!")</f>
        <v>#REF!</v>
      </c>
      <c r="L424" s="2" t="str">
        <f>IFERROR(__xludf.DUMMYFUNCTION("IMPORTRANGE(""https://docs.google.com/spreadsheets/d/""&amp;$A424&amp;""/edit#gid=156619080"",L$3)"),"#REF!")</f>
        <v>#REF!</v>
      </c>
      <c r="M424" s="2" t="str">
        <f>IFERROR(__xludf.DUMMYFUNCTION("IMPORTRANGE(""https://docs.google.com/spreadsheets/d/""&amp;$A424&amp;""/edit#gid=156619080"",M$3)"),"#REF!")</f>
        <v>#REF!</v>
      </c>
      <c r="N424" s="2" t="str">
        <f>IFERROR(__xludf.DUMMYFUNCTION("IMPORTRANGE(""https://docs.google.com/spreadsheets/d/""&amp;$A424&amp;""/edit#gid=156619080"",N$3)"),"#REF!")</f>
        <v>#REF!</v>
      </c>
      <c r="O424" s="2" t="str">
        <f>IFERROR(__xludf.DUMMYFUNCTION("IMPORTRANGE(""https://docs.google.com/spreadsheets/d/""&amp;$A424&amp;""/edit#gid=156619080"",O$3)"),"#REF!")</f>
        <v>#REF!</v>
      </c>
      <c r="P424" s="2" t="str">
        <f>IFERROR(__xludf.DUMMYFUNCTION("IMPORTRANGE(""https://docs.google.com/spreadsheets/d/""&amp;$A424&amp;""/edit#gid=156619080"",P$3)"),"#REF!")</f>
        <v>#REF!</v>
      </c>
      <c r="Q424" s="2" t="str">
        <f>IFERROR(__xludf.DUMMYFUNCTION("IMPORTRANGE(""https://docs.google.com/spreadsheets/d/""&amp;$A424&amp;""/edit#gid=156619080"",Q$3)"),"#REF!")</f>
        <v>#REF!</v>
      </c>
      <c r="R424" s="2" t="str">
        <f>IFERROR(__xludf.DUMMYFUNCTION("IMPORTRANGE(""https://docs.google.com/spreadsheets/d/""&amp;$A424&amp;""/edit#gid=156619080"",R$3)"),"#REF!")</f>
        <v>#REF!</v>
      </c>
      <c r="S424" s="2" t="str">
        <f>IFERROR(__xludf.DUMMYFUNCTION("IMPORTRANGE(""https://docs.google.com/spreadsheets/d/""&amp;$A424&amp;""/edit#gid=156619080"",S$3)"),"#REF!")</f>
        <v>#REF!</v>
      </c>
      <c r="T424" s="2" t="str">
        <f>IFERROR(__xludf.DUMMYFUNCTION("IMPORTRANGE(""https://docs.google.com/spreadsheets/d/""&amp;$A424&amp;""/edit#gid=156619080"",T$3)"),"#REF!")</f>
        <v>#REF!</v>
      </c>
      <c r="U424" s="2" t="str">
        <f>IFERROR(__xludf.DUMMYFUNCTION("IMPORTRANGE(""https://docs.google.com/spreadsheets/d/""&amp;$A424&amp;""/edit#gid=156619080"",U$3)"),"#REF!")</f>
        <v>#REF!</v>
      </c>
      <c r="V424" s="2" t="str">
        <f>IFERROR(__xludf.DUMMYFUNCTION("IMPORTRANGE(""https://docs.google.com/spreadsheets/d/""&amp;$A424&amp;""/edit#gid=156619080"",V$3)"),"#REF!")</f>
        <v>#REF!</v>
      </c>
      <c r="W424" s="2" t="str">
        <f>IFERROR(__xludf.DUMMYFUNCTION("IMPORTRANGE(""https://docs.google.com/spreadsheets/d/""&amp;$A424&amp;""/edit#gid=156619080"",W$3)"),"#REF!")</f>
        <v>#REF!</v>
      </c>
      <c r="X424" s="2" t="str">
        <f>IFERROR(__xludf.DUMMYFUNCTION("IMPORTRANGE(""https://docs.google.com/spreadsheets/d/""&amp;$A424&amp;""/edit#gid=156619080"",X$3)"),"#REF!")</f>
        <v>#REF!</v>
      </c>
      <c r="Y424" s="2" t="str">
        <f>IFERROR(__xludf.DUMMYFUNCTION("IMPORTRANGE(""https://docs.google.com/spreadsheets/d/""&amp;$A424&amp;""/edit#gid=156619080"",Y$3)"),"#REF!")</f>
        <v>#REF!</v>
      </c>
      <c r="Z424" s="2" t="str">
        <f>IFERROR(__xludf.DUMMYFUNCTION("IMPORTRANGE(""https://docs.google.com/spreadsheets/d/""&amp;$A424&amp;""/edit#gid=156619080"",Z$3)"),"#REF!")</f>
        <v>#REF!</v>
      </c>
      <c r="AA424" s="2" t="str">
        <f>IFERROR(__xludf.DUMMYFUNCTION("IMPORTRANGE(""https://docs.google.com/spreadsheets/d/""&amp;$A424&amp;""/edit#gid=156619080"",AA$3)"),"#REF!")</f>
        <v>#REF!</v>
      </c>
      <c r="AB424" s="2" t="str">
        <f>IFERROR(__xludf.DUMMYFUNCTION("IMPORTRANGE(""https://docs.google.com/spreadsheets/d/""&amp;$A424&amp;""/edit#gid=156619080"",AB$3)"),"#REF!")</f>
        <v>#REF!</v>
      </c>
      <c r="AC424" s="2" t="str">
        <f>IFERROR(__xludf.DUMMYFUNCTION("IMPORTRANGE(""https://docs.google.com/spreadsheets/d/""&amp;$A424&amp;""/edit#gid=156619080"",AC$3)"),"#REF!")</f>
        <v>#REF!</v>
      </c>
      <c r="AD424" s="2" t="str">
        <f>IFERROR(__xludf.DUMMYFUNCTION("IMPORTRANGE(""https://docs.google.com/spreadsheets/d/""&amp;$A424&amp;""/edit#gid=156619080"",AD$3)"),"#REF!")</f>
        <v>#REF!</v>
      </c>
      <c r="AE424" s="2" t="str">
        <f>IFERROR(__xludf.DUMMYFUNCTION("IMPORTRANGE(""https://docs.google.com/spreadsheets/d/""&amp;$A424&amp;""/edit#gid=156619080"",AE$3)"),"#REF!")</f>
        <v>#REF!</v>
      </c>
      <c r="AF424" s="2" t="str">
        <f>IFERROR(__xludf.DUMMYFUNCTION("IMPORTRANGE(""https://docs.google.com/spreadsheets/d/""&amp;$A424&amp;""/edit#gid=156619080"",AF$3)"),"#REF!")</f>
        <v>#REF!</v>
      </c>
      <c r="AG424" s="2" t="str">
        <f>IFERROR(__xludf.DUMMYFUNCTION("IMPORTRANGE(""https://docs.google.com/spreadsheets/d/""&amp;$A424&amp;""/edit#gid=156619080"",AG$3)"),"#REF!")</f>
        <v>#REF!</v>
      </c>
      <c r="AH424" s="2" t="str">
        <f>IFERROR(__xludf.DUMMYFUNCTION("IMPORTRANGE(""https://docs.google.com/spreadsheets/d/""&amp;$A424&amp;""/edit#gid=156619080"",AH$3)"),"#REF!")</f>
        <v>#REF!</v>
      </c>
      <c r="AI424" s="2" t="str">
        <f>IFERROR(__xludf.DUMMYFUNCTION("IMPORTRANGE(""https://docs.google.com/spreadsheets/d/""&amp;$A424&amp;""/edit#gid=156619080"",AI$3)"),"#REF!")</f>
        <v>#REF!</v>
      </c>
      <c r="AJ424" s="2" t="str">
        <f>IFERROR(__xludf.DUMMYFUNCTION("IMPORTRANGE(""https://docs.google.com/spreadsheets/d/""&amp;$A424&amp;""/edit#gid=156619080"",AJ$3)"),"#REF!")</f>
        <v>#REF!</v>
      </c>
      <c r="AK424" s="2" t="str">
        <f>IFERROR(__xludf.DUMMYFUNCTION("IMPORTRANGE(""https://docs.google.com/spreadsheets/d/""&amp;$A424&amp;""/edit#gid=156619080"",AK$3)"),"#REF!")</f>
        <v>#REF!</v>
      </c>
      <c r="AL424" s="2" t="str">
        <f>IFERROR(__xludf.DUMMYFUNCTION("IMPORTRANGE(""https://docs.google.com/spreadsheets/d/""&amp;$A424&amp;""/edit#gid=156619080"",AL$3)"),"#REF!")</f>
        <v>#REF!</v>
      </c>
      <c r="AM424" s="2" t="str">
        <f>IFERROR(__xludf.DUMMYFUNCTION("IMPORTRANGE(""https://docs.google.com/spreadsheets/d/""&amp;$A424&amp;""/edit#gid=156619080"",AM$3)"),"#REF!")</f>
        <v>#REF!</v>
      </c>
      <c r="AN424" s="2" t="str">
        <f>IFERROR(__xludf.DUMMYFUNCTION("IMPORTRANGE(""https://docs.google.com/spreadsheets/d/""&amp;$A424&amp;""/edit#gid=156619080"",AN$3)"),"#REF!")</f>
        <v>#REF!</v>
      </c>
      <c r="AO424" s="2" t="str">
        <f>IFERROR(__xludf.DUMMYFUNCTION("IMPORTRANGE(""https://docs.google.com/spreadsheets/d/""&amp;$A424&amp;""/edit#gid=156619080"",AO$3)"),"#REF!")</f>
        <v>#REF!</v>
      </c>
      <c r="AP424" s="2" t="str">
        <f>IFERROR(__xludf.DUMMYFUNCTION("IMPORTRANGE(""https://docs.google.com/spreadsheets/d/""&amp;$A424&amp;""/edit#gid=156619080"",AP$3)"),"#REF!")</f>
        <v>#REF!</v>
      </c>
      <c r="AQ424" s="2" t="str">
        <f>IFERROR(__xludf.DUMMYFUNCTION("IMPORTRANGE(""https://docs.google.com/spreadsheets/d/""&amp;$A424&amp;""/edit#gid=156619080"",AQ$3)"),"#REF!")</f>
        <v>#REF!</v>
      </c>
      <c r="AR424" s="2" t="str">
        <f>IFERROR(__xludf.DUMMYFUNCTION("IMPORTRANGE(""https://docs.google.com/spreadsheets/d/""&amp;$A424&amp;""/edit#gid=156619080"",AR$3)"),"#REF!")</f>
        <v>#REF!</v>
      </c>
      <c r="AS424" s="19" t="str">
        <f>IFERROR(__xludf.DUMMYFUNCTION("IMPORTRANGE(""https://docs.google.com/spreadsheets/d/""&amp;$A424&amp;""/edit#gid=156619080"",AS$3)"),"#REF!")</f>
        <v>#REF!</v>
      </c>
      <c r="AT424" s="2" t="str">
        <f>IFERROR(__xludf.DUMMYFUNCTION("IMPORTRANGE(""https://docs.google.com/spreadsheets/d/""&amp;$A424&amp;""/edit#gid=156619080"",AT$3)"),"#REF!")</f>
        <v>#REF!</v>
      </c>
      <c r="AU424" s="3" t="str">
        <f>IFERROR(__xludf.DUMMYFUNCTION("IMPORTRANGE(""https://docs.google.com/spreadsheets/d/""&amp;$A424&amp;""/edit#gid=156619080"",AU$3)"),"#REF!")</f>
        <v>#REF!</v>
      </c>
      <c r="AV424" s="2" t="str">
        <f>IFERROR(__xludf.DUMMYFUNCTION("IMPORTRANGE(""https://docs.google.com/spreadsheets/d/""&amp;$A424&amp;""/edit#gid=156619080"",AV$3)"),"#REF!")</f>
        <v>#REF!</v>
      </c>
      <c r="AW424" s="19" t="str">
        <f>IFERROR(__xludf.DUMMYFUNCTION("IMPORTRANGE(""https://docs.google.com/spreadsheets/d/""&amp;$A424&amp;""/edit#gid=156619080"",AW$3)"),"#REF!")</f>
        <v>#REF!</v>
      </c>
      <c r="AX424" s="2" t="str">
        <f>IFERROR(__xludf.DUMMYFUNCTION("IMPORTRANGE(""https://docs.google.com/spreadsheets/d/""&amp;$A424&amp;""/edit#gid=156619080"",AX$3)"),"#REF!")</f>
        <v>#REF!</v>
      </c>
      <c r="AY424" s="2" t="str">
        <f>IFERROR(__xludf.DUMMYFUNCTION("IMPORTRANGE(""https://docs.google.com/spreadsheets/d/""&amp;$A424&amp;""/edit#gid=156619080"",AY$3)"),"#REF!")</f>
        <v>#REF!</v>
      </c>
      <c r="AZ424" s="2" t="str">
        <f>IFERROR(__xludf.DUMMYFUNCTION("IMPORTRANGE(""https://docs.google.com/spreadsheets/d/""&amp;$A424&amp;""/edit#gid=156619080"",AZ$3)"),"#REF!")</f>
        <v>#REF!</v>
      </c>
      <c r="BA424" s="2" t="str">
        <f>IFERROR(__xludf.DUMMYFUNCTION("IMPORTRANGE(""https://docs.google.com/spreadsheets/d/""&amp;$A424&amp;""/edit#gid=156619080"",BA$3)"),"#REF!")</f>
        <v>#REF!</v>
      </c>
      <c r="BB424" s="2" t="str">
        <f>IFERROR(__xludf.DUMMYFUNCTION("IMPORTRANGE(""https://docs.google.com/spreadsheets/d/""&amp;$A424&amp;""/edit#gid=156619080"",BB$3)"),"#REF!")</f>
        <v>#REF!</v>
      </c>
      <c r="BC424" s="2" t="str">
        <f>IFERROR(__xludf.DUMMYFUNCTION("IMPORTRANGE(""https://docs.google.com/spreadsheets/d/""&amp;$A424&amp;""/edit#gid=156619080"",BC$3)"),"#REF!")</f>
        <v>#REF!</v>
      </c>
    </row>
    <row r="425" ht="51.0" customHeight="1">
      <c r="A425" s="7" t="str">
        <f t="shared" si="5"/>
        <v>12kr36oDY7F1K18NpHNdLUMEJALZNA2mjRrd3NqBqxWQ</v>
      </c>
      <c r="B425" s="1" t="s">
        <v>452</v>
      </c>
      <c r="C425" s="2" t="str">
        <f>IFERROR(__xludf.DUMMYFUNCTION("IMPORTRANGE(""https://docs.google.com/spreadsheets/d/""&amp;$A425&amp;""/edit#gid=156619080"",C$3)"),"#REF!")</f>
        <v>#REF!</v>
      </c>
      <c r="D425" s="2" t="str">
        <f>IFERROR(__xludf.DUMMYFUNCTION("IMPORTRANGE(""https://docs.google.com/spreadsheets/d/""&amp;$A425&amp;""/edit#gid=156619080"",D$3)"),"#REF!")</f>
        <v>#REF!</v>
      </c>
      <c r="E425" s="2" t="str">
        <f>IFERROR(__xludf.DUMMYFUNCTION("IMPORTRANGE(""https://docs.google.com/spreadsheets/d/""&amp;$A425&amp;""/edit#gid=156619080"",E$3)"),"#REF!")</f>
        <v>#REF!</v>
      </c>
      <c r="F425" s="2" t="str">
        <f>IFERROR(__xludf.DUMMYFUNCTION("IMPORTRANGE(""https://docs.google.com/spreadsheets/d/""&amp;$A425&amp;""/edit#gid=156619080"",F$3)"),"#REF!")</f>
        <v>#REF!</v>
      </c>
      <c r="G425" s="2" t="str">
        <f>IFERROR(__xludf.DUMMYFUNCTION("IMPORTRANGE(""https://docs.google.com/spreadsheets/d/""&amp;$A425&amp;""/edit#gid=156619080"",G$3)"),"#REF!")</f>
        <v>#REF!</v>
      </c>
      <c r="H425" s="2" t="str">
        <f>IFERROR(__xludf.DUMMYFUNCTION("IMPORTRANGE(""https://docs.google.com/spreadsheets/d/""&amp;$A425&amp;""/edit#gid=156619080"",H$3)"),"#REF!")</f>
        <v>#REF!</v>
      </c>
      <c r="I425" s="2" t="str">
        <f>IFERROR(__xludf.DUMMYFUNCTION("IMPORTRANGE(""https://docs.google.com/spreadsheets/d/""&amp;$A425&amp;""/edit#gid=156619080"",I$3)"),"#REF!")</f>
        <v>#REF!</v>
      </c>
      <c r="J425" s="2" t="str">
        <f>IFERROR(__xludf.DUMMYFUNCTION("IMPORTRANGE(""https://docs.google.com/spreadsheets/d/""&amp;$A425&amp;""/edit#gid=156619080"",J$3)"),"#REF!")</f>
        <v>#REF!</v>
      </c>
      <c r="K425" s="2" t="str">
        <f>IFERROR(__xludf.DUMMYFUNCTION("IMPORTRANGE(""https://docs.google.com/spreadsheets/d/""&amp;$A425&amp;""/edit#gid=156619080"",K$3)"),"#REF!")</f>
        <v>#REF!</v>
      </c>
      <c r="L425" s="2" t="str">
        <f>IFERROR(__xludf.DUMMYFUNCTION("IMPORTRANGE(""https://docs.google.com/spreadsheets/d/""&amp;$A425&amp;""/edit#gid=156619080"",L$3)"),"#REF!")</f>
        <v>#REF!</v>
      </c>
      <c r="M425" s="2" t="str">
        <f>IFERROR(__xludf.DUMMYFUNCTION("IMPORTRANGE(""https://docs.google.com/spreadsheets/d/""&amp;$A425&amp;""/edit#gid=156619080"",M$3)"),"#REF!")</f>
        <v>#REF!</v>
      </c>
      <c r="N425" s="2" t="str">
        <f>IFERROR(__xludf.DUMMYFUNCTION("IMPORTRANGE(""https://docs.google.com/spreadsheets/d/""&amp;$A425&amp;""/edit#gid=156619080"",N$3)"),"#REF!")</f>
        <v>#REF!</v>
      </c>
      <c r="O425" s="2" t="str">
        <f>IFERROR(__xludf.DUMMYFUNCTION("IMPORTRANGE(""https://docs.google.com/spreadsheets/d/""&amp;$A425&amp;""/edit#gid=156619080"",O$3)"),"#REF!")</f>
        <v>#REF!</v>
      </c>
      <c r="P425" s="2" t="str">
        <f>IFERROR(__xludf.DUMMYFUNCTION("IMPORTRANGE(""https://docs.google.com/spreadsheets/d/""&amp;$A425&amp;""/edit#gid=156619080"",P$3)"),"#REF!")</f>
        <v>#REF!</v>
      </c>
      <c r="Q425" s="2" t="str">
        <f>IFERROR(__xludf.DUMMYFUNCTION("IMPORTRANGE(""https://docs.google.com/spreadsheets/d/""&amp;$A425&amp;""/edit#gid=156619080"",Q$3)"),"#REF!")</f>
        <v>#REF!</v>
      </c>
      <c r="R425" s="2" t="str">
        <f>IFERROR(__xludf.DUMMYFUNCTION("IMPORTRANGE(""https://docs.google.com/spreadsheets/d/""&amp;$A425&amp;""/edit#gid=156619080"",R$3)"),"#REF!")</f>
        <v>#REF!</v>
      </c>
      <c r="S425" s="2" t="str">
        <f>IFERROR(__xludf.DUMMYFUNCTION("IMPORTRANGE(""https://docs.google.com/spreadsheets/d/""&amp;$A425&amp;""/edit#gid=156619080"",S$3)"),"#REF!")</f>
        <v>#REF!</v>
      </c>
      <c r="T425" s="2" t="str">
        <f>IFERROR(__xludf.DUMMYFUNCTION("IMPORTRANGE(""https://docs.google.com/spreadsheets/d/""&amp;$A425&amp;""/edit#gid=156619080"",T$3)"),"#REF!")</f>
        <v>#REF!</v>
      </c>
      <c r="U425" s="2" t="str">
        <f>IFERROR(__xludf.DUMMYFUNCTION("IMPORTRANGE(""https://docs.google.com/spreadsheets/d/""&amp;$A425&amp;""/edit#gid=156619080"",U$3)"),"#REF!")</f>
        <v>#REF!</v>
      </c>
      <c r="V425" s="2" t="str">
        <f>IFERROR(__xludf.DUMMYFUNCTION("IMPORTRANGE(""https://docs.google.com/spreadsheets/d/""&amp;$A425&amp;""/edit#gid=156619080"",V$3)"),"#REF!")</f>
        <v>#REF!</v>
      </c>
      <c r="W425" s="2" t="str">
        <f>IFERROR(__xludf.DUMMYFUNCTION("IMPORTRANGE(""https://docs.google.com/spreadsheets/d/""&amp;$A425&amp;""/edit#gid=156619080"",W$3)"),"#REF!")</f>
        <v>#REF!</v>
      </c>
      <c r="X425" s="2" t="str">
        <f>IFERROR(__xludf.DUMMYFUNCTION("IMPORTRANGE(""https://docs.google.com/spreadsheets/d/""&amp;$A425&amp;""/edit#gid=156619080"",X$3)"),"#REF!")</f>
        <v>#REF!</v>
      </c>
      <c r="Y425" s="2" t="str">
        <f>IFERROR(__xludf.DUMMYFUNCTION("IMPORTRANGE(""https://docs.google.com/spreadsheets/d/""&amp;$A425&amp;""/edit#gid=156619080"",Y$3)"),"#REF!")</f>
        <v>#REF!</v>
      </c>
      <c r="Z425" s="2" t="str">
        <f>IFERROR(__xludf.DUMMYFUNCTION("IMPORTRANGE(""https://docs.google.com/spreadsheets/d/""&amp;$A425&amp;""/edit#gid=156619080"",Z$3)"),"#REF!")</f>
        <v>#REF!</v>
      </c>
      <c r="AA425" s="2" t="str">
        <f>IFERROR(__xludf.DUMMYFUNCTION("IMPORTRANGE(""https://docs.google.com/spreadsheets/d/""&amp;$A425&amp;""/edit#gid=156619080"",AA$3)"),"#REF!")</f>
        <v>#REF!</v>
      </c>
      <c r="AB425" s="2" t="str">
        <f>IFERROR(__xludf.DUMMYFUNCTION("IMPORTRANGE(""https://docs.google.com/spreadsheets/d/""&amp;$A425&amp;""/edit#gid=156619080"",AB$3)"),"#REF!")</f>
        <v>#REF!</v>
      </c>
      <c r="AC425" s="2" t="str">
        <f>IFERROR(__xludf.DUMMYFUNCTION("IMPORTRANGE(""https://docs.google.com/spreadsheets/d/""&amp;$A425&amp;""/edit#gid=156619080"",AC$3)"),"#REF!")</f>
        <v>#REF!</v>
      </c>
      <c r="AD425" s="2" t="str">
        <f>IFERROR(__xludf.DUMMYFUNCTION("IMPORTRANGE(""https://docs.google.com/spreadsheets/d/""&amp;$A425&amp;""/edit#gid=156619080"",AD$3)"),"#REF!")</f>
        <v>#REF!</v>
      </c>
      <c r="AE425" s="2" t="str">
        <f>IFERROR(__xludf.DUMMYFUNCTION("IMPORTRANGE(""https://docs.google.com/spreadsheets/d/""&amp;$A425&amp;""/edit#gid=156619080"",AE$3)"),"#REF!")</f>
        <v>#REF!</v>
      </c>
      <c r="AF425" s="2" t="str">
        <f>IFERROR(__xludf.DUMMYFUNCTION("IMPORTRANGE(""https://docs.google.com/spreadsheets/d/""&amp;$A425&amp;""/edit#gid=156619080"",AF$3)"),"#REF!")</f>
        <v>#REF!</v>
      </c>
      <c r="AG425" s="2" t="str">
        <f>IFERROR(__xludf.DUMMYFUNCTION("IMPORTRANGE(""https://docs.google.com/spreadsheets/d/""&amp;$A425&amp;""/edit#gid=156619080"",AG$3)"),"#REF!")</f>
        <v>#REF!</v>
      </c>
      <c r="AH425" s="2" t="str">
        <f>IFERROR(__xludf.DUMMYFUNCTION("IMPORTRANGE(""https://docs.google.com/spreadsheets/d/""&amp;$A425&amp;""/edit#gid=156619080"",AH$3)"),"#REF!")</f>
        <v>#REF!</v>
      </c>
      <c r="AI425" s="2" t="str">
        <f>IFERROR(__xludf.DUMMYFUNCTION("IMPORTRANGE(""https://docs.google.com/spreadsheets/d/""&amp;$A425&amp;""/edit#gid=156619080"",AI$3)"),"#REF!")</f>
        <v>#REF!</v>
      </c>
      <c r="AJ425" s="2" t="str">
        <f>IFERROR(__xludf.DUMMYFUNCTION("IMPORTRANGE(""https://docs.google.com/spreadsheets/d/""&amp;$A425&amp;""/edit#gid=156619080"",AJ$3)"),"#REF!")</f>
        <v>#REF!</v>
      </c>
      <c r="AK425" s="2" t="str">
        <f>IFERROR(__xludf.DUMMYFUNCTION("IMPORTRANGE(""https://docs.google.com/spreadsheets/d/""&amp;$A425&amp;""/edit#gid=156619080"",AK$3)"),"#REF!")</f>
        <v>#REF!</v>
      </c>
      <c r="AL425" s="2" t="str">
        <f>IFERROR(__xludf.DUMMYFUNCTION("IMPORTRANGE(""https://docs.google.com/spreadsheets/d/""&amp;$A425&amp;""/edit#gid=156619080"",AL$3)"),"#REF!")</f>
        <v>#REF!</v>
      </c>
      <c r="AM425" s="2" t="str">
        <f>IFERROR(__xludf.DUMMYFUNCTION("IMPORTRANGE(""https://docs.google.com/spreadsheets/d/""&amp;$A425&amp;""/edit#gid=156619080"",AM$3)"),"#REF!")</f>
        <v>#REF!</v>
      </c>
      <c r="AN425" s="2" t="str">
        <f>IFERROR(__xludf.DUMMYFUNCTION("IMPORTRANGE(""https://docs.google.com/spreadsheets/d/""&amp;$A425&amp;""/edit#gid=156619080"",AN$3)"),"#REF!")</f>
        <v>#REF!</v>
      </c>
      <c r="AO425" s="2" t="str">
        <f>IFERROR(__xludf.DUMMYFUNCTION("IMPORTRANGE(""https://docs.google.com/spreadsheets/d/""&amp;$A425&amp;""/edit#gid=156619080"",AO$3)"),"#REF!")</f>
        <v>#REF!</v>
      </c>
      <c r="AP425" s="2" t="str">
        <f>IFERROR(__xludf.DUMMYFUNCTION("IMPORTRANGE(""https://docs.google.com/spreadsheets/d/""&amp;$A425&amp;""/edit#gid=156619080"",AP$3)"),"#REF!")</f>
        <v>#REF!</v>
      </c>
      <c r="AQ425" s="2" t="str">
        <f>IFERROR(__xludf.DUMMYFUNCTION("IMPORTRANGE(""https://docs.google.com/spreadsheets/d/""&amp;$A425&amp;""/edit#gid=156619080"",AQ$3)"),"#REF!")</f>
        <v>#REF!</v>
      </c>
      <c r="AR425" s="2" t="str">
        <f>IFERROR(__xludf.DUMMYFUNCTION("IMPORTRANGE(""https://docs.google.com/spreadsheets/d/""&amp;$A425&amp;""/edit#gid=156619080"",AR$3)"),"#REF!")</f>
        <v>#REF!</v>
      </c>
      <c r="AS425" s="19" t="str">
        <f>IFERROR(__xludf.DUMMYFUNCTION("IMPORTRANGE(""https://docs.google.com/spreadsheets/d/""&amp;$A425&amp;""/edit#gid=156619080"",AS$3)"),"#REF!")</f>
        <v>#REF!</v>
      </c>
      <c r="AT425" s="2" t="str">
        <f>IFERROR(__xludf.DUMMYFUNCTION("IMPORTRANGE(""https://docs.google.com/spreadsheets/d/""&amp;$A425&amp;""/edit#gid=156619080"",AT$3)"),"#REF!")</f>
        <v>#REF!</v>
      </c>
      <c r="AU425" s="3" t="str">
        <f>IFERROR(__xludf.DUMMYFUNCTION("IMPORTRANGE(""https://docs.google.com/spreadsheets/d/""&amp;$A425&amp;""/edit#gid=156619080"",AU$3)"),"#REF!")</f>
        <v>#REF!</v>
      </c>
      <c r="AV425" s="2" t="str">
        <f>IFERROR(__xludf.DUMMYFUNCTION("IMPORTRANGE(""https://docs.google.com/spreadsheets/d/""&amp;$A425&amp;""/edit#gid=156619080"",AV$3)"),"#REF!")</f>
        <v>#REF!</v>
      </c>
      <c r="AW425" s="19" t="str">
        <f>IFERROR(__xludf.DUMMYFUNCTION("IMPORTRANGE(""https://docs.google.com/spreadsheets/d/""&amp;$A425&amp;""/edit#gid=156619080"",AW$3)"),"#REF!")</f>
        <v>#REF!</v>
      </c>
      <c r="AX425" s="2" t="str">
        <f>IFERROR(__xludf.DUMMYFUNCTION("IMPORTRANGE(""https://docs.google.com/spreadsheets/d/""&amp;$A425&amp;""/edit#gid=156619080"",AX$3)"),"#REF!")</f>
        <v>#REF!</v>
      </c>
      <c r="AY425" s="2" t="str">
        <f>IFERROR(__xludf.DUMMYFUNCTION("IMPORTRANGE(""https://docs.google.com/spreadsheets/d/""&amp;$A425&amp;""/edit#gid=156619080"",AY$3)"),"#REF!")</f>
        <v>#REF!</v>
      </c>
      <c r="AZ425" s="2" t="str">
        <f>IFERROR(__xludf.DUMMYFUNCTION("IMPORTRANGE(""https://docs.google.com/spreadsheets/d/""&amp;$A425&amp;""/edit#gid=156619080"",AZ$3)"),"#REF!")</f>
        <v>#REF!</v>
      </c>
      <c r="BA425" s="2" t="str">
        <f>IFERROR(__xludf.DUMMYFUNCTION("IMPORTRANGE(""https://docs.google.com/spreadsheets/d/""&amp;$A425&amp;""/edit#gid=156619080"",BA$3)"),"#REF!")</f>
        <v>#REF!</v>
      </c>
      <c r="BB425" s="2" t="str">
        <f>IFERROR(__xludf.DUMMYFUNCTION("IMPORTRANGE(""https://docs.google.com/spreadsheets/d/""&amp;$A425&amp;""/edit#gid=156619080"",BB$3)"),"#REF!")</f>
        <v>#REF!</v>
      </c>
      <c r="BC425" s="2" t="str">
        <f>IFERROR(__xludf.DUMMYFUNCTION("IMPORTRANGE(""https://docs.google.com/spreadsheets/d/""&amp;$A425&amp;""/edit#gid=156619080"",BC$3)"),"#REF!")</f>
        <v>#REF!</v>
      </c>
    </row>
    <row r="426" ht="51.0" customHeight="1">
      <c r="A426" s="7" t="str">
        <f t="shared" si="5"/>
        <v>1E94H98rh6Wo_5vcsAwxPB9WbUFa181ze1I95evSflTM</v>
      </c>
      <c r="B426" s="1" t="s">
        <v>453</v>
      </c>
      <c r="C426" s="2" t="str">
        <f>IFERROR(__xludf.DUMMYFUNCTION("IMPORTRANGE(""https://docs.google.com/spreadsheets/d/""&amp;$A426&amp;""/edit#gid=156619080"",C$3)"),"#REF!")</f>
        <v>#REF!</v>
      </c>
      <c r="D426" s="2" t="str">
        <f>IFERROR(__xludf.DUMMYFUNCTION("IMPORTRANGE(""https://docs.google.com/spreadsheets/d/""&amp;$A426&amp;""/edit#gid=156619080"",D$3)"),"#REF!")</f>
        <v>#REF!</v>
      </c>
      <c r="E426" s="2" t="str">
        <f>IFERROR(__xludf.DUMMYFUNCTION("IMPORTRANGE(""https://docs.google.com/spreadsheets/d/""&amp;$A426&amp;""/edit#gid=156619080"",E$3)"),"#REF!")</f>
        <v>#REF!</v>
      </c>
      <c r="F426" s="2" t="str">
        <f>IFERROR(__xludf.DUMMYFUNCTION("IMPORTRANGE(""https://docs.google.com/spreadsheets/d/""&amp;$A426&amp;""/edit#gid=156619080"",F$3)"),"#REF!")</f>
        <v>#REF!</v>
      </c>
      <c r="G426" s="2" t="str">
        <f>IFERROR(__xludf.DUMMYFUNCTION("IMPORTRANGE(""https://docs.google.com/spreadsheets/d/""&amp;$A426&amp;""/edit#gid=156619080"",G$3)"),"#REF!")</f>
        <v>#REF!</v>
      </c>
      <c r="H426" s="2" t="str">
        <f>IFERROR(__xludf.DUMMYFUNCTION("IMPORTRANGE(""https://docs.google.com/spreadsheets/d/""&amp;$A426&amp;""/edit#gid=156619080"",H$3)"),"#REF!")</f>
        <v>#REF!</v>
      </c>
      <c r="I426" s="2" t="str">
        <f>IFERROR(__xludf.DUMMYFUNCTION("IMPORTRANGE(""https://docs.google.com/spreadsheets/d/""&amp;$A426&amp;""/edit#gid=156619080"",I$3)"),"#REF!")</f>
        <v>#REF!</v>
      </c>
      <c r="J426" s="2" t="str">
        <f>IFERROR(__xludf.DUMMYFUNCTION("IMPORTRANGE(""https://docs.google.com/spreadsheets/d/""&amp;$A426&amp;""/edit#gid=156619080"",J$3)"),"#REF!")</f>
        <v>#REF!</v>
      </c>
      <c r="K426" s="2" t="str">
        <f>IFERROR(__xludf.DUMMYFUNCTION("IMPORTRANGE(""https://docs.google.com/spreadsheets/d/""&amp;$A426&amp;""/edit#gid=156619080"",K$3)"),"#REF!")</f>
        <v>#REF!</v>
      </c>
      <c r="L426" s="2" t="str">
        <f>IFERROR(__xludf.DUMMYFUNCTION("IMPORTRANGE(""https://docs.google.com/spreadsheets/d/""&amp;$A426&amp;""/edit#gid=156619080"",L$3)"),"#REF!")</f>
        <v>#REF!</v>
      </c>
      <c r="M426" s="2" t="str">
        <f>IFERROR(__xludf.DUMMYFUNCTION("IMPORTRANGE(""https://docs.google.com/spreadsheets/d/""&amp;$A426&amp;""/edit#gid=156619080"",M$3)"),"#REF!")</f>
        <v>#REF!</v>
      </c>
      <c r="N426" s="2" t="str">
        <f>IFERROR(__xludf.DUMMYFUNCTION("IMPORTRANGE(""https://docs.google.com/spreadsheets/d/""&amp;$A426&amp;""/edit#gid=156619080"",N$3)"),"#REF!")</f>
        <v>#REF!</v>
      </c>
      <c r="O426" s="2" t="str">
        <f>IFERROR(__xludf.DUMMYFUNCTION("IMPORTRANGE(""https://docs.google.com/spreadsheets/d/""&amp;$A426&amp;""/edit#gid=156619080"",O$3)"),"#REF!")</f>
        <v>#REF!</v>
      </c>
      <c r="P426" s="2" t="str">
        <f>IFERROR(__xludf.DUMMYFUNCTION("IMPORTRANGE(""https://docs.google.com/spreadsheets/d/""&amp;$A426&amp;""/edit#gid=156619080"",P$3)"),"#REF!")</f>
        <v>#REF!</v>
      </c>
      <c r="Q426" s="2" t="str">
        <f>IFERROR(__xludf.DUMMYFUNCTION("IMPORTRANGE(""https://docs.google.com/spreadsheets/d/""&amp;$A426&amp;""/edit#gid=156619080"",Q$3)"),"#REF!")</f>
        <v>#REF!</v>
      </c>
      <c r="R426" s="2" t="str">
        <f>IFERROR(__xludf.DUMMYFUNCTION("IMPORTRANGE(""https://docs.google.com/spreadsheets/d/""&amp;$A426&amp;""/edit#gid=156619080"",R$3)"),"#REF!")</f>
        <v>#REF!</v>
      </c>
      <c r="S426" s="2" t="str">
        <f>IFERROR(__xludf.DUMMYFUNCTION("IMPORTRANGE(""https://docs.google.com/spreadsheets/d/""&amp;$A426&amp;""/edit#gid=156619080"",S$3)"),"#REF!")</f>
        <v>#REF!</v>
      </c>
      <c r="T426" s="2" t="str">
        <f>IFERROR(__xludf.DUMMYFUNCTION("IMPORTRANGE(""https://docs.google.com/spreadsheets/d/""&amp;$A426&amp;""/edit#gid=156619080"",T$3)"),"#REF!")</f>
        <v>#REF!</v>
      </c>
      <c r="U426" s="2" t="str">
        <f>IFERROR(__xludf.DUMMYFUNCTION("IMPORTRANGE(""https://docs.google.com/spreadsheets/d/""&amp;$A426&amp;""/edit#gid=156619080"",U$3)"),"#REF!")</f>
        <v>#REF!</v>
      </c>
      <c r="V426" s="2" t="str">
        <f>IFERROR(__xludf.DUMMYFUNCTION("IMPORTRANGE(""https://docs.google.com/spreadsheets/d/""&amp;$A426&amp;""/edit#gid=156619080"",V$3)"),"#REF!")</f>
        <v>#REF!</v>
      </c>
      <c r="W426" s="2" t="str">
        <f>IFERROR(__xludf.DUMMYFUNCTION("IMPORTRANGE(""https://docs.google.com/spreadsheets/d/""&amp;$A426&amp;""/edit#gid=156619080"",W$3)"),"#REF!")</f>
        <v>#REF!</v>
      </c>
      <c r="X426" s="2" t="str">
        <f>IFERROR(__xludf.DUMMYFUNCTION("IMPORTRANGE(""https://docs.google.com/spreadsheets/d/""&amp;$A426&amp;""/edit#gid=156619080"",X$3)"),"#REF!")</f>
        <v>#REF!</v>
      </c>
      <c r="Y426" s="2" t="str">
        <f>IFERROR(__xludf.DUMMYFUNCTION("IMPORTRANGE(""https://docs.google.com/spreadsheets/d/""&amp;$A426&amp;""/edit#gid=156619080"",Y$3)"),"#REF!")</f>
        <v>#REF!</v>
      </c>
      <c r="Z426" s="2" t="str">
        <f>IFERROR(__xludf.DUMMYFUNCTION("IMPORTRANGE(""https://docs.google.com/spreadsheets/d/""&amp;$A426&amp;""/edit#gid=156619080"",Z$3)"),"#REF!")</f>
        <v>#REF!</v>
      </c>
      <c r="AA426" s="2" t="str">
        <f>IFERROR(__xludf.DUMMYFUNCTION("IMPORTRANGE(""https://docs.google.com/spreadsheets/d/""&amp;$A426&amp;""/edit#gid=156619080"",AA$3)"),"#REF!")</f>
        <v>#REF!</v>
      </c>
      <c r="AB426" s="2" t="str">
        <f>IFERROR(__xludf.DUMMYFUNCTION("IMPORTRANGE(""https://docs.google.com/spreadsheets/d/""&amp;$A426&amp;""/edit#gid=156619080"",AB$3)"),"#REF!")</f>
        <v>#REF!</v>
      </c>
      <c r="AC426" s="2" t="str">
        <f>IFERROR(__xludf.DUMMYFUNCTION("IMPORTRANGE(""https://docs.google.com/spreadsheets/d/""&amp;$A426&amp;""/edit#gid=156619080"",AC$3)"),"#REF!")</f>
        <v>#REF!</v>
      </c>
      <c r="AD426" s="2" t="str">
        <f>IFERROR(__xludf.DUMMYFUNCTION("IMPORTRANGE(""https://docs.google.com/spreadsheets/d/""&amp;$A426&amp;""/edit#gid=156619080"",AD$3)"),"#REF!")</f>
        <v>#REF!</v>
      </c>
      <c r="AE426" s="2" t="str">
        <f>IFERROR(__xludf.DUMMYFUNCTION("IMPORTRANGE(""https://docs.google.com/spreadsheets/d/""&amp;$A426&amp;""/edit#gid=156619080"",AE$3)"),"#REF!")</f>
        <v>#REF!</v>
      </c>
      <c r="AF426" s="2" t="str">
        <f>IFERROR(__xludf.DUMMYFUNCTION("IMPORTRANGE(""https://docs.google.com/spreadsheets/d/""&amp;$A426&amp;""/edit#gid=156619080"",AF$3)"),"#REF!")</f>
        <v>#REF!</v>
      </c>
      <c r="AG426" s="2" t="str">
        <f>IFERROR(__xludf.DUMMYFUNCTION("IMPORTRANGE(""https://docs.google.com/spreadsheets/d/""&amp;$A426&amp;""/edit#gid=156619080"",AG$3)"),"#REF!")</f>
        <v>#REF!</v>
      </c>
      <c r="AH426" s="2" t="str">
        <f>IFERROR(__xludf.DUMMYFUNCTION("IMPORTRANGE(""https://docs.google.com/spreadsheets/d/""&amp;$A426&amp;""/edit#gid=156619080"",AH$3)"),"#REF!")</f>
        <v>#REF!</v>
      </c>
      <c r="AI426" s="2" t="str">
        <f>IFERROR(__xludf.DUMMYFUNCTION("IMPORTRANGE(""https://docs.google.com/spreadsheets/d/""&amp;$A426&amp;""/edit#gid=156619080"",AI$3)"),"#REF!")</f>
        <v>#REF!</v>
      </c>
      <c r="AJ426" s="2" t="str">
        <f>IFERROR(__xludf.DUMMYFUNCTION("IMPORTRANGE(""https://docs.google.com/spreadsheets/d/""&amp;$A426&amp;""/edit#gid=156619080"",AJ$3)"),"#REF!")</f>
        <v>#REF!</v>
      </c>
      <c r="AK426" s="2" t="str">
        <f>IFERROR(__xludf.DUMMYFUNCTION("IMPORTRANGE(""https://docs.google.com/spreadsheets/d/""&amp;$A426&amp;""/edit#gid=156619080"",AK$3)"),"#REF!")</f>
        <v>#REF!</v>
      </c>
      <c r="AL426" s="2" t="str">
        <f>IFERROR(__xludf.DUMMYFUNCTION("IMPORTRANGE(""https://docs.google.com/spreadsheets/d/""&amp;$A426&amp;""/edit#gid=156619080"",AL$3)"),"#REF!")</f>
        <v>#REF!</v>
      </c>
      <c r="AM426" s="2" t="str">
        <f>IFERROR(__xludf.DUMMYFUNCTION("IMPORTRANGE(""https://docs.google.com/spreadsheets/d/""&amp;$A426&amp;""/edit#gid=156619080"",AM$3)"),"#REF!")</f>
        <v>#REF!</v>
      </c>
      <c r="AN426" s="2" t="str">
        <f>IFERROR(__xludf.DUMMYFUNCTION("IMPORTRANGE(""https://docs.google.com/spreadsheets/d/""&amp;$A426&amp;""/edit#gid=156619080"",AN$3)"),"#REF!")</f>
        <v>#REF!</v>
      </c>
      <c r="AO426" s="2" t="str">
        <f>IFERROR(__xludf.DUMMYFUNCTION("IMPORTRANGE(""https://docs.google.com/spreadsheets/d/""&amp;$A426&amp;""/edit#gid=156619080"",AO$3)"),"#REF!")</f>
        <v>#REF!</v>
      </c>
      <c r="AP426" s="2" t="str">
        <f>IFERROR(__xludf.DUMMYFUNCTION("IMPORTRANGE(""https://docs.google.com/spreadsheets/d/""&amp;$A426&amp;""/edit#gid=156619080"",AP$3)"),"#REF!")</f>
        <v>#REF!</v>
      </c>
      <c r="AQ426" s="2" t="str">
        <f>IFERROR(__xludf.DUMMYFUNCTION("IMPORTRANGE(""https://docs.google.com/spreadsheets/d/""&amp;$A426&amp;""/edit#gid=156619080"",AQ$3)"),"#REF!")</f>
        <v>#REF!</v>
      </c>
      <c r="AR426" s="2" t="str">
        <f>IFERROR(__xludf.DUMMYFUNCTION("IMPORTRANGE(""https://docs.google.com/spreadsheets/d/""&amp;$A426&amp;""/edit#gid=156619080"",AR$3)"),"#REF!")</f>
        <v>#REF!</v>
      </c>
      <c r="AS426" s="19" t="str">
        <f>IFERROR(__xludf.DUMMYFUNCTION("IMPORTRANGE(""https://docs.google.com/spreadsheets/d/""&amp;$A426&amp;""/edit#gid=156619080"",AS$3)"),"#REF!")</f>
        <v>#REF!</v>
      </c>
      <c r="AT426" s="2" t="str">
        <f>IFERROR(__xludf.DUMMYFUNCTION("IMPORTRANGE(""https://docs.google.com/spreadsheets/d/""&amp;$A426&amp;""/edit#gid=156619080"",AT$3)"),"#REF!")</f>
        <v>#REF!</v>
      </c>
      <c r="AU426" s="3" t="str">
        <f>IFERROR(__xludf.DUMMYFUNCTION("IMPORTRANGE(""https://docs.google.com/spreadsheets/d/""&amp;$A426&amp;""/edit#gid=156619080"",AU$3)"),"#REF!")</f>
        <v>#REF!</v>
      </c>
      <c r="AV426" s="2" t="str">
        <f>IFERROR(__xludf.DUMMYFUNCTION("IMPORTRANGE(""https://docs.google.com/spreadsheets/d/""&amp;$A426&amp;""/edit#gid=156619080"",AV$3)"),"#REF!")</f>
        <v>#REF!</v>
      </c>
      <c r="AW426" s="19" t="str">
        <f>IFERROR(__xludf.DUMMYFUNCTION("IMPORTRANGE(""https://docs.google.com/spreadsheets/d/""&amp;$A426&amp;""/edit#gid=156619080"",AW$3)"),"#REF!")</f>
        <v>#REF!</v>
      </c>
      <c r="AX426" s="2" t="str">
        <f>IFERROR(__xludf.DUMMYFUNCTION("IMPORTRANGE(""https://docs.google.com/spreadsheets/d/""&amp;$A426&amp;""/edit#gid=156619080"",AX$3)"),"#REF!")</f>
        <v>#REF!</v>
      </c>
      <c r="AY426" s="2" t="str">
        <f>IFERROR(__xludf.DUMMYFUNCTION("IMPORTRANGE(""https://docs.google.com/spreadsheets/d/""&amp;$A426&amp;""/edit#gid=156619080"",AY$3)"),"#REF!")</f>
        <v>#REF!</v>
      </c>
      <c r="AZ426" s="2" t="str">
        <f>IFERROR(__xludf.DUMMYFUNCTION("IMPORTRANGE(""https://docs.google.com/spreadsheets/d/""&amp;$A426&amp;""/edit#gid=156619080"",AZ$3)"),"#REF!")</f>
        <v>#REF!</v>
      </c>
      <c r="BA426" s="2" t="str">
        <f>IFERROR(__xludf.DUMMYFUNCTION("IMPORTRANGE(""https://docs.google.com/spreadsheets/d/""&amp;$A426&amp;""/edit#gid=156619080"",BA$3)"),"#REF!")</f>
        <v>#REF!</v>
      </c>
      <c r="BB426" s="2" t="str">
        <f>IFERROR(__xludf.DUMMYFUNCTION("IMPORTRANGE(""https://docs.google.com/spreadsheets/d/""&amp;$A426&amp;""/edit#gid=156619080"",BB$3)"),"#REF!")</f>
        <v>#REF!</v>
      </c>
      <c r="BC426" s="2" t="str">
        <f>IFERROR(__xludf.DUMMYFUNCTION("IMPORTRANGE(""https://docs.google.com/spreadsheets/d/""&amp;$A426&amp;""/edit#gid=156619080"",BC$3)"),"#REF!")</f>
        <v>#REF!</v>
      </c>
    </row>
    <row r="427" ht="51.0" customHeight="1">
      <c r="A427" s="7" t="str">
        <f t="shared" si="5"/>
        <v>1VJnOLfY4vwhy6qjA46BZiHHonbmsR1j2UgiEHhrRVJI</v>
      </c>
      <c r="B427" s="1" t="s">
        <v>454</v>
      </c>
      <c r="C427" s="2" t="str">
        <f>IFERROR(__xludf.DUMMYFUNCTION("IMPORTRANGE(""https://docs.google.com/spreadsheets/d/""&amp;$A427&amp;""/edit#gid=156619080"",C$3)"),"#REF!")</f>
        <v>#REF!</v>
      </c>
      <c r="D427" s="2" t="str">
        <f>IFERROR(__xludf.DUMMYFUNCTION("IMPORTRANGE(""https://docs.google.com/spreadsheets/d/""&amp;$A427&amp;""/edit#gid=156619080"",D$3)"),"#REF!")</f>
        <v>#REF!</v>
      </c>
      <c r="E427" s="2" t="str">
        <f>IFERROR(__xludf.DUMMYFUNCTION("IMPORTRANGE(""https://docs.google.com/spreadsheets/d/""&amp;$A427&amp;""/edit#gid=156619080"",E$3)"),"#REF!")</f>
        <v>#REF!</v>
      </c>
      <c r="F427" s="2" t="str">
        <f>IFERROR(__xludf.DUMMYFUNCTION("IMPORTRANGE(""https://docs.google.com/spreadsheets/d/""&amp;$A427&amp;""/edit#gid=156619080"",F$3)"),"#REF!")</f>
        <v>#REF!</v>
      </c>
      <c r="G427" s="2" t="str">
        <f>IFERROR(__xludf.DUMMYFUNCTION("IMPORTRANGE(""https://docs.google.com/spreadsheets/d/""&amp;$A427&amp;""/edit#gid=156619080"",G$3)"),"#REF!")</f>
        <v>#REF!</v>
      </c>
      <c r="H427" s="2" t="str">
        <f>IFERROR(__xludf.DUMMYFUNCTION("IMPORTRANGE(""https://docs.google.com/spreadsheets/d/""&amp;$A427&amp;""/edit#gid=156619080"",H$3)"),"#REF!")</f>
        <v>#REF!</v>
      </c>
      <c r="I427" s="2" t="str">
        <f>IFERROR(__xludf.DUMMYFUNCTION("IMPORTRANGE(""https://docs.google.com/spreadsheets/d/""&amp;$A427&amp;""/edit#gid=156619080"",I$3)"),"#REF!")</f>
        <v>#REF!</v>
      </c>
      <c r="J427" s="2" t="str">
        <f>IFERROR(__xludf.DUMMYFUNCTION("IMPORTRANGE(""https://docs.google.com/spreadsheets/d/""&amp;$A427&amp;""/edit#gid=156619080"",J$3)"),"#REF!")</f>
        <v>#REF!</v>
      </c>
      <c r="K427" s="2" t="str">
        <f>IFERROR(__xludf.DUMMYFUNCTION("IMPORTRANGE(""https://docs.google.com/spreadsheets/d/""&amp;$A427&amp;""/edit#gid=156619080"",K$3)"),"#REF!")</f>
        <v>#REF!</v>
      </c>
      <c r="L427" s="2" t="str">
        <f>IFERROR(__xludf.DUMMYFUNCTION("IMPORTRANGE(""https://docs.google.com/spreadsheets/d/""&amp;$A427&amp;""/edit#gid=156619080"",L$3)"),"#REF!")</f>
        <v>#REF!</v>
      </c>
      <c r="M427" s="2" t="str">
        <f>IFERROR(__xludf.DUMMYFUNCTION("IMPORTRANGE(""https://docs.google.com/spreadsheets/d/""&amp;$A427&amp;""/edit#gid=156619080"",M$3)"),"#REF!")</f>
        <v>#REF!</v>
      </c>
      <c r="N427" s="2" t="str">
        <f>IFERROR(__xludf.DUMMYFUNCTION("IMPORTRANGE(""https://docs.google.com/spreadsheets/d/""&amp;$A427&amp;""/edit#gid=156619080"",N$3)"),"#REF!")</f>
        <v>#REF!</v>
      </c>
      <c r="O427" s="2" t="str">
        <f>IFERROR(__xludf.DUMMYFUNCTION("IMPORTRANGE(""https://docs.google.com/spreadsheets/d/""&amp;$A427&amp;""/edit#gid=156619080"",O$3)"),"#REF!")</f>
        <v>#REF!</v>
      </c>
      <c r="P427" s="2" t="str">
        <f>IFERROR(__xludf.DUMMYFUNCTION("IMPORTRANGE(""https://docs.google.com/spreadsheets/d/""&amp;$A427&amp;""/edit#gid=156619080"",P$3)"),"#REF!")</f>
        <v>#REF!</v>
      </c>
      <c r="Q427" s="2" t="str">
        <f>IFERROR(__xludf.DUMMYFUNCTION("IMPORTRANGE(""https://docs.google.com/spreadsheets/d/""&amp;$A427&amp;""/edit#gid=156619080"",Q$3)"),"#REF!")</f>
        <v>#REF!</v>
      </c>
      <c r="R427" s="2" t="str">
        <f>IFERROR(__xludf.DUMMYFUNCTION("IMPORTRANGE(""https://docs.google.com/spreadsheets/d/""&amp;$A427&amp;""/edit#gid=156619080"",R$3)"),"#REF!")</f>
        <v>#REF!</v>
      </c>
      <c r="S427" s="2" t="str">
        <f>IFERROR(__xludf.DUMMYFUNCTION("IMPORTRANGE(""https://docs.google.com/spreadsheets/d/""&amp;$A427&amp;""/edit#gid=156619080"",S$3)"),"#REF!")</f>
        <v>#REF!</v>
      </c>
      <c r="T427" s="2" t="str">
        <f>IFERROR(__xludf.DUMMYFUNCTION("IMPORTRANGE(""https://docs.google.com/spreadsheets/d/""&amp;$A427&amp;""/edit#gid=156619080"",T$3)"),"#REF!")</f>
        <v>#REF!</v>
      </c>
      <c r="U427" s="2" t="str">
        <f>IFERROR(__xludf.DUMMYFUNCTION("IMPORTRANGE(""https://docs.google.com/spreadsheets/d/""&amp;$A427&amp;""/edit#gid=156619080"",U$3)"),"#REF!")</f>
        <v>#REF!</v>
      </c>
      <c r="V427" s="2" t="str">
        <f>IFERROR(__xludf.DUMMYFUNCTION("IMPORTRANGE(""https://docs.google.com/spreadsheets/d/""&amp;$A427&amp;""/edit#gid=156619080"",V$3)"),"#REF!")</f>
        <v>#REF!</v>
      </c>
      <c r="W427" s="2" t="str">
        <f>IFERROR(__xludf.DUMMYFUNCTION("IMPORTRANGE(""https://docs.google.com/spreadsheets/d/""&amp;$A427&amp;""/edit#gid=156619080"",W$3)"),"#REF!")</f>
        <v>#REF!</v>
      </c>
      <c r="X427" s="2" t="str">
        <f>IFERROR(__xludf.DUMMYFUNCTION("IMPORTRANGE(""https://docs.google.com/spreadsheets/d/""&amp;$A427&amp;""/edit#gid=156619080"",X$3)"),"#REF!")</f>
        <v>#REF!</v>
      </c>
      <c r="Y427" s="2" t="str">
        <f>IFERROR(__xludf.DUMMYFUNCTION("IMPORTRANGE(""https://docs.google.com/spreadsheets/d/""&amp;$A427&amp;""/edit#gid=156619080"",Y$3)"),"#REF!")</f>
        <v>#REF!</v>
      </c>
      <c r="Z427" s="2" t="str">
        <f>IFERROR(__xludf.DUMMYFUNCTION("IMPORTRANGE(""https://docs.google.com/spreadsheets/d/""&amp;$A427&amp;""/edit#gid=156619080"",Z$3)"),"#REF!")</f>
        <v>#REF!</v>
      </c>
      <c r="AA427" s="2" t="str">
        <f>IFERROR(__xludf.DUMMYFUNCTION("IMPORTRANGE(""https://docs.google.com/spreadsheets/d/""&amp;$A427&amp;""/edit#gid=156619080"",AA$3)"),"#REF!")</f>
        <v>#REF!</v>
      </c>
      <c r="AB427" s="2" t="str">
        <f>IFERROR(__xludf.DUMMYFUNCTION("IMPORTRANGE(""https://docs.google.com/spreadsheets/d/""&amp;$A427&amp;""/edit#gid=156619080"",AB$3)"),"#REF!")</f>
        <v>#REF!</v>
      </c>
      <c r="AC427" s="2" t="str">
        <f>IFERROR(__xludf.DUMMYFUNCTION("IMPORTRANGE(""https://docs.google.com/spreadsheets/d/""&amp;$A427&amp;""/edit#gid=156619080"",AC$3)"),"#REF!")</f>
        <v>#REF!</v>
      </c>
      <c r="AD427" s="2" t="str">
        <f>IFERROR(__xludf.DUMMYFUNCTION("IMPORTRANGE(""https://docs.google.com/spreadsheets/d/""&amp;$A427&amp;""/edit#gid=156619080"",AD$3)"),"#REF!")</f>
        <v>#REF!</v>
      </c>
      <c r="AE427" s="2" t="str">
        <f>IFERROR(__xludf.DUMMYFUNCTION("IMPORTRANGE(""https://docs.google.com/spreadsheets/d/""&amp;$A427&amp;""/edit#gid=156619080"",AE$3)"),"#REF!")</f>
        <v>#REF!</v>
      </c>
      <c r="AF427" s="2" t="str">
        <f>IFERROR(__xludf.DUMMYFUNCTION("IMPORTRANGE(""https://docs.google.com/spreadsheets/d/""&amp;$A427&amp;""/edit#gid=156619080"",AF$3)"),"#REF!")</f>
        <v>#REF!</v>
      </c>
      <c r="AG427" s="2" t="str">
        <f>IFERROR(__xludf.DUMMYFUNCTION("IMPORTRANGE(""https://docs.google.com/spreadsheets/d/""&amp;$A427&amp;""/edit#gid=156619080"",AG$3)"),"#REF!")</f>
        <v>#REF!</v>
      </c>
      <c r="AH427" s="2" t="str">
        <f>IFERROR(__xludf.DUMMYFUNCTION("IMPORTRANGE(""https://docs.google.com/spreadsheets/d/""&amp;$A427&amp;""/edit#gid=156619080"",AH$3)"),"#REF!")</f>
        <v>#REF!</v>
      </c>
      <c r="AI427" s="2" t="str">
        <f>IFERROR(__xludf.DUMMYFUNCTION("IMPORTRANGE(""https://docs.google.com/spreadsheets/d/""&amp;$A427&amp;""/edit#gid=156619080"",AI$3)"),"#REF!")</f>
        <v>#REF!</v>
      </c>
      <c r="AJ427" s="2" t="str">
        <f>IFERROR(__xludf.DUMMYFUNCTION("IMPORTRANGE(""https://docs.google.com/spreadsheets/d/""&amp;$A427&amp;""/edit#gid=156619080"",AJ$3)"),"#REF!")</f>
        <v>#REF!</v>
      </c>
      <c r="AK427" s="2" t="str">
        <f>IFERROR(__xludf.DUMMYFUNCTION("IMPORTRANGE(""https://docs.google.com/spreadsheets/d/""&amp;$A427&amp;""/edit#gid=156619080"",AK$3)"),"#REF!")</f>
        <v>#REF!</v>
      </c>
      <c r="AL427" s="2" t="str">
        <f>IFERROR(__xludf.DUMMYFUNCTION("IMPORTRANGE(""https://docs.google.com/spreadsheets/d/""&amp;$A427&amp;""/edit#gid=156619080"",AL$3)"),"#REF!")</f>
        <v>#REF!</v>
      </c>
      <c r="AM427" s="2" t="str">
        <f>IFERROR(__xludf.DUMMYFUNCTION("IMPORTRANGE(""https://docs.google.com/spreadsheets/d/""&amp;$A427&amp;""/edit#gid=156619080"",AM$3)"),"#REF!")</f>
        <v>#REF!</v>
      </c>
      <c r="AN427" s="2" t="str">
        <f>IFERROR(__xludf.DUMMYFUNCTION("IMPORTRANGE(""https://docs.google.com/spreadsheets/d/""&amp;$A427&amp;""/edit#gid=156619080"",AN$3)"),"#REF!")</f>
        <v>#REF!</v>
      </c>
      <c r="AO427" s="2" t="str">
        <f>IFERROR(__xludf.DUMMYFUNCTION("IMPORTRANGE(""https://docs.google.com/spreadsheets/d/""&amp;$A427&amp;""/edit#gid=156619080"",AO$3)"),"#REF!")</f>
        <v>#REF!</v>
      </c>
      <c r="AP427" s="2" t="str">
        <f>IFERROR(__xludf.DUMMYFUNCTION("IMPORTRANGE(""https://docs.google.com/spreadsheets/d/""&amp;$A427&amp;""/edit#gid=156619080"",AP$3)"),"#REF!")</f>
        <v>#REF!</v>
      </c>
      <c r="AQ427" s="2" t="str">
        <f>IFERROR(__xludf.DUMMYFUNCTION("IMPORTRANGE(""https://docs.google.com/spreadsheets/d/""&amp;$A427&amp;""/edit#gid=156619080"",AQ$3)"),"#REF!")</f>
        <v>#REF!</v>
      </c>
      <c r="AR427" s="2" t="str">
        <f>IFERROR(__xludf.DUMMYFUNCTION("IMPORTRANGE(""https://docs.google.com/spreadsheets/d/""&amp;$A427&amp;""/edit#gid=156619080"",AR$3)"),"#REF!")</f>
        <v>#REF!</v>
      </c>
      <c r="AS427" s="19" t="str">
        <f>IFERROR(__xludf.DUMMYFUNCTION("IMPORTRANGE(""https://docs.google.com/spreadsheets/d/""&amp;$A427&amp;""/edit#gid=156619080"",AS$3)"),"#REF!")</f>
        <v>#REF!</v>
      </c>
      <c r="AT427" s="2" t="str">
        <f>IFERROR(__xludf.DUMMYFUNCTION("IMPORTRANGE(""https://docs.google.com/spreadsheets/d/""&amp;$A427&amp;""/edit#gid=156619080"",AT$3)"),"#REF!")</f>
        <v>#REF!</v>
      </c>
      <c r="AU427" s="3" t="str">
        <f>IFERROR(__xludf.DUMMYFUNCTION("IMPORTRANGE(""https://docs.google.com/spreadsheets/d/""&amp;$A427&amp;""/edit#gid=156619080"",AU$3)"),"#REF!")</f>
        <v>#REF!</v>
      </c>
      <c r="AV427" s="2" t="str">
        <f>IFERROR(__xludf.DUMMYFUNCTION("IMPORTRANGE(""https://docs.google.com/spreadsheets/d/""&amp;$A427&amp;""/edit#gid=156619080"",AV$3)"),"#REF!")</f>
        <v>#REF!</v>
      </c>
      <c r="AW427" s="19" t="str">
        <f>IFERROR(__xludf.DUMMYFUNCTION("IMPORTRANGE(""https://docs.google.com/spreadsheets/d/""&amp;$A427&amp;""/edit#gid=156619080"",AW$3)"),"#REF!")</f>
        <v>#REF!</v>
      </c>
      <c r="AX427" s="2" t="str">
        <f>IFERROR(__xludf.DUMMYFUNCTION("IMPORTRANGE(""https://docs.google.com/spreadsheets/d/""&amp;$A427&amp;""/edit#gid=156619080"",AX$3)"),"#REF!")</f>
        <v>#REF!</v>
      </c>
      <c r="AY427" s="2" t="str">
        <f>IFERROR(__xludf.DUMMYFUNCTION("IMPORTRANGE(""https://docs.google.com/spreadsheets/d/""&amp;$A427&amp;""/edit#gid=156619080"",AY$3)"),"#REF!")</f>
        <v>#REF!</v>
      </c>
      <c r="AZ427" s="2" t="str">
        <f>IFERROR(__xludf.DUMMYFUNCTION("IMPORTRANGE(""https://docs.google.com/spreadsheets/d/""&amp;$A427&amp;""/edit#gid=156619080"",AZ$3)"),"#REF!")</f>
        <v>#REF!</v>
      </c>
      <c r="BA427" s="2" t="str">
        <f>IFERROR(__xludf.DUMMYFUNCTION("IMPORTRANGE(""https://docs.google.com/spreadsheets/d/""&amp;$A427&amp;""/edit#gid=156619080"",BA$3)"),"#REF!")</f>
        <v>#REF!</v>
      </c>
      <c r="BB427" s="2" t="str">
        <f>IFERROR(__xludf.DUMMYFUNCTION("IMPORTRANGE(""https://docs.google.com/spreadsheets/d/""&amp;$A427&amp;""/edit#gid=156619080"",BB$3)"),"#REF!")</f>
        <v>#REF!</v>
      </c>
      <c r="BC427" s="2" t="str">
        <f>IFERROR(__xludf.DUMMYFUNCTION("IMPORTRANGE(""https://docs.google.com/spreadsheets/d/""&amp;$A427&amp;""/edit#gid=156619080"",BC$3)"),"#REF!")</f>
        <v>#REF!</v>
      </c>
    </row>
    <row r="428" ht="51.0" customHeight="1">
      <c r="A428" s="7" t="str">
        <f t="shared" si="5"/>
        <v>1iWFLdl2oPhMKq5NOATrAHnvDgNUX1JnwEpdsYVMj2ek</v>
      </c>
      <c r="B428" s="1" t="s">
        <v>455</v>
      </c>
      <c r="C428" s="2" t="str">
        <f>IFERROR(__xludf.DUMMYFUNCTION("IMPORTRANGE(""https://docs.google.com/spreadsheets/d/""&amp;$A428&amp;""/edit#gid=156619080"",C$3)"),"#REF!")</f>
        <v>#REF!</v>
      </c>
      <c r="D428" s="2" t="str">
        <f>IFERROR(__xludf.DUMMYFUNCTION("IMPORTRANGE(""https://docs.google.com/spreadsheets/d/""&amp;$A428&amp;""/edit#gid=156619080"",D$3)"),"#REF!")</f>
        <v>#REF!</v>
      </c>
      <c r="E428" s="2" t="str">
        <f>IFERROR(__xludf.DUMMYFUNCTION("IMPORTRANGE(""https://docs.google.com/spreadsheets/d/""&amp;$A428&amp;""/edit#gid=156619080"",E$3)"),"#REF!")</f>
        <v>#REF!</v>
      </c>
      <c r="F428" s="2" t="str">
        <f>IFERROR(__xludf.DUMMYFUNCTION("IMPORTRANGE(""https://docs.google.com/spreadsheets/d/""&amp;$A428&amp;""/edit#gid=156619080"",F$3)"),"#REF!")</f>
        <v>#REF!</v>
      </c>
      <c r="G428" s="2" t="str">
        <f>IFERROR(__xludf.DUMMYFUNCTION("IMPORTRANGE(""https://docs.google.com/spreadsheets/d/""&amp;$A428&amp;""/edit#gid=156619080"",G$3)"),"#REF!")</f>
        <v>#REF!</v>
      </c>
      <c r="H428" s="2" t="str">
        <f>IFERROR(__xludf.DUMMYFUNCTION("IMPORTRANGE(""https://docs.google.com/spreadsheets/d/""&amp;$A428&amp;""/edit#gid=156619080"",H$3)"),"#REF!")</f>
        <v>#REF!</v>
      </c>
      <c r="I428" s="2" t="str">
        <f>IFERROR(__xludf.DUMMYFUNCTION("IMPORTRANGE(""https://docs.google.com/spreadsheets/d/""&amp;$A428&amp;""/edit#gid=156619080"",I$3)"),"#REF!")</f>
        <v>#REF!</v>
      </c>
      <c r="J428" s="2" t="str">
        <f>IFERROR(__xludf.DUMMYFUNCTION("IMPORTRANGE(""https://docs.google.com/spreadsheets/d/""&amp;$A428&amp;""/edit#gid=156619080"",J$3)"),"#REF!")</f>
        <v>#REF!</v>
      </c>
      <c r="K428" s="2" t="str">
        <f>IFERROR(__xludf.DUMMYFUNCTION("IMPORTRANGE(""https://docs.google.com/spreadsheets/d/""&amp;$A428&amp;""/edit#gid=156619080"",K$3)"),"#REF!")</f>
        <v>#REF!</v>
      </c>
      <c r="L428" s="2" t="str">
        <f>IFERROR(__xludf.DUMMYFUNCTION("IMPORTRANGE(""https://docs.google.com/spreadsheets/d/""&amp;$A428&amp;""/edit#gid=156619080"",L$3)"),"#REF!")</f>
        <v>#REF!</v>
      </c>
      <c r="M428" s="2" t="str">
        <f>IFERROR(__xludf.DUMMYFUNCTION("IMPORTRANGE(""https://docs.google.com/spreadsheets/d/""&amp;$A428&amp;""/edit#gid=156619080"",M$3)"),"#REF!")</f>
        <v>#REF!</v>
      </c>
      <c r="N428" s="2" t="str">
        <f>IFERROR(__xludf.DUMMYFUNCTION("IMPORTRANGE(""https://docs.google.com/spreadsheets/d/""&amp;$A428&amp;""/edit#gid=156619080"",N$3)"),"#REF!")</f>
        <v>#REF!</v>
      </c>
      <c r="O428" s="2" t="str">
        <f>IFERROR(__xludf.DUMMYFUNCTION("IMPORTRANGE(""https://docs.google.com/spreadsheets/d/""&amp;$A428&amp;""/edit#gid=156619080"",O$3)"),"#REF!")</f>
        <v>#REF!</v>
      </c>
      <c r="P428" s="2" t="str">
        <f>IFERROR(__xludf.DUMMYFUNCTION("IMPORTRANGE(""https://docs.google.com/spreadsheets/d/""&amp;$A428&amp;""/edit#gid=156619080"",P$3)"),"#REF!")</f>
        <v>#REF!</v>
      </c>
      <c r="Q428" s="2" t="str">
        <f>IFERROR(__xludf.DUMMYFUNCTION("IMPORTRANGE(""https://docs.google.com/spreadsheets/d/""&amp;$A428&amp;""/edit#gid=156619080"",Q$3)"),"#REF!")</f>
        <v>#REF!</v>
      </c>
      <c r="R428" s="2" t="str">
        <f>IFERROR(__xludf.DUMMYFUNCTION("IMPORTRANGE(""https://docs.google.com/spreadsheets/d/""&amp;$A428&amp;""/edit#gid=156619080"",R$3)"),"#REF!")</f>
        <v>#REF!</v>
      </c>
      <c r="S428" s="2" t="str">
        <f>IFERROR(__xludf.DUMMYFUNCTION("IMPORTRANGE(""https://docs.google.com/spreadsheets/d/""&amp;$A428&amp;""/edit#gid=156619080"",S$3)"),"#REF!")</f>
        <v>#REF!</v>
      </c>
      <c r="T428" s="2" t="str">
        <f>IFERROR(__xludf.DUMMYFUNCTION("IMPORTRANGE(""https://docs.google.com/spreadsheets/d/""&amp;$A428&amp;""/edit#gid=156619080"",T$3)"),"#REF!")</f>
        <v>#REF!</v>
      </c>
      <c r="U428" s="2" t="str">
        <f>IFERROR(__xludf.DUMMYFUNCTION("IMPORTRANGE(""https://docs.google.com/spreadsheets/d/""&amp;$A428&amp;""/edit#gid=156619080"",U$3)"),"#REF!")</f>
        <v>#REF!</v>
      </c>
      <c r="V428" s="2" t="str">
        <f>IFERROR(__xludf.DUMMYFUNCTION("IMPORTRANGE(""https://docs.google.com/spreadsheets/d/""&amp;$A428&amp;""/edit#gid=156619080"",V$3)"),"#REF!")</f>
        <v>#REF!</v>
      </c>
      <c r="W428" s="2" t="str">
        <f>IFERROR(__xludf.DUMMYFUNCTION("IMPORTRANGE(""https://docs.google.com/spreadsheets/d/""&amp;$A428&amp;""/edit#gid=156619080"",W$3)"),"#REF!")</f>
        <v>#REF!</v>
      </c>
      <c r="X428" s="2" t="str">
        <f>IFERROR(__xludf.DUMMYFUNCTION("IMPORTRANGE(""https://docs.google.com/spreadsheets/d/""&amp;$A428&amp;""/edit#gid=156619080"",X$3)"),"#REF!")</f>
        <v>#REF!</v>
      </c>
      <c r="Y428" s="2" t="str">
        <f>IFERROR(__xludf.DUMMYFUNCTION("IMPORTRANGE(""https://docs.google.com/spreadsheets/d/""&amp;$A428&amp;""/edit#gid=156619080"",Y$3)"),"#REF!")</f>
        <v>#REF!</v>
      </c>
      <c r="Z428" s="2" t="str">
        <f>IFERROR(__xludf.DUMMYFUNCTION("IMPORTRANGE(""https://docs.google.com/spreadsheets/d/""&amp;$A428&amp;""/edit#gid=156619080"",Z$3)"),"#REF!")</f>
        <v>#REF!</v>
      </c>
      <c r="AA428" s="2" t="str">
        <f>IFERROR(__xludf.DUMMYFUNCTION("IMPORTRANGE(""https://docs.google.com/spreadsheets/d/""&amp;$A428&amp;""/edit#gid=156619080"",AA$3)"),"#REF!")</f>
        <v>#REF!</v>
      </c>
      <c r="AB428" s="2" t="str">
        <f>IFERROR(__xludf.DUMMYFUNCTION("IMPORTRANGE(""https://docs.google.com/spreadsheets/d/""&amp;$A428&amp;""/edit#gid=156619080"",AB$3)"),"#REF!")</f>
        <v>#REF!</v>
      </c>
      <c r="AC428" s="2" t="str">
        <f>IFERROR(__xludf.DUMMYFUNCTION("IMPORTRANGE(""https://docs.google.com/spreadsheets/d/""&amp;$A428&amp;""/edit#gid=156619080"",AC$3)"),"#REF!")</f>
        <v>#REF!</v>
      </c>
      <c r="AD428" s="2" t="str">
        <f>IFERROR(__xludf.DUMMYFUNCTION("IMPORTRANGE(""https://docs.google.com/spreadsheets/d/""&amp;$A428&amp;""/edit#gid=156619080"",AD$3)"),"#REF!")</f>
        <v>#REF!</v>
      </c>
      <c r="AE428" s="2" t="str">
        <f>IFERROR(__xludf.DUMMYFUNCTION("IMPORTRANGE(""https://docs.google.com/spreadsheets/d/""&amp;$A428&amp;""/edit#gid=156619080"",AE$3)"),"#REF!")</f>
        <v>#REF!</v>
      </c>
      <c r="AF428" s="2" t="str">
        <f>IFERROR(__xludf.DUMMYFUNCTION("IMPORTRANGE(""https://docs.google.com/spreadsheets/d/""&amp;$A428&amp;""/edit#gid=156619080"",AF$3)"),"#REF!")</f>
        <v>#REF!</v>
      </c>
      <c r="AG428" s="2" t="str">
        <f>IFERROR(__xludf.DUMMYFUNCTION("IMPORTRANGE(""https://docs.google.com/spreadsheets/d/""&amp;$A428&amp;""/edit#gid=156619080"",AG$3)"),"#REF!")</f>
        <v>#REF!</v>
      </c>
      <c r="AH428" s="2" t="str">
        <f>IFERROR(__xludf.DUMMYFUNCTION("IMPORTRANGE(""https://docs.google.com/spreadsheets/d/""&amp;$A428&amp;""/edit#gid=156619080"",AH$3)"),"#REF!")</f>
        <v>#REF!</v>
      </c>
      <c r="AI428" s="2" t="str">
        <f>IFERROR(__xludf.DUMMYFUNCTION("IMPORTRANGE(""https://docs.google.com/spreadsheets/d/""&amp;$A428&amp;""/edit#gid=156619080"",AI$3)"),"#REF!")</f>
        <v>#REF!</v>
      </c>
      <c r="AJ428" s="2" t="str">
        <f>IFERROR(__xludf.DUMMYFUNCTION("IMPORTRANGE(""https://docs.google.com/spreadsheets/d/""&amp;$A428&amp;""/edit#gid=156619080"",AJ$3)"),"#REF!")</f>
        <v>#REF!</v>
      </c>
      <c r="AK428" s="2" t="str">
        <f>IFERROR(__xludf.DUMMYFUNCTION("IMPORTRANGE(""https://docs.google.com/spreadsheets/d/""&amp;$A428&amp;""/edit#gid=156619080"",AK$3)"),"#REF!")</f>
        <v>#REF!</v>
      </c>
      <c r="AL428" s="2" t="str">
        <f>IFERROR(__xludf.DUMMYFUNCTION("IMPORTRANGE(""https://docs.google.com/spreadsheets/d/""&amp;$A428&amp;""/edit#gid=156619080"",AL$3)"),"#REF!")</f>
        <v>#REF!</v>
      </c>
      <c r="AM428" s="2" t="str">
        <f>IFERROR(__xludf.DUMMYFUNCTION("IMPORTRANGE(""https://docs.google.com/spreadsheets/d/""&amp;$A428&amp;""/edit#gid=156619080"",AM$3)"),"#REF!")</f>
        <v>#REF!</v>
      </c>
      <c r="AN428" s="2" t="str">
        <f>IFERROR(__xludf.DUMMYFUNCTION("IMPORTRANGE(""https://docs.google.com/spreadsheets/d/""&amp;$A428&amp;""/edit#gid=156619080"",AN$3)"),"#REF!")</f>
        <v>#REF!</v>
      </c>
      <c r="AO428" s="2" t="str">
        <f>IFERROR(__xludf.DUMMYFUNCTION("IMPORTRANGE(""https://docs.google.com/spreadsheets/d/""&amp;$A428&amp;""/edit#gid=156619080"",AO$3)"),"#REF!")</f>
        <v>#REF!</v>
      </c>
      <c r="AP428" s="2" t="str">
        <f>IFERROR(__xludf.DUMMYFUNCTION("IMPORTRANGE(""https://docs.google.com/spreadsheets/d/""&amp;$A428&amp;""/edit#gid=156619080"",AP$3)"),"#REF!")</f>
        <v>#REF!</v>
      </c>
      <c r="AQ428" s="2" t="str">
        <f>IFERROR(__xludf.DUMMYFUNCTION("IMPORTRANGE(""https://docs.google.com/spreadsheets/d/""&amp;$A428&amp;""/edit#gid=156619080"",AQ$3)"),"#REF!")</f>
        <v>#REF!</v>
      </c>
      <c r="AR428" s="2" t="str">
        <f>IFERROR(__xludf.DUMMYFUNCTION("IMPORTRANGE(""https://docs.google.com/spreadsheets/d/""&amp;$A428&amp;""/edit#gid=156619080"",AR$3)"),"#REF!")</f>
        <v>#REF!</v>
      </c>
      <c r="AS428" s="19" t="str">
        <f>IFERROR(__xludf.DUMMYFUNCTION("IMPORTRANGE(""https://docs.google.com/spreadsheets/d/""&amp;$A428&amp;""/edit#gid=156619080"",AS$3)"),"#REF!")</f>
        <v>#REF!</v>
      </c>
      <c r="AT428" s="2" t="str">
        <f>IFERROR(__xludf.DUMMYFUNCTION("IMPORTRANGE(""https://docs.google.com/spreadsheets/d/""&amp;$A428&amp;""/edit#gid=156619080"",AT$3)"),"#REF!")</f>
        <v>#REF!</v>
      </c>
      <c r="AU428" s="3" t="str">
        <f>IFERROR(__xludf.DUMMYFUNCTION("IMPORTRANGE(""https://docs.google.com/spreadsheets/d/""&amp;$A428&amp;""/edit#gid=156619080"",AU$3)"),"#REF!")</f>
        <v>#REF!</v>
      </c>
      <c r="AV428" s="2" t="str">
        <f>IFERROR(__xludf.DUMMYFUNCTION("IMPORTRANGE(""https://docs.google.com/spreadsheets/d/""&amp;$A428&amp;""/edit#gid=156619080"",AV$3)"),"#REF!")</f>
        <v>#REF!</v>
      </c>
      <c r="AW428" s="19" t="str">
        <f>IFERROR(__xludf.DUMMYFUNCTION("IMPORTRANGE(""https://docs.google.com/spreadsheets/d/""&amp;$A428&amp;""/edit#gid=156619080"",AW$3)"),"#REF!")</f>
        <v>#REF!</v>
      </c>
      <c r="AX428" s="2" t="str">
        <f>IFERROR(__xludf.DUMMYFUNCTION("IMPORTRANGE(""https://docs.google.com/spreadsheets/d/""&amp;$A428&amp;""/edit#gid=156619080"",AX$3)"),"#REF!")</f>
        <v>#REF!</v>
      </c>
      <c r="AY428" s="2" t="str">
        <f>IFERROR(__xludf.DUMMYFUNCTION("IMPORTRANGE(""https://docs.google.com/spreadsheets/d/""&amp;$A428&amp;""/edit#gid=156619080"",AY$3)"),"#REF!")</f>
        <v>#REF!</v>
      </c>
      <c r="AZ428" s="2" t="str">
        <f>IFERROR(__xludf.DUMMYFUNCTION("IMPORTRANGE(""https://docs.google.com/spreadsheets/d/""&amp;$A428&amp;""/edit#gid=156619080"",AZ$3)"),"#REF!")</f>
        <v>#REF!</v>
      </c>
      <c r="BA428" s="2" t="str">
        <f>IFERROR(__xludf.DUMMYFUNCTION("IMPORTRANGE(""https://docs.google.com/spreadsheets/d/""&amp;$A428&amp;""/edit#gid=156619080"",BA$3)"),"#REF!")</f>
        <v>#REF!</v>
      </c>
      <c r="BB428" s="2" t="str">
        <f>IFERROR(__xludf.DUMMYFUNCTION("IMPORTRANGE(""https://docs.google.com/spreadsheets/d/""&amp;$A428&amp;""/edit#gid=156619080"",BB$3)"),"#REF!")</f>
        <v>#REF!</v>
      </c>
      <c r="BC428" s="2" t="str">
        <f>IFERROR(__xludf.DUMMYFUNCTION("IMPORTRANGE(""https://docs.google.com/spreadsheets/d/""&amp;$A428&amp;""/edit#gid=156619080"",BC$3)"),"#REF!")</f>
        <v>#REF!</v>
      </c>
    </row>
    <row r="429" ht="51.0" customHeight="1">
      <c r="A429" s="7" t="str">
        <f t="shared" si="5"/>
        <v>1E0eLnl-ASn10Xj5eq44-oRC5_uM1lwWyIZxZAix9caA</v>
      </c>
      <c r="B429" s="1" t="s">
        <v>456</v>
      </c>
      <c r="C429" s="2" t="str">
        <f>IFERROR(__xludf.DUMMYFUNCTION("IMPORTRANGE(""https://docs.google.com/spreadsheets/d/""&amp;$A429&amp;""/edit#gid=156619080"",C$3)"),"#REF!")</f>
        <v>#REF!</v>
      </c>
      <c r="D429" s="2" t="str">
        <f>IFERROR(__xludf.DUMMYFUNCTION("IMPORTRANGE(""https://docs.google.com/spreadsheets/d/""&amp;$A429&amp;""/edit#gid=156619080"",D$3)"),"#REF!")</f>
        <v>#REF!</v>
      </c>
      <c r="E429" s="2" t="str">
        <f>IFERROR(__xludf.DUMMYFUNCTION("IMPORTRANGE(""https://docs.google.com/spreadsheets/d/""&amp;$A429&amp;""/edit#gid=156619080"",E$3)"),"#REF!")</f>
        <v>#REF!</v>
      </c>
      <c r="F429" s="2" t="str">
        <f>IFERROR(__xludf.DUMMYFUNCTION("IMPORTRANGE(""https://docs.google.com/spreadsheets/d/""&amp;$A429&amp;""/edit#gid=156619080"",F$3)"),"#REF!")</f>
        <v>#REF!</v>
      </c>
      <c r="G429" s="2" t="str">
        <f>IFERROR(__xludf.DUMMYFUNCTION("IMPORTRANGE(""https://docs.google.com/spreadsheets/d/""&amp;$A429&amp;""/edit#gid=156619080"",G$3)"),"#REF!")</f>
        <v>#REF!</v>
      </c>
      <c r="H429" s="2" t="str">
        <f>IFERROR(__xludf.DUMMYFUNCTION("IMPORTRANGE(""https://docs.google.com/spreadsheets/d/""&amp;$A429&amp;""/edit#gid=156619080"",H$3)"),"#REF!")</f>
        <v>#REF!</v>
      </c>
      <c r="I429" s="2" t="str">
        <f>IFERROR(__xludf.DUMMYFUNCTION("IMPORTRANGE(""https://docs.google.com/spreadsheets/d/""&amp;$A429&amp;""/edit#gid=156619080"",I$3)"),"#REF!")</f>
        <v>#REF!</v>
      </c>
      <c r="J429" s="2" t="str">
        <f>IFERROR(__xludf.DUMMYFUNCTION("IMPORTRANGE(""https://docs.google.com/spreadsheets/d/""&amp;$A429&amp;""/edit#gid=156619080"",J$3)"),"#REF!")</f>
        <v>#REF!</v>
      </c>
      <c r="K429" s="2" t="str">
        <f>IFERROR(__xludf.DUMMYFUNCTION("IMPORTRANGE(""https://docs.google.com/spreadsheets/d/""&amp;$A429&amp;""/edit#gid=156619080"",K$3)"),"#REF!")</f>
        <v>#REF!</v>
      </c>
      <c r="L429" s="2" t="str">
        <f>IFERROR(__xludf.DUMMYFUNCTION("IMPORTRANGE(""https://docs.google.com/spreadsheets/d/""&amp;$A429&amp;""/edit#gid=156619080"",L$3)"),"#REF!")</f>
        <v>#REF!</v>
      </c>
      <c r="M429" s="2" t="str">
        <f>IFERROR(__xludf.DUMMYFUNCTION("IMPORTRANGE(""https://docs.google.com/spreadsheets/d/""&amp;$A429&amp;""/edit#gid=156619080"",M$3)"),"#REF!")</f>
        <v>#REF!</v>
      </c>
      <c r="N429" s="2" t="str">
        <f>IFERROR(__xludf.DUMMYFUNCTION("IMPORTRANGE(""https://docs.google.com/spreadsheets/d/""&amp;$A429&amp;""/edit#gid=156619080"",N$3)"),"#REF!")</f>
        <v>#REF!</v>
      </c>
      <c r="O429" s="2" t="str">
        <f>IFERROR(__xludf.DUMMYFUNCTION("IMPORTRANGE(""https://docs.google.com/spreadsheets/d/""&amp;$A429&amp;""/edit#gid=156619080"",O$3)"),"#REF!")</f>
        <v>#REF!</v>
      </c>
      <c r="P429" s="2" t="str">
        <f>IFERROR(__xludf.DUMMYFUNCTION("IMPORTRANGE(""https://docs.google.com/spreadsheets/d/""&amp;$A429&amp;""/edit#gid=156619080"",P$3)"),"#REF!")</f>
        <v>#REF!</v>
      </c>
      <c r="Q429" s="2" t="str">
        <f>IFERROR(__xludf.DUMMYFUNCTION("IMPORTRANGE(""https://docs.google.com/spreadsheets/d/""&amp;$A429&amp;""/edit#gid=156619080"",Q$3)"),"#REF!")</f>
        <v>#REF!</v>
      </c>
      <c r="R429" s="2" t="str">
        <f>IFERROR(__xludf.DUMMYFUNCTION("IMPORTRANGE(""https://docs.google.com/spreadsheets/d/""&amp;$A429&amp;""/edit#gid=156619080"",R$3)"),"#REF!")</f>
        <v>#REF!</v>
      </c>
      <c r="S429" s="2" t="str">
        <f>IFERROR(__xludf.DUMMYFUNCTION("IMPORTRANGE(""https://docs.google.com/spreadsheets/d/""&amp;$A429&amp;""/edit#gid=156619080"",S$3)"),"#REF!")</f>
        <v>#REF!</v>
      </c>
      <c r="T429" s="2" t="str">
        <f>IFERROR(__xludf.DUMMYFUNCTION("IMPORTRANGE(""https://docs.google.com/spreadsheets/d/""&amp;$A429&amp;""/edit#gid=156619080"",T$3)"),"#REF!")</f>
        <v>#REF!</v>
      </c>
      <c r="U429" s="2" t="str">
        <f>IFERROR(__xludf.DUMMYFUNCTION("IMPORTRANGE(""https://docs.google.com/spreadsheets/d/""&amp;$A429&amp;""/edit#gid=156619080"",U$3)"),"#REF!")</f>
        <v>#REF!</v>
      </c>
      <c r="V429" s="2" t="str">
        <f>IFERROR(__xludf.DUMMYFUNCTION("IMPORTRANGE(""https://docs.google.com/spreadsheets/d/""&amp;$A429&amp;""/edit#gid=156619080"",V$3)"),"#REF!")</f>
        <v>#REF!</v>
      </c>
      <c r="W429" s="2" t="str">
        <f>IFERROR(__xludf.DUMMYFUNCTION("IMPORTRANGE(""https://docs.google.com/spreadsheets/d/""&amp;$A429&amp;""/edit#gid=156619080"",W$3)"),"#REF!")</f>
        <v>#REF!</v>
      </c>
      <c r="X429" s="2" t="str">
        <f>IFERROR(__xludf.DUMMYFUNCTION("IMPORTRANGE(""https://docs.google.com/spreadsheets/d/""&amp;$A429&amp;""/edit#gid=156619080"",X$3)"),"#REF!")</f>
        <v>#REF!</v>
      </c>
      <c r="Y429" s="2" t="str">
        <f>IFERROR(__xludf.DUMMYFUNCTION("IMPORTRANGE(""https://docs.google.com/spreadsheets/d/""&amp;$A429&amp;""/edit#gid=156619080"",Y$3)"),"#REF!")</f>
        <v>#REF!</v>
      </c>
      <c r="Z429" s="2" t="str">
        <f>IFERROR(__xludf.DUMMYFUNCTION("IMPORTRANGE(""https://docs.google.com/spreadsheets/d/""&amp;$A429&amp;""/edit#gid=156619080"",Z$3)"),"#REF!")</f>
        <v>#REF!</v>
      </c>
      <c r="AA429" s="2" t="str">
        <f>IFERROR(__xludf.DUMMYFUNCTION("IMPORTRANGE(""https://docs.google.com/spreadsheets/d/""&amp;$A429&amp;""/edit#gid=156619080"",AA$3)"),"#REF!")</f>
        <v>#REF!</v>
      </c>
      <c r="AB429" s="2" t="str">
        <f>IFERROR(__xludf.DUMMYFUNCTION("IMPORTRANGE(""https://docs.google.com/spreadsheets/d/""&amp;$A429&amp;""/edit#gid=156619080"",AB$3)"),"#REF!")</f>
        <v>#REF!</v>
      </c>
      <c r="AC429" s="2" t="str">
        <f>IFERROR(__xludf.DUMMYFUNCTION("IMPORTRANGE(""https://docs.google.com/spreadsheets/d/""&amp;$A429&amp;""/edit#gid=156619080"",AC$3)"),"#REF!")</f>
        <v>#REF!</v>
      </c>
      <c r="AD429" s="2" t="str">
        <f>IFERROR(__xludf.DUMMYFUNCTION("IMPORTRANGE(""https://docs.google.com/spreadsheets/d/""&amp;$A429&amp;""/edit#gid=156619080"",AD$3)"),"#REF!")</f>
        <v>#REF!</v>
      </c>
      <c r="AE429" s="2" t="str">
        <f>IFERROR(__xludf.DUMMYFUNCTION("IMPORTRANGE(""https://docs.google.com/spreadsheets/d/""&amp;$A429&amp;""/edit#gid=156619080"",AE$3)"),"#REF!")</f>
        <v>#REF!</v>
      </c>
      <c r="AF429" s="2" t="str">
        <f>IFERROR(__xludf.DUMMYFUNCTION("IMPORTRANGE(""https://docs.google.com/spreadsheets/d/""&amp;$A429&amp;""/edit#gid=156619080"",AF$3)"),"#REF!")</f>
        <v>#REF!</v>
      </c>
      <c r="AG429" s="2" t="str">
        <f>IFERROR(__xludf.DUMMYFUNCTION("IMPORTRANGE(""https://docs.google.com/spreadsheets/d/""&amp;$A429&amp;""/edit#gid=156619080"",AG$3)"),"#REF!")</f>
        <v>#REF!</v>
      </c>
      <c r="AH429" s="2" t="str">
        <f>IFERROR(__xludf.DUMMYFUNCTION("IMPORTRANGE(""https://docs.google.com/spreadsheets/d/""&amp;$A429&amp;""/edit#gid=156619080"",AH$3)"),"#REF!")</f>
        <v>#REF!</v>
      </c>
      <c r="AI429" s="2" t="str">
        <f>IFERROR(__xludf.DUMMYFUNCTION("IMPORTRANGE(""https://docs.google.com/spreadsheets/d/""&amp;$A429&amp;""/edit#gid=156619080"",AI$3)"),"#REF!")</f>
        <v>#REF!</v>
      </c>
      <c r="AJ429" s="2" t="str">
        <f>IFERROR(__xludf.DUMMYFUNCTION("IMPORTRANGE(""https://docs.google.com/spreadsheets/d/""&amp;$A429&amp;""/edit#gid=156619080"",AJ$3)"),"#REF!")</f>
        <v>#REF!</v>
      </c>
      <c r="AK429" s="2" t="str">
        <f>IFERROR(__xludf.DUMMYFUNCTION("IMPORTRANGE(""https://docs.google.com/spreadsheets/d/""&amp;$A429&amp;""/edit#gid=156619080"",AK$3)"),"#REF!")</f>
        <v>#REF!</v>
      </c>
      <c r="AL429" s="2" t="str">
        <f>IFERROR(__xludf.DUMMYFUNCTION("IMPORTRANGE(""https://docs.google.com/spreadsheets/d/""&amp;$A429&amp;""/edit#gid=156619080"",AL$3)"),"#REF!")</f>
        <v>#REF!</v>
      </c>
      <c r="AM429" s="2" t="str">
        <f>IFERROR(__xludf.DUMMYFUNCTION("IMPORTRANGE(""https://docs.google.com/spreadsheets/d/""&amp;$A429&amp;""/edit#gid=156619080"",AM$3)"),"#REF!")</f>
        <v>#REF!</v>
      </c>
      <c r="AN429" s="2" t="str">
        <f>IFERROR(__xludf.DUMMYFUNCTION("IMPORTRANGE(""https://docs.google.com/spreadsheets/d/""&amp;$A429&amp;""/edit#gid=156619080"",AN$3)"),"#REF!")</f>
        <v>#REF!</v>
      </c>
      <c r="AO429" s="2" t="str">
        <f>IFERROR(__xludf.DUMMYFUNCTION("IMPORTRANGE(""https://docs.google.com/spreadsheets/d/""&amp;$A429&amp;""/edit#gid=156619080"",AO$3)"),"#REF!")</f>
        <v>#REF!</v>
      </c>
      <c r="AP429" s="2" t="str">
        <f>IFERROR(__xludf.DUMMYFUNCTION("IMPORTRANGE(""https://docs.google.com/spreadsheets/d/""&amp;$A429&amp;""/edit#gid=156619080"",AP$3)"),"#REF!")</f>
        <v>#REF!</v>
      </c>
      <c r="AQ429" s="2" t="str">
        <f>IFERROR(__xludf.DUMMYFUNCTION("IMPORTRANGE(""https://docs.google.com/spreadsheets/d/""&amp;$A429&amp;""/edit#gid=156619080"",AQ$3)"),"#REF!")</f>
        <v>#REF!</v>
      </c>
      <c r="AR429" s="2" t="str">
        <f>IFERROR(__xludf.DUMMYFUNCTION("IMPORTRANGE(""https://docs.google.com/spreadsheets/d/""&amp;$A429&amp;""/edit#gid=156619080"",AR$3)"),"#REF!")</f>
        <v>#REF!</v>
      </c>
      <c r="AS429" s="19" t="str">
        <f>IFERROR(__xludf.DUMMYFUNCTION("IMPORTRANGE(""https://docs.google.com/spreadsheets/d/""&amp;$A429&amp;""/edit#gid=156619080"",AS$3)"),"#REF!")</f>
        <v>#REF!</v>
      </c>
      <c r="AT429" s="2" t="str">
        <f>IFERROR(__xludf.DUMMYFUNCTION("IMPORTRANGE(""https://docs.google.com/spreadsheets/d/""&amp;$A429&amp;""/edit#gid=156619080"",AT$3)"),"#REF!")</f>
        <v>#REF!</v>
      </c>
      <c r="AU429" s="3" t="str">
        <f>IFERROR(__xludf.DUMMYFUNCTION("IMPORTRANGE(""https://docs.google.com/spreadsheets/d/""&amp;$A429&amp;""/edit#gid=156619080"",AU$3)"),"#REF!")</f>
        <v>#REF!</v>
      </c>
      <c r="AV429" s="2" t="str">
        <f>IFERROR(__xludf.DUMMYFUNCTION("IMPORTRANGE(""https://docs.google.com/spreadsheets/d/""&amp;$A429&amp;""/edit#gid=156619080"",AV$3)"),"#REF!")</f>
        <v>#REF!</v>
      </c>
      <c r="AW429" s="19" t="str">
        <f>IFERROR(__xludf.DUMMYFUNCTION("IMPORTRANGE(""https://docs.google.com/spreadsheets/d/""&amp;$A429&amp;""/edit#gid=156619080"",AW$3)"),"#REF!")</f>
        <v>#REF!</v>
      </c>
      <c r="AX429" s="2" t="str">
        <f>IFERROR(__xludf.DUMMYFUNCTION("IMPORTRANGE(""https://docs.google.com/spreadsheets/d/""&amp;$A429&amp;""/edit#gid=156619080"",AX$3)"),"#REF!")</f>
        <v>#REF!</v>
      </c>
      <c r="AY429" s="2" t="str">
        <f>IFERROR(__xludf.DUMMYFUNCTION("IMPORTRANGE(""https://docs.google.com/spreadsheets/d/""&amp;$A429&amp;""/edit#gid=156619080"",AY$3)"),"#REF!")</f>
        <v>#REF!</v>
      </c>
      <c r="AZ429" s="2" t="str">
        <f>IFERROR(__xludf.DUMMYFUNCTION("IMPORTRANGE(""https://docs.google.com/spreadsheets/d/""&amp;$A429&amp;""/edit#gid=156619080"",AZ$3)"),"#REF!")</f>
        <v>#REF!</v>
      </c>
      <c r="BA429" s="2" t="str">
        <f>IFERROR(__xludf.DUMMYFUNCTION("IMPORTRANGE(""https://docs.google.com/spreadsheets/d/""&amp;$A429&amp;""/edit#gid=156619080"",BA$3)"),"#REF!")</f>
        <v>#REF!</v>
      </c>
      <c r="BB429" s="2" t="str">
        <f>IFERROR(__xludf.DUMMYFUNCTION("IMPORTRANGE(""https://docs.google.com/spreadsheets/d/""&amp;$A429&amp;""/edit#gid=156619080"",BB$3)"),"#REF!")</f>
        <v>#REF!</v>
      </c>
      <c r="BC429" s="2" t="str">
        <f>IFERROR(__xludf.DUMMYFUNCTION("IMPORTRANGE(""https://docs.google.com/spreadsheets/d/""&amp;$A429&amp;""/edit#gid=156619080"",BC$3)"),"#REF!")</f>
        <v>#REF!</v>
      </c>
    </row>
    <row r="430" ht="51.0" customHeight="1">
      <c r="A430" s="7" t="str">
        <f t="shared" si="5"/>
        <v>1GmJ8J2vQyGZa7CLf1ZXkVM0LsRY_Ehba_ATbU6oit28</v>
      </c>
      <c r="B430" s="1" t="s">
        <v>457</v>
      </c>
      <c r="C430" s="2" t="str">
        <f>IFERROR(__xludf.DUMMYFUNCTION("IMPORTRANGE(""https://docs.google.com/spreadsheets/d/""&amp;$A430&amp;""/edit#gid=156619080"",C$3)"),"#REF!")</f>
        <v>#REF!</v>
      </c>
      <c r="D430" s="2" t="str">
        <f>IFERROR(__xludf.DUMMYFUNCTION("IMPORTRANGE(""https://docs.google.com/spreadsheets/d/""&amp;$A430&amp;""/edit#gid=156619080"",D$3)"),"#REF!")</f>
        <v>#REF!</v>
      </c>
      <c r="E430" s="2" t="str">
        <f>IFERROR(__xludf.DUMMYFUNCTION("IMPORTRANGE(""https://docs.google.com/spreadsheets/d/""&amp;$A430&amp;""/edit#gid=156619080"",E$3)"),"#REF!")</f>
        <v>#REF!</v>
      </c>
      <c r="F430" s="2" t="str">
        <f>IFERROR(__xludf.DUMMYFUNCTION("IMPORTRANGE(""https://docs.google.com/spreadsheets/d/""&amp;$A430&amp;""/edit#gid=156619080"",F$3)"),"#REF!")</f>
        <v>#REF!</v>
      </c>
      <c r="G430" s="2" t="str">
        <f>IFERROR(__xludf.DUMMYFUNCTION("IMPORTRANGE(""https://docs.google.com/spreadsheets/d/""&amp;$A430&amp;""/edit#gid=156619080"",G$3)"),"#REF!")</f>
        <v>#REF!</v>
      </c>
      <c r="H430" s="2" t="str">
        <f>IFERROR(__xludf.DUMMYFUNCTION("IMPORTRANGE(""https://docs.google.com/spreadsheets/d/""&amp;$A430&amp;""/edit#gid=156619080"",H$3)"),"#REF!")</f>
        <v>#REF!</v>
      </c>
      <c r="I430" s="2" t="str">
        <f>IFERROR(__xludf.DUMMYFUNCTION("IMPORTRANGE(""https://docs.google.com/spreadsheets/d/""&amp;$A430&amp;""/edit#gid=156619080"",I$3)"),"#REF!")</f>
        <v>#REF!</v>
      </c>
      <c r="J430" s="2" t="str">
        <f>IFERROR(__xludf.DUMMYFUNCTION("IMPORTRANGE(""https://docs.google.com/spreadsheets/d/""&amp;$A430&amp;""/edit#gid=156619080"",J$3)"),"#REF!")</f>
        <v>#REF!</v>
      </c>
      <c r="K430" s="2" t="str">
        <f>IFERROR(__xludf.DUMMYFUNCTION("IMPORTRANGE(""https://docs.google.com/spreadsheets/d/""&amp;$A430&amp;""/edit#gid=156619080"",K$3)"),"#REF!")</f>
        <v>#REF!</v>
      </c>
      <c r="L430" s="2" t="str">
        <f>IFERROR(__xludf.DUMMYFUNCTION("IMPORTRANGE(""https://docs.google.com/spreadsheets/d/""&amp;$A430&amp;""/edit#gid=156619080"",L$3)"),"#REF!")</f>
        <v>#REF!</v>
      </c>
      <c r="M430" s="2" t="str">
        <f>IFERROR(__xludf.DUMMYFUNCTION("IMPORTRANGE(""https://docs.google.com/spreadsheets/d/""&amp;$A430&amp;""/edit#gid=156619080"",M$3)"),"#REF!")</f>
        <v>#REF!</v>
      </c>
      <c r="N430" s="2" t="str">
        <f>IFERROR(__xludf.DUMMYFUNCTION("IMPORTRANGE(""https://docs.google.com/spreadsheets/d/""&amp;$A430&amp;""/edit#gid=156619080"",N$3)"),"#REF!")</f>
        <v>#REF!</v>
      </c>
      <c r="O430" s="2" t="str">
        <f>IFERROR(__xludf.DUMMYFUNCTION("IMPORTRANGE(""https://docs.google.com/spreadsheets/d/""&amp;$A430&amp;""/edit#gid=156619080"",O$3)"),"#REF!")</f>
        <v>#REF!</v>
      </c>
      <c r="P430" s="2" t="str">
        <f>IFERROR(__xludf.DUMMYFUNCTION("IMPORTRANGE(""https://docs.google.com/spreadsheets/d/""&amp;$A430&amp;""/edit#gid=156619080"",P$3)"),"#REF!")</f>
        <v>#REF!</v>
      </c>
      <c r="Q430" s="2" t="str">
        <f>IFERROR(__xludf.DUMMYFUNCTION("IMPORTRANGE(""https://docs.google.com/spreadsheets/d/""&amp;$A430&amp;""/edit#gid=156619080"",Q$3)"),"#REF!")</f>
        <v>#REF!</v>
      </c>
      <c r="R430" s="2" t="str">
        <f>IFERROR(__xludf.DUMMYFUNCTION("IMPORTRANGE(""https://docs.google.com/spreadsheets/d/""&amp;$A430&amp;""/edit#gid=156619080"",R$3)"),"#REF!")</f>
        <v>#REF!</v>
      </c>
      <c r="S430" s="2" t="str">
        <f>IFERROR(__xludf.DUMMYFUNCTION("IMPORTRANGE(""https://docs.google.com/spreadsheets/d/""&amp;$A430&amp;""/edit#gid=156619080"",S$3)"),"#REF!")</f>
        <v>#REF!</v>
      </c>
      <c r="T430" s="2" t="str">
        <f>IFERROR(__xludf.DUMMYFUNCTION("IMPORTRANGE(""https://docs.google.com/spreadsheets/d/""&amp;$A430&amp;""/edit#gid=156619080"",T$3)"),"#REF!")</f>
        <v>#REF!</v>
      </c>
      <c r="U430" s="2" t="str">
        <f>IFERROR(__xludf.DUMMYFUNCTION("IMPORTRANGE(""https://docs.google.com/spreadsheets/d/""&amp;$A430&amp;""/edit#gid=156619080"",U$3)"),"#REF!")</f>
        <v>#REF!</v>
      </c>
      <c r="V430" s="2" t="str">
        <f>IFERROR(__xludf.DUMMYFUNCTION("IMPORTRANGE(""https://docs.google.com/spreadsheets/d/""&amp;$A430&amp;""/edit#gid=156619080"",V$3)"),"#REF!")</f>
        <v>#REF!</v>
      </c>
      <c r="W430" s="2" t="str">
        <f>IFERROR(__xludf.DUMMYFUNCTION("IMPORTRANGE(""https://docs.google.com/spreadsheets/d/""&amp;$A430&amp;""/edit#gid=156619080"",W$3)"),"#REF!")</f>
        <v>#REF!</v>
      </c>
      <c r="X430" s="2" t="str">
        <f>IFERROR(__xludf.DUMMYFUNCTION("IMPORTRANGE(""https://docs.google.com/spreadsheets/d/""&amp;$A430&amp;""/edit#gid=156619080"",X$3)"),"#REF!")</f>
        <v>#REF!</v>
      </c>
      <c r="Y430" s="2" t="str">
        <f>IFERROR(__xludf.DUMMYFUNCTION("IMPORTRANGE(""https://docs.google.com/spreadsheets/d/""&amp;$A430&amp;""/edit#gid=156619080"",Y$3)"),"#REF!")</f>
        <v>#REF!</v>
      </c>
      <c r="Z430" s="2" t="str">
        <f>IFERROR(__xludf.DUMMYFUNCTION("IMPORTRANGE(""https://docs.google.com/spreadsheets/d/""&amp;$A430&amp;""/edit#gid=156619080"",Z$3)"),"#REF!")</f>
        <v>#REF!</v>
      </c>
      <c r="AA430" s="2" t="str">
        <f>IFERROR(__xludf.DUMMYFUNCTION("IMPORTRANGE(""https://docs.google.com/spreadsheets/d/""&amp;$A430&amp;""/edit#gid=156619080"",AA$3)"),"#REF!")</f>
        <v>#REF!</v>
      </c>
      <c r="AB430" s="2" t="str">
        <f>IFERROR(__xludf.DUMMYFUNCTION("IMPORTRANGE(""https://docs.google.com/spreadsheets/d/""&amp;$A430&amp;""/edit#gid=156619080"",AB$3)"),"#REF!")</f>
        <v>#REF!</v>
      </c>
      <c r="AC430" s="2" t="str">
        <f>IFERROR(__xludf.DUMMYFUNCTION("IMPORTRANGE(""https://docs.google.com/spreadsheets/d/""&amp;$A430&amp;""/edit#gid=156619080"",AC$3)"),"#REF!")</f>
        <v>#REF!</v>
      </c>
      <c r="AD430" s="2" t="str">
        <f>IFERROR(__xludf.DUMMYFUNCTION("IMPORTRANGE(""https://docs.google.com/spreadsheets/d/""&amp;$A430&amp;""/edit#gid=156619080"",AD$3)"),"#REF!")</f>
        <v>#REF!</v>
      </c>
      <c r="AE430" s="2" t="str">
        <f>IFERROR(__xludf.DUMMYFUNCTION("IMPORTRANGE(""https://docs.google.com/spreadsheets/d/""&amp;$A430&amp;""/edit#gid=156619080"",AE$3)"),"#REF!")</f>
        <v>#REF!</v>
      </c>
      <c r="AF430" s="2" t="str">
        <f>IFERROR(__xludf.DUMMYFUNCTION("IMPORTRANGE(""https://docs.google.com/spreadsheets/d/""&amp;$A430&amp;""/edit#gid=156619080"",AF$3)"),"#REF!")</f>
        <v>#REF!</v>
      </c>
      <c r="AG430" s="2" t="str">
        <f>IFERROR(__xludf.DUMMYFUNCTION("IMPORTRANGE(""https://docs.google.com/spreadsheets/d/""&amp;$A430&amp;""/edit#gid=156619080"",AG$3)"),"#REF!")</f>
        <v>#REF!</v>
      </c>
      <c r="AH430" s="2" t="str">
        <f>IFERROR(__xludf.DUMMYFUNCTION("IMPORTRANGE(""https://docs.google.com/spreadsheets/d/""&amp;$A430&amp;""/edit#gid=156619080"",AH$3)"),"#REF!")</f>
        <v>#REF!</v>
      </c>
      <c r="AI430" s="2" t="str">
        <f>IFERROR(__xludf.DUMMYFUNCTION("IMPORTRANGE(""https://docs.google.com/spreadsheets/d/""&amp;$A430&amp;""/edit#gid=156619080"",AI$3)"),"#REF!")</f>
        <v>#REF!</v>
      </c>
      <c r="AJ430" s="2" t="str">
        <f>IFERROR(__xludf.DUMMYFUNCTION("IMPORTRANGE(""https://docs.google.com/spreadsheets/d/""&amp;$A430&amp;""/edit#gid=156619080"",AJ$3)"),"#REF!")</f>
        <v>#REF!</v>
      </c>
      <c r="AK430" s="2" t="str">
        <f>IFERROR(__xludf.DUMMYFUNCTION("IMPORTRANGE(""https://docs.google.com/spreadsheets/d/""&amp;$A430&amp;""/edit#gid=156619080"",AK$3)"),"#REF!")</f>
        <v>#REF!</v>
      </c>
      <c r="AL430" s="2" t="str">
        <f>IFERROR(__xludf.DUMMYFUNCTION("IMPORTRANGE(""https://docs.google.com/spreadsheets/d/""&amp;$A430&amp;""/edit#gid=156619080"",AL$3)"),"#REF!")</f>
        <v>#REF!</v>
      </c>
      <c r="AM430" s="2" t="str">
        <f>IFERROR(__xludf.DUMMYFUNCTION("IMPORTRANGE(""https://docs.google.com/spreadsheets/d/""&amp;$A430&amp;""/edit#gid=156619080"",AM$3)"),"#REF!")</f>
        <v>#REF!</v>
      </c>
      <c r="AN430" s="2" t="str">
        <f>IFERROR(__xludf.DUMMYFUNCTION("IMPORTRANGE(""https://docs.google.com/spreadsheets/d/""&amp;$A430&amp;""/edit#gid=156619080"",AN$3)"),"#REF!")</f>
        <v>#REF!</v>
      </c>
      <c r="AO430" s="2" t="str">
        <f>IFERROR(__xludf.DUMMYFUNCTION("IMPORTRANGE(""https://docs.google.com/spreadsheets/d/""&amp;$A430&amp;""/edit#gid=156619080"",AO$3)"),"#REF!")</f>
        <v>#REF!</v>
      </c>
      <c r="AP430" s="2" t="str">
        <f>IFERROR(__xludf.DUMMYFUNCTION("IMPORTRANGE(""https://docs.google.com/spreadsheets/d/""&amp;$A430&amp;""/edit#gid=156619080"",AP$3)"),"#REF!")</f>
        <v>#REF!</v>
      </c>
      <c r="AQ430" s="2" t="str">
        <f>IFERROR(__xludf.DUMMYFUNCTION("IMPORTRANGE(""https://docs.google.com/spreadsheets/d/""&amp;$A430&amp;""/edit#gid=156619080"",AQ$3)"),"#REF!")</f>
        <v>#REF!</v>
      </c>
      <c r="AR430" s="2" t="str">
        <f>IFERROR(__xludf.DUMMYFUNCTION("IMPORTRANGE(""https://docs.google.com/spreadsheets/d/""&amp;$A430&amp;""/edit#gid=156619080"",AR$3)"),"#REF!")</f>
        <v>#REF!</v>
      </c>
      <c r="AS430" s="19" t="str">
        <f>IFERROR(__xludf.DUMMYFUNCTION("IMPORTRANGE(""https://docs.google.com/spreadsheets/d/""&amp;$A430&amp;""/edit#gid=156619080"",AS$3)"),"#REF!")</f>
        <v>#REF!</v>
      </c>
      <c r="AT430" s="2" t="str">
        <f>IFERROR(__xludf.DUMMYFUNCTION("IMPORTRANGE(""https://docs.google.com/spreadsheets/d/""&amp;$A430&amp;""/edit#gid=156619080"",AT$3)"),"#REF!")</f>
        <v>#REF!</v>
      </c>
      <c r="AU430" s="3" t="str">
        <f>IFERROR(__xludf.DUMMYFUNCTION("IMPORTRANGE(""https://docs.google.com/spreadsheets/d/""&amp;$A430&amp;""/edit#gid=156619080"",AU$3)"),"#REF!")</f>
        <v>#REF!</v>
      </c>
      <c r="AV430" s="2" t="str">
        <f>IFERROR(__xludf.DUMMYFUNCTION("IMPORTRANGE(""https://docs.google.com/spreadsheets/d/""&amp;$A430&amp;""/edit#gid=156619080"",AV$3)"),"#REF!")</f>
        <v>#REF!</v>
      </c>
      <c r="AW430" s="19" t="str">
        <f>IFERROR(__xludf.DUMMYFUNCTION("IMPORTRANGE(""https://docs.google.com/spreadsheets/d/""&amp;$A430&amp;""/edit#gid=156619080"",AW$3)"),"#REF!")</f>
        <v>#REF!</v>
      </c>
      <c r="AX430" s="2" t="str">
        <f>IFERROR(__xludf.DUMMYFUNCTION("IMPORTRANGE(""https://docs.google.com/spreadsheets/d/""&amp;$A430&amp;""/edit#gid=156619080"",AX$3)"),"#REF!")</f>
        <v>#REF!</v>
      </c>
      <c r="AY430" s="2" t="str">
        <f>IFERROR(__xludf.DUMMYFUNCTION("IMPORTRANGE(""https://docs.google.com/spreadsheets/d/""&amp;$A430&amp;""/edit#gid=156619080"",AY$3)"),"#REF!")</f>
        <v>#REF!</v>
      </c>
      <c r="AZ430" s="2" t="str">
        <f>IFERROR(__xludf.DUMMYFUNCTION("IMPORTRANGE(""https://docs.google.com/spreadsheets/d/""&amp;$A430&amp;""/edit#gid=156619080"",AZ$3)"),"#REF!")</f>
        <v>#REF!</v>
      </c>
      <c r="BA430" s="2" t="str">
        <f>IFERROR(__xludf.DUMMYFUNCTION("IMPORTRANGE(""https://docs.google.com/spreadsheets/d/""&amp;$A430&amp;""/edit#gid=156619080"",BA$3)"),"#REF!")</f>
        <v>#REF!</v>
      </c>
      <c r="BB430" s="2" t="str">
        <f>IFERROR(__xludf.DUMMYFUNCTION("IMPORTRANGE(""https://docs.google.com/spreadsheets/d/""&amp;$A430&amp;""/edit#gid=156619080"",BB$3)"),"#REF!")</f>
        <v>#REF!</v>
      </c>
      <c r="BC430" s="2" t="str">
        <f>IFERROR(__xludf.DUMMYFUNCTION("IMPORTRANGE(""https://docs.google.com/spreadsheets/d/""&amp;$A430&amp;""/edit#gid=156619080"",BC$3)"),"#REF!")</f>
        <v>#REF!</v>
      </c>
    </row>
    <row r="431" ht="51.0" customHeight="1">
      <c r="A431" s="7" t="str">
        <f t="shared" si="5"/>
        <v>1pUWqOJVfawGyx4vmmtw3cblqGuSoCTEsXm504bqNEIc</v>
      </c>
      <c r="B431" s="1" t="s">
        <v>458</v>
      </c>
      <c r="C431" s="2" t="str">
        <f>IFERROR(__xludf.DUMMYFUNCTION("IMPORTRANGE(""https://docs.google.com/spreadsheets/d/""&amp;$A431&amp;""/edit#gid=156619080"",C$3)"),"#REF!")</f>
        <v>#REF!</v>
      </c>
      <c r="D431" s="2" t="str">
        <f>IFERROR(__xludf.DUMMYFUNCTION("IMPORTRANGE(""https://docs.google.com/spreadsheets/d/""&amp;$A431&amp;""/edit#gid=156619080"",D$3)"),"#REF!")</f>
        <v>#REF!</v>
      </c>
      <c r="E431" s="2" t="str">
        <f>IFERROR(__xludf.DUMMYFUNCTION("IMPORTRANGE(""https://docs.google.com/spreadsheets/d/""&amp;$A431&amp;""/edit#gid=156619080"",E$3)"),"#REF!")</f>
        <v>#REF!</v>
      </c>
      <c r="F431" s="2" t="str">
        <f>IFERROR(__xludf.DUMMYFUNCTION("IMPORTRANGE(""https://docs.google.com/spreadsheets/d/""&amp;$A431&amp;""/edit#gid=156619080"",F$3)"),"#REF!")</f>
        <v>#REF!</v>
      </c>
      <c r="G431" s="2" t="str">
        <f>IFERROR(__xludf.DUMMYFUNCTION("IMPORTRANGE(""https://docs.google.com/spreadsheets/d/""&amp;$A431&amp;""/edit#gid=156619080"",G$3)"),"#REF!")</f>
        <v>#REF!</v>
      </c>
      <c r="H431" s="2" t="str">
        <f>IFERROR(__xludf.DUMMYFUNCTION("IMPORTRANGE(""https://docs.google.com/spreadsheets/d/""&amp;$A431&amp;""/edit#gid=156619080"",H$3)"),"#REF!")</f>
        <v>#REF!</v>
      </c>
      <c r="I431" s="2" t="str">
        <f>IFERROR(__xludf.DUMMYFUNCTION("IMPORTRANGE(""https://docs.google.com/spreadsheets/d/""&amp;$A431&amp;""/edit#gid=156619080"",I$3)"),"#REF!")</f>
        <v>#REF!</v>
      </c>
      <c r="J431" s="2" t="str">
        <f>IFERROR(__xludf.DUMMYFUNCTION("IMPORTRANGE(""https://docs.google.com/spreadsheets/d/""&amp;$A431&amp;""/edit#gid=156619080"",J$3)"),"#REF!")</f>
        <v>#REF!</v>
      </c>
      <c r="K431" s="2" t="str">
        <f>IFERROR(__xludf.DUMMYFUNCTION("IMPORTRANGE(""https://docs.google.com/spreadsheets/d/""&amp;$A431&amp;""/edit#gid=156619080"",K$3)"),"#REF!")</f>
        <v>#REF!</v>
      </c>
      <c r="L431" s="2" t="str">
        <f>IFERROR(__xludf.DUMMYFUNCTION("IMPORTRANGE(""https://docs.google.com/spreadsheets/d/""&amp;$A431&amp;""/edit#gid=156619080"",L$3)"),"#REF!")</f>
        <v>#REF!</v>
      </c>
      <c r="M431" s="2" t="str">
        <f>IFERROR(__xludf.DUMMYFUNCTION("IMPORTRANGE(""https://docs.google.com/spreadsheets/d/""&amp;$A431&amp;""/edit#gid=156619080"",M$3)"),"#REF!")</f>
        <v>#REF!</v>
      </c>
      <c r="N431" s="2" t="str">
        <f>IFERROR(__xludf.DUMMYFUNCTION("IMPORTRANGE(""https://docs.google.com/spreadsheets/d/""&amp;$A431&amp;""/edit#gid=156619080"",N$3)"),"#REF!")</f>
        <v>#REF!</v>
      </c>
      <c r="O431" s="2" t="str">
        <f>IFERROR(__xludf.DUMMYFUNCTION("IMPORTRANGE(""https://docs.google.com/spreadsheets/d/""&amp;$A431&amp;""/edit#gid=156619080"",O$3)"),"#REF!")</f>
        <v>#REF!</v>
      </c>
      <c r="P431" s="2" t="str">
        <f>IFERROR(__xludf.DUMMYFUNCTION("IMPORTRANGE(""https://docs.google.com/spreadsheets/d/""&amp;$A431&amp;""/edit#gid=156619080"",P$3)"),"#REF!")</f>
        <v>#REF!</v>
      </c>
      <c r="Q431" s="2" t="str">
        <f>IFERROR(__xludf.DUMMYFUNCTION("IMPORTRANGE(""https://docs.google.com/spreadsheets/d/""&amp;$A431&amp;""/edit#gid=156619080"",Q$3)"),"#REF!")</f>
        <v>#REF!</v>
      </c>
      <c r="R431" s="2" t="str">
        <f>IFERROR(__xludf.DUMMYFUNCTION("IMPORTRANGE(""https://docs.google.com/spreadsheets/d/""&amp;$A431&amp;""/edit#gid=156619080"",R$3)"),"#REF!")</f>
        <v>#REF!</v>
      </c>
      <c r="S431" s="2" t="str">
        <f>IFERROR(__xludf.DUMMYFUNCTION("IMPORTRANGE(""https://docs.google.com/spreadsheets/d/""&amp;$A431&amp;""/edit#gid=156619080"",S$3)"),"#REF!")</f>
        <v>#REF!</v>
      </c>
      <c r="T431" s="2" t="str">
        <f>IFERROR(__xludf.DUMMYFUNCTION("IMPORTRANGE(""https://docs.google.com/spreadsheets/d/""&amp;$A431&amp;""/edit#gid=156619080"",T$3)"),"#REF!")</f>
        <v>#REF!</v>
      </c>
      <c r="U431" s="2" t="str">
        <f>IFERROR(__xludf.DUMMYFUNCTION("IMPORTRANGE(""https://docs.google.com/spreadsheets/d/""&amp;$A431&amp;""/edit#gid=156619080"",U$3)"),"#REF!")</f>
        <v>#REF!</v>
      </c>
      <c r="V431" s="2" t="str">
        <f>IFERROR(__xludf.DUMMYFUNCTION("IMPORTRANGE(""https://docs.google.com/spreadsheets/d/""&amp;$A431&amp;""/edit#gid=156619080"",V$3)"),"#REF!")</f>
        <v>#REF!</v>
      </c>
      <c r="W431" s="2" t="str">
        <f>IFERROR(__xludf.DUMMYFUNCTION("IMPORTRANGE(""https://docs.google.com/spreadsheets/d/""&amp;$A431&amp;""/edit#gid=156619080"",W$3)"),"#REF!")</f>
        <v>#REF!</v>
      </c>
      <c r="X431" s="2" t="str">
        <f>IFERROR(__xludf.DUMMYFUNCTION("IMPORTRANGE(""https://docs.google.com/spreadsheets/d/""&amp;$A431&amp;""/edit#gid=156619080"",X$3)"),"#REF!")</f>
        <v>#REF!</v>
      </c>
      <c r="Y431" s="2" t="str">
        <f>IFERROR(__xludf.DUMMYFUNCTION("IMPORTRANGE(""https://docs.google.com/spreadsheets/d/""&amp;$A431&amp;""/edit#gid=156619080"",Y$3)"),"#REF!")</f>
        <v>#REF!</v>
      </c>
      <c r="Z431" s="2" t="str">
        <f>IFERROR(__xludf.DUMMYFUNCTION("IMPORTRANGE(""https://docs.google.com/spreadsheets/d/""&amp;$A431&amp;""/edit#gid=156619080"",Z$3)"),"#REF!")</f>
        <v>#REF!</v>
      </c>
      <c r="AA431" s="2" t="str">
        <f>IFERROR(__xludf.DUMMYFUNCTION("IMPORTRANGE(""https://docs.google.com/spreadsheets/d/""&amp;$A431&amp;""/edit#gid=156619080"",AA$3)"),"#REF!")</f>
        <v>#REF!</v>
      </c>
      <c r="AB431" s="2" t="str">
        <f>IFERROR(__xludf.DUMMYFUNCTION("IMPORTRANGE(""https://docs.google.com/spreadsheets/d/""&amp;$A431&amp;""/edit#gid=156619080"",AB$3)"),"#REF!")</f>
        <v>#REF!</v>
      </c>
      <c r="AC431" s="2" t="str">
        <f>IFERROR(__xludf.DUMMYFUNCTION("IMPORTRANGE(""https://docs.google.com/spreadsheets/d/""&amp;$A431&amp;""/edit#gid=156619080"",AC$3)"),"#REF!")</f>
        <v>#REF!</v>
      </c>
      <c r="AD431" s="2" t="str">
        <f>IFERROR(__xludf.DUMMYFUNCTION("IMPORTRANGE(""https://docs.google.com/spreadsheets/d/""&amp;$A431&amp;""/edit#gid=156619080"",AD$3)"),"#REF!")</f>
        <v>#REF!</v>
      </c>
      <c r="AE431" s="2" t="str">
        <f>IFERROR(__xludf.DUMMYFUNCTION("IMPORTRANGE(""https://docs.google.com/spreadsheets/d/""&amp;$A431&amp;""/edit#gid=156619080"",AE$3)"),"#REF!")</f>
        <v>#REF!</v>
      </c>
      <c r="AF431" s="2" t="str">
        <f>IFERROR(__xludf.DUMMYFUNCTION("IMPORTRANGE(""https://docs.google.com/spreadsheets/d/""&amp;$A431&amp;""/edit#gid=156619080"",AF$3)"),"#REF!")</f>
        <v>#REF!</v>
      </c>
      <c r="AG431" s="2" t="str">
        <f>IFERROR(__xludf.DUMMYFUNCTION("IMPORTRANGE(""https://docs.google.com/spreadsheets/d/""&amp;$A431&amp;""/edit#gid=156619080"",AG$3)"),"#REF!")</f>
        <v>#REF!</v>
      </c>
      <c r="AH431" s="2" t="str">
        <f>IFERROR(__xludf.DUMMYFUNCTION("IMPORTRANGE(""https://docs.google.com/spreadsheets/d/""&amp;$A431&amp;""/edit#gid=156619080"",AH$3)"),"#REF!")</f>
        <v>#REF!</v>
      </c>
      <c r="AI431" s="2" t="str">
        <f>IFERROR(__xludf.DUMMYFUNCTION("IMPORTRANGE(""https://docs.google.com/spreadsheets/d/""&amp;$A431&amp;""/edit#gid=156619080"",AI$3)"),"#REF!")</f>
        <v>#REF!</v>
      </c>
      <c r="AJ431" s="2" t="str">
        <f>IFERROR(__xludf.DUMMYFUNCTION("IMPORTRANGE(""https://docs.google.com/spreadsheets/d/""&amp;$A431&amp;""/edit#gid=156619080"",AJ$3)"),"#REF!")</f>
        <v>#REF!</v>
      </c>
      <c r="AK431" s="2" t="str">
        <f>IFERROR(__xludf.DUMMYFUNCTION("IMPORTRANGE(""https://docs.google.com/spreadsheets/d/""&amp;$A431&amp;""/edit#gid=156619080"",AK$3)"),"#REF!")</f>
        <v>#REF!</v>
      </c>
      <c r="AL431" s="2" t="str">
        <f>IFERROR(__xludf.DUMMYFUNCTION("IMPORTRANGE(""https://docs.google.com/spreadsheets/d/""&amp;$A431&amp;""/edit#gid=156619080"",AL$3)"),"#REF!")</f>
        <v>#REF!</v>
      </c>
      <c r="AM431" s="2" t="str">
        <f>IFERROR(__xludf.DUMMYFUNCTION("IMPORTRANGE(""https://docs.google.com/spreadsheets/d/""&amp;$A431&amp;""/edit#gid=156619080"",AM$3)"),"#REF!")</f>
        <v>#REF!</v>
      </c>
      <c r="AN431" s="2" t="str">
        <f>IFERROR(__xludf.DUMMYFUNCTION("IMPORTRANGE(""https://docs.google.com/spreadsheets/d/""&amp;$A431&amp;""/edit#gid=156619080"",AN$3)"),"#REF!")</f>
        <v>#REF!</v>
      </c>
      <c r="AO431" s="2" t="str">
        <f>IFERROR(__xludf.DUMMYFUNCTION("IMPORTRANGE(""https://docs.google.com/spreadsheets/d/""&amp;$A431&amp;""/edit#gid=156619080"",AO$3)"),"#REF!")</f>
        <v>#REF!</v>
      </c>
      <c r="AP431" s="2" t="str">
        <f>IFERROR(__xludf.DUMMYFUNCTION("IMPORTRANGE(""https://docs.google.com/spreadsheets/d/""&amp;$A431&amp;""/edit#gid=156619080"",AP$3)"),"#REF!")</f>
        <v>#REF!</v>
      </c>
      <c r="AQ431" s="2" t="str">
        <f>IFERROR(__xludf.DUMMYFUNCTION("IMPORTRANGE(""https://docs.google.com/spreadsheets/d/""&amp;$A431&amp;""/edit#gid=156619080"",AQ$3)"),"#REF!")</f>
        <v>#REF!</v>
      </c>
      <c r="AR431" s="2" t="str">
        <f>IFERROR(__xludf.DUMMYFUNCTION("IMPORTRANGE(""https://docs.google.com/spreadsheets/d/""&amp;$A431&amp;""/edit#gid=156619080"",AR$3)"),"#REF!")</f>
        <v>#REF!</v>
      </c>
      <c r="AS431" s="19" t="str">
        <f>IFERROR(__xludf.DUMMYFUNCTION("IMPORTRANGE(""https://docs.google.com/spreadsheets/d/""&amp;$A431&amp;""/edit#gid=156619080"",AS$3)"),"#REF!")</f>
        <v>#REF!</v>
      </c>
      <c r="AT431" s="2" t="str">
        <f>IFERROR(__xludf.DUMMYFUNCTION("IMPORTRANGE(""https://docs.google.com/spreadsheets/d/""&amp;$A431&amp;""/edit#gid=156619080"",AT$3)"),"#REF!")</f>
        <v>#REF!</v>
      </c>
      <c r="AU431" s="3" t="str">
        <f>IFERROR(__xludf.DUMMYFUNCTION("IMPORTRANGE(""https://docs.google.com/spreadsheets/d/""&amp;$A431&amp;""/edit#gid=156619080"",AU$3)"),"#REF!")</f>
        <v>#REF!</v>
      </c>
      <c r="AV431" s="2" t="str">
        <f>IFERROR(__xludf.DUMMYFUNCTION("IMPORTRANGE(""https://docs.google.com/spreadsheets/d/""&amp;$A431&amp;""/edit#gid=156619080"",AV$3)"),"#REF!")</f>
        <v>#REF!</v>
      </c>
      <c r="AW431" s="19" t="str">
        <f>IFERROR(__xludf.DUMMYFUNCTION("IMPORTRANGE(""https://docs.google.com/spreadsheets/d/""&amp;$A431&amp;""/edit#gid=156619080"",AW$3)"),"#REF!")</f>
        <v>#REF!</v>
      </c>
      <c r="AX431" s="2" t="str">
        <f>IFERROR(__xludf.DUMMYFUNCTION("IMPORTRANGE(""https://docs.google.com/spreadsheets/d/""&amp;$A431&amp;""/edit#gid=156619080"",AX$3)"),"#REF!")</f>
        <v>#REF!</v>
      </c>
      <c r="AY431" s="2" t="str">
        <f>IFERROR(__xludf.DUMMYFUNCTION("IMPORTRANGE(""https://docs.google.com/spreadsheets/d/""&amp;$A431&amp;""/edit#gid=156619080"",AY$3)"),"#REF!")</f>
        <v>#REF!</v>
      </c>
      <c r="AZ431" s="2" t="str">
        <f>IFERROR(__xludf.DUMMYFUNCTION("IMPORTRANGE(""https://docs.google.com/spreadsheets/d/""&amp;$A431&amp;""/edit#gid=156619080"",AZ$3)"),"#REF!")</f>
        <v>#REF!</v>
      </c>
      <c r="BA431" s="2" t="str">
        <f>IFERROR(__xludf.DUMMYFUNCTION("IMPORTRANGE(""https://docs.google.com/spreadsheets/d/""&amp;$A431&amp;""/edit#gid=156619080"",BA$3)"),"#REF!")</f>
        <v>#REF!</v>
      </c>
      <c r="BB431" s="2" t="str">
        <f>IFERROR(__xludf.DUMMYFUNCTION("IMPORTRANGE(""https://docs.google.com/spreadsheets/d/""&amp;$A431&amp;""/edit#gid=156619080"",BB$3)"),"#REF!")</f>
        <v>#REF!</v>
      </c>
      <c r="BC431" s="2" t="str">
        <f>IFERROR(__xludf.DUMMYFUNCTION("IMPORTRANGE(""https://docs.google.com/spreadsheets/d/""&amp;$A431&amp;""/edit#gid=156619080"",BC$3)"),"#REF!")</f>
        <v>#REF!</v>
      </c>
    </row>
    <row r="432" ht="51.0" customHeight="1">
      <c r="A432" s="7" t="str">
        <f t="shared" si="5"/>
        <v>1wkXsXNXR1EKQ9R4fxnmt313DLv6izm4uoNWR5be6iag</v>
      </c>
      <c r="B432" s="1" t="s">
        <v>459</v>
      </c>
      <c r="C432" s="2" t="str">
        <f>IFERROR(__xludf.DUMMYFUNCTION("IMPORTRANGE(""https://docs.google.com/spreadsheets/d/""&amp;$A432&amp;""/edit#gid=156619080"",C$3)"),"#REF!")</f>
        <v>#REF!</v>
      </c>
      <c r="D432" s="2" t="str">
        <f>IFERROR(__xludf.DUMMYFUNCTION("IMPORTRANGE(""https://docs.google.com/spreadsheets/d/""&amp;$A432&amp;""/edit#gid=156619080"",D$3)"),"#REF!")</f>
        <v>#REF!</v>
      </c>
      <c r="E432" s="2" t="str">
        <f>IFERROR(__xludf.DUMMYFUNCTION("IMPORTRANGE(""https://docs.google.com/spreadsheets/d/""&amp;$A432&amp;""/edit#gid=156619080"",E$3)"),"#REF!")</f>
        <v>#REF!</v>
      </c>
      <c r="F432" s="2" t="str">
        <f>IFERROR(__xludf.DUMMYFUNCTION("IMPORTRANGE(""https://docs.google.com/spreadsheets/d/""&amp;$A432&amp;""/edit#gid=156619080"",F$3)"),"#REF!")</f>
        <v>#REF!</v>
      </c>
      <c r="G432" s="2" t="str">
        <f>IFERROR(__xludf.DUMMYFUNCTION("IMPORTRANGE(""https://docs.google.com/spreadsheets/d/""&amp;$A432&amp;""/edit#gid=156619080"",G$3)"),"#REF!")</f>
        <v>#REF!</v>
      </c>
      <c r="H432" s="2" t="str">
        <f>IFERROR(__xludf.DUMMYFUNCTION("IMPORTRANGE(""https://docs.google.com/spreadsheets/d/""&amp;$A432&amp;""/edit#gid=156619080"",H$3)"),"#REF!")</f>
        <v>#REF!</v>
      </c>
      <c r="I432" s="2" t="str">
        <f>IFERROR(__xludf.DUMMYFUNCTION("IMPORTRANGE(""https://docs.google.com/spreadsheets/d/""&amp;$A432&amp;""/edit#gid=156619080"",I$3)"),"#REF!")</f>
        <v>#REF!</v>
      </c>
      <c r="J432" s="2" t="str">
        <f>IFERROR(__xludf.DUMMYFUNCTION("IMPORTRANGE(""https://docs.google.com/spreadsheets/d/""&amp;$A432&amp;""/edit#gid=156619080"",J$3)"),"#REF!")</f>
        <v>#REF!</v>
      </c>
      <c r="K432" s="2" t="str">
        <f>IFERROR(__xludf.DUMMYFUNCTION("IMPORTRANGE(""https://docs.google.com/spreadsheets/d/""&amp;$A432&amp;""/edit#gid=156619080"",K$3)"),"#REF!")</f>
        <v>#REF!</v>
      </c>
      <c r="L432" s="2" t="str">
        <f>IFERROR(__xludf.DUMMYFUNCTION("IMPORTRANGE(""https://docs.google.com/spreadsheets/d/""&amp;$A432&amp;""/edit#gid=156619080"",L$3)"),"#REF!")</f>
        <v>#REF!</v>
      </c>
      <c r="M432" s="2" t="str">
        <f>IFERROR(__xludf.DUMMYFUNCTION("IMPORTRANGE(""https://docs.google.com/spreadsheets/d/""&amp;$A432&amp;""/edit#gid=156619080"",M$3)"),"#REF!")</f>
        <v>#REF!</v>
      </c>
      <c r="N432" s="2" t="str">
        <f>IFERROR(__xludf.DUMMYFUNCTION("IMPORTRANGE(""https://docs.google.com/spreadsheets/d/""&amp;$A432&amp;""/edit#gid=156619080"",N$3)"),"#REF!")</f>
        <v>#REF!</v>
      </c>
      <c r="O432" s="2" t="str">
        <f>IFERROR(__xludf.DUMMYFUNCTION("IMPORTRANGE(""https://docs.google.com/spreadsheets/d/""&amp;$A432&amp;""/edit#gid=156619080"",O$3)"),"#REF!")</f>
        <v>#REF!</v>
      </c>
      <c r="P432" s="2" t="str">
        <f>IFERROR(__xludf.DUMMYFUNCTION("IMPORTRANGE(""https://docs.google.com/spreadsheets/d/""&amp;$A432&amp;""/edit#gid=156619080"",P$3)"),"#REF!")</f>
        <v>#REF!</v>
      </c>
      <c r="Q432" s="2" t="str">
        <f>IFERROR(__xludf.DUMMYFUNCTION("IMPORTRANGE(""https://docs.google.com/spreadsheets/d/""&amp;$A432&amp;""/edit#gid=156619080"",Q$3)"),"#REF!")</f>
        <v>#REF!</v>
      </c>
      <c r="R432" s="2" t="str">
        <f>IFERROR(__xludf.DUMMYFUNCTION("IMPORTRANGE(""https://docs.google.com/spreadsheets/d/""&amp;$A432&amp;""/edit#gid=156619080"",R$3)"),"#REF!")</f>
        <v>#REF!</v>
      </c>
      <c r="S432" s="2" t="str">
        <f>IFERROR(__xludf.DUMMYFUNCTION("IMPORTRANGE(""https://docs.google.com/spreadsheets/d/""&amp;$A432&amp;""/edit#gid=156619080"",S$3)"),"#REF!")</f>
        <v>#REF!</v>
      </c>
      <c r="T432" s="2" t="str">
        <f>IFERROR(__xludf.DUMMYFUNCTION("IMPORTRANGE(""https://docs.google.com/spreadsheets/d/""&amp;$A432&amp;""/edit#gid=156619080"",T$3)"),"#REF!")</f>
        <v>#REF!</v>
      </c>
      <c r="U432" s="2" t="str">
        <f>IFERROR(__xludf.DUMMYFUNCTION("IMPORTRANGE(""https://docs.google.com/spreadsheets/d/""&amp;$A432&amp;""/edit#gid=156619080"",U$3)"),"#REF!")</f>
        <v>#REF!</v>
      </c>
      <c r="V432" s="2" t="str">
        <f>IFERROR(__xludf.DUMMYFUNCTION("IMPORTRANGE(""https://docs.google.com/spreadsheets/d/""&amp;$A432&amp;""/edit#gid=156619080"",V$3)"),"#REF!")</f>
        <v>#REF!</v>
      </c>
      <c r="W432" s="2" t="str">
        <f>IFERROR(__xludf.DUMMYFUNCTION("IMPORTRANGE(""https://docs.google.com/spreadsheets/d/""&amp;$A432&amp;""/edit#gid=156619080"",W$3)"),"#REF!")</f>
        <v>#REF!</v>
      </c>
      <c r="X432" s="2" t="str">
        <f>IFERROR(__xludf.DUMMYFUNCTION("IMPORTRANGE(""https://docs.google.com/spreadsheets/d/""&amp;$A432&amp;""/edit#gid=156619080"",X$3)"),"#REF!")</f>
        <v>#REF!</v>
      </c>
      <c r="Y432" s="2" t="str">
        <f>IFERROR(__xludf.DUMMYFUNCTION("IMPORTRANGE(""https://docs.google.com/spreadsheets/d/""&amp;$A432&amp;""/edit#gid=156619080"",Y$3)"),"#REF!")</f>
        <v>#REF!</v>
      </c>
      <c r="Z432" s="2" t="str">
        <f>IFERROR(__xludf.DUMMYFUNCTION("IMPORTRANGE(""https://docs.google.com/spreadsheets/d/""&amp;$A432&amp;""/edit#gid=156619080"",Z$3)"),"#REF!")</f>
        <v>#REF!</v>
      </c>
      <c r="AA432" s="2" t="str">
        <f>IFERROR(__xludf.DUMMYFUNCTION("IMPORTRANGE(""https://docs.google.com/spreadsheets/d/""&amp;$A432&amp;""/edit#gid=156619080"",AA$3)"),"#REF!")</f>
        <v>#REF!</v>
      </c>
      <c r="AB432" s="2" t="str">
        <f>IFERROR(__xludf.DUMMYFUNCTION("IMPORTRANGE(""https://docs.google.com/spreadsheets/d/""&amp;$A432&amp;""/edit#gid=156619080"",AB$3)"),"#REF!")</f>
        <v>#REF!</v>
      </c>
      <c r="AC432" s="2" t="str">
        <f>IFERROR(__xludf.DUMMYFUNCTION("IMPORTRANGE(""https://docs.google.com/spreadsheets/d/""&amp;$A432&amp;""/edit#gid=156619080"",AC$3)"),"#REF!")</f>
        <v>#REF!</v>
      </c>
      <c r="AD432" s="2" t="str">
        <f>IFERROR(__xludf.DUMMYFUNCTION("IMPORTRANGE(""https://docs.google.com/spreadsheets/d/""&amp;$A432&amp;""/edit#gid=156619080"",AD$3)"),"#REF!")</f>
        <v>#REF!</v>
      </c>
      <c r="AE432" s="2" t="str">
        <f>IFERROR(__xludf.DUMMYFUNCTION("IMPORTRANGE(""https://docs.google.com/spreadsheets/d/""&amp;$A432&amp;""/edit#gid=156619080"",AE$3)"),"#REF!")</f>
        <v>#REF!</v>
      </c>
      <c r="AF432" s="2" t="str">
        <f>IFERROR(__xludf.DUMMYFUNCTION("IMPORTRANGE(""https://docs.google.com/spreadsheets/d/""&amp;$A432&amp;""/edit#gid=156619080"",AF$3)"),"#REF!")</f>
        <v>#REF!</v>
      </c>
      <c r="AG432" s="2" t="str">
        <f>IFERROR(__xludf.DUMMYFUNCTION("IMPORTRANGE(""https://docs.google.com/spreadsheets/d/""&amp;$A432&amp;""/edit#gid=156619080"",AG$3)"),"#REF!")</f>
        <v>#REF!</v>
      </c>
      <c r="AH432" s="2" t="str">
        <f>IFERROR(__xludf.DUMMYFUNCTION("IMPORTRANGE(""https://docs.google.com/spreadsheets/d/""&amp;$A432&amp;""/edit#gid=156619080"",AH$3)"),"#REF!")</f>
        <v>#REF!</v>
      </c>
      <c r="AI432" s="2" t="str">
        <f>IFERROR(__xludf.DUMMYFUNCTION("IMPORTRANGE(""https://docs.google.com/spreadsheets/d/""&amp;$A432&amp;""/edit#gid=156619080"",AI$3)"),"#REF!")</f>
        <v>#REF!</v>
      </c>
      <c r="AJ432" s="2" t="str">
        <f>IFERROR(__xludf.DUMMYFUNCTION("IMPORTRANGE(""https://docs.google.com/spreadsheets/d/""&amp;$A432&amp;""/edit#gid=156619080"",AJ$3)"),"#REF!")</f>
        <v>#REF!</v>
      </c>
      <c r="AK432" s="2" t="str">
        <f>IFERROR(__xludf.DUMMYFUNCTION("IMPORTRANGE(""https://docs.google.com/spreadsheets/d/""&amp;$A432&amp;""/edit#gid=156619080"",AK$3)"),"#REF!")</f>
        <v>#REF!</v>
      </c>
      <c r="AL432" s="2" t="str">
        <f>IFERROR(__xludf.DUMMYFUNCTION("IMPORTRANGE(""https://docs.google.com/spreadsheets/d/""&amp;$A432&amp;""/edit#gid=156619080"",AL$3)"),"#REF!")</f>
        <v>#REF!</v>
      </c>
      <c r="AM432" s="2" t="str">
        <f>IFERROR(__xludf.DUMMYFUNCTION("IMPORTRANGE(""https://docs.google.com/spreadsheets/d/""&amp;$A432&amp;""/edit#gid=156619080"",AM$3)"),"#REF!")</f>
        <v>#REF!</v>
      </c>
      <c r="AN432" s="2" t="str">
        <f>IFERROR(__xludf.DUMMYFUNCTION("IMPORTRANGE(""https://docs.google.com/spreadsheets/d/""&amp;$A432&amp;""/edit#gid=156619080"",AN$3)"),"#REF!")</f>
        <v>#REF!</v>
      </c>
      <c r="AO432" s="2" t="str">
        <f>IFERROR(__xludf.DUMMYFUNCTION("IMPORTRANGE(""https://docs.google.com/spreadsheets/d/""&amp;$A432&amp;""/edit#gid=156619080"",AO$3)"),"#REF!")</f>
        <v>#REF!</v>
      </c>
      <c r="AP432" s="2" t="str">
        <f>IFERROR(__xludf.DUMMYFUNCTION("IMPORTRANGE(""https://docs.google.com/spreadsheets/d/""&amp;$A432&amp;""/edit#gid=156619080"",AP$3)"),"#REF!")</f>
        <v>#REF!</v>
      </c>
      <c r="AQ432" s="2" t="str">
        <f>IFERROR(__xludf.DUMMYFUNCTION("IMPORTRANGE(""https://docs.google.com/spreadsheets/d/""&amp;$A432&amp;""/edit#gid=156619080"",AQ$3)"),"#REF!")</f>
        <v>#REF!</v>
      </c>
      <c r="AR432" s="2" t="str">
        <f>IFERROR(__xludf.DUMMYFUNCTION("IMPORTRANGE(""https://docs.google.com/spreadsheets/d/""&amp;$A432&amp;""/edit#gid=156619080"",AR$3)"),"#REF!")</f>
        <v>#REF!</v>
      </c>
      <c r="AS432" s="19" t="str">
        <f>IFERROR(__xludf.DUMMYFUNCTION("IMPORTRANGE(""https://docs.google.com/spreadsheets/d/""&amp;$A432&amp;""/edit#gid=156619080"",AS$3)"),"#REF!")</f>
        <v>#REF!</v>
      </c>
      <c r="AT432" s="2" t="str">
        <f>IFERROR(__xludf.DUMMYFUNCTION("IMPORTRANGE(""https://docs.google.com/spreadsheets/d/""&amp;$A432&amp;""/edit#gid=156619080"",AT$3)"),"#REF!")</f>
        <v>#REF!</v>
      </c>
      <c r="AU432" s="3" t="str">
        <f>IFERROR(__xludf.DUMMYFUNCTION("IMPORTRANGE(""https://docs.google.com/spreadsheets/d/""&amp;$A432&amp;""/edit#gid=156619080"",AU$3)"),"#REF!")</f>
        <v>#REF!</v>
      </c>
      <c r="AV432" s="2" t="str">
        <f>IFERROR(__xludf.DUMMYFUNCTION("IMPORTRANGE(""https://docs.google.com/spreadsheets/d/""&amp;$A432&amp;""/edit#gid=156619080"",AV$3)"),"#REF!")</f>
        <v>#REF!</v>
      </c>
      <c r="AW432" s="19" t="str">
        <f>IFERROR(__xludf.DUMMYFUNCTION("IMPORTRANGE(""https://docs.google.com/spreadsheets/d/""&amp;$A432&amp;""/edit#gid=156619080"",AW$3)"),"#REF!")</f>
        <v>#REF!</v>
      </c>
      <c r="AX432" s="2" t="str">
        <f>IFERROR(__xludf.DUMMYFUNCTION("IMPORTRANGE(""https://docs.google.com/spreadsheets/d/""&amp;$A432&amp;""/edit#gid=156619080"",AX$3)"),"#REF!")</f>
        <v>#REF!</v>
      </c>
      <c r="AY432" s="2" t="str">
        <f>IFERROR(__xludf.DUMMYFUNCTION("IMPORTRANGE(""https://docs.google.com/spreadsheets/d/""&amp;$A432&amp;""/edit#gid=156619080"",AY$3)"),"#REF!")</f>
        <v>#REF!</v>
      </c>
      <c r="AZ432" s="2" t="str">
        <f>IFERROR(__xludf.DUMMYFUNCTION("IMPORTRANGE(""https://docs.google.com/spreadsheets/d/""&amp;$A432&amp;""/edit#gid=156619080"",AZ$3)"),"#REF!")</f>
        <v>#REF!</v>
      </c>
      <c r="BA432" s="2" t="str">
        <f>IFERROR(__xludf.DUMMYFUNCTION("IMPORTRANGE(""https://docs.google.com/spreadsheets/d/""&amp;$A432&amp;""/edit#gid=156619080"",BA$3)"),"#REF!")</f>
        <v>#REF!</v>
      </c>
      <c r="BB432" s="2" t="str">
        <f>IFERROR(__xludf.DUMMYFUNCTION("IMPORTRANGE(""https://docs.google.com/spreadsheets/d/""&amp;$A432&amp;""/edit#gid=156619080"",BB$3)"),"#REF!")</f>
        <v>#REF!</v>
      </c>
      <c r="BC432" s="2" t="str">
        <f>IFERROR(__xludf.DUMMYFUNCTION("IMPORTRANGE(""https://docs.google.com/spreadsheets/d/""&amp;$A432&amp;""/edit#gid=156619080"",BC$3)"),"#REF!")</f>
        <v>#REF!</v>
      </c>
    </row>
    <row r="433" ht="51.0" customHeight="1">
      <c r="A433" s="7" t="str">
        <f t="shared" si="5"/>
        <v>16oKGmlCsywxTRwYK10f-_x34lv022OKqlzldf6C5oDE</v>
      </c>
      <c r="B433" s="1" t="s">
        <v>460</v>
      </c>
      <c r="C433" s="2" t="str">
        <f>IFERROR(__xludf.DUMMYFUNCTION("IMPORTRANGE(""https://docs.google.com/spreadsheets/d/""&amp;$A433&amp;""/edit#gid=156619080"",C$3)"),"#REF!")</f>
        <v>#REF!</v>
      </c>
      <c r="D433" s="2" t="str">
        <f>IFERROR(__xludf.DUMMYFUNCTION("IMPORTRANGE(""https://docs.google.com/spreadsheets/d/""&amp;$A433&amp;""/edit#gid=156619080"",D$3)"),"#REF!")</f>
        <v>#REF!</v>
      </c>
      <c r="E433" s="2" t="str">
        <f>IFERROR(__xludf.DUMMYFUNCTION("IMPORTRANGE(""https://docs.google.com/spreadsheets/d/""&amp;$A433&amp;""/edit#gid=156619080"",E$3)"),"#REF!")</f>
        <v>#REF!</v>
      </c>
      <c r="F433" s="2" t="str">
        <f>IFERROR(__xludf.DUMMYFUNCTION("IMPORTRANGE(""https://docs.google.com/spreadsheets/d/""&amp;$A433&amp;""/edit#gid=156619080"",F$3)"),"#REF!")</f>
        <v>#REF!</v>
      </c>
      <c r="G433" s="2" t="str">
        <f>IFERROR(__xludf.DUMMYFUNCTION("IMPORTRANGE(""https://docs.google.com/spreadsheets/d/""&amp;$A433&amp;""/edit#gid=156619080"",G$3)"),"#REF!")</f>
        <v>#REF!</v>
      </c>
      <c r="H433" s="2" t="str">
        <f>IFERROR(__xludf.DUMMYFUNCTION("IMPORTRANGE(""https://docs.google.com/spreadsheets/d/""&amp;$A433&amp;""/edit#gid=156619080"",H$3)"),"#REF!")</f>
        <v>#REF!</v>
      </c>
      <c r="I433" s="2" t="str">
        <f>IFERROR(__xludf.DUMMYFUNCTION("IMPORTRANGE(""https://docs.google.com/spreadsheets/d/""&amp;$A433&amp;""/edit#gid=156619080"",I$3)"),"#REF!")</f>
        <v>#REF!</v>
      </c>
      <c r="J433" s="2" t="str">
        <f>IFERROR(__xludf.DUMMYFUNCTION("IMPORTRANGE(""https://docs.google.com/spreadsheets/d/""&amp;$A433&amp;""/edit#gid=156619080"",J$3)"),"#REF!")</f>
        <v>#REF!</v>
      </c>
      <c r="K433" s="2" t="str">
        <f>IFERROR(__xludf.DUMMYFUNCTION("IMPORTRANGE(""https://docs.google.com/spreadsheets/d/""&amp;$A433&amp;""/edit#gid=156619080"",K$3)"),"#REF!")</f>
        <v>#REF!</v>
      </c>
      <c r="L433" s="2" t="str">
        <f>IFERROR(__xludf.DUMMYFUNCTION("IMPORTRANGE(""https://docs.google.com/spreadsheets/d/""&amp;$A433&amp;""/edit#gid=156619080"",L$3)"),"#REF!")</f>
        <v>#REF!</v>
      </c>
      <c r="M433" s="2" t="str">
        <f>IFERROR(__xludf.DUMMYFUNCTION("IMPORTRANGE(""https://docs.google.com/spreadsheets/d/""&amp;$A433&amp;""/edit#gid=156619080"",M$3)"),"#REF!")</f>
        <v>#REF!</v>
      </c>
      <c r="N433" s="2" t="str">
        <f>IFERROR(__xludf.DUMMYFUNCTION("IMPORTRANGE(""https://docs.google.com/spreadsheets/d/""&amp;$A433&amp;""/edit#gid=156619080"",N$3)"),"#REF!")</f>
        <v>#REF!</v>
      </c>
      <c r="O433" s="2" t="str">
        <f>IFERROR(__xludf.DUMMYFUNCTION("IMPORTRANGE(""https://docs.google.com/spreadsheets/d/""&amp;$A433&amp;""/edit#gid=156619080"",O$3)"),"#REF!")</f>
        <v>#REF!</v>
      </c>
      <c r="P433" s="2" t="str">
        <f>IFERROR(__xludf.DUMMYFUNCTION("IMPORTRANGE(""https://docs.google.com/spreadsheets/d/""&amp;$A433&amp;""/edit#gid=156619080"",P$3)"),"#REF!")</f>
        <v>#REF!</v>
      </c>
      <c r="Q433" s="2" t="str">
        <f>IFERROR(__xludf.DUMMYFUNCTION("IMPORTRANGE(""https://docs.google.com/spreadsheets/d/""&amp;$A433&amp;""/edit#gid=156619080"",Q$3)"),"#REF!")</f>
        <v>#REF!</v>
      </c>
      <c r="R433" s="2" t="str">
        <f>IFERROR(__xludf.DUMMYFUNCTION("IMPORTRANGE(""https://docs.google.com/spreadsheets/d/""&amp;$A433&amp;""/edit#gid=156619080"",R$3)"),"#REF!")</f>
        <v>#REF!</v>
      </c>
      <c r="S433" s="2" t="str">
        <f>IFERROR(__xludf.DUMMYFUNCTION("IMPORTRANGE(""https://docs.google.com/spreadsheets/d/""&amp;$A433&amp;""/edit#gid=156619080"",S$3)"),"#REF!")</f>
        <v>#REF!</v>
      </c>
      <c r="T433" s="2" t="str">
        <f>IFERROR(__xludf.DUMMYFUNCTION("IMPORTRANGE(""https://docs.google.com/spreadsheets/d/""&amp;$A433&amp;""/edit#gid=156619080"",T$3)"),"#REF!")</f>
        <v>#REF!</v>
      </c>
      <c r="U433" s="2" t="str">
        <f>IFERROR(__xludf.DUMMYFUNCTION("IMPORTRANGE(""https://docs.google.com/spreadsheets/d/""&amp;$A433&amp;""/edit#gid=156619080"",U$3)"),"#REF!")</f>
        <v>#REF!</v>
      </c>
      <c r="V433" s="2" t="str">
        <f>IFERROR(__xludf.DUMMYFUNCTION("IMPORTRANGE(""https://docs.google.com/spreadsheets/d/""&amp;$A433&amp;""/edit#gid=156619080"",V$3)"),"#REF!")</f>
        <v>#REF!</v>
      </c>
      <c r="W433" s="2" t="str">
        <f>IFERROR(__xludf.DUMMYFUNCTION("IMPORTRANGE(""https://docs.google.com/spreadsheets/d/""&amp;$A433&amp;""/edit#gid=156619080"",W$3)"),"#REF!")</f>
        <v>#REF!</v>
      </c>
      <c r="X433" s="2" t="str">
        <f>IFERROR(__xludf.DUMMYFUNCTION("IMPORTRANGE(""https://docs.google.com/spreadsheets/d/""&amp;$A433&amp;""/edit#gid=156619080"",X$3)"),"#REF!")</f>
        <v>#REF!</v>
      </c>
      <c r="Y433" s="2" t="str">
        <f>IFERROR(__xludf.DUMMYFUNCTION("IMPORTRANGE(""https://docs.google.com/spreadsheets/d/""&amp;$A433&amp;""/edit#gid=156619080"",Y$3)"),"#REF!")</f>
        <v>#REF!</v>
      </c>
      <c r="Z433" s="2" t="str">
        <f>IFERROR(__xludf.DUMMYFUNCTION("IMPORTRANGE(""https://docs.google.com/spreadsheets/d/""&amp;$A433&amp;""/edit#gid=156619080"",Z$3)"),"#REF!")</f>
        <v>#REF!</v>
      </c>
      <c r="AA433" s="2" t="str">
        <f>IFERROR(__xludf.DUMMYFUNCTION("IMPORTRANGE(""https://docs.google.com/spreadsheets/d/""&amp;$A433&amp;""/edit#gid=156619080"",AA$3)"),"#REF!")</f>
        <v>#REF!</v>
      </c>
      <c r="AB433" s="2" t="str">
        <f>IFERROR(__xludf.DUMMYFUNCTION("IMPORTRANGE(""https://docs.google.com/spreadsheets/d/""&amp;$A433&amp;""/edit#gid=156619080"",AB$3)"),"#REF!")</f>
        <v>#REF!</v>
      </c>
      <c r="AC433" s="2" t="str">
        <f>IFERROR(__xludf.DUMMYFUNCTION("IMPORTRANGE(""https://docs.google.com/spreadsheets/d/""&amp;$A433&amp;""/edit#gid=156619080"",AC$3)"),"#REF!")</f>
        <v>#REF!</v>
      </c>
      <c r="AD433" s="2" t="str">
        <f>IFERROR(__xludf.DUMMYFUNCTION("IMPORTRANGE(""https://docs.google.com/spreadsheets/d/""&amp;$A433&amp;""/edit#gid=156619080"",AD$3)"),"#REF!")</f>
        <v>#REF!</v>
      </c>
      <c r="AE433" s="2" t="str">
        <f>IFERROR(__xludf.DUMMYFUNCTION("IMPORTRANGE(""https://docs.google.com/spreadsheets/d/""&amp;$A433&amp;""/edit#gid=156619080"",AE$3)"),"#REF!")</f>
        <v>#REF!</v>
      </c>
      <c r="AF433" s="2" t="str">
        <f>IFERROR(__xludf.DUMMYFUNCTION("IMPORTRANGE(""https://docs.google.com/spreadsheets/d/""&amp;$A433&amp;""/edit#gid=156619080"",AF$3)"),"#REF!")</f>
        <v>#REF!</v>
      </c>
      <c r="AG433" s="2" t="str">
        <f>IFERROR(__xludf.DUMMYFUNCTION("IMPORTRANGE(""https://docs.google.com/spreadsheets/d/""&amp;$A433&amp;""/edit#gid=156619080"",AG$3)"),"#REF!")</f>
        <v>#REF!</v>
      </c>
      <c r="AH433" s="2" t="str">
        <f>IFERROR(__xludf.DUMMYFUNCTION("IMPORTRANGE(""https://docs.google.com/spreadsheets/d/""&amp;$A433&amp;""/edit#gid=156619080"",AH$3)"),"#REF!")</f>
        <v>#REF!</v>
      </c>
      <c r="AI433" s="2" t="str">
        <f>IFERROR(__xludf.DUMMYFUNCTION("IMPORTRANGE(""https://docs.google.com/spreadsheets/d/""&amp;$A433&amp;""/edit#gid=156619080"",AI$3)"),"#REF!")</f>
        <v>#REF!</v>
      </c>
      <c r="AJ433" s="2" t="str">
        <f>IFERROR(__xludf.DUMMYFUNCTION("IMPORTRANGE(""https://docs.google.com/spreadsheets/d/""&amp;$A433&amp;""/edit#gid=156619080"",AJ$3)"),"#REF!")</f>
        <v>#REF!</v>
      </c>
      <c r="AK433" s="2" t="str">
        <f>IFERROR(__xludf.DUMMYFUNCTION("IMPORTRANGE(""https://docs.google.com/spreadsheets/d/""&amp;$A433&amp;""/edit#gid=156619080"",AK$3)"),"#REF!")</f>
        <v>#REF!</v>
      </c>
      <c r="AL433" s="2" t="str">
        <f>IFERROR(__xludf.DUMMYFUNCTION("IMPORTRANGE(""https://docs.google.com/spreadsheets/d/""&amp;$A433&amp;""/edit#gid=156619080"",AL$3)"),"#REF!")</f>
        <v>#REF!</v>
      </c>
      <c r="AM433" s="2" t="str">
        <f>IFERROR(__xludf.DUMMYFUNCTION("IMPORTRANGE(""https://docs.google.com/spreadsheets/d/""&amp;$A433&amp;""/edit#gid=156619080"",AM$3)"),"#REF!")</f>
        <v>#REF!</v>
      </c>
      <c r="AN433" s="2" t="str">
        <f>IFERROR(__xludf.DUMMYFUNCTION("IMPORTRANGE(""https://docs.google.com/spreadsheets/d/""&amp;$A433&amp;""/edit#gid=156619080"",AN$3)"),"#REF!")</f>
        <v>#REF!</v>
      </c>
      <c r="AO433" s="2" t="str">
        <f>IFERROR(__xludf.DUMMYFUNCTION("IMPORTRANGE(""https://docs.google.com/spreadsheets/d/""&amp;$A433&amp;""/edit#gid=156619080"",AO$3)"),"#REF!")</f>
        <v>#REF!</v>
      </c>
      <c r="AP433" s="2" t="str">
        <f>IFERROR(__xludf.DUMMYFUNCTION("IMPORTRANGE(""https://docs.google.com/spreadsheets/d/""&amp;$A433&amp;""/edit#gid=156619080"",AP$3)"),"#REF!")</f>
        <v>#REF!</v>
      </c>
      <c r="AQ433" s="2" t="str">
        <f>IFERROR(__xludf.DUMMYFUNCTION("IMPORTRANGE(""https://docs.google.com/spreadsheets/d/""&amp;$A433&amp;""/edit#gid=156619080"",AQ$3)"),"#REF!")</f>
        <v>#REF!</v>
      </c>
      <c r="AR433" s="2" t="str">
        <f>IFERROR(__xludf.DUMMYFUNCTION("IMPORTRANGE(""https://docs.google.com/spreadsheets/d/""&amp;$A433&amp;""/edit#gid=156619080"",AR$3)"),"#REF!")</f>
        <v>#REF!</v>
      </c>
      <c r="AS433" s="19" t="str">
        <f>IFERROR(__xludf.DUMMYFUNCTION("IMPORTRANGE(""https://docs.google.com/spreadsheets/d/""&amp;$A433&amp;""/edit#gid=156619080"",AS$3)"),"#REF!")</f>
        <v>#REF!</v>
      </c>
      <c r="AT433" s="2" t="str">
        <f>IFERROR(__xludf.DUMMYFUNCTION("IMPORTRANGE(""https://docs.google.com/spreadsheets/d/""&amp;$A433&amp;""/edit#gid=156619080"",AT$3)"),"#REF!")</f>
        <v>#REF!</v>
      </c>
      <c r="AU433" s="3" t="str">
        <f>IFERROR(__xludf.DUMMYFUNCTION("IMPORTRANGE(""https://docs.google.com/spreadsheets/d/""&amp;$A433&amp;""/edit#gid=156619080"",AU$3)"),"#REF!")</f>
        <v>#REF!</v>
      </c>
      <c r="AV433" s="2" t="str">
        <f>IFERROR(__xludf.DUMMYFUNCTION("IMPORTRANGE(""https://docs.google.com/spreadsheets/d/""&amp;$A433&amp;""/edit#gid=156619080"",AV$3)"),"#REF!")</f>
        <v>#REF!</v>
      </c>
      <c r="AW433" s="19" t="str">
        <f>IFERROR(__xludf.DUMMYFUNCTION("IMPORTRANGE(""https://docs.google.com/spreadsheets/d/""&amp;$A433&amp;""/edit#gid=156619080"",AW$3)"),"#REF!")</f>
        <v>#REF!</v>
      </c>
      <c r="AX433" s="2" t="str">
        <f>IFERROR(__xludf.DUMMYFUNCTION("IMPORTRANGE(""https://docs.google.com/spreadsheets/d/""&amp;$A433&amp;""/edit#gid=156619080"",AX$3)"),"#REF!")</f>
        <v>#REF!</v>
      </c>
      <c r="AY433" s="2" t="str">
        <f>IFERROR(__xludf.DUMMYFUNCTION("IMPORTRANGE(""https://docs.google.com/spreadsheets/d/""&amp;$A433&amp;""/edit#gid=156619080"",AY$3)"),"#REF!")</f>
        <v>#REF!</v>
      </c>
      <c r="AZ433" s="2" t="str">
        <f>IFERROR(__xludf.DUMMYFUNCTION("IMPORTRANGE(""https://docs.google.com/spreadsheets/d/""&amp;$A433&amp;""/edit#gid=156619080"",AZ$3)"),"#REF!")</f>
        <v>#REF!</v>
      </c>
      <c r="BA433" s="2" t="str">
        <f>IFERROR(__xludf.DUMMYFUNCTION("IMPORTRANGE(""https://docs.google.com/spreadsheets/d/""&amp;$A433&amp;""/edit#gid=156619080"",BA$3)"),"#REF!")</f>
        <v>#REF!</v>
      </c>
      <c r="BB433" s="2" t="str">
        <f>IFERROR(__xludf.DUMMYFUNCTION("IMPORTRANGE(""https://docs.google.com/spreadsheets/d/""&amp;$A433&amp;""/edit#gid=156619080"",BB$3)"),"#REF!")</f>
        <v>#REF!</v>
      </c>
      <c r="BC433" s="2" t="str">
        <f>IFERROR(__xludf.DUMMYFUNCTION("IMPORTRANGE(""https://docs.google.com/spreadsheets/d/""&amp;$A433&amp;""/edit#gid=156619080"",BC$3)"),"#REF!")</f>
        <v>#REF!</v>
      </c>
    </row>
    <row r="434" ht="51.0" customHeight="1">
      <c r="A434" s="7" t="str">
        <f t="shared" si="5"/>
        <v>1W0Cge1urYX5_G7G385Yt0Au6Vi3boW7CwQCnUoBkt0w</v>
      </c>
      <c r="B434" s="1" t="s">
        <v>461</v>
      </c>
      <c r="C434" s="2" t="str">
        <f>IFERROR(__xludf.DUMMYFUNCTION("IMPORTRANGE(""https://docs.google.com/spreadsheets/d/""&amp;$A434&amp;""/edit#gid=156619080"",C$3)"),"#REF!")</f>
        <v>#REF!</v>
      </c>
      <c r="D434" s="2" t="str">
        <f>IFERROR(__xludf.DUMMYFUNCTION("IMPORTRANGE(""https://docs.google.com/spreadsheets/d/""&amp;$A434&amp;""/edit#gid=156619080"",D$3)"),"#REF!")</f>
        <v>#REF!</v>
      </c>
      <c r="E434" s="2" t="str">
        <f>IFERROR(__xludf.DUMMYFUNCTION("IMPORTRANGE(""https://docs.google.com/spreadsheets/d/""&amp;$A434&amp;""/edit#gid=156619080"",E$3)"),"#REF!")</f>
        <v>#REF!</v>
      </c>
      <c r="F434" s="2" t="str">
        <f>IFERROR(__xludf.DUMMYFUNCTION("IMPORTRANGE(""https://docs.google.com/spreadsheets/d/""&amp;$A434&amp;""/edit#gid=156619080"",F$3)"),"#REF!")</f>
        <v>#REF!</v>
      </c>
      <c r="G434" s="2" t="str">
        <f>IFERROR(__xludf.DUMMYFUNCTION("IMPORTRANGE(""https://docs.google.com/spreadsheets/d/""&amp;$A434&amp;""/edit#gid=156619080"",G$3)"),"#REF!")</f>
        <v>#REF!</v>
      </c>
      <c r="H434" s="2" t="str">
        <f>IFERROR(__xludf.DUMMYFUNCTION("IMPORTRANGE(""https://docs.google.com/spreadsheets/d/""&amp;$A434&amp;""/edit#gid=156619080"",H$3)"),"#REF!")</f>
        <v>#REF!</v>
      </c>
      <c r="I434" s="2" t="str">
        <f>IFERROR(__xludf.DUMMYFUNCTION("IMPORTRANGE(""https://docs.google.com/spreadsheets/d/""&amp;$A434&amp;""/edit#gid=156619080"",I$3)"),"#REF!")</f>
        <v>#REF!</v>
      </c>
      <c r="J434" s="2" t="str">
        <f>IFERROR(__xludf.DUMMYFUNCTION("IMPORTRANGE(""https://docs.google.com/spreadsheets/d/""&amp;$A434&amp;""/edit#gid=156619080"",J$3)"),"#REF!")</f>
        <v>#REF!</v>
      </c>
      <c r="K434" s="2" t="str">
        <f>IFERROR(__xludf.DUMMYFUNCTION("IMPORTRANGE(""https://docs.google.com/spreadsheets/d/""&amp;$A434&amp;""/edit#gid=156619080"",K$3)"),"#REF!")</f>
        <v>#REF!</v>
      </c>
      <c r="L434" s="2" t="str">
        <f>IFERROR(__xludf.DUMMYFUNCTION("IMPORTRANGE(""https://docs.google.com/spreadsheets/d/""&amp;$A434&amp;""/edit#gid=156619080"",L$3)"),"#REF!")</f>
        <v>#REF!</v>
      </c>
      <c r="M434" s="2" t="str">
        <f>IFERROR(__xludf.DUMMYFUNCTION("IMPORTRANGE(""https://docs.google.com/spreadsheets/d/""&amp;$A434&amp;""/edit#gid=156619080"",M$3)"),"#REF!")</f>
        <v>#REF!</v>
      </c>
      <c r="N434" s="2" t="str">
        <f>IFERROR(__xludf.DUMMYFUNCTION("IMPORTRANGE(""https://docs.google.com/spreadsheets/d/""&amp;$A434&amp;""/edit#gid=156619080"",N$3)"),"#REF!")</f>
        <v>#REF!</v>
      </c>
      <c r="O434" s="2" t="str">
        <f>IFERROR(__xludf.DUMMYFUNCTION("IMPORTRANGE(""https://docs.google.com/spreadsheets/d/""&amp;$A434&amp;""/edit#gid=156619080"",O$3)"),"#REF!")</f>
        <v>#REF!</v>
      </c>
      <c r="P434" s="2" t="str">
        <f>IFERROR(__xludf.DUMMYFUNCTION("IMPORTRANGE(""https://docs.google.com/spreadsheets/d/""&amp;$A434&amp;""/edit#gid=156619080"",P$3)"),"#REF!")</f>
        <v>#REF!</v>
      </c>
      <c r="Q434" s="2" t="str">
        <f>IFERROR(__xludf.DUMMYFUNCTION("IMPORTRANGE(""https://docs.google.com/spreadsheets/d/""&amp;$A434&amp;""/edit#gid=156619080"",Q$3)"),"#REF!")</f>
        <v>#REF!</v>
      </c>
      <c r="R434" s="2" t="str">
        <f>IFERROR(__xludf.DUMMYFUNCTION("IMPORTRANGE(""https://docs.google.com/spreadsheets/d/""&amp;$A434&amp;""/edit#gid=156619080"",R$3)"),"#REF!")</f>
        <v>#REF!</v>
      </c>
      <c r="S434" s="2" t="str">
        <f>IFERROR(__xludf.DUMMYFUNCTION("IMPORTRANGE(""https://docs.google.com/spreadsheets/d/""&amp;$A434&amp;""/edit#gid=156619080"",S$3)"),"#REF!")</f>
        <v>#REF!</v>
      </c>
      <c r="T434" s="2" t="str">
        <f>IFERROR(__xludf.DUMMYFUNCTION("IMPORTRANGE(""https://docs.google.com/spreadsheets/d/""&amp;$A434&amp;""/edit#gid=156619080"",T$3)"),"#REF!")</f>
        <v>#REF!</v>
      </c>
      <c r="U434" s="2" t="str">
        <f>IFERROR(__xludf.DUMMYFUNCTION("IMPORTRANGE(""https://docs.google.com/spreadsheets/d/""&amp;$A434&amp;""/edit#gid=156619080"",U$3)"),"#REF!")</f>
        <v>#REF!</v>
      </c>
      <c r="V434" s="2" t="str">
        <f>IFERROR(__xludf.DUMMYFUNCTION("IMPORTRANGE(""https://docs.google.com/spreadsheets/d/""&amp;$A434&amp;""/edit#gid=156619080"",V$3)"),"#REF!")</f>
        <v>#REF!</v>
      </c>
      <c r="W434" s="2" t="str">
        <f>IFERROR(__xludf.DUMMYFUNCTION("IMPORTRANGE(""https://docs.google.com/spreadsheets/d/""&amp;$A434&amp;""/edit#gid=156619080"",W$3)"),"#REF!")</f>
        <v>#REF!</v>
      </c>
      <c r="X434" s="2" t="str">
        <f>IFERROR(__xludf.DUMMYFUNCTION("IMPORTRANGE(""https://docs.google.com/spreadsheets/d/""&amp;$A434&amp;""/edit#gid=156619080"",X$3)"),"#REF!")</f>
        <v>#REF!</v>
      </c>
      <c r="Y434" s="2" t="str">
        <f>IFERROR(__xludf.DUMMYFUNCTION("IMPORTRANGE(""https://docs.google.com/spreadsheets/d/""&amp;$A434&amp;""/edit#gid=156619080"",Y$3)"),"#REF!")</f>
        <v>#REF!</v>
      </c>
      <c r="Z434" s="2" t="str">
        <f>IFERROR(__xludf.DUMMYFUNCTION("IMPORTRANGE(""https://docs.google.com/spreadsheets/d/""&amp;$A434&amp;""/edit#gid=156619080"",Z$3)"),"#REF!")</f>
        <v>#REF!</v>
      </c>
      <c r="AA434" s="2" t="str">
        <f>IFERROR(__xludf.DUMMYFUNCTION("IMPORTRANGE(""https://docs.google.com/spreadsheets/d/""&amp;$A434&amp;""/edit#gid=156619080"",AA$3)"),"#REF!")</f>
        <v>#REF!</v>
      </c>
      <c r="AB434" s="2" t="str">
        <f>IFERROR(__xludf.DUMMYFUNCTION("IMPORTRANGE(""https://docs.google.com/spreadsheets/d/""&amp;$A434&amp;""/edit#gid=156619080"",AB$3)"),"#REF!")</f>
        <v>#REF!</v>
      </c>
      <c r="AC434" s="2" t="str">
        <f>IFERROR(__xludf.DUMMYFUNCTION("IMPORTRANGE(""https://docs.google.com/spreadsheets/d/""&amp;$A434&amp;""/edit#gid=156619080"",AC$3)"),"#REF!")</f>
        <v>#REF!</v>
      </c>
      <c r="AD434" s="2" t="str">
        <f>IFERROR(__xludf.DUMMYFUNCTION("IMPORTRANGE(""https://docs.google.com/spreadsheets/d/""&amp;$A434&amp;""/edit#gid=156619080"",AD$3)"),"#REF!")</f>
        <v>#REF!</v>
      </c>
      <c r="AE434" s="2" t="str">
        <f>IFERROR(__xludf.DUMMYFUNCTION("IMPORTRANGE(""https://docs.google.com/spreadsheets/d/""&amp;$A434&amp;""/edit#gid=156619080"",AE$3)"),"#REF!")</f>
        <v>#REF!</v>
      </c>
      <c r="AF434" s="2" t="str">
        <f>IFERROR(__xludf.DUMMYFUNCTION("IMPORTRANGE(""https://docs.google.com/spreadsheets/d/""&amp;$A434&amp;""/edit#gid=156619080"",AF$3)"),"#REF!")</f>
        <v>#REF!</v>
      </c>
      <c r="AG434" s="2" t="str">
        <f>IFERROR(__xludf.DUMMYFUNCTION("IMPORTRANGE(""https://docs.google.com/spreadsheets/d/""&amp;$A434&amp;""/edit#gid=156619080"",AG$3)"),"#REF!")</f>
        <v>#REF!</v>
      </c>
      <c r="AH434" s="2" t="str">
        <f>IFERROR(__xludf.DUMMYFUNCTION("IMPORTRANGE(""https://docs.google.com/spreadsheets/d/""&amp;$A434&amp;""/edit#gid=156619080"",AH$3)"),"#REF!")</f>
        <v>#REF!</v>
      </c>
      <c r="AI434" s="2" t="str">
        <f>IFERROR(__xludf.DUMMYFUNCTION("IMPORTRANGE(""https://docs.google.com/spreadsheets/d/""&amp;$A434&amp;""/edit#gid=156619080"",AI$3)"),"#REF!")</f>
        <v>#REF!</v>
      </c>
      <c r="AJ434" s="2" t="str">
        <f>IFERROR(__xludf.DUMMYFUNCTION("IMPORTRANGE(""https://docs.google.com/spreadsheets/d/""&amp;$A434&amp;""/edit#gid=156619080"",AJ$3)"),"#REF!")</f>
        <v>#REF!</v>
      </c>
      <c r="AK434" s="2" t="str">
        <f>IFERROR(__xludf.DUMMYFUNCTION("IMPORTRANGE(""https://docs.google.com/spreadsheets/d/""&amp;$A434&amp;""/edit#gid=156619080"",AK$3)"),"#REF!")</f>
        <v>#REF!</v>
      </c>
      <c r="AL434" s="2" t="str">
        <f>IFERROR(__xludf.DUMMYFUNCTION("IMPORTRANGE(""https://docs.google.com/spreadsheets/d/""&amp;$A434&amp;""/edit#gid=156619080"",AL$3)"),"#REF!")</f>
        <v>#REF!</v>
      </c>
      <c r="AM434" s="2" t="str">
        <f>IFERROR(__xludf.DUMMYFUNCTION("IMPORTRANGE(""https://docs.google.com/spreadsheets/d/""&amp;$A434&amp;""/edit#gid=156619080"",AM$3)"),"#REF!")</f>
        <v>#REF!</v>
      </c>
      <c r="AN434" s="2" t="str">
        <f>IFERROR(__xludf.DUMMYFUNCTION("IMPORTRANGE(""https://docs.google.com/spreadsheets/d/""&amp;$A434&amp;""/edit#gid=156619080"",AN$3)"),"#REF!")</f>
        <v>#REF!</v>
      </c>
      <c r="AO434" s="2" t="str">
        <f>IFERROR(__xludf.DUMMYFUNCTION("IMPORTRANGE(""https://docs.google.com/spreadsheets/d/""&amp;$A434&amp;""/edit#gid=156619080"",AO$3)"),"#REF!")</f>
        <v>#REF!</v>
      </c>
      <c r="AP434" s="2" t="str">
        <f>IFERROR(__xludf.DUMMYFUNCTION("IMPORTRANGE(""https://docs.google.com/spreadsheets/d/""&amp;$A434&amp;""/edit#gid=156619080"",AP$3)"),"#REF!")</f>
        <v>#REF!</v>
      </c>
      <c r="AQ434" s="2" t="str">
        <f>IFERROR(__xludf.DUMMYFUNCTION("IMPORTRANGE(""https://docs.google.com/spreadsheets/d/""&amp;$A434&amp;""/edit#gid=156619080"",AQ$3)"),"#REF!")</f>
        <v>#REF!</v>
      </c>
      <c r="AR434" s="2" t="str">
        <f>IFERROR(__xludf.DUMMYFUNCTION("IMPORTRANGE(""https://docs.google.com/spreadsheets/d/""&amp;$A434&amp;""/edit#gid=156619080"",AR$3)"),"#REF!")</f>
        <v>#REF!</v>
      </c>
      <c r="AS434" s="19" t="str">
        <f>IFERROR(__xludf.DUMMYFUNCTION("IMPORTRANGE(""https://docs.google.com/spreadsheets/d/""&amp;$A434&amp;""/edit#gid=156619080"",AS$3)"),"#REF!")</f>
        <v>#REF!</v>
      </c>
      <c r="AT434" s="2" t="str">
        <f>IFERROR(__xludf.DUMMYFUNCTION("IMPORTRANGE(""https://docs.google.com/spreadsheets/d/""&amp;$A434&amp;""/edit#gid=156619080"",AT$3)"),"#REF!")</f>
        <v>#REF!</v>
      </c>
      <c r="AU434" s="3" t="str">
        <f>IFERROR(__xludf.DUMMYFUNCTION("IMPORTRANGE(""https://docs.google.com/spreadsheets/d/""&amp;$A434&amp;""/edit#gid=156619080"",AU$3)"),"#REF!")</f>
        <v>#REF!</v>
      </c>
      <c r="AV434" s="2" t="str">
        <f>IFERROR(__xludf.DUMMYFUNCTION("IMPORTRANGE(""https://docs.google.com/spreadsheets/d/""&amp;$A434&amp;""/edit#gid=156619080"",AV$3)"),"#REF!")</f>
        <v>#REF!</v>
      </c>
      <c r="AW434" s="19" t="str">
        <f>IFERROR(__xludf.DUMMYFUNCTION("IMPORTRANGE(""https://docs.google.com/spreadsheets/d/""&amp;$A434&amp;""/edit#gid=156619080"",AW$3)"),"#REF!")</f>
        <v>#REF!</v>
      </c>
      <c r="AX434" s="2" t="str">
        <f>IFERROR(__xludf.DUMMYFUNCTION("IMPORTRANGE(""https://docs.google.com/spreadsheets/d/""&amp;$A434&amp;""/edit#gid=156619080"",AX$3)"),"#REF!")</f>
        <v>#REF!</v>
      </c>
      <c r="AY434" s="2" t="str">
        <f>IFERROR(__xludf.DUMMYFUNCTION("IMPORTRANGE(""https://docs.google.com/spreadsheets/d/""&amp;$A434&amp;""/edit#gid=156619080"",AY$3)"),"#REF!")</f>
        <v>#REF!</v>
      </c>
      <c r="AZ434" s="2" t="str">
        <f>IFERROR(__xludf.DUMMYFUNCTION("IMPORTRANGE(""https://docs.google.com/spreadsheets/d/""&amp;$A434&amp;""/edit#gid=156619080"",AZ$3)"),"#REF!")</f>
        <v>#REF!</v>
      </c>
      <c r="BA434" s="2" t="str">
        <f>IFERROR(__xludf.DUMMYFUNCTION("IMPORTRANGE(""https://docs.google.com/spreadsheets/d/""&amp;$A434&amp;""/edit#gid=156619080"",BA$3)"),"#REF!")</f>
        <v>#REF!</v>
      </c>
      <c r="BB434" s="2" t="str">
        <f>IFERROR(__xludf.DUMMYFUNCTION("IMPORTRANGE(""https://docs.google.com/spreadsheets/d/""&amp;$A434&amp;""/edit#gid=156619080"",BB$3)"),"#REF!")</f>
        <v>#REF!</v>
      </c>
      <c r="BC434" s="2" t="str">
        <f>IFERROR(__xludf.DUMMYFUNCTION("IMPORTRANGE(""https://docs.google.com/spreadsheets/d/""&amp;$A434&amp;""/edit#gid=156619080"",BC$3)"),"#REF!")</f>
        <v>#REF!</v>
      </c>
    </row>
    <row r="435" ht="51.0" customHeight="1">
      <c r="A435" s="7" t="str">
        <f t="shared" si="5"/>
        <v>1LvHjE_Dp_4W3LynYiH-jAbu6pSPc3Im8oMtf4luTFFQ</v>
      </c>
      <c r="B435" s="1" t="s">
        <v>462</v>
      </c>
      <c r="C435" s="2" t="str">
        <f>IFERROR(__xludf.DUMMYFUNCTION("IMPORTRANGE(""https://docs.google.com/spreadsheets/d/""&amp;$A435&amp;""/edit#gid=156619080"",C$3)"),"#REF!")</f>
        <v>#REF!</v>
      </c>
      <c r="D435" s="2" t="str">
        <f>IFERROR(__xludf.DUMMYFUNCTION("IMPORTRANGE(""https://docs.google.com/spreadsheets/d/""&amp;$A435&amp;""/edit#gid=156619080"",D$3)"),"#REF!")</f>
        <v>#REF!</v>
      </c>
      <c r="E435" s="2" t="str">
        <f>IFERROR(__xludf.DUMMYFUNCTION("IMPORTRANGE(""https://docs.google.com/spreadsheets/d/""&amp;$A435&amp;""/edit#gid=156619080"",E$3)"),"#REF!")</f>
        <v>#REF!</v>
      </c>
      <c r="F435" s="2" t="str">
        <f>IFERROR(__xludf.DUMMYFUNCTION("IMPORTRANGE(""https://docs.google.com/spreadsheets/d/""&amp;$A435&amp;""/edit#gid=156619080"",F$3)"),"#REF!")</f>
        <v>#REF!</v>
      </c>
      <c r="G435" s="2" t="str">
        <f>IFERROR(__xludf.DUMMYFUNCTION("IMPORTRANGE(""https://docs.google.com/spreadsheets/d/""&amp;$A435&amp;""/edit#gid=156619080"",G$3)"),"#REF!")</f>
        <v>#REF!</v>
      </c>
      <c r="H435" s="2" t="str">
        <f>IFERROR(__xludf.DUMMYFUNCTION("IMPORTRANGE(""https://docs.google.com/spreadsheets/d/""&amp;$A435&amp;""/edit#gid=156619080"",H$3)"),"#REF!")</f>
        <v>#REF!</v>
      </c>
      <c r="I435" s="2" t="str">
        <f>IFERROR(__xludf.DUMMYFUNCTION("IMPORTRANGE(""https://docs.google.com/spreadsheets/d/""&amp;$A435&amp;""/edit#gid=156619080"",I$3)"),"#REF!")</f>
        <v>#REF!</v>
      </c>
      <c r="J435" s="2" t="str">
        <f>IFERROR(__xludf.DUMMYFUNCTION("IMPORTRANGE(""https://docs.google.com/spreadsheets/d/""&amp;$A435&amp;""/edit#gid=156619080"",J$3)"),"#REF!")</f>
        <v>#REF!</v>
      </c>
      <c r="K435" s="2" t="str">
        <f>IFERROR(__xludf.DUMMYFUNCTION("IMPORTRANGE(""https://docs.google.com/spreadsheets/d/""&amp;$A435&amp;""/edit#gid=156619080"",K$3)"),"#REF!")</f>
        <v>#REF!</v>
      </c>
      <c r="L435" s="2" t="str">
        <f>IFERROR(__xludf.DUMMYFUNCTION("IMPORTRANGE(""https://docs.google.com/spreadsheets/d/""&amp;$A435&amp;""/edit#gid=156619080"",L$3)"),"#REF!")</f>
        <v>#REF!</v>
      </c>
      <c r="M435" s="2" t="str">
        <f>IFERROR(__xludf.DUMMYFUNCTION("IMPORTRANGE(""https://docs.google.com/spreadsheets/d/""&amp;$A435&amp;""/edit#gid=156619080"",M$3)"),"#REF!")</f>
        <v>#REF!</v>
      </c>
      <c r="N435" s="2" t="str">
        <f>IFERROR(__xludf.DUMMYFUNCTION("IMPORTRANGE(""https://docs.google.com/spreadsheets/d/""&amp;$A435&amp;""/edit#gid=156619080"",N$3)"),"#REF!")</f>
        <v>#REF!</v>
      </c>
      <c r="O435" s="2" t="str">
        <f>IFERROR(__xludf.DUMMYFUNCTION("IMPORTRANGE(""https://docs.google.com/spreadsheets/d/""&amp;$A435&amp;""/edit#gid=156619080"",O$3)"),"#REF!")</f>
        <v>#REF!</v>
      </c>
      <c r="P435" s="2" t="str">
        <f>IFERROR(__xludf.DUMMYFUNCTION("IMPORTRANGE(""https://docs.google.com/spreadsheets/d/""&amp;$A435&amp;""/edit#gid=156619080"",P$3)"),"#REF!")</f>
        <v>#REF!</v>
      </c>
      <c r="Q435" s="2" t="str">
        <f>IFERROR(__xludf.DUMMYFUNCTION("IMPORTRANGE(""https://docs.google.com/spreadsheets/d/""&amp;$A435&amp;""/edit#gid=156619080"",Q$3)"),"#REF!")</f>
        <v>#REF!</v>
      </c>
      <c r="R435" s="2" t="str">
        <f>IFERROR(__xludf.DUMMYFUNCTION("IMPORTRANGE(""https://docs.google.com/spreadsheets/d/""&amp;$A435&amp;""/edit#gid=156619080"",R$3)"),"#REF!")</f>
        <v>#REF!</v>
      </c>
      <c r="S435" s="2" t="str">
        <f>IFERROR(__xludf.DUMMYFUNCTION("IMPORTRANGE(""https://docs.google.com/spreadsheets/d/""&amp;$A435&amp;""/edit#gid=156619080"",S$3)"),"#REF!")</f>
        <v>#REF!</v>
      </c>
      <c r="T435" s="2" t="str">
        <f>IFERROR(__xludf.DUMMYFUNCTION("IMPORTRANGE(""https://docs.google.com/spreadsheets/d/""&amp;$A435&amp;""/edit#gid=156619080"",T$3)"),"#REF!")</f>
        <v>#REF!</v>
      </c>
      <c r="U435" s="2" t="str">
        <f>IFERROR(__xludf.DUMMYFUNCTION("IMPORTRANGE(""https://docs.google.com/spreadsheets/d/""&amp;$A435&amp;""/edit#gid=156619080"",U$3)"),"#REF!")</f>
        <v>#REF!</v>
      </c>
      <c r="V435" s="2" t="str">
        <f>IFERROR(__xludf.DUMMYFUNCTION("IMPORTRANGE(""https://docs.google.com/spreadsheets/d/""&amp;$A435&amp;""/edit#gid=156619080"",V$3)"),"#REF!")</f>
        <v>#REF!</v>
      </c>
      <c r="W435" s="2" t="str">
        <f>IFERROR(__xludf.DUMMYFUNCTION("IMPORTRANGE(""https://docs.google.com/spreadsheets/d/""&amp;$A435&amp;""/edit#gid=156619080"",W$3)"),"#REF!")</f>
        <v>#REF!</v>
      </c>
      <c r="X435" s="2" t="str">
        <f>IFERROR(__xludf.DUMMYFUNCTION("IMPORTRANGE(""https://docs.google.com/spreadsheets/d/""&amp;$A435&amp;""/edit#gid=156619080"",X$3)"),"#REF!")</f>
        <v>#REF!</v>
      </c>
      <c r="Y435" s="2" t="str">
        <f>IFERROR(__xludf.DUMMYFUNCTION("IMPORTRANGE(""https://docs.google.com/spreadsheets/d/""&amp;$A435&amp;""/edit#gid=156619080"",Y$3)"),"#REF!")</f>
        <v>#REF!</v>
      </c>
      <c r="Z435" s="2" t="str">
        <f>IFERROR(__xludf.DUMMYFUNCTION("IMPORTRANGE(""https://docs.google.com/spreadsheets/d/""&amp;$A435&amp;""/edit#gid=156619080"",Z$3)"),"#REF!")</f>
        <v>#REF!</v>
      </c>
      <c r="AA435" s="2" t="str">
        <f>IFERROR(__xludf.DUMMYFUNCTION("IMPORTRANGE(""https://docs.google.com/spreadsheets/d/""&amp;$A435&amp;""/edit#gid=156619080"",AA$3)"),"#REF!")</f>
        <v>#REF!</v>
      </c>
      <c r="AB435" s="2" t="str">
        <f>IFERROR(__xludf.DUMMYFUNCTION("IMPORTRANGE(""https://docs.google.com/spreadsheets/d/""&amp;$A435&amp;""/edit#gid=156619080"",AB$3)"),"#REF!")</f>
        <v>#REF!</v>
      </c>
      <c r="AC435" s="2" t="str">
        <f>IFERROR(__xludf.DUMMYFUNCTION("IMPORTRANGE(""https://docs.google.com/spreadsheets/d/""&amp;$A435&amp;""/edit#gid=156619080"",AC$3)"),"#REF!")</f>
        <v>#REF!</v>
      </c>
      <c r="AD435" s="2" t="str">
        <f>IFERROR(__xludf.DUMMYFUNCTION("IMPORTRANGE(""https://docs.google.com/spreadsheets/d/""&amp;$A435&amp;""/edit#gid=156619080"",AD$3)"),"#REF!")</f>
        <v>#REF!</v>
      </c>
      <c r="AE435" s="2" t="str">
        <f>IFERROR(__xludf.DUMMYFUNCTION("IMPORTRANGE(""https://docs.google.com/spreadsheets/d/""&amp;$A435&amp;""/edit#gid=156619080"",AE$3)"),"#REF!")</f>
        <v>#REF!</v>
      </c>
      <c r="AF435" s="2" t="str">
        <f>IFERROR(__xludf.DUMMYFUNCTION("IMPORTRANGE(""https://docs.google.com/spreadsheets/d/""&amp;$A435&amp;""/edit#gid=156619080"",AF$3)"),"#REF!")</f>
        <v>#REF!</v>
      </c>
      <c r="AG435" s="2" t="str">
        <f>IFERROR(__xludf.DUMMYFUNCTION("IMPORTRANGE(""https://docs.google.com/spreadsheets/d/""&amp;$A435&amp;""/edit#gid=156619080"",AG$3)"),"#REF!")</f>
        <v>#REF!</v>
      </c>
      <c r="AH435" s="2" t="str">
        <f>IFERROR(__xludf.DUMMYFUNCTION("IMPORTRANGE(""https://docs.google.com/spreadsheets/d/""&amp;$A435&amp;""/edit#gid=156619080"",AH$3)"),"#REF!")</f>
        <v>#REF!</v>
      </c>
      <c r="AI435" s="2" t="str">
        <f>IFERROR(__xludf.DUMMYFUNCTION("IMPORTRANGE(""https://docs.google.com/spreadsheets/d/""&amp;$A435&amp;""/edit#gid=156619080"",AI$3)"),"#REF!")</f>
        <v>#REF!</v>
      </c>
      <c r="AJ435" s="2" t="str">
        <f>IFERROR(__xludf.DUMMYFUNCTION("IMPORTRANGE(""https://docs.google.com/spreadsheets/d/""&amp;$A435&amp;""/edit#gid=156619080"",AJ$3)"),"#REF!")</f>
        <v>#REF!</v>
      </c>
      <c r="AK435" s="2" t="str">
        <f>IFERROR(__xludf.DUMMYFUNCTION("IMPORTRANGE(""https://docs.google.com/spreadsheets/d/""&amp;$A435&amp;""/edit#gid=156619080"",AK$3)"),"#REF!")</f>
        <v>#REF!</v>
      </c>
      <c r="AL435" s="2" t="str">
        <f>IFERROR(__xludf.DUMMYFUNCTION("IMPORTRANGE(""https://docs.google.com/spreadsheets/d/""&amp;$A435&amp;""/edit#gid=156619080"",AL$3)"),"#REF!")</f>
        <v>#REF!</v>
      </c>
      <c r="AM435" s="2" t="str">
        <f>IFERROR(__xludf.DUMMYFUNCTION("IMPORTRANGE(""https://docs.google.com/spreadsheets/d/""&amp;$A435&amp;""/edit#gid=156619080"",AM$3)"),"#REF!")</f>
        <v>#REF!</v>
      </c>
      <c r="AN435" s="2" t="str">
        <f>IFERROR(__xludf.DUMMYFUNCTION("IMPORTRANGE(""https://docs.google.com/spreadsheets/d/""&amp;$A435&amp;""/edit#gid=156619080"",AN$3)"),"#REF!")</f>
        <v>#REF!</v>
      </c>
      <c r="AO435" s="2" t="str">
        <f>IFERROR(__xludf.DUMMYFUNCTION("IMPORTRANGE(""https://docs.google.com/spreadsheets/d/""&amp;$A435&amp;""/edit#gid=156619080"",AO$3)"),"#REF!")</f>
        <v>#REF!</v>
      </c>
      <c r="AP435" s="2" t="str">
        <f>IFERROR(__xludf.DUMMYFUNCTION("IMPORTRANGE(""https://docs.google.com/spreadsheets/d/""&amp;$A435&amp;""/edit#gid=156619080"",AP$3)"),"#REF!")</f>
        <v>#REF!</v>
      </c>
      <c r="AQ435" s="2" t="str">
        <f>IFERROR(__xludf.DUMMYFUNCTION("IMPORTRANGE(""https://docs.google.com/spreadsheets/d/""&amp;$A435&amp;""/edit#gid=156619080"",AQ$3)"),"#REF!")</f>
        <v>#REF!</v>
      </c>
      <c r="AR435" s="2" t="str">
        <f>IFERROR(__xludf.DUMMYFUNCTION("IMPORTRANGE(""https://docs.google.com/spreadsheets/d/""&amp;$A435&amp;""/edit#gid=156619080"",AR$3)"),"#REF!")</f>
        <v>#REF!</v>
      </c>
      <c r="AS435" s="19" t="str">
        <f>IFERROR(__xludf.DUMMYFUNCTION("IMPORTRANGE(""https://docs.google.com/spreadsheets/d/""&amp;$A435&amp;""/edit#gid=156619080"",AS$3)"),"#REF!")</f>
        <v>#REF!</v>
      </c>
      <c r="AT435" s="2" t="str">
        <f>IFERROR(__xludf.DUMMYFUNCTION("IMPORTRANGE(""https://docs.google.com/spreadsheets/d/""&amp;$A435&amp;""/edit#gid=156619080"",AT$3)"),"#REF!")</f>
        <v>#REF!</v>
      </c>
      <c r="AU435" s="3" t="str">
        <f>IFERROR(__xludf.DUMMYFUNCTION("IMPORTRANGE(""https://docs.google.com/spreadsheets/d/""&amp;$A435&amp;""/edit#gid=156619080"",AU$3)"),"#REF!")</f>
        <v>#REF!</v>
      </c>
      <c r="AV435" s="2" t="str">
        <f>IFERROR(__xludf.DUMMYFUNCTION("IMPORTRANGE(""https://docs.google.com/spreadsheets/d/""&amp;$A435&amp;""/edit#gid=156619080"",AV$3)"),"#REF!")</f>
        <v>#REF!</v>
      </c>
      <c r="AW435" s="19" t="str">
        <f>IFERROR(__xludf.DUMMYFUNCTION("IMPORTRANGE(""https://docs.google.com/spreadsheets/d/""&amp;$A435&amp;""/edit#gid=156619080"",AW$3)"),"#REF!")</f>
        <v>#REF!</v>
      </c>
      <c r="AX435" s="2" t="str">
        <f>IFERROR(__xludf.DUMMYFUNCTION("IMPORTRANGE(""https://docs.google.com/spreadsheets/d/""&amp;$A435&amp;""/edit#gid=156619080"",AX$3)"),"#REF!")</f>
        <v>#REF!</v>
      </c>
      <c r="AY435" s="2" t="str">
        <f>IFERROR(__xludf.DUMMYFUNCTION("IMPORTRANGE(""https://docs.google.com/spreadsheets/d/""&amp;$A435&amp;""/edit#gid=156619080"",AY$3)"),"#REF!")</f>
        <v>#REF!</v>
      </c>
      <c r="AZ435" s="2" t="str">
        <f>IFERROR(__xludf.DUMMYFUNCTION("IMPORTRANGE(""https://docs.google.com/spreadsheets/d/""&amp;$A435&amp;""/edit#gid=156619080"",AZ$3)"),"#REF!")</f>
        <v>#REF!</v>
      </c>
      <c r="BA435" s="2" t="str">
        <f>IFERROR(__xludf.DUMMYFUNCTION("IMPORTRANGE(""https://docs.google.com/spreadsheets/d/""&amp;$A435&amp;""/edit#gid=156619080"",BA$3)"),"#REF!")</f>
        <v>#REF!</v>
      </c>
      <c r="BB435" s="2" t="str">
        <f>IFERROR(__xludf.DUMMYFUNCTION("IMPORTRANGE(""https://docs.google.com/spreadsheets/d/""&amp;$A435&amp;""/edit#gid=156619080"",BB$3)"),"#REF!")</f>
        <v>#REF!</v>
      </c>
      <c r="BC435" s="2" t="str">
        <f>IFERROR(__xludf.DUMMYFUNCTION("IMPORTRANGE(""https://docs.google.com/spreadsheets/d/""&amp;$A435&amp;""/edit#gid=156619080"",BC$3)"),"#REF!")</f>
        <v>#REF!</v>
      </c>
    </row>
    <row r="436" ht="51.0" customHeight="1">
      <c r="A436" s="7" t="str">
        <f t="shared" si="5"/>
        <v>1eO7d234FuIQNiV2bxOjj9ECRhbhatXRqJni434ji3Hc</v>
      </c>
      <c r="B436" s="1" t="s">
        <v>463</v>
      </c>
      <c r="C436" s="2" t="str">
        <f>IFERROR(__xludf.DUMMYFUNCTION("IMPORTRANGE(""https://docs.google.com/spreadsheets/d/""&amp;$A436&amp;""/edit#gid=156619080"",C$3)"),"#REF!")</f>
        <v>#REF!</v>
      </c>
      <c r="D436" s="2" t="str">
        <f>IFERROR(__xludf.DUMMYFUNCTION("IMPORTRANGE(""https://docs.google.com/spreadsheets/d/""&amp;$A436&amp;""/edit#gid=156619080"",D$3)"),"#REF!")</f>
        <v>#REF!</v>
      </c>
      <c r="E436" s="2" t="str">
        <f>IFERROR(__xludf.DUMMYFUNCTION("IMPORTRANGE(""https://docs.google.com/spreadsheets/d/""&amp;$A436&amp;""/edit#gid=156619080"",E$3)"),"#REF!")</f>
        <v>#REF!</v>
      </c>
      <c r="F436" s="2" t="str">
        <f>IFERROR(__xludf.DUMMYFUNCTION("IMPORTRANGE(""https://docs.google.com/spreadsheets/d/""&amp;$A436&amp;""/edit#gid=156619080"",F$3)"),"#REF!")</f>
        <v>#REF!</v>
      </c>
      <c r="G436" s="2" t="str">
        <f>IFERROR(__xludf.DUMMYFUNCTION("IMPORTRANGE(""https://docs.google.com/spreadsheets/d/""&amp;$A436&amp;""/edit#gid=156619080"",G$3)"),"#REF!")</f>
        <v>#REF!</v>
      </c>
      <c r="H436" s="2" t="str">
        <f>IFERROR(__xludf.DUMMYFUNCTION("IMPORTRANGE(""https://docs.google.com/spreadsheets/d/""&amp;$A436&amp;""/edit#gid=156619080"",H$3)"),"#REF!")</f>
        <v>#REF!</v>
      </c>
      <c r="I436" s="2" t="str">
        <f>IFERROR(__xludf.DUMMYFUNCTION("IMPORTRANGE(""https://docs.google.com/spreadsheets/d/""&amp;$A436&amp;""/edit#gid=156619080"",I$3)"),"#REF!")</f>
        <v>#REF!</v>
      </c>
      <c r="J436" s="2" t="str">
        <f>IFERROR(__xludf.DUMMYFUNCTION("IMPORTRANGE(""https://docs.google.com/spreadsheets/d/""&amp;$A436&amp;""/edit#gid=156619080"",J$3)"),"#REF!")</f>
        <v>#REF!</v>
      </c>
      <c r="K436" s="2" t="str">
        <f>IFERROR(__xludf.DUMMYFUNCTION("IMPORTRANGE(""https://docs.google.com/spreadsheets/d/""&amp;$A436&amp;""/edit#gid=156619080"",K$3)"),"#REF!")</f>
        <v>#REF!</v>
      </c>
      <c r="L436" s="2" t="str">
        <f>IFERROR(__xludf.DUMMYFUNCTION("IMPORTRANGE(""https://docs.google.com/spreadsheets/d/""&amp;$A436&amp;""/edit#gid=156619080"",L$3)"),"#REF!")</f>
        <v>#REF!</v>
      </c>
      <c r="M436" s="2" t="str">
        <f>IFERROR(__xludf.DUMMYFUNCTION("IMPORTRANGE(""https://docs.google.com/spreadsheets/d/""&amp;$A436&amp;""/edit#gid=156619080"",M$3)"),"#REF!")</f>
        <v>#REF!</v>
      </c>
      <c r="N436" s="2" t="str">
        <f>IFERROR(__xludf.DUMMYFUNCTION("IMPORTRANGE(""https://docs.google.com/spreadsheets/d/""&amp;$A436&amp;""/edit#gid=156619080"",N$3)"),"#REF!")</f>
        <v>#REF!</v>
      </c>
      <c r="O436" s="2" t="str">
        <f>IFERROR(__xludf.DUMMYFUNCTION("IMPORTRANGE(""https://docs.google.com/spreadsheets/d/""&amp;$A436&amp;""/edit#gid=156619080"",O$3)"),"#REF!")</f>
        <v>#REF!</v>
      </c>
      <c r="P436" s="2" t="str">
        <f>IFERROR(__xludf.DUMMYFUNCTION("IMPORTRANGE(""https://docs.google.com/spreadsheets/d/""&amp;$A436&amp;""/edit#gid=156619080"",P$3)"),"#REF!")</f>
        <v>#REF!</v>
      </c>
      <c r="Q436" s="2" t="str">
        <f>IFERROR(__xludf.DUMMYFUNCTION("IMPORTRANGE(""https://docs.google.com/spreadsheets/d/""&amp;$A436&amp;""/edit#gid=156619080"",Q$3)"),"#REF!")</f>
        <v>#REF!</v>
      </c>
      <c r="R436" s="2" t="str">
        <f>IFERROR(__xludf.DUMMYFUNCTION("IMPORTRANGE(""https://docs.google.com/spreadsheets/d/""&amp;$A436&amp;""/edit#gid=156619080"",R$3)"),"#REF!")</f>
        <v>#REF!</v>
      </c>
      <c r="S436" s="2" t="str">
        <f>IFERROR(__xludf.DUMMYFUNCTION("IMPORTRANGE(""https://docs.google.com/spreadsheets/d/""&amp;$A436&amp;""/edit#gid=156619080"",S$3)"),"#REF!")</f>
        <v>#REF!</v>
      </c>
      <c r="T436" s="2" t="str">
        <f>IFERROR(__xludf.DUMMYFUNCTION("IMPORTRANGE(""https://docs.google.com/spreadsheets/d/""&amp;$A436&amp;""/edit#gid=156619080"",T$3)"),"#REF!")</f>
        <v>#REF!</v>
      </c>
      <c r="U436" s="2" t="str">
        <f>IFERROR(__xludf.DUMMYFUNCTION("IMPORTRANGE(""https://docs.google.com/spreadsheets/d/""&amp;$A436&amp;""/edit#gid=156619080"",U$3)"),"#REF!")</f>
        <v>#REF!</v>
      </c>
      <c r="V436" s="2" t="str">
        <f>IFERROR(__xludf.DUMMYFUNCTION("IMPORTRANGE(""https://docs.google.com/spreadsheets/d/""&amp;$A436&amp;""/edit#gid=156619080"",V$3)"),"#REF!")</f>
        <v>#REF!</v>
      </c>
      <c r="W436" s="2" t="str">
        <f>IFERROR(__xludf.DUMMYFUNCTION("IMPORTRANGE(""https://docs.google.com/spreadsheets/d/""&amp;$A436&amp;""/edit#gid=156619080"",W$3)"),"#REF!")</f>
        <v>#REF!</v>
      </c>
      <c r="X436" s="2" t="str">
        <f>IFERROR(__xludf.DUMMYFUNCTION("IMPORTRANGE(""https://docs.google.com/spreadsheets/d/""&amp;$A436&amp;""/edit#gid=156619080"",X$3)"),"#REF!")</f>
        <v>#REF!</v>
      </c>
      <c r="Y436" s="2" t="str">
        <f>IFERROR(__xludf.DUMMYFUNCTION("IMPORTRANGE(""https://docs.google.com/spreadsheets/d/""&amp;$A436&amp;""/edit#gid=156619080"",Y$3)"),"#REF!")</f>
        <v>#REF!</v>
      </c>
      <c r="Z436" s="2" t="str">
        <f>IFERROR(__xludf.DUMMYFUNCTION("IMPORTRANGE(""https://docs.google.com/spreadsheets/d/""&amp;$A436&amp;""/edit#gid=156619080"",Z$3)"),"#REF!")</f>
        <v>#REF!</v>
      </c>
      <c r="AA436" s="2" t="str">
        <f>IFERROR(__xludf.DUMMYFUNCTION("IMPORTRANGE(""https://docs.google.com/spreadsheets/d/""&amp;$A436&amp;""/edit#gid=156619080"",AA$3)"),"#REF!")</f>
        <v>#REF!</v>
      </c>
      <c r="AB436" s="2" t="str">
        <f>IFERROR(__xludf.DUMMYFUNCTION("IMPORTRANGE(""https://docs.google.com/spreadsheets/d/""&amp;$A436&amp;""/edit#gid=156619080"",AB$3)"),"#REF!")</f>
        <v>#REF!</v>
      </c>
      <c r="AC436" s="2" t="str">
        <f>IFERROR(__xludf.DUMMYFUNCTION("IMPORTRANGE(""https://docs.google.com/spreadsheets/d/""&amp;$A436&amp;""/edit#gid=156619080"",AC$3)"),"#REF!")</f>
        <v>#REF!</v>
      </c>
      <c r="AD436" s="2" t="str">
        <f>IFERROR(__xludf.DUMMYFUNCTION("IMPORTRANGE(""https://docs.google.com/spreadsheets/d/""&amp;$A436&amp;""/edit#gid=156619080"",AD$3)"),"#REF!")</f>
        <v>#REF!</v>
      </c>
      <c r="AE436" s="2" t="str">
        <f>IFERROR(__xludf.DUMMYFUNCTION("IMPORTRANGE(""https://docs.google.com/spreadsheets/d/""&amp;$A436&amp;""/edit#gid=156619080"",AE$3)"),"#REF!")</f>
        <v>#REF!</v>
      </c>
      <c r="AF436" s="2" t="str">
        <f>IFERROR(__xludf.DUMMYFUNCTION("IMPORTRANGE(""https://docs.google.com/spreadsheets/d/""&amp;$A436&amp;""/edit#gid=156619080"",AF$3)"),"#REF!")</f>
        <v>#REF!</v>
      </c>
      <c r="AG436" s="2" t="str">
        <f>IFERROR(__xludf.DUMMYFUNCTION("IMPORTRANGE(""https://docs.google.com/spreadsheets/d/""&amp;$A436&amp;""/edit#gid=156619080"",AG$3)"),"#REF!")</f>
        <v>#REF!</v>
      </c>
      <c r="AH436" s="2" t="str">
        <f>IFERROR(__xludf.DUMMYFUNCTION("IMPORTRANGE(""https://docs.google.com/spreadsheets/d/""&amp;$A436&amp;""/edit#gid=156619080"",AH$3)"),"#REF!")</f>
        <v>#REF!</v>
      </c>
      <c r="AI436" s="2" t="str">
        <f>IFERROR(__xludf.DUMMYFUNCTION("IMPORTRANGE(""https://docs.google.com/spreadsheets/d/""&amp;$A436&amp;""/edit#gid=156619080"",AI$3)"),"#REF!")</f>
        <v>#REF!</v>
      </c>
      <c r="AJ436" s="2" t="str">
        <f>IFERROR(__xludf.DUMMYFUNCTION("IMPORTRANGE(""https://docs.google.com/spreadsheets/d/""&amp;$A436&amp;""/edit#gid=156619080"",AJ$3)"),"#REF!")</f>
        <v>#REF!</v>
      </c>
      <c r="AK436" s="2" t="str">
        <f>IFERROR(__xludf.DUMMYFUNCTION("IMPORTRANGE(""https://docs.google.com/spreadsheets/d/""&amp;$A436&amp;""/edit#gid=156619080"",AK$3)"),"#REF!")</f>
        <v>#REF!</v>
      </c>
      <c r="AL436" s="2" t="str">
        <f>IFERROR(__xludf.DUMMYFUNCTION("IMPORTRANGE(""https://docs.google.com/spreadsheets/d/""&amp;$A436&amp;""/edit#gid=156619080"",AL$3)"),"#REF!")</f>
        <v>#REF!</v>
      </c>
      <c r="AM436" s="2" t="str">
        <f>IFERROR(__xludf.DUMMYFUNCTION("IMPORTRANGE(""https://docs.google.com/spreadsheets/d/""&amp;$A436&amp;""/edit#gid=156619080"",AM$3)"),"#REF!")</f>
        <v>#REF!</v>
      </c>
      <c r="AN436" s="2" t="str">
        <f>IFERROR(__xludf.DUMMYFUNCTION("IMPORTRANGE(""https://docs.google.com/spreadsheets/d/""&amp;$A436&amp;""/edit#gid=156619080"",AN$3)"),"#REF!")</f>
        <v>#REF!</v>
      </c>
      <c r="AO436" s="2" t="str">
        <f>IFERROR(__xludf.DUMMYFUNCTION("IMPORTRANGE(""https://docs.google.com/spreadsheets/d/""&amp;$A436&amp;""/edit#gid=156619080"",AO$3)"),"#REF!")</f>
        <v>#REF!</v>
      </c>
      <c r="AP436" s="2" t="str">
        <f>IFERROR(__xludf.DUMMYFUNCTION("IMPORTRANGE(""https://docs.google.com/spreadsheets/d/""&amp;$A436&amp;""/edit#gid=156619080"",AP$3)"),"#REF!")</f>
        <v>#REF!</v>
      </c>
      <c r="AQ436" s="2" t="str">
        <f>IFERROR(__xludf.DUMMYFUNCTION("IMPORTRANGE(""https://docs.google.com/spreadsheets/d/""&amp;$A436&amp;""/edit#gid=156619080"",AQ$3)"),"#REF!")</f>
        <v>#REF!</v>
      </c>
      <c r="AR436" s="2" t="str">
        <f>IFERROR(__xludf.DUMMYFUNCTION("IMPORTRANGE(""https://docs.google.com/spreadsheets/d/""&amp;$A436&amp;""/edit#gid=156619080"",AR$3)"),"#REF!")</f>
        <v>#REF!</v>
      </c>
      <c r="AS436" s="19" t="str">
        <f>IFERROR(__xludf.DUMMYFUNCTION("IMPORTRANGE(""https://docs.google.com/spreadsheets/d/""&amp;$A436&amp;""/edit#gid=156619080"",AS$3)"),"#REF!")</f>
        <v>#REF!</v>
      </c>
      <c r="AT436" s="2" t="str">
        <f>IFERROR(__xludf.DUMMYFUNCTION("IMPORTRANGE(""https://docs.google.com/spreadsheets/d/""&amp;$A436&amp;""/edit#gid=156619080"",AT$3)"),"#REF!")</f>
        <v>#REF!</v>
      </c>
      <c r="AU436" s="3" t="str">
        <f>IFERROR(__xludf.DUMMYFUNCTION("IMPORTRANGE(""https://docs.google.com/spreadsheets/d/""&amp;$A436&amp;""/edit#gid=156619080"",AU$3)"),"#REF!")</f>
        <v>#REF!</v>
      </c>
      <c r="AV436" s="2" t="str">
        <f>IFERROR(__xludf.DUMMYFUNCTION("IMPORTRANGE(""https://docs.google.com/spreadsheets/d/""&amp;$A436&amp;""/edit#gid=156619080"",AV$3)"),"#REF!")</f>
        <v>#REF!</v>
      </c>
      <c r="AW436" s="19" t="str">
        <f>IFERROR(__xludf.DUMMYFUNCTION("IMPORTRANGE(""https://docs.google.com/spreadsheets/d/""&amp;$A436&amp;""/edit#gid=156619080"",AW$3)"),"#REF!")</f>
        <v>#REF!</v>
      </c>
      <c r="AX436" s="2" t="str">
        <f>IFERROR(__xludf.DUMMYFUNCTION("IMPORTRANGE(""https://docs.google.com/spreadsheets/d/""&amp;$A436&amp;""/edit#gid=156619080"",AX$3)"),"#REF!")</f>
        <v>#REF!</v>
      </c>
      <c r="AY436" s="2" t="str">
        <f>IFERROR(__xludf.DUMMYFUNCTION("IMPORTRANGE(""https://docs.google.com/spreadsheets/d/""&amp;$A436&amp;""/edit#gid=156619080"",AY$3)"),"#REF!")</f>
        <v>#REF!</v>
      </c>
      <c r="AZ436" s="2" t="str">
        <f>IFERROR(__xludf.DUMMYFUNCTION("IMPORTRANGE(""https://docs.google.com/spreadsheets/d/""&amp;$A436&amp;""/edit#gid=156619080"",AZ$3)"),"#REF!")</f>
        <v>#REF!</v>
      </c>
      <c r="BA436" s="2" t="str">
        <f>IFERROR(__xludf.DUMMYFUNCTION("IMPORTRANGE(""https://docs.google.com/spreadsheets/d/""&amp;$A436&amp;""/edit#gid=156619080"",BA$3)"),"#REF!")</f>
        <v>#REF!</v>
      </c>
      <c r="BB436" s="2" t="str">
        <f>IFERROR(__xludf.DUMMYFUNCTION("IMPORTRANGE(""https://docs.google.com/spreadsheets/d/""&amp;$A436&amp;""/edit#gid=156619080"",BB$3)"),"#REF!")</f>
        <v>#REF!</v>
      </c>
      <c r="BC436" s="2" t="str">
        <f>IFERROR(__xludf.DUMMYFUNCTION("IMPORTRANGE(""https://docs.google.com/spreadsheets/d/""&amp;$A436&amp;""/edit#gid=156619080"",BC$3)"),"#REF!")</f>
        <v>#REF!</v>
      </c>
    </row>
    <row r="437" ht="51.0" customHeight="1">
      <c r="A437" s="7" t="str">
        <f t="shared" si="5"/>
        <v>1g1ZwEHJMChUkYHoN7-FNnWD5AAHD_akKEz3uMZQfWxU</v>
      </c>
      <c r="B437" s="1" t="s">
        <v>464</v>
      </c>
      <c r="C437" s="2" t="str">
        <f>IFERROR(__xludf.DUMMYFUNCTION("IMPORTRANGE(""https://docs.google.com/spreadsheets/d/""&amp;$A437&amp;""/edit#gid=156619080"",C$3)"),"#REF!")</f>
        <v>#REF!</v>
      </c>
      <c r="D437" s="2" t="str">
        <f>IFERROR(__xludf.DUMMYFUNCTION("IMPORTRANGE(""https://docs.google.com/spreadsheets/d/""&amp;$A437&amp;""/edit#gid=156619080"",D$3)"),"#REF!")</f>
        <v>#REF!</v>
      </c>
      <c r="E437" s="2" t="str">
        <f>IFERROR(__xludf.DUMMYFUNCTION("IMPORTRANGE(""https://docs.google.com/spreadsheets/d/""&amp;$A437&amp;""/edit#gid=156619080"",E$3)"),"#REF!")</f>
        <v>#REF!</v>
      </c>
      <c r="F437" s="2" t="str">
        <f>IFERROR(__xludf.DUMMYFUNCTION("IMPORTRANGE(""https://docs.google.com/spreadsheets/d/""&amp;$A437&amp;""/edit#gid=156619080"",F$3)"),"#REF!")</f>
        <v>#REF!</v>
      </c>
      <c r="G437" s="2" t="str">
        <f>IFERROR(__xludf.DUMMYFUNCTION("IMPORTRANGE(""https://docs.google.com/spreadsheets/d/""&amp;$A437&amp;""/edit#gid=156619080"",G$3)"),"#REF!")</f>
        <v>#REF!</v>
      </c>
      <c r="H437" s="2" t="str">
        <f>IFERROR(__xludf.DUMMYFUNCTION("IMPORTRANGE(""https://docs.google.com/spreadsheets/d/""&amp;$A437&amp;""/edit#gid=156619080"",H$3)"),"#REF!")</f>
        <v>#REF!</v>
      </c>
      <c r="I437" s="2" t="str">
        <f>IFERROR(__xludf.DUMMYFUNCTION("IMPORTRANGE(""https://docs.google.com/spreadsheets/d/""&amp;$A437&amp;""/edit#gid=156619080"",I$3)"),"#REF!")</f>
        <v>#REF!</v>
      </c>
      <c r="J437" s="2" t="str">
        <f>IFERROR(__xludf.DUMMYFUNCTION("IMPORTRANGE(""https://docs.google.com/spreadsheets/d/""&amp;$A437&amp;""/edit#gid=156619080"",J$3)"),"#REF!")</f>
        <v>#REF!</v>
      </c>
      <c r="K437" s="2" t="str">
        <f>IFERROR(__xludf.DUMMYFUNCTION("IMPORTRANGE(""https://docs.google.com/spreadsheets/d/""&amp;$A437&amp;""/edit#gid=156619080"",K$3)"),"#REF!")</f>
        <v>#REF!</v>
      </c>
      <c r="L437" s="2" t="str">
        <f>IFERROR(__xludf.DUMMYFUNCTION("IMPORTRANGE(""https://docs.google.com/spreadsheets/d/""&amp;$A437&amp;""/edit#gid=156619080"",L$3)"),"#REF!")</f>
        <v>#REF!</v>
      </c>
      <c r="M437" s="2" t="str">
        <f>IFERROR(__xludf.DUMMYFUNCTION("IMPORTRANGE(""https://docs.google.com/spreadsheets/d/""&amp;$A437&amp;""/edit#gid=156619080"",M$3)"),"#REF!")</f>
        <v>#REF!</v>
      </c>
      <c r="N437" s="2" t="str">
        <f>IFERROR(__xludf.DUMMYFUNCTION("IMPORTRANGE(""https://docs.google.com/spreadsheets/d/""&amp;$A437&amp;""/edit#gid=156619080"",N$3)"),"#REF!")</f>
        <v>#REF!</v>
      </c>
      <c r="O437" s="2" t="str">
        <f>IFERROR(__xludf.DUMMYFUNCTION("IMPORTRANGE(""https://docs.google.com/spreadsheets/d/""&amp;$A437&amp;""/edit#gid=156619080"",O$3)"),"#REF!")</f>
        <v>#REF!</v>
      </c>
      <c r="P437" s="2" t="str">
        <f>IFERROR(__xludf.DUMMYFUNCTION("IMPORTRANGE(""https://docs.google.com/spreadsheets/d/""&amp;$A437&amp;""/edit#gid=156619080"",P$3)"),"#REF!")</f>
        <v>#REF!</v>
      </c>
      <c r="Q437" s="2" t="str">
        <f>IFERROR(__xludf.DUMMYFUNCTION("IMPORTRANGE(""https://docs.google.com/spreadsheets/d/""&amp;$A437&amp;""/edit#gid=156619080"",Q$3)"),"#REF!")</f>
        <v>#REF!</v>
      </c>
      <c r="R437" s="2" t="str">
        <f>IFERROR(__xludf.DUMMYFUNCTION("IMPORTRANGE(""https://docs.google.com/spreadsheets/d/""&amp;$A437&amp;""/edit#gid=156619080"",R$3)"),"#REF!")</f>
        <v>#REF!</v>
      </c>
      <c r="S437" s="2" t="str">
        <f>IFERROR(__xludf.DUMMYFUNCTION("IMPORTRANGE(""https://docs.google.com/spreadsheets/d/""&amp;$A437&amp;""/edit#gid=156619080"",S$3)"),"#REF!")</f>
        <v>#REF!</v>
      </c>
      <c r="T437" s="2" t="str">
        <f>IFERROR(__xludf.DUMMYFUNCTION("IMPORTRANGE(""https://docs.google.com/spreadsheets/d/""&amp;$A437&amp;""/edit#gid=156619080"",T$3)"),"#REF!")</f>
        <v>#REF!</v>
      </c>
      <c r="U437" s="2" t="str">
        <f>IFERROR(__xludf.DUMMYFUNCTION("IMPORTRANGE(""https://docs.google.com/spreadsheets/d/""&amp;$A437&amp;""/edit#gid=156619080"",U$3)"),"#REF!")</f>
        <v>#REF!</v>
      </c>
      <c r="V437" s="2" t="str">
        <f>IFERROR(__xludf.DUMMYFUNCTION("IMPORTRANGE(""https://docs.google.com/spreadsheets/d/""&amp;$A437&amp;""/edit#gid=156619080"",V$3)"),"#REF!")</f>
        <v>#REF!</v>
      </c>
      <c r="W437" s="2" t="str">
        <f>IFERROR(__xludf.DUMMYFUNCTION("IMPORTRANGE(""https://docs.google.com/spreadsheets/d/""&amp;$A437&amp;""/edit#gid=156619080"",W$3)"),"#REF!")</f>
        <v>#REF!</v>
      </c>
      <c r="X437" s="2" t="str">
        <f>IFERROR(__xludf.DUMMYFUNCTION("IMPORTRANGE(""https://docs.google.com/spreadsheets/d/""&amp;$A437&amp;""/edit#gid=156619080"",X$3)"),"#REF!")</f>
        <v>#REF!</v>
      </c>
      <c r="Y437" s="2" t="str">
        <f>IFERROR(__xludf.DUMMYFUNCTION("IMPORTRANGE(""https://docs.google.com/spreadsheets/d/""&amp;$A437&amp;""/edit#gid=156619080"",Y$3)"),"#REF!")</f>
        <v>#REF!</v>
      </c>
      <c r="Z437" s="2" t="str">
        <f>IFERROR(__xludf.DUMMYFUNCTION("IMPORTRANGE(""https://docs.google.com/spreadsheets/d/""&amp;$A437&amp;""/edit#gid=156619080"",Z$3)"),"#REF!")</f>
        <v>#REF!</v>
      </c>
      <c r="AA437" s="2" t="str">
        <f>IFERROR(__xludf.DUMMYFUNCTION("IMPORTRANGE(""https://docs.google.com/spreadsheets/d/""&amp;$A437&amp;""/edit#gid=156619080"",AA$3)"),"#REF!")</f>
        <v>#REF!</v>
      </c>
      <c r="AB437" s="2" t="str">
        <f>IFERROR(__xludf.DUMMYFUNCTION("IMPORTRANGE(""https://docs.google.com/spreadsheets/d/""&amp;$A437&amp;""/edit#gid=156619080"",AB$3)"),"#REF!")</f>
        <v>#REF!</v>
      </c>
      <c r="AC437" s="2" t="str">
        <f>IFERROR(__xludf.DUMMYFUNCTION("IMPORTRANGE(""https://docs.google.com/spreadsheets/d/""&amp;$A437&amp;""/edit#gid=156619080"",AC$3)"),"#REF!")</f>
        <v>#REF!</v>
      </c>
      <c r="AD437" s="2" t="str">
        <f>IFERROR(__xludf.DUMMYFUNCTION("IMPORTRANGE(""https://docs.google.com/spreadsheets/d/""&amp;$A437&amp;""/edit#gid=156619080"",AD$3)"),"#REF!")</f>
        <v>#REF!</v>
      </c>
      <c r="AE437" s="2" t="str">
        <f>IFERROR(__xludf.DUMMYFUNCTION("IMPORTRANGE(""https://docs.google.com/spreadsheets/d/""&amp;$A437&amp;""/edit#gid=156619080"",AE$3)"),"#REF!")</f>
        <v>#REF!</v>
      </c>
      <c r="AF437" s="2" t="str">
        <f>IFERROR(__xludf.DUMMYFUNCTION("IMPORTRANGE(""https://docs.google.com/spreadsheets/d/""&amp;$A437&amp;""/edit#gid=156619080"",AF$3)"),"#REF!")</f>
        <v>#REF!</v>
      </c>
      <c r="AG437" s="2" t="str">
        <f>IFERROR(__xludf.DUMMYFUNCTION("IMPORTRANGE(""https://docs.google.com/spreadsheets/d/""&amp;$A437&amp;""/edit#gid=156619080"",AG$3)"),"#REF!")</f>
        <v>#REF!</v>
      </c>
      <c r="AH437" s="2" t="str">
        <f>IFERROR(__xludf.DUMMYFUNCTION("IMPORTRANGE(""https://docs.google.com/spreadsheets/d/""&amp;$A437&amp;""/edit#gid=156619080"",AH$3)"),"#REF!")</f>
        <v>#REF!</v>
      </c>
      <c r="AI437" s="2" t="str">
        <f>IFERROR(__xludf.DUMMYFUNCTION("IMPORTRANGE(""https://docs.google.com/spreadsheets/d/""&amp;$A437&amp;""/edit#gid=156619080"",AI$3)"),"#REF!")</f>
        <v>#REF!</v>
      </c>
      <c r="AJ437" s="2" t="str">
        <f>IFERROR(__xludf.DUMMYFUNCTION("IMPORTRANGE(""https://docs.google.com/spreadsheets/d/""&amp;$A437&amp;""/edit#gid=156619080"",AJ$3)"),"#REF!")</f>
        <v>#REF!</v>
      </c>
      <c r="AK437" s="2" t="str">
        <f>IFERROR(__xludf.DUMMYFUNCTION("IMPORTRANGE(""https://docs.google.com/spreadsheets/d/""&amp;$A437&amp;""/edit#gid=156619080"",AK$3)"),"#REF!")</f>
        <v>#REF!</v>
      </c>
      <c r="AL437" s="2" t="str">
        <f>IFERROR(__xludf.DUMMYFUNCTION("IMPORTRANGE(""https://docs.google.com/spreadsheets/d/""&amp;$A437&amp;""/edit#gid=156619080"",AL$3)"),"#REF!")</f>
        <v>#REF!</v>
      </c>
      <c r="AM437" s="2" t="str">
        <f>IFERROR(__xludf.DUMMYFUNCTION("IMPORTRANGE(""https://docs.google.com/spreadsheets/d/""&amp;$A437&amp;""/edit#gid=156619080"",AM$3)"),"#REF!")</f>
        <v>#REF!</v>
      </c>
      <c r="AN437" s="2" t="str">
        <f>IFERROR(__xludf.DUMMYFUNCTION("IMPORTRANGE(""https://docs.google.com/spreadsheets/d/""&amp;$A437&amp;""/edit#gid=156619080"",AN$3)"),"#REF!")</f>
        <v>#REF!</v>
      </c>
      <c r="AO437" s="2" t="str">
        <f>IFERROR(__xludf.DUMMYFUNCTION("IMPORTRANGE(""https://docs.google.com/spreadsheets/d/""&amp;$A437&amp;""/edit#gid=156619080"",AO$3)"),"#REF!")</f>
        <v>#REF!</v>
      </c>
      <c r="AP437" s="2" t="str">
        <f>IFERROR(__xludf.DUMMYFUNCTION("IMPORTRANGE(""https://docs.google.com/spreadsheets/d/""&amp;$A437&amp;""/edit#gid=156619080"",AP$3)"),"#REF!")</f>
        <v>#REF!</v>
      </c>
      <c r="AQ437" s="2" t="str">
        <f>IFERROR(__xludf.DUMMYFUNCTION("IMPORTRANGE(""https://docs.google.com/spreadsheets/d/""&amp;$A437&amp;""/edit#gid=156619080"",AQ$3)"),"#REF!")</f>
        <v>#REF!</v>
      </c>
      <c r="AR437" s="2" t="str">
        <f>IFERROR(__xludf.DUMMYFUNCTION("IMPORTRANGE(""https://docs.google.com/spreadsheets/d/""&amp;$A437&amp;""/edit#gid=156619080"",AR$3)"),"#REF!")</f>
        <v>#REF!</v>
      </c>
      <c r="AS437" s="19" t="str">
        <f>IFERROR(__xludf.DUMMYFUNCTION("IMPORTRANGE(""https://docs.google.com/spreadsheets/d/""&amp;$A437&amp;""/edit#gid=156619080"",AS$3)"),"#REF!")</f>
        <v>#REF!</v>
      </c>
      <c r="AT437" s="2" t="str">
        <f>IFERROR(__xludf.DUMMYFUNCTION("IMPORTRANGE(""https://docs.google.com/spreadsheets/d/""&amp;$A437&amp;""/edit#gid=156619080"",AT$3)"),"#REF!")</f>
        <v>#REF!</v>
      </c>
      <c r="AU437" s="3" t="str">
        <f>IFERROR(__xludf.DUMMYFUNCTION("IMPORTRANGE(""https://docs.google.com/spreadsheets/d/""&amp;$A437&amp;""/edit#gid=156619080"",AU$3)"),"#REF!")</f>
        <v>#REF!</v>
      </c>
      <c r="AV437" s="2" t="str">
        <f>IFERROR(__xludf.DUMMYFUNCTION("IMPORTRANGE(""https://docs.google.com/spreadsheets/d/""&amp;$A437&amp;""/edit#gid=156619080"",AV$3)"),"#REF!")</f>
        <v>#REF!</v>
      </c>
      <c r="AW437" s="19" t="str">
        <f>IFERROR(__xludf.DUMMYFUNCTION("IMPORTRANGE(""https://docs.google.com/spreadsheets/d/""&amp;$A437&amp;""/edit#gid=156619080"",AW$3)"),"#REF!")</f>
        <v>#REF!</v>
      </c>
      <c r="AX437" s="2" t="str">
        <f>IFERROR(__xludf.DUMMYFUNCTION("IMPORTRANGE(""https://docs.google.com/spreadsheets/d/""&amp;$A437&amp;""/edit#gid=156619080"",AX$3)"),"#REF!")</f>
        <v>#REF!</v>
      </c>
      <c r="AY437" s="2" t="str">
        <f>IFERROR(__xludf.DUMMYFUNCTION("IMPORTRANGE(""https://docs.google.com/spreadsheets/d/""&amp;$A437&amp;""/edit#gid=156619080"",AY$3)"),"#REF!")</f>
        <v>#REF!</v>
      </c>
      <c r="AZ437" s="2" t="str">
        <f>IFERROR(__xludf.DUMMYFUNCTION("IMPORTRANGE(""https://docs.google.com/spreadsheets/d/""&amp;$A437&amp;""/edit#gid=156619080"",AZ$3)"),"#REF!")</f>
        <v>#REF!</v>
      </c>
      <c r="BA437" s="2" t="str">
        <f>IFERROR(__xludf.DUMMYFUNCTION("IMPORTRANGE(""https://docs.google.com/spreadsheets/d/""&amp;$A437&amp;""/edit#gid=156619080"",BA$3)"),"#REF!")</f>
        <v>#REF!</v>
      </c>
      <c r="BB437" s="2" t="str">
        <f>IFERROR(__xludf.DUMMYFUNCTION("IMPORTRANGE(""https://docs.google.com/spreadsheets/d/""&amp;$A437&amp;""/edit#gid=156619080"",BB$3)"),"#REF!")</f>
        <v>#REF!</v>
      </c>
      <c r="BC437" s="2" t="str">
        <f>IFERROR(__xludf.DUMMYFUNCTION("IMPORTRANGE(""https://docs.google.com/spreadsheets/d/""&amp;$A437&amp;""/edit#gid=156619080"",BC$3)"),"#REF!")</f>
        <v>#REF!</v>
      </c>
    </row>
    <row r="438" ht="51.0" customHeight="1">
      <c r="A438" s="7" t="str">
        <f t="shared" si="5"/>
        <v>1G1BWmy1RLz1jLk-Y-_lTFJBOd9TqowAvMMqkknbP3cY</v>
      </c>
      <c r="B438" s="1" t="s">
        <v>465</v>
      </c>
      <c r="C438" s="2" t="str">
        <f>IFERROR(__xludf.DUMMYFUNCTION("IMPORTRANGE(""https://docs.google.com/spreadsheets/d/""&amp;$A438&amp;""/edit#gid=156619080"",C$3)"),"#REF!")</f>
        <v>#REF!</v>
      </c>
      <c r="D438" s="2" t="str">
        <f>IFERROR(__xludf.DUMMYFUNCTION("IMPORTRANGE(""https://docs.google.com/spreadsheets/d/""&amp;$A438&amp;""/edit#gid=156619080"",D$3)"),"#REF!")</f>
        <v>#REF!</v>
      </c>
      <c r="E438" s="2" t="str">
        <f>IFERROR(__xludf.DUMMYFUNCTION("IMPORTRANGE(""https://docs.google.com/spreadsheets/d/""&amp;$A438&amp;""/edit#gid=156619080"",E$3)"),"#REF!")</f>
        <v>#REF!</v>
      </c>
      <c r="F438" s="2" t="str">
        <f>IFERROR(__xludf.DUMMYFUNCTION("IMPORTRANGE(""https://docs.google.com/spreadsheets/d/""&amp;$A438&amp;""/edit#gid=156619080"",F$3)"),"#REF!")</f>
        <v>#REF!</v>
      </c>
      <c r="G438" s="2" t="str">
        <f>IFERROR(__xludf.DUMMYFUNCTION("IMPORTRANGE(""https://docs.google.com/spreadsheets/d/""&amp;$A438&amp;""/edit#gid=156619080"",G$3)"),"#REF!")</f>
        <v>#REF!</v>
      </c>
      <c r="H438" s="2" t="str">
        <f>IFERROR(__xludf.DUMMYFUNCTION("IMPORTRANGE(""https://docs.google.com/spreadsheets/d/""&amp;$A438&amp;""/edit#gid=156619080"",H$3)"),"#REF!")</f>
        <v>#REF!</v>
      </c>
      <c r="I438" s="2" t="str">
        <f>IFERROR(__xludf.DUMMYFUNCTION("IMPORTRANGE(""https://docs.google.com/spreadsheets/d/""&amp;$A438&amp;""/edit#gid=156619080"",I$3)"),"#REF!")</f>
        <v>#REF!</v>
      </c>
      <c r="J438" s="2" t="str">
        <f>IFERROR(__xludf.DUMMYFUNCTION("IMPORTRANGE(""https://docs.google.com/spreadsheets/d/""&amp;$A438&amp;""/edit#gid=156619080"",J$3)"),"#REF!")</f>
        <v>#REF!</v>
      </c>
      <c r="K438" s="2" t="str">
        <f>IFERROR(__xludf.DUMMYFUNCTION("IMPORTRANGE(""https://docs.google.com/spreadsheets/d/""&amp;$A438&amp;""/edit#gid=156619080"",K$3)"),"#REF!")</f>
        <v>#REF!</v>
      </c>
      <c r="L438" s="2" t="str">
        <f>IFERROR(__xludf.DUMMYFUNCTION("IMPORTRANGE(""https://docs.google.com/spreadsheets/d/""&amp;$A438&amp;""/edit#gid=156619080"",L$3)"),"#REF!")</f>
        <v>#REF!</v>
      </c>
      <c r="M438" s="2" t="str">
        <f>IFERROR(__xludf.DUMMYFUNCTION("IMPORTRANGE(""https://docs.google.com/spreadsheets/d/""&amp;$A438&amp;""/edit#gid=156619080"",M$3)"),"#REF!")</f>
        <v>#REF!</v>
      </c>
      <c r="N438" s="2" t="str">
        <f>IFERROR(__xludf.DUMMYFUNCTION("IMPORTRANGE(""https://docs.google.com/spreadsheets/d/""&amp;$A438&amp;""/edit#gid=156619080"",N$3)"),"#REF!")</f>
        <v>#REF!</v>
      </c>
      <c r="O438" s="2" t="str">
        <f>IFERROR(__xludf.DUMMYFUNCTION("IMPORTRANGE(""https://docs.google.com/spreadsheets/d/""&amp;$A438&amp;""/edit#gid=156619080"",O$3)"),"#REF!")</f>
        <v>#REF!</v>
      </c>
      <c r="P438" s="2" t="str">
        <f>IFERROR(__xludf.DUMMYFUNCTION("IMPORTRANGE(""https://docs.google.com/spreadsheets/d/""&amp;$A438&amp;""/edit#gid=156619080"",P$3)"),"#REF!")</f>
        <v>#REF!</v>
      </c>
      <c r="Q438" s="2" t="str">
        <f>IFERROR(__xludf.DUMMYFUNCTION("IMPORTRANGE(""https://docs.google.com/spreadsheets/d/""&amp;$A438&amp;""/edit#gid=156619080"",Q$3)"),"#REF!")</f>
        <v>#REF!</v>
      </c>
      <c r="R438" s="2" t="str">
        <f>IFERROR(__xludf.DUMMYFUNCTION("IMPORTRANGE(""https://docs.google.com/spreadsheets/d/""&amp;$A438&amp;""/edit#gid=156619080"",R$3)"),"#REF!")</f>
        <v>#REF!</v>
      </c>
      <c r="S438" s="2" t="str">
        <f>IFERROR(__xludf.DUMMYFUNCTION("IMPORTRANGE(""https://docs.google.com/spreadsheets/d/""&amp;$A438&amp;""/edit#gid=156619080"",S$3)"),"#REF!")</f>
        <v>#REF!</v>
      </c>
      <c r="T438" s="2" t="str">
        <f>IFERROR(__xludf.DUMMYFUNCTION("IMPORTRANGE(""https://docs.google.com/spreadsheets/d/""&amp;$A438&amp;""/edit#gid=156619080"",T$3)"),"#REF!")</f>
        <v>#REF!</v>
      </c>
      <c r="U438" s="2" t="str">
        <f>IFERROR(__xludf.DUMMYFUNCTION("IMPORTRANGE(""https://docs.google.com/spreadsheets/d/""&amp;$A438&amp;""/edit#gid=156619080"",U$3)"),"#REF!")</f>
        <v>#REF!</v>
      </c>
      <c r="V438" s="2" t="str">
        <f>IFERROR(__xludf.DUMMYFUNCTION("IMPORTRANGE(""https://docs.google.com/spreadsheets/d/""&amp;$A438&amp;""/edit#gid=156619080"",V$3)"),"#REF!")</f>
        <v>#REF!</v>
      </c>
      <c r="W438" s="2" t="str">
        <f>IFERROR(__xludf.DUMMYFUNCTION("IMPORTRANGE(""https://docs.google.com/spreadsheets/d/""&amp;$A438&amp;""/edit#gid=156619080"",W$3)"),"#REF!")</f>
        <v>#REF!</v>
      </c>
      <c r="X438" s="2" t="str">
        <f>IFERROR(__xludf.DUMMYFUNCTION("IMPORTRANGE(""https://docs.google.com/spreadsheets/d/""&amp;$A438&amp;""/edit#gid=156619080"",X$3)"),"#REF!")</f>
        <v>#REF!</v>
      </c>
      <c r="Y438" s="2" t="str">
        <f>IFERROR(__xludf.DUMMYFUNCTION("IMPORTRANGE(""https://docs.google.com/spreadsheets/d/""&amp;$A438&amp;""/edit#gid=156619080"",Y$3)"),"#REF!")</f>
        <v>#REF!</v>
      </c>
      <c r="Z438" s="2" t="str">
        <f>IFERROR(__xludf.DUMMYFUNCTION("IMPORTRANGE(""https://docs.google.com/spreadsheets/d/""&amp;$A438&amp;""/edit#gid=156619080"",Z$3)"),"#REF!")</f>
        <v>#REF!</v>
      </c>
      <c r="AA438" s="2" t="str">
        <f>IFERROR(__xludf.DUMMYFUNCTION("IMPORTRANGE(""https://docs.google.com/spreadsheets/d/""&amp;$A438&amp;""/edit#gid=156619080"",AA$3)"),"#REF!")</f>
        <v>#REF!</v>
      </c>
      <c r="AB438" s="2" t="str">
        <f>IFERROR(__xludf.DUMMYFUNCTION("IMPORTRANGE(""https://docs.google.com/spreadsheets/d/""&amp;$A438&amp;""/edit#gid=156619080"",AB$3)"),"#REF!")</f>
        <v>#REF!</v>
      </c>
      <c r="AC438" s="2" t="str">
        <f>IFERROR(__xludf.DUMMYFUNCTION("IMPORTRANGE(""https://docs.google.com/spreadsheets/d/""&amp;$A438&amp;""/edit#gid=156619080"",AC$3)"),"#REF!")</f>
        <v>#REF!</v>
      </c>
      <c r="AD438" s="2" t="str">
        <f>IFERROR(__xludf.DUMMYFUNCTION("IMPORTRANGE(""https://docs.google.com/spreadsheets/d/""&amp;$A438&amp;""/edit#gid=156619080"",AD$3)"),"#REF!")</f>
        <v>#REF!</v>
      </c>
      <c r="AE438" s="2" t="str">
        <f>IFERROR(__xludf.DUMMYFUNCTION("IMPORTRANGE(""https://docs.google.com/spreadsheets/d/""&amp;$A438&amp;""/edit#gid=156619080"",AE$3)"),"#REF!")</f>
        <v>#REF!</v>
      </c>
      <c r="AF438" s="2" t="str">
        <f>IFERROR(__xludf.DUMMYFUNCTION("IMPORTRANGE(""https://docs.google.com/spreadsheets/d/""&amp;$A438&amp;""/edit#gid=156619080"",AF$3)"),"#REF!")</f>
        <v>#REF!</v>
      </c>
      <c r="AG438" s="2" t="str">
        <f>IFERROR(__xludf.DUMMYFUNCTION("IMPORTRANGE(""https://docs.google.com/spreadsheets/d/""&amp;$A438&amp;""/edit#gid=156619080"",AG$3)"),"#REF!")</f>
        <v>#REF!</v>
      </c>
      <c r="AH438" s="2" t="str">
        <f>IFERROR(__xludf.DUMMYFUNCTION("IMPORTRANGE(""https://docs.google.com/spreadsheets/d/""&amp;$A438&amp;""/edit#gid=156619080"",AH$3)"),"#REF!")</f>
        <v>#REF!</v>
      </c>
      <c r="AI438" s="2" t="str">
        <f>IFERROR(__xludf.DUMMYFUNCTION("IMPORTRANGE(""https://docs.google.com/spreadsheets/d/""&amp;$A438&amp;""/edit#gid=156619080"",AI$3)"),"#REF!")</f>
        <v>#REF!</v>
      </c>
      <c r="AJ438" s="2" t="str">
        <f>IFERROR(__xludf.DUMMYFUNCTION("IMPORTRANGE(""https://docs.google.com/spreadsheets/d/""&amp;$A438&amp;""/edit#gid=156619080"",AJ$3)"),"#REF!")</f>
        <v>#REF!</v>
      </c>
      <c r="AK438" s="2" t="str">
        <f>IFERROR(__xludf.DUMMYFUNCTION("IMPORTRANGE(""https://docs.google.com/spreadsheets/d/""&amp;$A438&amp;""/edit#gid=156619080"",AK$3)"),"#REF!")</f>
        <v>#REF!</v>
      </c>
      <c r="AL438" s="2" t="str">
        <f>IFERROR(__xludf.DUMMYFUNCTION("IMPORTRANGE(""https://docs.google.com/spreadsheets/d/""&amp;$A438&amp;""/edit#gid=156619080"",AL$3)"),"#REF!")</f>
        <v>#REF!</v>
      </c>
      <c r="AM438" s="2" t="str">
        <f>IFERROR(__xludf.DUMMYFUNCTION("IMPORTRANGE(""https://docs.google.com/spreadsheets/d/""&amp;$A438&amp;""/edit#gid=156619080"",AM$3)"),"#REF!")</f>
        <v>#REF!</v>
      </c>
      <c r="AN438" s="2" t="str">
        <f>IFERROR(__xludf.DUMMYFUNCTION("IMPORTRANGE(""https://docs.google.com/spreadsheets/d/""&amp;$A438&amp;""/edit#gid=156619080"",AN$3)"),"#REF!")</f>
        <v>#REF!</v>
      </c>
      <c r="AO438" s="2" t="str">
        <f>IFERROR(__xludf.DUMMYFUNCTION("IMPORTRANGE(""https://docs.google.com/spreadsheets/d/""&amp;$A438&amp;""/edit#gid=156619080"",AO$3)"),"#REF!")</f>
        <v>#REF!</v>
      </c>
      <c r="AP438" s="2" t="str">
        <f>IFERROR(__xludf.DUMMYFUNCTION("IMPORTRANGE(""https://docs.google.com/spreadsheets/d/""&amp;$A438&amp;""/edit#gid=156619080"",AP$3)"),"#REF!")</f>
        <v>#REF!</v>
      </c>
      <c r="AQ438" s="2" t="str">
        <f>IFERROR(__xludf.DUMMYFUNCTION("IMPORTRANGE(""https://docs.google.com/spreadsheets/d/""&amp;$A438&amp;""/edit#gid=156619080"",AQ$3)"),"#REF!")</f>
        <v>#REF!</v>
      </c>
      <c r="AR438" s="2" t="str">
        <f>IFERROR(__xludf.DUMMYFUNCTION("IMPORTRANGE(""https://docs.google.com/spreadsheets/d/""&amp;$A438&amp;""/edit#gid=156619080"",AR$3)"),"#REF!")</f>
        <v>#REF!</v>
      </c>
      <c r="AS438" s="19" t="str">
        <f>IFERROR(__xludf.DUMMYFUNCTION("IMPORTRANGE(""https://docs.google.com/spreadsheets/d/""&amp;$A438&amp;""/edit#gid=156619080"",AS$3)"),"#REF!")</f>
        <v>#REF!</v>
      </c>
      <c r="AT438" s="2" t="str">
        <f>IFERROR(__xludf.DUMMYFUNCTION("IMPORTRANGE(""https://docs.google.com/spreadsheets/d/""&amp;$A438&amp;""/edit#gid=156619080"",AT$3)"),"#REF!")</f>
        <v>#REF!</v>
      </c>
      <c r="AU438" s="3" t="str">
        <f>IFERROR(__xludf.DUMMYFUNCTION("IMPORTRANGE(""https://docs.google.com/spreadsheets/d/""&amp;$A438&amp;""/edit#gid=156619080"",AU$3)"),"#REF!")</f>
        <v>#REF!</v>
      </c>
      <c r="AV438" s="2" t="str">
        <f>IFERROR(__xludf.DUMMYFUNCTION("IMPORTRANGE(""https://docs.google.com/spreadsheets/d/""&amp;$A438&amp;""/edit#gid=156619080"",AV$3)"),"#REF!")</f>
        <v>#REF!</v>
      </c>
      <c r="AW438" s="19" t="str">
        <f>IFERROR(__xludf.DUMMYFUNCTION("IMPORTRANGE(""https://docs.google.com/spreadsheets/d/""&amp;$A438&amp;""/edit#gid=156619080"",AW$3)"),"#REF!")</f>
        <v>#REF!</v>
      </c>
      <c r="AX438" s="2" t="str">
        <f>IFERROR(__xludf.DUMMYFUNCTION("IMPORTRANGE(""https://docs.google.com/spreadsheets/d/""&amp;$A438&amp;""/edit#gid=156619080"",AX$3)"),"#REF!")</f>
        <v>#REF!</v>
      </c>
      <c r="AY438" s="2" t="str">
        <f>IFERROR(__xludf.DUMMYFUNCTION("IMPORTRANGE(""https://docs.google.com/spreadsheets/d/""&amp;$A438&amp;""/edit#gid=156619080"",AY$3)"),"#REF!")</f>
        <v>#REF!</v>
      </c>
      <c r="AZ438" s="2" t="str">
        <f>IFERROR(__xludf.DUMMYFUNCTION("IMPORTRANGE(""https://docs.google.com/spreadsheets/d/""&amp;$A438&amp;""/edit#gid=156619080"",AZ$3)"),"#REF!")</f>
        <v>#REF!</v>
      </c>
      <c r="BA438" s="2" t="str">
        <f>IFERROR(__xludf.DUMMYFUNCTION("IMPORTRANGE(""https://docs.google.com/spreadsheets/d/""&amp;$A438&amp;""/edit#gid=156619080"",BA$3)"),"#REF!")</f>
        <v>#REF!</v>
      </c>
      <c r="BB438" s="2" t="str">
        <f>IFERROR(__xludf.DUMMYFUNCTION("IMPORTRANGE(""https://docs.google.com/spreadsheets/d/""&amp;$A438&amp;""/edit#gid=156619080"",BB$3)"),"#REF!")</f>
        <v>#REF!</v>
      </c>
      <c r="BC438" s="2" t="str">
        <f>IFERROR(__xludf.DUMMYFUNCTION("IMPORTRANGE(""https://docs.google.com/spreadsheets/d/""&amp;$A438&amp;""/edit#gid=156619080"",BC$3)"),"#REF!")</f>
        <v>#REF!</v>
      </c>
    </row>
    <row r="439" ht="51.0" customHeight="1">
      <c r="A439" s="7" t="str">
        <f t="shared" si="5"/>
        <v>1rwncyObJP3lpchv7hKABRqrFj2querH6hZszbFUM7RU</v>
      </c>
      <c r="B439" s="1" t="s">
        <v>466</v>
      </c>
      <c r="C439" s="2" t="str">
        <f>IFERROR(__xludf.DUMMYFUNCTION("IMPORTRANGE(""https://docs.google.com/spreadsheets/d/""&amp;$A439&amp;""/edit#gid=156619080"",C$3)"),"#REF!")</f>
        <v>#REF!</v>
      </c>
      <c r="D439" s="2" t="str">
        <f>IFERROR(__xludf.DUMMYFUNCTION("IMPORTRANGE(""https://docs.google.com/spreadsheets/d/""&amp;$A439&amp;""/edit#gid=156619080"",D$3)"),"#REF!")</f>
        <v>#REF!</v>
      </c>
      <c r="E439" s="2" t="str">
        <f>IFERROR(__xludf.DUMMYFUNCTION("IMPORTRANGE(""https://docs.google.com/spreadsheets/d/""&amp;$A439&amp;""/edit#gid=156619080"",E$3)"),"#REF!")</f>
        <v>#REF!</v>
      </c>
      <c r="F439" s="2" t="str">
        <f>IFERROR(__xludf.DUMMYFUNCTION("IMPORTRANGE(""https://docs.google.com/spreadsheets/d/""&amp;$A439&amp;""/edit#gid=156619080"",F$3)"),"#REF!")</f>
        <v>#REF!</v>
      </c>
      <c r="G439" s="2" t="str">
        <f>IFERROR(__xludf.DUMMYFUNCTION("IMPORTRANGE(""https://docs.google.com/spreadsheets/d/""&amp;$A439&amp;""/edit#gid=156619080"",G$3)"),"#REF!")</f>
        <v>#REF!</v>
      </c>
      <c r="H439" s="2" t="str">
        <f>IFERROR(__xludf.DUMMYFUNCTION("IMPORTRANGE(""https://docs.google.com/spreadsheets/d/""&amp;$A439&amp;""/edit#gid=156619080"",H$3)"),"#REF!")</f>
        <v>#REF!</v>
      </c>
      <c r="I439" s="2" t="str">
        <f>IFERROR(__xludf.DUMMYFUNCTION("IMPORTRANGE(""https://docs.google.com/spreadsheets/d/""&amp;$A439&amp;""/edit#gid=156619080"",I$3)"),"#REF!")</f>
        <v>#REF!</v>
      </c>
      <c r="J439" s="2" t="str">
        <f>IFERROR(__xludf.DUMMYFUNCTION("IMPORTRANGE(""https://docs.google.com/spreadsheets/d/""&amp;$A439&amp;""/edit#gid=156619080"",J$3)"),"#REF!")</f>
        <v>#REF!</v>
      </c>
      <c r="K439" s="2" t="str">
        <f>IFERROR(__xludf.DUMMYFUNCTION("IMPORTRANGE(""https://docs.google.com/spreadsheets/d/""&amp;$A439&amp;""/edit#gid=156619080"",K$3)"),"#REF!")</f>
        <v>#REF!</v>
      </c>
      <c r="L439" s="2" t="str">
        <f>IFERROR(__xludf.DUMMYFUNCTION("IMPORTRANGE(""https://docs.google.com/spreadsheets/d/""&amp;$A439&amp;""/edit#gid=156619080"",L$3)"),"#REF!")</f>
        <v>#REF!</v>
      </c>
      <c r="M439" s="2" t="str">
        <f>IFERROR(__xludf.DUMMYFUNCTION("IMPORTRANGE(""https://docs.google.com/spreadsheets/d/""&amp;$A439&amp;""/edit#gid=156619080"",M$3)"),"#REF!")</f>
        <v>#REF!</v>
      </c>
      <c r="N439" s="2" t="str">
        <f>IFERROR(__xludf.DUMMYFUNCTION("IMPORTRANGE(""https://docs.google.com/spreadsheets/d/""&amp;$A439&amp;""/edit#gid=156619080"",N$3)"),"#REF!")</f>
        <v>#REF!</v>
      </c>
      <c r="O439" s="2" t="str">
        <f>IFERROR(__xludf.DUMMYFUNCTION("IMPORTRANGE(""https://docs.google.com/spreadsheets/d/""&amp;$A439&amp;""/edit#gid=156619080"",O$3)"),"#REF!")</f>
        <v>#REF!</v>
      </c>
      <c r="P439" s="2" t="str">
        <f>IFERROR(__xludf.DUMMYFUNCTION("IMPORTRANGE(""https://docs.google.com/spreadsheets/d/""&amp;$A439&amp;""/edit#gid=156619080"",P$3)"),"#REF!")</f>
        <v>#REF!</v>
      </c>
      <c r="Q439" s="2" t="str">
        <f>IFERROR(__xludf.DUMMYFUNCTION("IMPORTRANGE(""https://docs.google.com/spreadsheets/d/""&amp;$A439&amp;""/edit#gid=156619080"",Q$3)"),"#REF!")</f>
        <v>#REF!</v>
      </c>
      <c r="R439" s="2" t="str">
        <f>IFERROR(__xludf.DUMMYFUNCTION("IMPORTRANGE(""https://docs.google.com/spreadsheets/d/""&amp;$A439&amp;""/edit#gid=156619080"",R$3)"),"#REF!")</f>
        <v>#REF!</v>
      </c>
      <c r="S439" s="2" t="str">
        <f>IFERROR(__xludf.DUMMYFUNCTION("IMPORTRANGE(""https://docs.google.com/spreadsheets/d/""&amp;$A439&amp;""/edit#gid=156619080"",S$3)"),"#REF!")</f>
        <v>#REF!</v>
      </c>
      <c r="T439" s="2" t="str">
        <f>IFERROR(__xludf.DUMMYFUNCTION("IMPORTRANGE(""https://docs.google.com/spreadsheets/d/""&amp;$A439&amp;""/edit#gid=156619080"",T$3)"),"#REF!")</f>
        <v>#REF!</v>
      </c>
      <c r="U439" s="2" t="str">
        <f>IFERROR(__xludf.DUMMYFUNCTION("IMPORTRANGE(""https://docs.google.com/spreadsheets/d/""&amp;$A439&amp;""/edit#gid=156619080"",U$3)"),"#REF!")</f>
        <v>#REF!</v>
      </c>
      <c r="V439" s="2" t="str">
        <f>IFERROR(__xludf.DUMMYFUNCTION("IMPORTRANGE(""https://docs.google.com/spreadsheets/d/""&amp;$A439&amp;""/edit#gid=156619080"",V$3)"),"#REF!")</f>
        <v>#REF!</v>
      </c>
      <c r="W439" s="2" t="str">
        <f>IFERROR(__xludf.DUMMYFUNCTION("IMPORTRANGE(""https://docs.google.com/spreadsheets/d/""&amp;$A439&amp;""/edit#gid=156619080"",W$3)"),"#REF!")</f>
        <v>#REF!</v>
      </c>
      <c r="X439" s="2" t="str">
        <f>IFERROR(__xludf.DUMMYFUNCTION("IMPORTRANGE(""https://docs.google.com/spreadsheets/d/""&amp;$A439&amp;""/edit#gid=156619080"",X$3)"),"#REF!")</f>
        <v>#REF!</v>
      </c>
      <c r="Y439" s="2" t="str">
        <f>IFERROR(__xludf.DUMMYFUNCTION("IMPORTRANGE(""https://docs.google.com/spreadsheets/d/""&amp;$A439&amp;""/edit#gid=156619080"",Y$3)"),"#REF!")</f>
        <v>#REF!</v>
      </c>
      <c r="Z439" s="2" t="str">
        <f>IFERROR(__xludf.DUMMYFUNCTION("IMPORTRANGE(""https://docs.google.com/spreadsheets/d/""&amp;$A439&amp;""/edit#gid=156619080"",Z$3)"),"#REF!")</f>
        <v>#REF!</v>
      </c>
      <c r="AA439" s="2" t="str">
        <f>IFERROR(__xludf.DUMMYFUNCTION("IMPORTRANGE(""https://docs.google.com/spreadsheets/d/""&amp;$A439&amp;""/edit#gid=156619080"",AA$3)"),"#REF!")</f>
        <v>#REF!</v>
      </c>
      <c r="AB439" s="2" t="str">
        <f>IFERROR(__xludf.DUMMYFUNCTION("IMPORTRANGE(""https://docs.google.com/spreadsheets/d/""&amp;$A439&amp;""/edit#gid=156619080"",AB$3)"),"#REF!")</f>
        <v>#REF!</v>
      </c>
      <c r="AC439" s="2" t="str">
        <f>IFERROR(__xludf.DUMMYFUNCTION("IMPORTRANGE(""https://docs.google.com/spreadsheets/d/""&amp;$A439&amp;""/edit#gid=156619080"",AC$3)"),"#REF!")</f>
        <v>#REF!</v>
      </c>
      <c r="AD439" s="2" t="str">
        <f>IFERROR(__xludf.DUMMYFUNCTION("IMPORTRANGE(""https://docs.google.com/spreadsheets/d/""&amp;$A439&amp;""/edit#gid=156619080"",AD$3)"),"#REF!")</f>
        <v>#REF!</v>
      </c>
      <c r="AE439" s="2" t="str">
        <f>IFERROR(__xludf.DUMMYFUNCTION("IMPORTRANGE(""https://docs.google.com/spreadsheets/d/""&amp;$A439&amp;""/edit#gid=156619080"",AE$3)"),"#REF!")</f>
        <v>#REF!</v>
      </c>
      <c r="AF439" s="2" t="str">
        <f>IFERROR(__xludf.DUMMYFUNCTION("IMPORTRANGE(""https://docs.google.com/spreadsheets/d/""&amp;$A439&amp;""/edit#gid=156619080"",AF$3)"),"#REF!")</f>
        <v>#REF!</v>
      </c>
      <c r="AG439" s="2" t="str">
        <f>IFERROR(__xludf.DUMMYFUNCTION("IMPORTRANGE(""https://docs.google.com/spreadsheets/d/""&amp;$A439&amp;""/edit#gid=156619080"",AG$3)"),"#REF!")</f>
        <v>#REF!</v>
      </c>
      <c r="AH439" s="2" t="str">
        <f>IFERROR(__xludf.DUMMYFUNCTION("IMPORTRANGE(""https://docs.google.com/spreadsheets/d/""&amp;$A439&amp;""/edit#gid=156619080"",AH$3)"),"#REF!")</f>
        <v>#REF!</v>
      </c>
      <c r="AI439" s="2" t="str">
        <f>IFERROR(__xludf.DUMMYFUNCTION("IMPORTRANGE(""https://docs.google.com/spreadsheets/d/""&amp;$A439&amp;""/edit#gid=156619080"",AI$3)"),"#REF!")</f>
        <v>#REF!</v>
      </c>
      <c r="AJ439" s="2" t="str">
        <f>IFERROR(__xludf.DUMMYFUNCTION("IMPORTRANGE(""https://docs.google.com/spreadsheets/d/""&amp;$A439&amp;""/edit#gid=156619080"",AJ$3)"),"#REF!")</f>
        <v>#REF!</v>
      </c>
      <c r="AK439" s="2" t="str">
        <f>IFERROR(__xludf.DUMMYFUNCTION("IMPORTRANGE(""https://docs.google.com/spreadsheets/d/""&amp;$A439&amp;""/edit#gid=156619080"",AK$3)"),"#REF!")</f>
        <v>#REF!</v>
      </c>
      <c r="AL439" s="2" t="str">
        <f>IFERROR(__xludf.DUMMYFUNCTION("IMPORTRANGE(""https://docs.google.com/spreadsheets/d/""&amp;$A439&amp;""/edit#gid=156619080"",AL$3)"),"#REF!")</f>
        <v>#REF!</v>
      </c>
      <c r="AM439" s="2" t="str">
        <f>IFERROR(__xludf.DUMMYFUNCTION("IMPORTRANGE(""https://docs.google.com/spreadsheets/d/""&amp;$A439&amp;""/edit#gid=156619080"",AM$3)"),"#REF!")</f>
        <v>#REF!</v>
      </c>
      <c r="AN439" s="2" t="str">
        <f>IFERROR(__xludf.DUMMYFUNCTION("IMPORTRANGE(""https://docs.google.com/spreadsheets/d/""&amp;$A439&amp;""/edit#gid=156619080"",AN$3)"),"#REF!")</f>
        <v>#REF!</v>
      </c>
      <c r="AO439" s="2" t="str">
        <f>IFERROR(__xludf.DUMMYFUNCTION("IMPORTRANGE(""https://docs.google.com/spreadsheets/d/""&amp;$A439&amp;""/edit#gid=156619080"",AO$3)"),"#REF!")</f>
        <v>#REF!</v>
      </c>
      <c r="AP439" s="2" t="str">
        <f>IFERROR(__xludf.DUMMYFUNCTION("IMPORTRANGE(""https://docs.google.com/spreadsheets/d/""&amp;$A439&amp;""/edit#gid=156619080"",AP$3)"),"#REF!")</f>
        <v>#REF!</v>
      </c>
      <c r="AQ439" s="2" t="str">
        <f>IFERROR(__xludf.DUMMYFUNCTION("IMPORTRANGE(""https://docs.google.com/spreadsheets/d/""&amp;$A439&amp;""/edit#gid=156619080"",AQ$3)"),"#REF!")</f>
        <v>#REF!</v>
      </c>
      <c r="AR439" s="2" t="str">
        <f>IFERROR(__xludf.DUMMYFUNCTION("IMPORTRANGE(""https://docs.google.com/spreadsheets/d/""&amp;$A439&amp;""/edit#gid=156619080"",AR$3)"),"#REF!")</f>
        <v>#REF!</v>
      </c>
      <c r="AS439" s="19" t="str">
        <f>IFERROR(__xludf.DUMMYFUNCTION("IMPORTRANGE(""https://docs.google.com/spreadsheets/d/""&amp;$A439&amp;""/edit#gid=156619080"",AS$3)"),"#REF!")</f>
        <v>#REF!</v>
      </c>
      <c r="AT439" s="2" t="str">
        <f>IFERROR(__xludf.DUMMYFUNCTION("IMPORTRANGE(""https://docs.google.com/spreadsheets/d/""&amp;$A439&amp;""/edit#gid=156619080"",AT$3)"),"#REF!")</f>
        <v>#REF!</v>
      </c>
      <c r="AU439" s="3" t="str">
        <f>IFERROR(__xludf.DUMMYFUNCTION("IMPORTRANGE(""https://docs.google.com/spreadsheets/d/""&amp;$A439&amp;""/edit#gid=156619080"",AU$3)"),"#REF!")</f>
        <v>#REF!</v>
      </c>
      <c r="AV439" s="2" t="str">
        <f>IFERROR(__xludf.DUMMYFUNCTION("IMPORTRANGE(""https://docs.google.com/spreadsheets/d/""&amp;$A439&amp;""/edit#gid=156619080"",AV$3)"),"#REF!")</f>
        <v>#REF!</v>
      </c>
      <c r="AW439" s="19" t="str">
        <f>IFERROR(__xludf.DUMMYFUNCTION("IMPORTRANGE(""https://docs.google.com/spreadsheets/d/""&amp;$A439&amp;""/edit#gid=156619080"",AW$3)"),"#REF!")</f>
        <v>#REF!</v>
      </c>
      <c r="AX439" s="2" t="str">
        <f>IFERROR(__xludf.DUMMYFUNCTION("IMPORTRANGE(""https://docs.google.com/spreadsheets/d/""&amp;$A439&amp;""/edit#gid=156619080"",AX$3)"),"#REF!")</f>
        <v>#REF!</v>
      </c>
      <c r="AY439" s="2" t="str">
        <f>IFERROR(__xludf.DUMMYFUNCTION("IMPORTRANGE(""https://docs.google.com/spreadsheets/d/""&amp;$A439&amp;""/edit#gid=156619080"",AY$3)"),"#REF!")</f>
        <v>#REF!</v>
      </c>
      <c r="AZ439" s="2" t="str">
        <f>IFERROR(__xludf.DUMMYFUNCTION("IMPORTRANGE(""https://docs.google.com/spreadsheets/d/""&amp;$A439&amp;""/edit#gid=156619080"",AZ$3)"),"#REF!")</f>
        <v>#REF!</v>
      </c>
      <c r="BA439" s="2" t="str">
        <f>IFERROR(__xludf.DUMMYFUNCTION("IMPORTRANGE(""https://docs.google.com/spreadsheets/d/""&amp;$A439&amp;""/edit#gid=156619080"",BA$3)"),"#REF!")</f>
        <v>#REF!</v>
      </c>
      <c r="BB439" s="2" t="str">
        <f>IFERROR(__xludf.DUMMYFUNCTION("IMPORTRANGE(""https://docs.google.com/spreadsheets/d/""&amp;$A439&amp;""/edit#gid=156619080"",BB$3)"),"#REF!")</f>
        <v>#REF!</v>
      </c>
      <c r="BC439" s="2" t="str">
        <f>IFERROR(__xludf.DUMMYFUNCTION("IMPORTRANGE(""https://docs.google.com/spreadsheets/d/""&amp;$A439&amp;""/edit#gid=156619080"",BC$3)"),"#REF!")</f>
        <v>#REF!</v>
      </c>
    </row>
    <row r="440" ht="51.0" customHeight="1">
      <c r="A440" s="7" t="str">
        <f t="shared" si="5"/>
        <v>1SER47mbmvRBu4hrW8tfZTSxbI3E678D0x3uyDXt1tFI</v>
      </c>
      <c r="B440" s="1" t="s">
        <v>467</v>
      </c>
      <c r="C440" s="2" t="str">
        <f>IFERROR(__xludf.DUMMYFUNCTION("IMPORTRANGE(""https://docs.google.com/spreadsheets/d/""&amp;$A440&amp;""/edit#gid=156619080"",C$3)"),"#REF!")</f>
        <v>#REF!</v>
      </c>
      <c r="D440" s="2" t="str">
        <f>IFERROR(__xludf.DUMMYFUNCTION("IMPORTRANGE(""https://docs.google.com/spreadsheets/d/""&amp;$A440&amp;""/edit#gid=156619080"",D$3)"),"#REF!")</f>
        <v>#REF!</v>
      </c>
      <c r="E440" s="2" t="str">
        <f>IFERROR(__xludf.DUMMYFUNCTION("IMPORTRANGE(""https://docs.google.com/spreadsheets/d/""&amp;$A440&amp;""/edit#gid=156619080"",E$3)"),"#REF!")</f>
        <v>#REF!</v>
      </c>
      <c r="F440" s="2" t="str">
        <f>IFERROR(__xludf.DUMMYFUNCTION("IMPORTRANGE(""https://docs.google.com/spreadsheets/d/""&amp;$A440&amp;""/edit#gid=156619080"",F$3)"),"#REF!")</f>
        <v>#REF!</v>
      </c>
      <c r="G440" s="2" t="str">
        <f>IFERROR(__xludf.DUMMYFUNCTION("IMPORTRANGE(""https://docs.google.com/spreadsheets/d/""&amp;$A440&amp;""/edit#gid=156619080"",G$3)"),"#REF!")</f>
        <v>#REF!</v>
      </c>
      <c r="H440" s="2" t="str">
        <f>IFERROR(__xludf.DUMMYFUNCTION("IMPORTRANGE(""https://docs.google.com/spreadsheets/d/""&amp;$A440&amp;""/edit#gid=156619080"",H$3)"),"#REF!")</f>
        <v>#REF!</v>
      </c>
      <c r="I440" s="2" t="str">
        <f>IFERROR(__xludf.DUMMYFUNCTION("IMPORTRANGE(""https://docs.google.com/spreadsheets/d/""&amp;$A440&amp;""/edit#gid=156619080"",I$3)"),"#REF!")</f>
        <v>#REF!</v>
      </c>
      <c r="J440" s="2" t="str">
        <f>IFERROR(__xludf.DUMMYFUNCTION("IMPORTRANGE(""https://docs.google.com/spreadsheets/d/""&amp;$A440&amp;""/edit#gid=156619080"",J$3)"),"#REF!")</f>
        <v>#REF!</v>
      </c>
      <c r="K440" s="2" t="str">
        <f>IFERROR(__xludf.DUMMYFUNCTION("IMPORTRANGE(""https://docs.google.com/spreadsheets/d/""&amp;$A440&amp;""/edit#gid=156619080"",K$3)"),"#REF!")</f>
        <v>#REF!</v>
      </c>
      <c r="L440" s="2" t="str">
        <f>IFERROR(__xludf.DUMMYFUNCTION("IMPORTRANGE(""https://docs.google.com/spreadsheets/d/""&amp;$A440&amp;""/edit#gid=156619080"",L$3)"),"#REF!")</f>
        <v>#REF!</v>
      </c>
      <c r="M440" s="2" t="str">
        <f>IFERROR(__xludf.DUMMYFUNCTION("IMPORTRANGE(""https://docs.google.com/spreadsheets/d/""&amp;$A440&amp;""/edit#gid=156619080"",M$3)"),"#REF!")</f>
        <v>#REF!</v>
      </c>
      <c r="N440" s="2" t="str">
        <f>IFERROR(__xludf.DUMMYFUNCTION("IMPORTRANGE(""https://docs.google.com/spreadsheets/d/""&amp;$A440&amp;""/edit#gid=156619080"",N$3)"),"#REF!")</f>
        <v>#REF!</v>
      </c>
      <c r="O440" s="2" t="str">
        <f>IFERROR(__xludf.DUMMYFUNCTION("IMPORTRANGE(""https://docs.google.com/spreadsheets/d/""&amp;$A440&amp;""/edit#gid=156619080"",O$3)"),"#REF!")</f>
        <v>#REF!</v>
      </c>
      <c r="P440" s="2" t="str">
        <f>IFERROR(__xludf.DUMMYFUNCTION("IMPORTRANGE(""https://docs.google.com/spreadsheets/d/""&amp;$A440&amp;""/edit#gid=156619080"",P$3)"),"#REF!")</f>
        <v>#REF!</v>
      </c>
      <c r="Q440" s="2" t="str">
        <f>IFERROR(__xludf.DUMMYFUNCTION("IMPORTRANGE(""https://docs.google.com/spreadsheets/d/""&amp;$A440&amp;""/edit#gid=156619080"",Q$3)"),"#REF!")</f>
        <v>#REF!</v>
      </c>
      <c r="R440" s="2" t="str">
        <f>IFERROR(__xludf.DUMMYFUNCTION("IMPORTRANGE(""https://docs.google.com/spreadsheets/d/""&amp;$A440&amp;""/edit#gid=156619080"",R$3)"),"#REF!")</f>
        <v>#REF!</v>
      </c>
      <c r="S440" s="2" t="str">
        <f>IFERROR(__xludf.DUMMYFUNCTION("IMPORTRANGE(""https://docs.google.com/spreadsheets/d/""&amp;$A440&amp;""/edit#gid=156619080"",S$3)"),"#REF!")</f>
        <v>#REF!</v>
      </c>
      <c r="T440" s="2" t="str">
        <f>IFERROR(__xludf.DUMMYFUNCTION("IMPORTRANGE(""https://docs.google.com/spreadsheets/d/""&amp;$A440&amp;""/edit#gid=156619080"",T$3)"),"#REF!")</f>
        <v>#REF!</v>
      </c>
      <c r="U440" s="2" t="str">
        <f>IFERROR(__xludf.DUMMYFUNCTION("IMPORTRANGE(""https://docs.google.com/spreadsheets/d/""&amp;$A440&amp;""/edit#gid=156619080"",U$3)"),"#REF!")</f>
        <v>#REF!</v>
      </c>
      <c r="V440" s="2" t="str">
        <f>IFERROR(__xludf.DUMMYFUNCTION("IMPORTRANGE(""https://docs.google.com/spreadsheets/d/""&amp;$A440&amp;""/edit#gid=156619080"",V$3)"),"#REF!")</f>
        <v>#REF!</v>
      </c>
      <c r="W440" s="2" t="str">
        <f>IFERROR(__xludf.DUMMYFUNCTION("IMPORTRANGE(""https://docs.google.com/spreadsheets/d/""&amp;$A440&amp;""/edit#gid=156619080"",W$3)"),"#REF!")</f>
        <v>#REF!</v>
      </c>
      <c r="X440" s="2" t="str">
        <f>IFERROR(__xludf.DUMMYFUNCTION("IMPORTRANGE(""https://docs.google.com/spreadsheets/d/""&amp;$A440&amp;""/edit#gid=156619080"",X$3)"),"#REF!")</f>
        <v>#REF!</v>
      </c>
      <c r="Y440" s="2" t="str">
        <f>IFERROR(__xludf.DUMMYFUNCTION("IMPORTRANGE(""https://docs.google.com/spreadsheets/d/""&amp;$A440&amp;""/edit#gid=156619080"",Y$3)"),"#REF!")</f>
        <v>#REF!</v>
      </c>
      <c r="Z440" s="2" t="str">
        <f>IFERROR(__xludf.DUMMYFUNCTION("IMPORTRANGE(""https://docs.google.com/spreadsheets/d/""&amp;$A440&amp;""/edit#gid=156619080"",Z$3)"),"#REF!")</f>
        <v>#REF!</v>
      </c>
      <c r="AA440" s="2" t="str">
        <f>IFERROR(__xludf.DUMMYFUNCTION("IMPORTRANGE(""https://docs.google.com/spreadsheets/d/""&amp;$A440&amp;""/edit#gid=156619080"",AA$3)"),"#REF!")</f>
        <v>#REF!</v>
      </c>
      <c r="AB440" s="2" t="str">
        <f>IFERROR(__xludf.DUMMYFUNCTION("IMPORTRANGE(""https://docs.google.com/spreadsheets/d/""&amp;$A440&amp;""/edit#gid=156619080"",AB$3)"),"#REF!")</f>
        <v>#REF!</v>
      </c>
      <c r="AC440" s="2" t="str">
        <f>IFERROR(__xludf.DUMMYFUNCTION("IMPORTRANGE(""https://docs.google.com/spreadsheets/d/""&amp;$A440&amp;""/edit#gid=156619080"",AC$3)"),"#REF!")</f>
        <v>#REF!</v>
      </c>
      <c r="AD440" s="2" t="str">
        <f>IFERROR(__xludf.DUMMYFUNCTION("IMPORTRANGE(""https://docs.google.com/spreadsheets/d/""&amp;$A440&amp;""/edit#gid=156619080"",AD$3)"),"#REF!")</f>
        <v>#REF!</v>
      </c>
      <c r="AE440" s="2" t="str">
        <f>IFERROR(__xludf.DUMMYFUNCTION("IMPORTRANGE(""https://docs.google.com/spreadsheets/d/""&amp;$A440&amp;""/edit#gid=156619080"",AE$3)"),"#REF!")</f>
        <v>#REF!</v>
      </c>
      <c r="AF440" s="2" t="str">
        <f>IFERROR(__xludf.DUMMYFUNCTION("IMPORTRANGE(""https://docs.google.com/spreadsheets/d/""&amp;$A440&amp;""/edit#gid=156619080"",AF$3)"),"#REF!")</f>
        <v>#REF!</v>
      </c>
      <c r="AG440" s="2" t="str">
        <f>IFERROR(__xludf.DUMMYFUNCTION("IMPORTRANGE(""https://docs.google.com/spreadsheets/d/""&amp;$A440&amp;""/edit#gid=156619080"",AG$3)"),"#REF!")</f>
        <v>#REF!</v>
      </c>
      <c r="AH440" s="2" t="str">
        <f>IFERROR(__xludf.DUMMYFUNCTION("IMPORTRANGE(""https://docs.google.com/spreadsheets/d/""&amp;$A440&amp;""/edit#gid=156619080"",AH$3)"),"#REF!")</f>
        <v>#REF!</v>
      </c>
      <c r="AI440" s="2" t="str">
        <f>IFERROR(__xludf.DUMMYFUNCTION("IMPORTRANGE(""https://docs.google.com/spreadsheets/d/""&amp;$A440&amp;""/edit#gid=156619080"",AI$3)"),"#REF!")</f>
        <v>#REF!</v>
      </c>
      <c r="AJ440" s="2" t="str">
        <f>IFERROR(__xludf.DUMMYFUNCTION("IMPORTRANGE(""https://docs.google.com/spreadsheets/d/""&amp;$A440&amp;""/edit#gid=156619080"",AJ$3)"),"#REF!")</f>
        <v>#REF!</v>
      </c>
      <c r="AK440" s="2" t="str">
        <f>IFERROR(__xludf.DUMMYFUNCTION("IMPORTRANGE(""https://docs.google.com/spreadsheets/d/""&amp;$A440&amp;""/edit#gid=156619080"",AK$3)"),"#REF!")</f>
        <v>#REF!</v>
      </c>
      <c r="AL440" s="2" t="str">
        <f>IFERROR(__xludf.DUMMYFUNCTION("IMPORTRANGE(""https://docs.google.com/spreadsheets/d/""&amp;$A440&amp;""/edit#gid=156619080"",AL$3)"),"#REF!")</f>
        <v>#REF!</v>
      </c>
      <c r="AM440" s="2" t="str">
        <f>IFERROR(__xludf.DUMMYFUNCTION("IMPORTRANGE(""https://docs.google.com/spreadsheets/d/""&amp;$A440&amp;""/edit#gid=156619080"",AM$3)"),"#REF!")</f>
        <v>#REF!</v>
      </c>
      <c r="AN440" s="2" t="str">
        <f>IFERROR(__xludf.DUMMYFUNCTION("IMPORTRANGE(""https://docs.google.com/spreadsheets/d/""&amp;$A440&amp;""/edit#gid=156619080"",AN$3)"),"#REF!")</f>
        <v>#REF!</v>
      </c>
      <c r="AO440" s="2" t="str">
        <f>IFERROR(__xludf.DUMMYFUNCTION("IMPORTRANGE(""https://docs.google.com/spreadsheets/d/""&amp;$A440&amp;""/edit#gid=156619080"",AO$3)"),"#REF!")</f>
        <v>#REF!</v>
      </c>
      <c r="AP440" s="2" t="str">
        <f>IFERROR(__xludf.DUMMYFUNCTION("IMPORTRANGE(""https://docs.google.com/spreadsheets/d/""&amp;$A440&amp;""/edit#gid=156619080"",AP$3)"),"#REF!")</f>
        <v>#REF!</v>
      </c>
      <c r="AQ440" s="2" t="str">
        <f>IFERROR(__xludf.DUMMYFUNCTION("IMPORTRANGE(""https://docs.google.com/spreadsheets/d/""&amp;$A440&amp;""/edit#gid=156619080"",AQ$3)"),"#REF!")</f>
        <v>#REF!</v>
      </c>
      <c r="AR440" s="2" t="str">
        <f>IFERROR(__xludf.DUMMYFUNCTION("IMPORTRANGE(""https://docs.google.com/spreadsheets/d/""&amp;$A440&amp;""/edit#gid=156619080"",AR$3)"),"#REF!")</f>
        <v>#REF!</v>
      </c>
      <c r="AS440" s="19" t="str">
        <f>IFERROR(__xludf.DUMMYFUNCTION("IMPORTRANGE(""https://docs.google.com/spreadsheets/d/""&amp;$A440&amp;""/edit#gid=156619080"",AS$3)"),"#REF!")</f>
        <v>#REF!</v>
      </c>
      <c r="AT440" s="2" t="str">
        <f>IFERROR(__xludf.DUMMYFUNCTION("IMPORTRANGE(""https://docs.google.com/spreadsheets/d/""&amp;$A440&amp;""/edit#gid=156619080"",AT$3)"),"#REF!")</f>
        <v>#REF!</v>
      </c>
      <c r="AU440" s="3" t="str">
        <f>IFERROR(__xludf.DUMMYFUNCTION("IMPORTRANGE(""https://docs.google.com/spreadsheets/d/""&amp;$A440&amp;""/edit#gid=156619080"",AU$3)"),"#REF!")</f>
        <v>#REF!</v>
      </c>
      <c r="AV440" s="2" t="str">
        <f>IFERROR(__xludf.DUMMYFUNCTION("IMPORTRANGE(""https://docs.google.com/spreadsheets/d/""&amp;$A440&amp;""/edit#gid=156619080"",AV$3)"),"#REF!")</f>
        <v>#REF!</v>
      </c>
      <c r="AW440" s="19" t="str">
        <f>IFERROR(__xludf.DUMMYFUNCTION("IMPORTRANGE(""https://docs.google.com/spreadsheets/d/""&amp;$A440&amp;""/edit#gid=156619080"",AW$3)"),"#REF!")</f>
        <v>#REF!</v>
      </c>
      <c r="AX440" s="2" t="str">
        <f>IFERROR(__xludf.DUMMYFUNCTION("IMPORTRANGE(""https://docs.google.com/spreadsheets/d/""&amp;$A440&amp;""/edit#gid=156619080"",AX$3)"),"#REF!")</f>
        <v>#REF!</v>
      </c>
      <c r="AY440" s="2" t="str">
        <f>IFERROR(__xludf.DUMMYFUNCTION("IMPORTRANGE(""https://docs.google.com/spreadsheets/d/""&amp;$A440&amp;""/edit#gid=156619080"",AY$3)"),"#REF!")</f>
        <v>#REF!</v>
      </c>
      <c r="AZ440" s="2" t="str">
        <f>IFERROR(__xludf.DUMMYFUNCTION("IMPORTRANGE(""https://docs.google.com/spreadsheets/d/""&amp;$A440&amp;""/edit#gid=156619080"",AZ$3)"),"#REF!")</f>
        <v>#REF!</v>
      </c>
      <c r="BA440" s="2" t="str">
        <f>IFERROR(__xludf.DUMMYFUNCTION("IMPORTRANGE(""https://docs.google.com/spreadsheets/d/""&amp;$A440&amp;""/edit#gid=156619080"",BA$3)"),"#REF!")</f>
        <v>#REF!</v>
      </c>
      <c r="BB440" s="2" t="str">
        <f>IFERROR(__xludf.DUMMYFUNCTION("IMPORTRANGE(""https://docs.google.com/spreadsheets/d/""&amp;$A440&amp;""/edit#gid=156619080"",BB$3)"),"#REF!")</f>
        <v>#REF!</v>
      </c>
      <c r="BC440" s="2" t="str">
        <f>IFERROR(__xludf.DUMMYFUNCTION("IMPORTRANGE(""https://docs.google.com/spreadsheets/d/""&amp;$A440&amp;""/edit#gid=156619080"",BC$3)"),"#REF!")</f>
        <v>#REF!</v>
      </c>
    </row>
    <row r="441" ht="51.0" customHeight="1">
      <c r="A441" s="7" t="str">
        <f t="shared" si="5"/>
        <v>1yW-f-pvyPbpL-ustrufz4mqPQ6JHyT09uix9QOdhAjs</v>
      </c>
      <c r="B441" s="1" t="s">
        <v>468</v>
      </c>
      <c r="C441" s="2" t="str">
        <f>IFERROR(__xludf.DUMMYFUNCTION("IMPORTRANGE(""https://docs.google.com/spreadsheets/d/""&amp;$A441&amp;""/edit#gid=156619080"",C$3)"),"#REF!")</f>
        <v>#REF!</v>
      </c>
      <c r="D441" s="2" t="str">
        <f>IFERROR(__xludf.DUMMYFUNCTION("IMPORTRANGE(""https://docs.google.com/spreadsheets/d/""&amp;$A441&amp;""/edit#gid=156619080"",D$3)"),"#REF!")</f>
        <v>#REF!</v>
      </c>
      <c r="E441" s="2" t="str">
        <f>IFERROR(__xludf.DUMMYFUNCTION("IMPORTRANGE(""https://docs.google.com/spreadsheets/d/""&amp;$A441&amp;""/edit#gid=156619080"",E$3)"),"#REF!")</f>
        <v>#REF!</v>
      </c>
      <c r="F441" s="2" t="str">
        <f>IFERROR(__xludf.DUMMYFUNCTION("IMPORTRANGE(""https://docs.google.com/spreadsheets/d/""&amp;$A441&amp;""/edit#gid=156619080"",F$3)"),"#REF!")</f>
        <v>#REF!</v>
      </c>
      <c r="G441" s="2" t="str">
        <f>IFERROR(__xludf.DUMMYFUNCTION("IMPORTRANGE(""https://docs.google.com/spreadsheets/d/""&amp;$A441&amp;""/edit#gid=156619080"",G$3)"),"#REF!")</f>
        <v>#REF!</v>
      </c>
      <c r="H441" s="2" t="str">
        <f>IFERROR(__xludf.DUMMYFUNCTION("IMPORTRANGE(""https://docs.google.com/spreadsheets/d/""&amp;$A441&amp;""/edit#gid=156619080"",H$3)"),"#REF!")</f>
        <v>#REF!</v>
      </c>
      <c r="I441" s="2" t="str">
        <f>IFERROR(__xludf.DUMMYFUNCTION("IMPORTRANGE(""https://docs.google.com/spreadsheets/d/""&amp;$A441&amp;""/edit#gid=156619080"",I$3)"),"#REF!")</f>
        <v>#REF!</v>
      </c>
      <c r="J441" s="2" t="str">
        <f>IFERROR(__xludf.DUMMYFUNCTION("IMPORTRANGE(""https://docs.google.com/spreadsheets/d/""&amp;$A441&amp;""/edit#gid=156619080"",J$3)"),"#REF!")</f>
        <v>#REF!</v>
      </c>
      <c r="K441" s="2" t="str">
        <f>IFERROR(__xludf.DUMMYFUNCTION("IMPORTRANGE(""https://docs.google.com/spreadsheets/d/""&amp;$A441&amp;""/edit#gid=156619080"",K$3)"),"#REF!")</f>
        <v>#REF!</v>
      </c>
      <c r="L441" s="2" t="str">
        <f>IFERROR(__xludf.DUMMYFUNCTION("IMPORTRANGE(""https://docs.google.com/spreadsheets/d/""&amp;$A441&amp;""/edit#gid=156619080"",L$3)"),"#REF!")</f>
        <v>#REF!</v>
      </c>
      <c r="M441" s="2" t="str">
        <f>IFERROR(__xludf.DUMMYFUNCTION("IMPORTRANGE(""https://docs.google.com/spreadsheets/d/""&amp;$A441&amp;""/edit#gid=156619080"",M$3)"),"#REF!")</f>
        <v>#REF!</v>
      </c>
      <c r="N441" s="2" t="str">
        <f>IFERROR(__xludf.DUMMYFUNCTION("IMPORTRANGE(""https://docs.google.com/spreadsheets/d/""&amp;$A441&amp;""/edit#gid=156619080"",N$3)"),"#REF!")</f>
        <v>#REF!</v>
      </c>
      <c r="O441" s="2" t="str">
        <f>IFERROR(__xludf.DUMMYFUNCTION("IMPORTRANGE(""https://docs.google.com/spreadsheets/d/""&amp;$A441&amp;""/edit#gid=156619080"",O$3)"),"#REF!")</f>
        <v>#REF!</v>
      </c>
      <c r="P441" s="2" t="str">
        <f>IFERROR(__xludf.DUMMYFUNCTION("IMPORTRANGE(""https://docs.google.com/spreadsheets/d/""&amp;$A441&amp;""/edit#gid=156619080"",P$3)"),"#REF!")</f>
        <v>#REF!</v>
      </c>
      <c r="Q441" s="2" t="str">
        <f>IFERROR(__xludf.DUMMYFUNCTION("IMPORTRANGE(""https://docs.google.com/spreadsheets/d/""&amp;$A441&amp;""/edit#gid=156619080"",Q$3)"),"#REF!")</f>
        <v>#REF!</v>
      </c>
      <c r="R441" s="2" t="str">
        <f>IFERROR(__xludf.DUMMYFUNCTION("IMPORTRANGE(""https://docs.google.com/spreadsheets/d/""&amp;$A441&amp;""/edit#gid=156619080"",R$3)"),"#REF!")</f>
        <v>#REF!</v>
      </c>
      <c r="S441" s="2" t="str">
        <f>IFERROR(__xludf.DUMMYFUNCTION("IMPORTRANGE(""https://docs.google.com/spreadsheets/d/""&amp;$A441&amp;""/edit#gid=156619080"",S$3)"),"#REF!")</f>
        <v>#REF!</v>
      </c>
      <c r="T441" s="2" t="str">
        <f>IFERROR(__xludf.DUMMYFUNCTION("IMPORTRANGE(""https://docs.google.com/spreadsheets/d/""&amp;$A441&amp;""/edit#gid=156619080"",T$3)"),"#REF!")</f>
        <v>#REF!</v>
      </c>
      <c r="U441" s="2" t="str">
        <f>IFERROR(__xludf.DUMMYFUNCTION("IMPORTRANGE(""https://docs.google.com/spreadsheets/d/""&amp;$A441&amp;""/edit#gid=156619080"",U$3)"),"#REF!")</f>
        <v>#REF!</v>
      </c>
      <c r="V441" s="2" t="str">
        <f>IFERROR(__xludf.DUMMYFUNCTION("IMPORTRANGE(""https://docs.google.com/spreadsheets/d/""&amp;$A441&amp;""/edit#gid=156619080"",V$3)"),"#REF!")</f>
        <v>#REF!</v>
      </c>
      <c r="W441" s="2" t="str">
        <f>IFERROR(__xludf.DUMMYFUNCTION("IMPORTRANGE(""https://docs.google.com/spreadsheets/d/""&amp;$A441&amp;""/edit#gid=156619080"",W$3)"),"#REF!")</f>
        <v>#REF!</v>
      </c>
      <c r="X441" s="2" t="str">
        <f>IFERROR(__xludf.DUMMYFUNCTION("IMPORTRANGE(""https://docs.google.com/spreadsheets/d/""&amp;$A441&amp;""/edit#gid=156619080"",X$3)"),"#REF!")</f>
        <v>#REF!</v>
      </c>
      <c r="Y441" s="2" t="str">
        <f>IFERROR(__xludf.DUMMYFUNCTION("IMPORTRANGE(""https://docs.google.com/spreadsheets/d/""&amp;$A441&amp;""/edit#gid=156619080"",Y$3)"),"#REF!")</f>
        <v>#REF!</v>
      </c>
      <c r="Z441" s="2" t="str">
        <f>IFERROR(__xludf.DUMMYFUNCTION("IMPORTRANGE(""https://docs.google.com/spreadsheets/d/""&amp;$A441&amp;""/edit#gid=156619080"",Z$3)"),"#REF!")</f>
        <v>#REF!</v>
      </c>
      <c r="AA441" s="2" t="str">
        <f>IFERROR(__xludf.DUMMYFUNCTION("IMPORTRANGE(""https://docs.google.com/spreadsheets/d/""&amp;$A441&amp;""/edit#gid=156619080"",AA$3)"),"#REF!")</f>
        <v>#REF!</v>
      </c>
      <c r="AB441" s="2" t="str">
        <f>IFERROR(__xludf.DUMMYFUNCTION("IMPORTRANGE(""https://docs.google.com/spreadsheets/d/""&amp;$A441&amp;""/edit#gid=156619080"",AB$3)"),"#REF!")</f>
        <v>#REF!</v>
      </c>
      <c r="AC441" s="2" t="str">
        <f>IFERROR(__xludf.DUMMYFUNCTION("IMPORTRANGE(""https://docs.google.com/spreadsheets/d/""&amp;$A441&amp;""/edit#gid=156619080"",AC$3)"),"#REF!")</f>
        <v>#REF!</v>
      </c>
      <c r="AD441" s="2" t="str">
        <f>IFERROR(__xludf.DUMMYFUNCTION("IMPORTRANGE(""https://docs.google.com/spreadsheets/d/""&amp;$A441&amp;""/edit#gid=156619080"",AD$3)"),"#REF!")</f>
        <v>#REF!</v>
      </c>
      <c r="AE441" s="2" t="str">
        <f>IFERROR(__xludf.DUMMYFUNCTION("IMPORTRANGE(""https://docs.google.com/spreadsheets/d/""&amp;$A441&amp;""/edit#gid=156619080"",AE$3)"),"#REF!")</f>
        <v>#REF!</v>
      </c>
      <c r="AF441" s="2" t="str">
        <f>IFERROR(__xludf.DUMMYFUNCTION("IMPORTRANGE(""https://docs.google.com/spreadsheets/d/""&amp;$A441&amp;""/edit#gid=156619080"",AF$3)"),"#REF!")</f>
        <v>#REF!</v>
      </c>
      <c r="AG441" s="2" t="str">
        <f>IFERROR(__xludf.DUMMYFUNCTION("IMPORTRANGE(""https://docs.google.com/spreadsheets/d/""&amp;$A441&amp;""/edit#gid=156619080"",AG$3)"),"#REF!")</f>
        <v>#REF!</v>
      </c>
      <c r="AH441" s="2" t="str">
        <f>IFERROR(__xludf.DUMMYFUNCTION("IMPORTRANGE(""https://docs.google.com/spreadsheets/d/""&amp;$A441&amp;""/edit#gid=156619080"",AH$3)"),"#REF!")</f>
        <v>#REF!</v>
      </c>
      <c r="AI441" s="2" t="str">
        <f>IFERROR(__xludf.DUMMYFUNCTION("IMPORTRANGE(""https://docs.google.com/spreadsheets/d/""&amp;$A441&amp;""/edit#gid=156619080"",AI$3)"),"#REF!")</f>
        <v>#REF!</v>
      </c>
      <c r="AJ441" s="2" t="str">
        <f>IFERROR(__xludf.DUMMYFUNCTION("IMPORTRANGE(""https://docs.google.com/spreadsheets/d/""&amp;$A441&amp;""/edit#gid=156619080"",AJ$3)"),"#REF!")</f>
        <v>#REF!</v>
      </c>
      <c r="AK441" s="2" t="str">
        <f>IFERROR(__xludf.DUMMYFUNCTION("IMPORTRANGE(""https://docs.google.com/spreadsheets/d/""&amp;$A441&amp;""/edit#gid=156619080"",AK$3)"),"#REF!")</f>
        <v>#REF!</v>
      </c>
      <c r="AL441" s="2" t="str">
        <f>IFERROR(__xludf.DUMMYFUNCTION("IMPORTRANGE(""https://docs.google.com/spreadsheets/d/""&amp;$A441&amp;""/edit#gid=156619080"",AL$3)"),"#REF!")</f>
        <v>#REF!</v>
      </c>
      <c r="AM441" s="2" t="str">
        <f>IFERROR(__xludf.DUMMYFUNCTION("IMPORTRANGE(""https://docs.google.com/spreadsheets/d/""&amp;$A441&amp;""/edit#gid=156619080"",AM$3)"),"#REF!")</f>
        <v>#REF!</v>
      </c>
      <c r="AN441" s="2" t="str">
        <f>IFERROR(__xludf.DUMMYFUNCTION("IMPORTRANGE(""https://docs.google.com/spreadsheets/d/""&amp;$A441&amp;""/edit#gid=156619080"",AN$3)"),"#REF!")</f>
        <v>#REF!</v>
      </c>
      <c r="AO441" s="2" t="str">
        <f>IFERROR(__xludf.DUMMYFUNCTION("IMPORTRANGE(""https://docs.google.com/spreadsheets/d/""&amp;$A441&amp;""/edit#gid=156619080"",AO$3)"),"#REF!")</f>
        <v>#REF!</v>
      </c>
      <c r="AP441" s="2" t="str">
        <f>IFERROR(__xludf.DUMMYFUNCTION("IMPORTRANGE(""https://docs.google.com/spreadsheets/d/""&amp;$A441&amp;""/edit#gid=156619080"",AP$3)"),"#REF!")</f>
        <v>#REF!</v>
      </c>
      <c r="AQ441" s="2" t="str">
        <f>IFERROR(__xludf.DUMMYFUNCTION("IMPORTRANGE(""https://docs.google.com/spreadsheets/d/""&amp;$A441&amp;""/edit#gid=156619080"",AQ$3)"),"#REF!")</f>
        <v>#REF!</v>
      </c>
      <c r="AR441" s="2" t="str">
        <f>IFERROR(__xludf.DUMMYFUNCTION("IMPORTRANGE(""https://docs.google.com/spreadsheets/d/""&amp;$A441&amp;""/edit#gid=156619080"",AR$3)"),"#REF!")</f>
        <v>#REF!</v>
      </c>
      <c r="AS441" s="19" t="str">
        <f>IFERROR(__xludf.DUMMYFUNCTION("IMPORTRANGE(""https://docs.google.com/spreadsheets/d/""&amp;$A441&amp;""/edit#gid=156619080"",AS$3)"),"#REF!")</f>
        <v>#REF!</v>
      </c>
      <c r="AT441" s="2" t="str">
        <f>IFERROR(__xludf.DUMMYFUNCTION("IMPORTRANGE(""https://docs.google.com/spreadsheets/d/""&amp;$A441&amp;""/edit#gid=156619080"",AT$3)"),"#REF!")</f>
        <v>#REF!</v>
      </c>
      <c r="AU441" s="3" t="str">
        <f>IFERROR(__xludf.DUMMYFUNCTION("IMPORTRANGE(""https://docs.google.com/spreadsheets/d/""&amp;$A441&amp;""/edit#gid=156619080"",AU$3)"),"#REF!")</f>
        <v>#REF!</v>
      </c>
      <c r="AV441" s="2" t="str">
        <f>IFERROR(__xludf.DUMMYFUNCTION("IMPORTRANGE(""https://docs.google.com/spreadsheets/d/""&amp;$A441&amp;""/edit#gid=156619080"",AV$3)"),"#REF!")</f>
        <v>#REF!</v>
      </c>
      <c r="AW441" s="19" t="str">
        <f>IFERROR(__xludf.DUMMYFUNCTION("IMPORTRANGE(""https://docs.google.com/spreadsheets/d/""&amp;$A441&amp;""/edit#gid=156619080"",AW$3)"),"#REF!")</f>
        <v>#REF!</v>
      </c>
      <c r="AX441" s="2" t="str">
        <f>IFERROR(__xludf.DUMMYFUNCTION("IMPORTRANGE(""https://docs.google.com/spreadsheets/d/""&amp;$A441&amp;""/edit#gid=156619080"",AX$3)"),"#REF!")</f>
        <v>#REF!</v>
      </c>
      <c r="AY441" s="2" t="str">
        <f>IFERROR(__xludf.DUMMYFUNCTION("IMPORTRANGE(""https://docs.google.com/spreadsheets/d/""&amp;$A441&amp;""/edit#gid=156619080"",AY$3)"),"#REF!")</f>
        <v>#REF!</v>
      </c>
      <c r="AZ441" s="2" t="str">
        <f>IFERROR(__xludf.DUMMYFUNCTION("IMPORTRANGE(""https://docs.google.com/spreadsheets/d/""&amp;$A441&amp;""/edit#gid=156619080"",AZ$3)"),"#REF!")</f>
        <v>#REF!</v>
      </c>
      <c r="BA441" s="2" t="str">
        <f>IFERROR(__xludf.DUMMYFUNCTION("IMPORTRANGE(""https://docs.google.com/spreadsheets/d/""&amp;$A441&amp;""/edit#gid=156619080"",BA$3)"),"#REF!")</f>
        <v>#REF!</v>
      </c>
      <c r="BB441" s="2" t="str">
        <f>IFERROR(__xludf.DUMMYFUNCTION("IMPORTRANGE(""https://docs.google.com/spreadsheets/d/""&amp;$A441&amp;""/edit#gid=156619080"",BB$3)"),"#REF!")</f>
        <v>#REF!</v>
      </c>
      <c r="BC441" s="2" t="str">
        <f>IFERROR(__xludf.DUMMYFUNCTION("IMPORTRANGE(""https://docs.google.com/spreadsheets/d/""&amp;$A441&amp;""/edit#gid=156619080"",BC$3)"),"#REF!")</f>
        <v>#REF!</v>
      </c>
    </row>
    <row r="442" ht="51.0" customHeight="1">
      <c r="A442" s="7" t="str">
        <f t="shared" si="5"/>
        <v>1XZg7zFBgHqN0nBm9h5so0c6I13z6sH2A4JeqVE8NHjY</v>
      </c>
      <c r="B442" s="1" t="s">
        <v>469</v>
      </c>
      <c r="C442" s="2" t="str">
        <f>IFERROR(__xludf.DUMMYFUNCTION("IMPORTRANGE(""https://docs.google.com/spreadsheets/d/""&amp;$A442&amp;""/edit#gid=156619080"",C$3)"),"#REF!")</f>
        <v>#REF!</v>
      </c>
      <c r="D442" s="2" t="str">
        <f>IFERROR(__xludf.DUMMYFUNCTION("IMPORTRANGE(""https://docs.google.com/spreadsheets/d/""&amp;$A442&amp;""/edit#gid=156619080"",D$3)"),"#REF!")</f>
        <v>#REF!</v>
      </c>
      <c r="E442" s="2" t="str">
        <f>IFERROR(__xludf.DUMMYFUNCTION("IMPORTRANGE(""https://docs.google.com/spreadsheets/d/""&amp;$A442&amp;""/edit#gid=156619080"",E$3)"),"#REF!")</f>
        <v>#REF!</v>
      </c>
      <c r="F442" s="2" t="str">
        <f>IFERROR(__xludf.DUMMYFUNCTION("IMPORTRANGE(""https://docs.google.com/spreadsheets/d/""&amp;$A442&amp;""/edit#gid=156619080"",F$3)"),"#REF!")</f>
        <v>#REF!</v>
      </c>
      <c r="G442" s="2" t="str">
        <f>IFERROR(__xludf.DUMMYFUNCTION("IMPORTRANGE(""https://docs.google.com/spreadsheets/d/""&amp;$A442&amp;""/edit#gid=156619080"",G$3)"),"#REF!")</f>
        <v>#REF!</v>
      </c>
      <c r="H442" s="2" t="str">
        <f>IFERROR(__xludf.DUMMYFUNCTION("IMPORTRANGE(""https://docs.google.com/spreadsheets/d/""&amp;$A442&amp;""/edit#gid=156619080"",H$3)"),"#REF!")</f>
        <v>#REF!</v>
      </c>
      <c r="I442" s="2" t="str">
        <f>IFERROR(__xludf.DUMMYFUNCTION("IMPORTRANGE(""https://docs.google.com/spreadsheets/d/""&amp;$A442&amp;""/edit#gid=156619080"",I$3)"),"#REF!")</f>
        <v>#REF!</v>
      </c>
      <c r="J442" s="2" t="str">
        <f>IFERROR(__xludf.DUMMYFUNCTION("IMPORTRANGE(""https://docs.google.com/spreadsheets/d/""&amp;$A442&amp;""/edit#gid=156619080"",J$3)"),"#REF!")</f>
        <v>#REF!</v>
      </c>
      <c r="K442" s="2" t="str">
        <f>IFERROR(__xludf.DUMMYFUNCTION("IMPORTRANGE(""https://docs.google.com/spreadsheets/d/""&amp;$A442&amp;""/edit#gid=156619080"",K$3)"),"#REF!")</f>
        <v>#REF!</v>
      </c>
      <c r="L442" s="2" t="str">
        <f>IFERROR(__xludf.DUMMYFUNCTION("IMPORTRANGE(""https://docs.google.com/spreadsheets/d/""&amp;$A442&amp;""/edit#gid=156619080"",L$3)"),"#REF!")</f>
        <v>#REF!</v>
      </c>
      <c r="M442" s="2" t="str">
        <f>IFERROR(__xludf.DUMMYFUNCTION("IMPORTRANGE(""https://docs.google.com/spreadsheets/d/""&amp;$A442&amp;""/edit#gid=156619080"",M$3)"),"#REF!")</f>
        <v>#REF!</v>
      </c>
      <c r="N442" s="2" t="str">
        <f>IFERROR(__xludf.DUMMYFUNCTION("IMPORTRANGE(""https://docs.google.com/spreadsheets/d/""&amp;$A442&amp;""/edit#gid=156619080"",N$3)"),"#REF!")</f>
        <v>#REF!</v>
      </c>
      <c r="O442" s="2" t="str">
        <f>IFERROR(__xludf.DUMMYFUNCTION("IMPORTRANGE(""https://docs.google.com/spreadsheets/d/""&amp;$A442&amp;""/edit#gid=156619080"",O$3)"),"#REF!")</f>
        <v>#REF!</v>
      </c>
      <c r="P442" s="2" t="str">
        <f>IFERROR(__xludf.DUMMYFUNCTION("IMPORTRANGE(""https://docs.google.com/spreadsheets/d/""&amp;$A442&amp;""/edit#gid=156619080"",P$3)"),"#REF!")</f>
        <v>#REF!</v>
      </c>
      <c r="Q442" s="2" t="str">
        <f>IFERROR(__xludf.DUMMYFUNCTION("IMPORTRANGE(""https://docs.google.com/spreadsheets/d/""&amp;$A442&amp;""/edit#gid=156619080"",Q$3)"),"#REF!")</f>
        <v>#REF!</v>
      </c>
      <c r="R442" s="2" t="str">
        <f>IFERROR(__xludf.DUMMYFUNCTION("IMPORTRANGE(""https://docs.google.com/spreadsheets/d/""&amp;$A442&amp;""/edit#gid=156619080"",R$3)"),"#REF!")</f>
        <v>#REF!</v>
      </c>
      <c r="S442" s="2" t="str">
        <f>IFERROR(__xludf.DUMMYFUNCTION("IMPORTRANGE(""https://docs.google.com/spreadsheets/d/""&amp;$A442&amp;""/edit#gid=156619080"",S$3)"),"#REF!")</f>
        <v>#REF!</v>
      </c>
      <c r="T442" s="2" t="str">
        <f>IFERROR(__xludf.DUMMYFUNCTION("IMPORTRANGE(""https://docs.google.com/spreadsheets/d/""&amp;$A442&amp;""/edit#gid=156619080"",T$3)"),"#REF!")</f>
        <v>#REF!</v>
      </c>
      <c r="U442" s="2" t="str">
        <f>IFERROR(__xludf.DUMMYFUNCTION("IMPORTRANGE(""https://docs.google.com/spreadsheets/d/""&amp;$A442&amp;""/edit#gid=156619080"",U$3)"),"#REF!")</f>
        <v>#REF!</v>
      </c>
      <c r="V442" s="2" t="str">
        <f>IFERROR(__xludf.DUMMYFUNCTION("IMPORTRANGE(""https://docs.google.com/spreadsheets/d/""&amp;$A442&amp;""/edit#gid=156619080"",V$3)"),"#REF!")</f>
        <v>#REF!</v>
      </c>
      <c r="W442" s="2" t="str">
        <f>IFERROR(__xludf.DUMMYFUNCTION("IMPORTRANGE(""https://docs.google.com/spreadsheets/d/""&amp;$A442&amp;""/edit#gid=156619080"",W$3)"),"#REF!")</f>
        <v>#REF!</v>
      </c>
      <c r="X442" s="2" t="str">
        <f>IFERROR(__xludf.DUMMYFUNCTION("IMPORTRANGE(""https://docs.google.com/spreadsheets/d/""&amp;$A442&amp;""/edit#gid=156619080"",X$3)"),"#REF!")</f>
        <v>#REF!</v>
      </c>
      <c r="Y442" s="2" t="str">
        <f>IFERROR(__xludf.DUMMYFUNCTION("IMPORTRANGE(""https://docs.google.com/spreadsheets/d/""&amp;$A442&amp;""/edit#gid=156619080"",Y$3)"),"#REF!")</f>
        <v>#REF!</v>
      </c>
      <c r="Z442" s="2" t="str">
        <f>IFERROR(__xludf.DUMMYFUNCTION("IMPORTRANGE(""https://docs.google.com/spreadsheets/d/""&amp;$A442&amp;""/edit#gid=156619080"",Z$3)"),"#REF!")</f>
        <v>#REF!</v>
      </c>
      <c r="AA442" s="2" t="str">
        <f>IFERROR(__xludf.DUMMYFUNCTION("IMPORTRANGE(""https://docs.google.com/spreadsheets/d/""&amp;$A442&amp;""/edit#gid=156619080"",AA$3)"),"#REF!")</f>
        <v>#REF!</v>
      </c>
      <c r="AB442" s="2" t="str">
        <f>IFERROR(__xludf.DUMMYFUNCTION("IMPORTRANGE(""https://docs.google.com/spreadsheets/d/""&amp;$A442&amp;""/edit#gid=156619080"",AB$3)"),"#REF!")</f>
        <v>#REF!</v>
      </c>
      <c r="AC442" s="2" t="str">
        <f>IFERROR(__xludf.DUMMYFUNCTION("IMPORTRANGE(""https://docs.google.com/spreadsheets/d/""&amp;$A442&amp;""/edit#gid=156619080"",AC$3)"),"#REF!")</f>
        <v>#REF!</v>
      </c>
      <c r="AD442" s="2" t="str">
        <f>IFERROR(__xludf.DUMMYFUNCTION("IMPORTRANGE(""https://docs.google.com/spreadsheets/d/""&amp;$A442&amp;""/edit#gid=156619080"",AD$3)"),"#REF!")</f>
        <v>#REF!</v>
      </c>
      <c r="AE442" s="2" t="str">
        <f>IFERROR(__xludf.DUMMYFUNCTION("IMPORTRANGE(""https://docs.google.com/spreadsheets/d/""&amp;$A442&amp;""/edit#gid=156619080"",AE$3)"),"#REF!")</f>
        <v>#REF!</v>
      </c>
      <c r="AF442" s="2" t="str">
        <f>IFERROR(__xludf.DUMMYFUNCTION("IMPORTRANGE(""https://docs.google.com/spreadsheets/d/""&amp;$A442&amp;""/edit#gid=156619080"",AF$3)"),"#REF!")</f>
        <v>#REF!</v>
      </c>
      <c r="AG442" s="2" t="str">
        <f>IFERROR(__xludf.DUMMYFUNCTION("IMPORTRANGE(""https://docs.google.com/spreadsheets/d/""&amp;$A442&amp;""/edit#gid=156619080"",AG$3)"),"#REF!")</f>
        <v>#REF!</v>
      </c>
      <c r="AH442" s="2" t="str">
        <f>IFERROR(__xludf.DUMMYFUNCTION("IMPORTRANGE(""https://docs.google.com/spreadsheets/d/""&amp;$A442&amp;""/edit#gid=156619080"",AH$3)"),"#REF!")</f>
        <v>#REF!</v>
      </c>
      <c r="AI442" s="2" t="str">
        <f>IFERROR(__xludf.DUMMYFUNCTION("IMPORTRANGE(""https://docs.google.com/spreadsheets/d/""&amp;$A442&amp;""/edit#gid=156619080"",AI$3)"),"#REF!")</f>
        <v>#REF!</v>
      </c>
      <c r="AJ442" s="2" t="str">
        <f>IFERROR(__xludf.DUMMYFUNCTION("IMPORTRANGE(""https://docs.google.com/spreadsheets/d/""&amp;$A442&amp;""/edit#gid=156619080"",AJ$3)"),"#REF!")</f>
        <v>#REF!</v>
      </c>
      <c r="AK442" s="2" t="str">
        <f>IFERROR(__xludf.DUMMYFUNCTION("IMPORTRANGE(""https://docs.google.com/spreadsheets/d/""&amp;$A442&amp;""/edit#gid=156619080"",AK$3)"),"#REF!")</f>
        <v>#REF!</v>
      </c>
      <c r="AL442" s="2" t="str">
        <f>IFERROR(__xludf.DUMMYFUNCTION("IMPORTRANGE(""https://docs.google.com/spreadsheets/d/""&amp;$A442&amp;""/edit#gid=156619080"",AL$3)"),"#REF!")</f>
        <v>#REF!</v>
      </c>
      <c r="AM442" s="2" t="str">
        <f>IFERROR(__xludf.DUMMYFUNCTION("IMPORTRANGE(""https://docs.google.com/spreadsheets/d/""&amp;$A442&amp;""/edit#gid=156619080"",AM$3)"),"#REF!")</f>
        <v>#REF!</v>
      </c>
      <c r="AN442" s="2" t="str">
        <f>IFERROR(__xludf.DUMMYFUNCTION("IMPORTRANGE(""https://docs.google.com/spreadsheets/d/""&amp;$A442&amp;""/edit#gid=156619080"",AN$3)"),"#REF!")</f>
        <v>#REF!</v>
      </c>
      <c r="AO442" s="2" t="str">
        <f>IFERROR(__xludf.DUMMYFUNCTION("IMPORTRANGE(""https://docs.google.com/spreadsheets/d/""&amp;$A442&amp;""/edit#gid=156619080"",AO$3)"),"#REF!")</f>
        <v>#REF!</v>
      </c>
      <c r="AP442" s="2" t="str">
        <f>IFERROR(__xludf.DUMMYFUNCTION("IMPORTRANGE(""https://docs.google.com/spreadsheets/d/""&amp;$A442&amp;""/edit#gid=156619080"",AP$3)"),"#REF!")</f>
        <v>#REF!</v>
      </c>
      <c r="AQ442" s="2" t="str">
        <f>IFERROR(__xludf.DUMMYFUNCTION("IMPORTRANGE(""https://docs.google.com/spreadsheets/d/""&amp;$A442&amp;""/edit#gid=156619080"",AQ$3)"),"#REF!")</f>
        <v>#REF!</v>
      </c>
      <c r="AR442" s="2" t="str">
        <f>IFERROR(__xludf.DUMMYFUNCTION("IMPORTRANGE(""https://docs.google.com/spreadsheets/d/""&amp;$A442&amp;""/edit#gid=156619080"",AR$3)"),"#REF!")</f>
        <v>#REF!</v>
      </c>
      <c r="AS442" s="19" t="str">
        <f>IFERROR(__xludf.DUMMYFUNCTION("IMPORTRANGE(""https://docs.google.com/spreadsheets/d/""&amp;$A442&amp;""/edit#gid=156619080"",AS$3)"),"#REF!")</f>
        <v>#REF!</v>
      </c>
      <c r="AT442" s="2" t="str">
        <f>IFERROR(__xludf.DUMMYFUNCTION("IMPORTRANGE(""https://docs.google.com/spreadsheets/d/""&amp;$A442&amp;""/edit#gid=156619080"",AT$3)"),"#REF!")</f>
        <v>#REF!</v>
      </c>
      <c r="AU442" s="3" t="str">
        <f>IFERROR(__xludf.DUMMYFUNCTION("IMPORTRANGE(""https://docs.google.com/spreadsheets/d/""&amp;$A442&amp;""/edit#gid=156619080"",AU$3)"),"#REF!")</f>
        <v>#REF!</v>
      </c>
      <c r="AV442" s="2" t="str">
        <f>IFERROR(__xludf.DUMMYFUNCTION("IMPORTRANGE(""https://docs.google.com/spreadsheets/d/""&amp;$A442&amp;""/edit#gid=156619080"",AV$3)"),"#REF!")</f>
        <v>#REF!</v>
      </c>
      <c r="AW442" s="19" t="str">
        <f>IFERROR(__xludf.DUMMYFUNCTION("IMPORTRANGE(""https://docs.google.com/spreadsheets/d/""&amp;$A442&amp;""/edit#gid=156619080"",AW$3)"),"#REF!")</f>
        <v>#REF!</v>
      </c>
      <c r="AX442" s="2" t="str">
        <f>IFERROR(__xludf.DUMMYFUNCTION("IMPORTRANGE(""https://docs.google.com/spreadsheets/d/""&amp;$A442&amp;""/edit#gid=156619080"",AX$3)"),"#REF!")</f>
        <v>#REF!</v>
      </c>
      <c r="AY442" s="2" t="str">
        <f>IFERROR(__xludf.DUMMYFUNCTION("IMPORTRANGE(""https://docs.google.com/spreadsheets/d/""&amp;$A442&amp;""/edit#gid=156619080"",AY$3)"),"#REF!")</f>
        <v>#REF!</v>
      </c>
      <c r="AZ442" s="2" t="str">
        <f>IFERROR(__xludf.DUMMYFUNCTION("IMPORTRANGE(""https://docs.google.com/spreadsheets/d/""&amp;$A442&amp;""/edit#gid=156619080"",AZ$3)"),"#REF!")</f>
        <v>#REF!</v>
      </c>
      <c r="BA442" s="2" t="str">
        <f>IFERROR(__xludf.DUMMYFUNCTION("IMPORTRANGE(""https://docs.google.com/spreadsheets/d/""&amp;$A442&amp;""/edit#gid=156619080"",BA$3)"),"#REF!")</f>
        <v>#REF!</v>
      </c>
      <c r="BB442" s="2" t="str">
        <f>IFERROR(__xludf.DUMMYFUNCTION("IMPORTRANGE(""https://docs.google.com/spreadsheets/d/""&amp;$A442&amp;""/edit#gid=156619080"",BB$3)"),"#REF!")</f>
        <v>#REF!</v>
      </c>
      <c r="BC442" s="2" t="str">
        <f>IFERROR(__xludf.DUMMYFUNCTION("IMPORTRANGE(""https://docs.google.com/spreadsheets/d/""&amp;$A442&amp;""/edit#gid=156619080"",BC$3)"),"#REF!")</f>
        <v>#REF!</v>
      </c>
    </row>
    <row r="443" ht="51.0" customHeight="1">
      <c r="A443" s="7" t="str">
        <f t="shared" si="5"/>
        <v>15IbT7brSPEdO6TRiE8CrEsFBszE8iCu3yrtlkPTyZsk</v>
      </c>
      <c r="B443" s="1" t="s">
        <v>470</v>
      </c>
      <c r="C443" s="2" t="str">
        <f>IFERROR(__xludf.DUMMYFUNCTION("IMPORTRANGE(""https://docs.google.com/spreadsheets/d/""&amp;$A443&amp;""/edit#gid=156619080"",C$3)"),"#REF!")</f>
        <v>#REF!</v>
      </c>
      <c r="D443" s="2" t="str">
        <f>IFERROR(__xludf.DUMMYFUNCTION("IMPORTRANGE(""https://docs.google.com/spreadsheets/d/""&amp;$A443&amp;""/edit#gid=156619080"",D$3)"),"#REF!")</f>
        <v>#REF!</v>
      </c>
      <c r="E443" s="2" t="str">
        <f>IFERROR(__xludf.DUMMYFUNCTION("IMPORTRANGE(""https://docs.google.com/spreadsheets/d/""&amp;$A443&amp;""/edit#gid=156619080"",E$3)"),"#REF!")</f>
        <v>#REF!</v>
      </c>
      <c r="F443" s="2" t="str">
        <f>IFERROR(__xludf.DUMMYFUNCTION("IMPORTRANGE(""https://docs.google.com/spreadsheets/d/""&amp;$A443&amp;""/edit#gid=156619080"",F$3)"),"#REF!")</f>
        <v>#REF!</v>
      </c>
      <c r="G443" s="2" t="str">
        <f>IFERROR(__xludf.DUMMYFUNCTION("IMPORTRANGE(""https://docs.google.com/spreadsheets/d/""&amp;$A443&amp;""/edit#gid=156619080"",G$3)"),"#REF!")</f>
        <v>#REF!</v>
      </c>
      <c r="H443" s="2" t="str">
        <f>IFERROR(__xludf.DUMMYFUNCTION("IMPORTRANGE(""https://docs.google.com/spreadsheets/d/""&amp;$A443&amp;""/edit#gid=156619080"",H$3)"),"#REF!")</f>
        <v>#REF!</v>
      </c>
      <c r="I443" s="2" t="str">
        <f>IFERROR(__xludf.DUMMYFUNCTION("IMPORTRANGE(""https://docs.google.com/spreadsheets/d/""&amp;$A443&amp;""/edit#gid=156619080"",I$3)"),"#REF!")</f>
        <v>#REF!</v>
      </c>
      <c r="J443" s="2" t="str">
        <f>IFERROR(__xludf.DUMMYFUNCTION("IMPORTRANGE(""https://docs.google.com/spreadsheets/d/""&amp;$A443&amp;""/edit#gid=156619080"",J$3)"),"#REF!")</f>
        <v>#REF!</v>
      </c>
      <c r="K443" s="2" t="str">
        <f>IFERROR(__xludf.DUMMYFUNCTION("IMPORTRANGE(""https://docs.google.com/spreadsheets/d/""&amp;$A443&amp;""/edit#gid=156619080"",K$3)"),"#REF!")</f>
        <v>#REF!</v>
      </c>
      <c r="L443" s="2" t="str">
        <f>IFERROR(__xludf.DUMMYFUNCTION("IMPORTRANGE(""https://docs.google.com/spreadsheets/d/""&amp;$A443&amp;""/edit#gid=156619080"",L$3)"),"#REF!")</f>
        <v>#REF!</v>
      </c>
      <c r="M443" s="2" t="str">
        <f>IFERROR(__xludf.DUMMYFUNCTION("IMPORTRANGE(""https://docs.google.com/spreadsheets/d/""&amp;$A443&amp;""/edit#gid=156619080"",M$3)"),"#REF!")</f>
        <v>#REF!</v>
      </c>
      <c r="N443" s="2" t="str">
        <f>IFERROR(__xludf.DUMMYFUNCTION("IMPORTRANGE(""https://docs.google.com/spreadsheets/d/""&amp;$A443&amp;""/edit#gid=156619080"",N$3)"),"#REF!")</f>
        <v>#REF!</v>
      </c>
      <c r="O443" s="2" t="str">
        <f>IFERROR(__xludf.DUMMYFUNCTION("IMPORTRANGE(""https://docs.google.com/spreadsheets/d/""&amp;$A443&amp;""/edit#gid=156619080"",O$3)"),"#REF!")</f>
        <v>#REF!</v>
      </c>
      <c r="P443" s="2" t="str">
        <f>IFERROR(__xludf.DUMMYFUNCTION("IMPORTRANGE(""https://docs.google.com/spreadsheets/d/""&amp;$A443&amp;""/edit#gid=156619080"",P$3)"),"#REF!")</f>
        <v>#REF!</v>
      </c>
      <c r="Q443" s="2" t="str">
        <f>IFERROR(__xludf.DUMMYFUNCTION("IMPORTRANGE(""https://docs.google.com/spreadsheets/d/""&amp;$A443&amp;""/edit#gid=156619080"",Q$3)"),"#REF!")</f>
        <v>#REF!</v>
      </c>
      <c r="R443" s="2" t="str">
        <f>IFERROR(__xludf.DUMMYFUNCTION("IMPORTRANGE(""https://docs.google.com/spreadsheets/d/""&amp;$A443&amp;""/edit#gid=156619080"",R$3)"),"#REF!")</f>
        <v>#REF!</v>
      </c>
      <c r="S443" s="2" t="str">
        <f>IFERROR(__xludf.DUMMYFUNCTION("IMPORTRANGE(""https://docs.google.com/spreadsheets/d/""&amp;$A443&amp;""/edit#gid=156619080"",S$3)"),"#REF!")</f>
        <v>#REF!</v>
      </c>
      <c r="T443" s="2" t="str">
        <f>IFERROR(__xludf.DUMMYFUNCTION("IMPORTRANGE(""https://docs.google.com/spreadsheets/d/""&amp;$A443&amp;""/edit#gid=156619080"",T$3)"),"#REF!")</f>
        <v>#REF!</v>
      </c>
      <c r="U443" s="2" t="str">
        <f>IFERROR(__xludf.DUMMYFUNCTION("IMPORTRANGE(""https://docs.google.com/spreadsheets/d/""&amp;$A443&amp;""/edit#gid=156619080"",U$3)"),"#REF!")</f>
        <v>#REF!</v>
      </c>
      <c r="V443" s="2" t="str">
        <f>IFERROR(__xludf.DUMMYFUNCTION("IMPORTRANGE(""https://docs.google.com/spreadsheets/d/""&amp;$A443&amp;""/edit#gid=156619080"",V$3)"),"#REF!")</f>
        <v>#REF!</v>
      </c>
      <c r="W443" s="2" t="str">
        <f>IFERROR(__xludf.DUMMYFUNCTION("IMPORTRANGE(""https://docs.google.com/spreadsheets/d/""&amp;$A443&amp;""/edit#gid=156619080"",W$3)"),"#REF!")</f>
        <v>#REF!</v>
      </c>
      <c r="X443" s="2" t="str">
        <f>IFERROR(__xludf.DUMMYFUNCTION("IMPORTRANGE(""https://docs.google.com/spreadsheets/d/""&amp;$A443&amp;""/edit#gid=156619080"",X$3)"),"#REF!")</f>
        <v>#REF!</v>
      </c>
      <c r="Y443" s="2" t="str">
        <f>IFERROR(__xludf.DUMMYFUNCTION("IMPORTRANGE(""https://docs.google.com/spreadsheets/d/""&amp;$A443&amp;""/edit#gid=156619080"",Y$3)"),"#REF!")</f>
        <v>#REF!</v>
      </c>
      <c r="Z443" s="2" t="str">
        <f>IFERROR(__xludf.DUMMYFUNCTION("IMPORTRANGE(""https://docs.google.com/spreadsheets/d/""&amp;$A443&amp;""/edit#gid=156619080"",Z$3)"),"#REF!")</f>
        <v>#REF!</v>
      </c>
      <c r="AA443" s="2" t="str">
        <f>IFERROR(__xludf.DUMMYFUNCTION("IMPORTRANGE(""https://docs.google.com/spreadsheets/d/""&amp;$A443&amp;""/edit#gid=156619080"",AA$3)"),"#REF!")</f>
        <v>#REF!</v>
      </c>
      <c r="AB443" s="2" t="str">
        <f>IFERROR(__xludf.DUMMYFUNCTION("IMPORTRANGE(""https://docs.google.com/spreadsheets/d/""&amp;$A443&amp;""/edit#gid=156619080"",AB$3)"),"#REF!")</f>
        <v>#REF!</v>
      </c>
      <c r="AC443" s="2" t="str">
        <f>IFERROR(__xludf.DUMMYFUNCTION("IMPORTRANGE(""https://docs.google.com/spreadsheets/d/""&amp;$A443&amp;""/edit#gid=156619080"",AC$3)"),"#REF!")</f>
        <v>#REF!</v>
      </c>
      <c r="AD443" s="2" t="str">
        <f>IFERROR(__xludf.DUMMYFUNCTION("IMPORTRANGE(""https://docs.google.com/spreadsheets/d/""&amp;$A443&amp;""/edit#gid=156619080"",AD$3)"),"#REF!")</f>
        <v>#REF!</v>
      </c>
      <c r="AE443" s="2" t="str">
        <f>IFERROR(__xludf.DUMMYFUNCTION("IMPORTRANGE(""https://docs.google.com/spreadsheets/d/""&amp;$A443&amp;""/edit#gid=156619080"",AE$3)"),"#REF!")</f>
        <v>#REF!</v>
      </c>
      <c r="AF443" s="2" t="str">
        <f>IFERROR(__xludf.DUMMYFUNCTION("IMPORTRANGE(""https://docs.google.com/spreadsheets/d/""&amp;$A443&amp;""/edit#gid=156619080"",AF$3)"),"#REF!")</f>
        <v>#REF!</v>
      </c>
      <c r="AG443" s="2" t="str">
        <f>IFERROR(__xludf.DUMMYFUNCTION("IMPORTRANGE(""https://docs.google.com/spreadsheets/d/""&amp;$A443&amp;""/edit#gid=156619080"",AG$3)"),"#REF!")</f>
        <v>#REF!</v>
      </c>
      <c r="AH443" s="2" t="str">
        <f>IFERROR(__xludf.DUMMYFUNCTION("IMPORTRANGE(""https://docs.google.com/spreadsheets/d/""&amp;$A443&amp;""/edit#gid=156619080"",AH$3)"),"#REF!")</f>
        <v>#REF!</v>
      </c>
      <c r="AI443" s="2" t="str">
        <f>IFERROR(__xludf.DUMMYFUNCTION("IMPORTRANGE(""https://docs.google.com/spreadsheets/d/""&amp;$A443&amp;""/edit#gid=156619080"",AI$3)"),"#REF!")</f>
        <v>#REF!</v>
      </c>
      <c r="AJ443" s="2" t="str">
        <f>IFERROR(__xludf.DUMMYFUNCTION("IMPORTRANGE(""https://docs.google.com/spreadsheets/d/""&amp;$A443&amp;""/edit#gid=156619080"",AJ$3)"),"#REF!")</f>
        <v>#REF!</v>
      </c>
      <c r="AK443" s="2" t="str">
        <f>IFERROR(__xludf.DUMMYFUNCTION("IMPORTRANGE(""https://docs.google.com/spreadsheets/d/""&amp;$A443&amp;""/edit#gid=156619080"",AK$3)"),"#REF!")</f>
        <v>#REF!</v>
      </c>
      <c r="AL443" s="2" t="str">
        <f>IFERROR(__xludf.DUMMYFUNCTION("IMPORTRANGE(""https://docs.google.com/spreadsheets/d/""&amp;$A443&amp;""/edit#gid=156619080"",AL$3)"),"#REF!")</f>
        <v>#REF!</v>
      </c>
      <c r="AM443" s="2" t="str">
        <f>IFERROR(__xludf.DUMMYFUNCTION("IMPORTRANGE(""https://docs.google.com/spreadsheets/d/""&amp;$A443&amp;""/edit#gid=156619080"",AM$3)"),"#REF!")</f>
        <v>#REF!</v>
      </c>
      <c r="AN443" s="2" t="str">
        <f>IFERROR(__xludf.DUMMYFUNCTION("IMPORTRANGE(""https://docs.google.com/spreadsheets/d/""&amp;$A443&amp;""/edit#gid=156619080"",AN$3)"),"#REF!")</f>
        <v>#REF!</v>
      </c>
      <c r="AO443" s="2" t="str">
        <f>IFERROR(__xludf.DUMMYFUNCTION("IMPORTRANGE(""https://docs.google.com/spreadsheets/d/""&amp;$A443&amp;""/edit#gid=156619080"",AO$3)"),"#REF!")</f>
        <v>#REF!</v>
      </c>
      <c r="AP443" s="2" t="str">
        <f>IFERROR(__xludf.DUMMYFUNCTION("IMPORTRANGE(""https://docs.google.com/spreadsheets/d/""&amp;$A443&amp;""/edit#gid=156619080"",AP$3)"),"#REF!")</f>
        <v>#REF!</v>
      </c>
      <c r="AQ443" s="2" t="str">
        <f>IFERROR(__xludf.DUMMYFUNCTION("IMPORTRANGE(""https://docs.google.com/spreadsheets/d/""&amp;$A443&amp;""/edit#gid=156619080"",AQ$3)"),"#REF!")</f>
        <v>#REF!</v>
      </c>
      <c r="AR443" s="2" t="str">
        <f>IFERROR(__xludf.DUMMYFUNCTION("IMPORTRANGE(""https://docs.google.com/spreadsheets/d/""&amp;$A443&amp;""/edit#gid=156619080"",AR$3)"),"#REF!")</f>
        <v>#REF!</v>
      </c>
      <c r="AS443" s="19" t="str">
        <f>IFERROR(__xludf.DUMMYFUNCTION("IMPORTRANGE(""https://docs.google.com/spreadsheets/d/""&amp;$A443&amp;""/edit#gid=156619080"",AS$3)"),"#REF!")</f>
        <v>#REF!</v>
      </c>
      <c r="AT443" s="2" t="str">
        <f>IFERROR(__xludf.DUMMYFUNCTION("IMPORTRANGE(""https://docs.google.com/spreadsheets/d/""&amp;$A443&amp;""/edit#gid=156619080"",AT$3)"),"#REF!")</f>
        <v>#REF!</v>
      </c>
      <c r="AU443" s="3" t="str">
        <f>IFERROR(__xludf.DUMMYFUNCTION("IMPORTRANGE(""https://docs.google.com/spreadsheets/d/""&amp;$A443&amp;""/edit#gid=156619080"",AU$3)"),"#REF!")</f>
        <v>#REF!</v>
      </c>
      <c r="AV443" s="2" t="str">
        <f>IFERROR(__xludf.DUMMYFUNCTION("IMPORTRANGE(""https://docs.google.com/spreadsheets/d/""&amp;$A443&amp;""/edit#gid=156619080"",AV$3)"),"#REF!")</f>
        <v>#REF!</v>
      </c>
      <c r="AW443" s="19" t="str">
        <f>IFERROR(__xludf.DUMMYFUNCTION("IMPORTRANGE(""https://docs.google.com/spreadsheets/d/""&amp;$A443&amp;""/edit#gid=156619080"",AW$3)"),"#REF!")</f>
        <v>#REF!</v>
      </c>
      <c r="AX443" s="2" t="str">
        <f>IFERROR(__xludf.DUMMYFUNCTION("IMPORTRANGE(""https://docs.google.com/spreadsheets/d/""&amp;$A443&amp;""/edit#gid=156619080"",AX$3)"),"#REF!")</f>
        <v>#REF!</v>
      </c>
      <c r="AY443" s="2" t="str">
        <f>IFERROR(__xludf.DUMMYFUNCTION("IMPORTRANGE(""https://docs.google.com/spreadsheets/d/""&amp;$A443&amp;""/edit#gid=156619080"",AY$3)"),"#REF!")</f>
        <v>#REF!</v>
      </c>
      <c r="AZ443" s="2" t="str">
        <f>IFERROR(__xludf.DUMMYFUNCTION("IMPORTRANGE(""https://docs.google.com/spreadsheets/d/""&amp;$A443&amp;""/edit#gid=156619080"",AZ$3)"),"#REF!")</f>
        <v>#REF!</v>
      </c>
      <c r="BA443" s="2" t="str">
        <f>IFERROR(__xludf.DUMMYFUNCTION("IMPORTRANGE(""https://docs.google.com/spreadsheets/d/""&amp;$A443&amp;""/edit#gid=156619080"",BA$3)"),"#REF!")</f>
        <v>#REF!</v>
      </c>
      <c r="BB443" s="2" t="str">
        <f>IFERROR(__xludf.DUMMYFUNCTION("IMPORTRANGE(""https://docs.google.com/spreadsheets/d/""&amp;$A443&amp;""/edit#gid=156619080"",BB$3)"),"#REF!")</f>
        <v>#REF!</v>
      </c>
      <c r="BC443" s="2" t="str">
        <f>IFERROR(__xludf.DUMMYFUNCTION("IMPORTRANGE(""https://docs.google.com/spreadsheets/d/""&amp;$A443&amp;""/edit#gid=156619080"",BC$3)"),"#REF!")</f>
        <v>#REF!</v>
      </c>
    </row>
    <row r="444" ht="51.0" customHeight="1">
      <c r="A444" s="7" t="str">
        <f t="shared" si="5"/>
        <v>131ns9AFs0QcZxoWfQNZAB7syRweSNtLhmDj7vLDbGKE</v>
      </c>
      <c r="B444" s="1" t="s">
        <v>471</v>
      </c>
      <c r="C444" s="2" t="str">
        <f>IFERROR(__xludf.DUMMYFUNCTION("IMPORTRANGE(""https://docs.google.com/spreadsheets/d/""&amp;$A444&amp;""/edit#gid=156619080"",C$3)"),"#REF!")</f>
        <v>#REF!</v>
      </c>
      <c r="D444" s="2" t="str">
        <f>IFERROR(__xludf.DUMMYFUNCTION("IMPORTRANGE(""https://docs.google.com/spreadsheets/d/""&amp;$A444&amp;""/edit#gid=156619080"",D$3)"),"#REF!")</f>
        <v>#REF!</v>
      </c>
      <c r="E444" s="2" t="str">
        <f>IFERROR(__xludf.DUMMYFUNCTION("IMPORTRANGE(""https://docs.google.com/spreadsheets/d/""&amp;$A444&amp;""/edit#gid=156619080"",E$3)"),"#REF!")</f>
        <v>#REF!</v>
      </c>
      <c r="F444" s="2" t="str">
        <f>IFERROR(__xludf.DUMMYFUNCTION("IMPORTRANGE(""https://docs.google.com/spreadsheets/d/""&amp;$A444&amp;""/edit#gid=156619080"",F$3)"),"#REF!")</f>
        <v>#REF!</v>
      </c>
      <c r="G444" s="2" t="str">
        <f>IFERROR(__xludf.DUMMYFUNCTION("IMPORTRANGE(""https://docs.google.com/spreadsheets/d/""&amp;$A444&amp;""/edit#gid=156619080"",G$3)"),"#REF!")</f>
        <v>#REF!</v>
      </c>
      <c r="H444" s="2" t="str">
        <f>IFERROR(__xludf.DUMMYFUNCTION("IMPORTRANGE(""https://docs.google.com/spreadsheets/d/""&amp;$A444&amp;""/edit#gid=156619080"",H$3)"),"#REF!")</f>
        <v>#REF!</v>
      </c>
      <c r="I444" s="2" t="str">
        <f>IFERROR(__xludf.DUMMYFUNCTION("IMPORTRANGE(""https://docs.google.com/spreadsheets/d/""&amp;$A444&amp;""/edit#gid=156619080"",I$3)"),"#REF!")</f>
        <v>#REF!</v>
      </c>
      <c r="J444" s="2" t="str">
        <f>IFERROR(__xludf.DUMMYFUNCTION("IMPORTRANGE(""https://docs.google.com/spreadsheets/d/""&amp;$A444&amp;""/edit#gid=156619080"",J$3)"),"#REF!")</f>
        <v>#REF!</v>
      </c>
      <c r="K444" s="2" t="str">
        <f>IFERROR(__xludf.DUMMYFUNCTION("IMPORTRANGE(""https://docs.google.com/spreadsheets/d/""&amp;$A444&amp;""/edit#gid=156619080"",K$3)"),"#REF!")</f>
        <v>#REF!</v>
      </c>
      <c r="L444" s="2" t="str">
        <f>IFERROR(__xludf.DUMMYFUNCTION("IMPORTRANGE(""https://docs.google.com/spreadsheets/d/""&amp;$A444&amp;""/edit#gid=156619080"",L$3)"),"#REF!")</f>
        <v>#REF!</v>
      </c>
      <c r="M444" s="2" t="str">
        <f>IFERROR(__xludf.DUMMYFUNCTION("IMPORTRANGE(""https://docs.google.com/spreadsheets/d/""&amp;$A444&amp;""/edit#gid=156619080"",M$3)"),"#REF!")</f>
        <v>#REF!</v>
      </c>
      <c r="N444" s="2" t="str">
        <f>IFERROR(__xludf.DUMMYFUNCTION("IMPORTRANGE(""https://docs.google.com/spreadsheets/d/""&amp;$A444&amp;""/edit#gid=156619080"",N$3)"),"#REF!")</f>
        <v>#REF!</v>
      </c>
      <c r="O444" s="2" t="str">
        <f>IFERROR(__xludf.DUMMYFUNCTION("IMPORTRANGE(""https://docs.google.com/spreadsheets/d/""&amp;$A444&amp;""/edit#gid=156619080"",O$3)"),"#REF!")</f>
        <v>#REF!</v>
      </c>
      <c r="P444" s="2" t="str">
        <f>IFERROR(__xludf.DUMMYFUNCTION("IMPORTRANGE(""https://docs.google.com/spreadsheets/d/""&amp;$A444&amp;""/edit#gid=156619080"",P$3)"),"#REF!")</f>
        <v>#REF!</v>
      </c>
      <c r="Q444" s="2" t="str">
        <f>IFERROR(__xludf.DUMMYFUNCTION("IMPORTRANGE(""https://docs.google.com/spreadsheets/d/""&amp;$A444&amp;""/edit#gid=156619080"",Q$3)"),"#REF!")</f>
        <v>#REF!</v>
      </c>
      <c r="R444" s="2" t="str">
        <f>IFERROR(__xludf.DUMMYFUNCTION("IMPORTRANGE(""https://docs.google.com/spreadsheets/d/""&amp;$A444&amp;""/edit#gid=156619080"",R$3)"),"#REF!")</f>
        <v>#REF!</v>
      </c>
      <c r="S444" s="2" t="str">
        <f>IFERROR(__xludf.DUMMYFUNCTION("IMPORTRANGE(""https://docs.google.com/spreadsheets/d/""&amp;$A444&amp;""/edit#gid=156619080"",S$3)"),"#REF!")</f>
        <v>#REF!</v>
      </c>
      <c r="T444" s="2" t="str">
        <f>IFERROR(__xludf.DUMMYFUNCTION("IMPORTRANGE(""https://docs.google.com/spreadsheets/d/""&amp;$A444&amp;""/edit#gid=156619080"",T$3)"),"#REF!")</f>
        <v>#REF!</v>
      </c>
      <c r="U444" s="2" t="str">
        <f>IFERROR(__xludf.DUMMYFUNCTION("IMPORTRANGE(""https://docs.google.com/spreadsheets/d/""&amp;$A444&amp;""/edit#gid=156619080"",U$3)"),"#REF!")</f>
        <v>#REF!</v>
      </c>
      <c r="V444" s="2" t="str">
        <f>IFERROR(__xludf.DUMMYFUNCTION("IMPORTRANGE(""https://docs.google.com/spreadsheets/d/""&amp;$A444&amp;""/edit#gid=156619080"",V$3)"),"#REF!")</f>
        <v>#REF!</v>
      </c>
      <c r="W444" s="2" t="str">
        <f>IFERROR(__xludf.DUMMYFUNCTION("IMPORTRANGE(""https://docs.google.com/spreadsheets/d/""&amp;$A444&amp;""/edit#gid=156619080"",W$3)"),"#REF!")</f>
        <v>#REF!</v>
      </c>
      <c r="X444" s="2" t="str">
        <f>IFERROR(__xludf.DUMMYFUNCTION("IMPORTRANGE(""https://docs.google.com/spreadsheets/d/""&amp;$A444&amp;""/edit#gid=156619080"",X$3)"),"#REF!")</f>
        <v>#REF!</v>
      </c>
      <c r="Y444" s="2" t="str">
        <f>IFERROR(__xludf.DUMMYFUNCTION("IMPORTRANGE(""https://docs.google.com/spreadsheets/d/""&amp;$A444&amp;""/edit#gid=156619080"",Y$3)"),"#REF!")</f>
        <v>#REF!</v>
      </c>
      <c r="Z444" s="2" t="str">
        <f>IFERROR(__xludf.DUMMYFUNCTION("IMPORTRANGE(""https://docs.google.com/spreadsheets/d/""&amp;$A444&amp;""/edit#gid=156619080"",Z$3)"),"#REF!")</f>
        <v>#REF!</v>
      </c>
      <c r="AA444" s="2" t="str">
        <f>IFERROR(__xludf.DUMMYFUNCTION("IMPORTRANGE(""https://docs.google.com/spreadsheets/d/""&amp;$A444&amp;""/edit#gid=156619080"",AA$3)"),"#REF!")</f>
        <v>#REF!</v>
      </c>
      <c r="AB444" s="2" t="str">
        <f>IFERROR(__xludf.DUMMYFUNCTION("IMPORTRANGE(""https://docs.google.com/spreadsheets/d/""&amp;$A444&amp;""/edit#gid=156619080"",AB$3)"),"#REF!")</f>
        <v>#REF!</v>
      </c>
      <c r="AC444" s="2" t="str">
        <f>IFERROR(__xludf.DUMMYFUNCTION("IMPORTRANGE(""https://docs.google.com/spreadsheets/d/""&amp;$A444&amp;""/edit#gid=156619080"",AC$3)"),"#REF!")</f>
        <v>#REF!</v>
      </c>
      <c r="AD444" s="2" t="str">
        <f>IFERROR(__xludf.DUMMYFUNCTION("IMPORTRANGE(""https://docs.google.com/spreadsheets/d/""&amp;$A444&amp;""/edit#gid=156619080"",AD$3)"),"#REF!")</f>
        <v>#REF!</v>
      </c>
      <c r="AE444" s="2" t="str">
        <f>IFERROR(__xludf.DUMMYFUNCTION("IMPORTRANGE(""https://docs.google.com/spreadsheets/d/""&amp;$A444&amp;""/edit#gid=156619080"",AE$3)"),"#REF!")</f>
        <v>#REF!</v>
      </c>
      <c r="AF444" s="2" t="str">
        <f>IFERROR(__xludf.DUMMYFUNCTION("IMPORTRANGE(""https://docs.google.com/spreadsheets/d/""&amp;$A444&amp;""/edit#gid=156619080"",AF$3)"),"#REF!")</f>
        <v>#REF!</v>
      </c>
      <c r="AG444" s="2" t="str">
        <f>IFERROR(__xludf.DUMMYFUNCTION("IMPORTRANGE(""https://docs.google.com/spreadsheets/d/""&amp;$A444&amp;""/edit#gid=156619080"",AG$3)"),"#REF!")</f>
        <v>#REF!</v>
      </c>
      <c r="AH444" s="2" t="str">
        <f>IFERROR(__xludf.DUMMYFUNCTION("IMPORTRANGE(""https://docs.google.com/spreadsheets/d/""&amp;$A444&amp;""/edit#gid=156619080"",AH$3)"),"#REF!")</f>
        <v>#REF!</v>
      </c>
      <c r="AI444" s="2" t="str">
        <f>IFERROR(__xludf.DUMMYFUNCTION("IMPORTRANGE(""https://docs.google.com/spreadsheets/d/""&amp;$A444&amp;""/edit#gid=156619080"",AI$3)"),"#REF!")</f>
        <v>#REF!</v>
      </c>
      <c r="AJ444" s="2" t="str">
        <f>IFERROR(__xludf.DUMMYFUNCTION("IMPORTRANGE(""https://docs.google.com/spreadsheets/d/""&amp;$A444&amp;""/edit#gid=156619080"",AJ$3)"),"#REF!")</f>
        <v>#REF!</v>
      </c>
      <c r="AK444" s="2" t="str">
        <f>IFERROR(__xludf.DUMMYFUNCTION("IMPORTRANGE(""https://docs.google.com/spreadsheets/d/""&amp;$A444&amp;""/edit#gid=156619080"",AK$3)"),"#REF!")</f>
        <v>#REF!</v>
      </c>
      <c r="AL444" s="2" t="str">
        <f>IFERROR(__xludf.DUMMYFUNCTION("IMPORTRANGE(""https://docs.google.com/spreadsheets/d/""&amp;$A444&amp;""/edit#gid=156619080"",AL$3)"),"#REF!")</f>
        <v>#REF!</v>
      </c>
      <c r="AM444" s="2" t="str">
        <f>IFERROR(__xludf.DUMMYFUNCTION("IMPORTRANGE(""https://docs.google.com/spreadsheets/d/""&amp;$A444&amp;""/edit#gid=156619080"",AM$3)"),"#REF!")</f>
        <v>#REF!</v>
      </c>
      <c r="AN444" s="2" t="str">
        <f>IFERROR(__xludf.DUMMYFUNCTION("IMPORTRANGE(""https://docs.google.com/spreadsheets/d/""&amp;$A444&amp;""/edit#gid=156619080"",AN$3)"),"#REF!")</f>
        <v>#REF!</v>
      </c>
      <c r="AO444" s="2" t="str">
        <f>IFERROR(__xludf.DUMMYFUNCTION("IMPORTRANGE(""https://docs.google.com/spreadsheets/d/""&amp;$A444&amp;""/edit#gid=156619080"",AO$3)"),"#REF!")</f>
        <v>#REF!</v>
      </c>
      <c r="AP444" s="2" t="str">
        <f>IFERROR(__xludf.DUMMYFUNCTION("IMPORTRANGE(""https://docs.google.com/spreadsheets/d/""&amp;$A444&amp;""/edit#gid=156619080"",AP$3)"),"#REF!")</f>
        <v>#REF!</v>
      </c>
      <c r="AQ444" s="2" t="str">
        <f>IFERROR(__xludf.DUMMYFUNCTION("IMPORTRANGE(""https://docs.google.com/spreadsheets/d/""&amp;$A444&amp;""/edit#gid=156619080"",AQ$3)"),"#REF!")</f>
        <v>#REF!</v>
      </c>
      <c r="AR444" s="2" t="str">
        <f>IFERROR(__xludf.DUMMYFUNCTION("IMPORTRANGE(""https://docs.google.com/spreadsheets/d/""&amp;$A444&amp;""/edit#gid=156619080"",AR$3)"),"#REF!")</f>
        <v>#REF!</v>
      </c>
      <c r="AS444" s="19" t="str">
        <f>IFERROR(__xludf.DUMMYFUNCTION("IMPORTRANGE(""https://docs.google.com/spreadsheets/d/""&amp;$A444&amp;""/edit#gid=156619080"",AS$3)"),"#REF!")</f>
        <v>#REF!</v>
      </c>
      <c r="AT444" s="2" t="str">
        <f>IFERROR(__xludf.DUMMYFUNCTION("IMPORTRANGE(""https://docs.google.com/spreadsheets/d/""&amp;$A444&amp;""/edit#gid=156619080"",AT$3)"),"#REF!")</f>
        <v>#REF!</v>
      </c>
      <c r="AU444" s="3" t="str">
        <f>IFERROR(__xludf.DUMMYFUNCTION("IMPORTRANGE(""https://docs.google.com/spreadsheets/d/""&amp;$A444&amp;""/edit#gid=156619080"",AU$3)"),"#REF!")</f>
        <v>#REF!</v>
      </c>
      <c r="AV444" s="2" t="str">
        <f>IFERROR(__xludf.DUMMYFUNCTION("IMPORTRANGE(""https://docs.google.com/spreadsheets/d/""&amp;$A444&amp;""/edit#gid=156619080"",AV$3)"),"#REF!")</f>
        <v>#REF!</v>
      </c>
      <c r="AW444" s="19" t="str">
        <f>IFERROR(__xludf.DUMMYFUNCTION("IMPORTRANGE(""https://docs.google.com/spreadsheets/d/""&amp;$A444&amp;""/edit#gid=156619080"",AW$3)"),"#REF!")</f>
        <v>#REF!</v>
      </c>
      <c r="AX444" s="2" t="str">
        <f>IFERROR(__xludf.DUMMYFUNCTION("IMPORTRANGE(""https://docs.google.com/spreadsheets/d/""&amp;$A444&amp;""/edit#gid=156619080"",AX$3)"),"#REF!")</f>
        <v>#REF!</v>
      </c>
      <c r="AY444" s="2" t="str">
        <f>IFERROR(__xludf.DUMMYFUNCTION("IMPORTRANGE(""https://docs.google.com/spreadsheets/d/""&amp;$A444&amp;""/edit#gid=156619080"",AY$3)"),"#REF!")</f>
        <v>#REF!</v>
      </c>
      <c r="AZ444" s="2" t="str">
        <f>IFERROR(__xludf.DUMMYFUNCTION("IMPORTRANGE(""https://docs.google.com/spreadsheets/d/""&amp;$A444&amp;""/edit#gid=156619080"",AZ$3)"),"#REF!")</f>
        <v>#REF!</v>
      </c>
      <c r="BA444" s="2" t="str">
        <f>IFERROR(__xludf.DUMMYFUNCTION("IMPORTRANGE(""https://docs.google.com/spreadsheets/d/""&amp;$A444&amp;""/edit#gid=156619080"",BA$3)"),"#REF!")</f>
        <v>#REF!</v>
      </c>
      <c r="BB444" s="2" t="str">
        <f>IFERROR(__xludf.DUMMYFUNCTION("IMPORTRANGE(""https://docs.google.com/spreadsheets/d/""&amp;$A444&amp;""/edit#gid=156619080"",BB$3)"),"#REF!")</f>
        <v>#REF!</v>
      </c>
      <c r="BC444" s="2" t="str">
        <f>IFERROR(__xludf.DUMMYFUNCTION("IMPORTRANGE(""https://docs.google.com/spreadsheets/d/""&amp;$A444&amp;""/edit#gid=156619080"",BC$3)"),"#REF!")</f>
        <v>#REF!</v>
      </c>
    </row>
    <row r="445" ht="51.0" customHeight="1">
      <c r="A445" s="7" t="str">
        <f t="shared" si="5"/>
        <v>1VcwymiDyeD8D62cmBTCF1QutrGqR4BuWiqIPF-XjZ2E</v>
      </c>
      <c r="B445" s="1" t="s">
        <v>472</v>
      </c>
      <c r="C445" s="2" t="str">
        <f>IFERROR(__xludf.DUMMYFUNCTION("IMPORTRANGE(""https://docs.google.com/spreadsheets/d/""&amp;$A445&amp;""/edit#gid=156619080"",C$3)"),"#REF!")</f>
        <v>#REF!</v>
      </c>
      <c r="D445" s="2" t="str">
        <f>IFERROR(__xludf.DUMMYFUNCTION("IMPORTRANGE(""https://docs.google.com/spreadsheets/d/""&amp;$A445&amp;""/edit#gid=156619080"",D$3)"),"#REF!")</f>
        <v>#REF!</v>
      </c>
      <c r="E445" s="2" t="str">
        <f>IFERROR(__xludf.DUMMYFUNCTION("IMPORTRANGE(""https://docs.google.com/spreadsheets/d/""&amp;$A445&amp;""/edit#gid=156619080"",E$3)"),"#REF!")</f>
        <v>#REF!</v>
      </c>
      <c r="F445" s="2" t="str">
        <f>IFERROR(__xludf.DUMMYFUNCTION("IMPORTRANGE(""https://docs.google.com/spreadsheets/d/""&amp;$A445&amp;""/edit#gid=156619080"",F$3)"),"#REF!")</f>
        <v>#REF!</v>
      </c>
      <c r="G445" s="2" t="str">
        <f>IFERROR(__xludf.DUMMYFUNCTION("IMPORTRANGE(""https://docs.google.com/spreadsheets/d/""&amp;$A445&amp;""/edit#gid=156619080"",G$3)"),"#REF!")</f>
        <v>#REF!</v>
      </c>
      <c r="H445" s="2" t="str">
        <f>IFERROR(__xludf.DUMMYFUNCTION("IMPORTRANGE(""https://docs.google.com/spreadsheets/d/""&amp;$A445&amp;""/edit#gid=156619080"",H$3)"),"#REF!")</f>
        <v>#REF!</v>
      </c>
      <c r="I445" s="2" t="str">
        <f>IFERROR(__xludf.DUMMYFUNCTION("IMPORTRANGE(""https://docs.google.com/spreadsheets/d/""&amp;$A445&amp;""/edit#gid=156619080"",I$3)"),"#REF!")</f>
        <v>#REF!</v>
      </c>
      <c r="J445" s="2" t="str">
        <f>IFERROR(__xludf.DUMMYFUNCTION("IMPORTRANGE(""https://docs.google.com/spreadsheets/d/""&amp;$A445&amp;""/edit#gid=156619080"",J$3)"),"#REF!")</f>
        <v>#REF!</v>
      </c>
      <c r="K445" s="2" t="str">
        <f>IFERROR(__xludf.DUMMYFUNCTION("IMPORTRANGE(""https://docs.google.com/spreadsheets/d/""&amp;$A445&amp;""/edit#gid=156619080"",K$3)"),"#REF!")</f>
        <v>#REF!</v>
      </c>
      <c r="L445" s="2" t="str">
        <f>IFERROR(__xludf.DUMMYFUNCTION("IMPORTRANGE(""https://docs.google.com/spreadsheets/d/""&amp;$A445&amp;""/edit#gid=156619080"",L$3)"),"#REF!")</f>
        <v>#REF!</v>
      </c>
      <c r="M445" s="2" t="str">
        <f>IFERROR(__xludf.DUMMYFUNCTION("IMPORTRANGE(""https://docs.google.com/spreadsheets/d/""&amp;$A445&amp;""/edit#gid=156619080"",M$3)"),"#REF!")</f>
        <v>#REF!</v>
      </c>
      <c r="N445" s="2" t="str">
        <f>IFERROR(__xludf.DUMMYFUNCTION("IMPORTRANGE(""https://docs.google.com/spreadsheets/d/""&amp;$A445&amp;""/edit#gid=156619080"",N$3)"),"#REF!")</f>
        <v>#REF!</v>
      </c>
      <c r="O445" s="2" t="str">
        <f>IFERROR(__xludf.DUMMYFUNCTION("IMPORTRANGE(""https://docs.google.com/spreadsheets/d/""&amp;$A445&amp;""/edit#gid=156619080"",O$3)"),"#REF!")</f>
        <v>#REF!</v>
      </c>
      <c r="P445" s="2" t="str">
        <f>IFERROR(__xludf.DUMMYFUNCTION("IMPORTRANGE(""https://docs.google.com/spreadsheets/d/""&amp;$A445&amp;""/edit#gid=156619080"",P$3)"),"#REF!")</f>
        <v>#REF!</v>
      </c>
      <c r="Q445" s="2" t="str">
        <f>IFERROR(__xludf.DUMMYFUNCTION("IMPORTRANGE(""https://docs.google.com/spreadsheets/d/""&amp;$A445&amp;""/edit#gid=156619080"",Q$3)"),"#REF!")</f>
        <v>#REF!</v>
      </c>
      <c r="R445" s="2" t="str">
        <f>IFERROR(__xludf.DUMMYFUNCTION("IMPORTRANGE(""https://docs.google.com/spreadsheets/d/""&amp;$A445&amp;""/edit#gid=156619080"",R$3)"),"#REF!")</f>
        <v>#REF!</v>
      </c>
      <c r="S445" s="2" t="str">
        <f>IFERROR(__xludf.DUMMYFUNCTION("IMPORTRANGE(""https://docs.google.com/spreadsheets/d/""&amp;$A445&amp;""/edit#gid=156619080"",S$3)"),"#REF!")</f>
        <v>#REF!</v>
      </c>
      <c r="T445" s="2" t="str">
        <f>IFERROR(__xludf.DUMMYFUNCTION("IMPORTRANGE(""https://docs.google.com/spreadsheets/d/""&amp;$A445&amp;""/edit#gid=156619080"",T$3)"),"#REF!")</f>
        <v>#REF!</v>
      </c>
      <c r="U445" s="2" t="str">
        <f>IFERROR(__xludf.DUMMYFUNCTION("IMPORTRANGE(""https://docs.google.com/spreadsheets/d/""&amp;$A445&amp;""/edit#gid=156619080"",U$3)"),"#REF!")</f>
        <v>#REF!</v>
      </c>
      <c r="V445" s="2" t="str">
        <f>IFERROR(__xludf.DUMMYFUNCTION("IMPORTRANGE(""https://docs.google.com/spreadsheets/d/""&amp;$A445&amp;""/edit#gid=156619080"",V$3)"),"#REF!")</f>
        <v>#REF!</v>
      </c>
      <c r="W445" s="2" t="str">
        <f>IFERROR(__xludf.DUMMYFUNCTION("IMPORTRANGE(""https://docs.google.com/spreadsheets/d/""&amp;$A445&amp;""/edit#gid=156619080"",W$3)"),"#REF!")</f>
        <v>#REF!</v>
      </c>
      <c r="X445" s="2" t="str">
        <f>IFERROR(__xludf.DUMMYFUNCTION("IMPORTRANGE(""https://docs.google.com/spreadsheets/d/""&amp;$A445&amp;""/edit#gid=156619080"",X$3)"),"#REF!")</f>
        <v>#REF!</v>
      </c>
      <c r="Y445" s="2" t="str">
        <f>IFERROR(__xludf.DUMMYFUNCTION("IMPORTRANGE(""https://docs.google.com/spreadsheets/d/""&amp;$A445&amp;""/edit#gid=156619080"",Y$3)"),"#REF!")</f>
        <v>#REF!</v>
      </c>
      <c r="Z445" s="2" t="str">
        <f>IFERROR(__xludf.DUMMYFUNCTION("IMPORTRANGE(""https://docs.google.com/spreadsheets/d/""&amp;$A445&amp;""/edit#gid=156619080"",Z$3)"),"#REF!")</f>
        <v>#REF!</v>
      </c>
      <c r="AA445" s="2" t="str">
        <f>IFERROR(__xludf.DUMMYFUNCTION("IMPORTRANGE(""https://docs.google.com/spreadsheets/d/""&amp;$A445&amp;""/edit#gid=156619080"",AA$3)"),"#REF!")</f>
        <v>#REF!</v>
      </c>
      <c r="AB445" s="2" t="str">
        <f>IFERROR(__xludf.DUMMYFUNCTION("IMPORTRANGE(""https://docs.google.com/spreadsheets/d/""&amp;$A445&amp;""/edit#gid=156619080"",AB$3)"),"#REF!")</f>
        <v>#REF!</v>
      </c>
      <c r="AC445" s="2" t="str">
        <f>IFERROR(__xludf.DUMMYFUNCTION("IMPORTRANGE(""https://docs.google.com/spreadsheets/d/""&amp;$A445&amp;""/edit#gid=156619080"",AC$3)"),"#REF!")</f>
        <v>#REF!</v>
      </c>
      <c r="AD445" s="2" t="str">
        <f>IFERROR(__xludf.DUMMYFUNCTION("IMPORTRANGE(""https://docs.google.com/spreadsheets/d/""&amp;$A445&amp;""/edit#gid=156619080"",AD$3)"),"#REF!")</f>
        <v>#REF!</v>
      </c>
      <c r="AE445" s="2" t="str">
        <f>IFERROR(__xludf.DUMMYFUNCTION("IMPORTRANGE(""https://docs.google.com/spreadsheets/d/""&amp;$A445&amp;""/edit#gid=156619080"",AE$3)"),"#REF!")</f>
        <v>#REF!</v>
      </c>
      <c r="AF445" s="2" t="str">
        <f>IFERROR(__xludf.DUMMYFUNCTION("IMPORTRANGE(""https://docs.google.com/spreadsheets/d/""&amp;$A445&amp;""/edit#gid=156619080"",AF$3)"),"#REF!")</f>
        <v>#REF!</v>
      </c>
      <c r="AG445" s="2" t="str">
        <f>IFERROR(__xludf.DUMMYFUNCTION("IMPORTRANGE(""https://docs.google.com/spreadsheets/d/""&amp;$A445&amp;""/edit#gid=156619080"",AG$3)"),"#REF!")</f>
        <v>#REF!</v>
      </c>
      <c r="AH445" s="2" t="str">
        <f>IFERROR(__xludf.DUMMYFUNCTION("IMPORTRANGE(""https://docs.google.com/spreadsheets/d/""&amp;$A445&amp;""/edit#gid=156619080"",AH$3)"),"#REF!")</f>
        <v>#REF!</v>
      </c>
      <c r="AI445" s="2" t="str">
        <f>IFERROR(__xludf.DUMMYFUNCTION("IMPORTRANGE(""https://docs.google.com/spreadsheets/d/""&amp;$A445&amp;""/edit#gid=156619080"",AI$3)"),"#REF!")</f>
        <v>#REF!</v>
      </c>
      <c r="AJ445" s="2" t="str">
        <f>IFERROR(__xludf.DUMMYFUNCTION("IMPORTRANGE(""https://docs.google.com/spreadsheets/d/""&amp;$A445&amp;""/edit#gid=156619080"",AJ$3)"),"#REF!")</f>
        <v>#REF!</v>
      </c>
      <c r="AK445" s="2" t="str">
        <f>IFERROR(__xludf.DUMMYFUNCTION("IMPORTRANGE(""https://docs.google.com/spreadsheets/d/""&amp;$A445&amp;""/edit#gid=156619080"",AK$3)"),"#REF!")</f>
        <v>#REF!</v>
      </c>
      <c r="AL445" s="2" t="str">
        <f>IFERROR(__xludf.DUMMYFUNCTION("IMPORTRANGE(""https://docs.google.com/spreadsheets/d/""&amp;$A445&amp;""/edit#gid=156619080"",AL$3)"),"#REF!")</f>
        <v>#REF!</v>
      </c>
      <c r="AM445" s="2" t="str">
        <f>IFERROR(__xludf.DUMMYFUNCTION("IMPORTRANGE(""https://docs.google.com/spreadsheets/d/""&amp;$A445&amp;""/edit#gid=156619080"",AM$3)"),"#REF!")</f>
        <v>#REF!</v>
      </c>
      <c r="AN445" s="2" t="str">
        <f>IFERROR(__xludf.DUMMYFUNCTION("IMPORTRANGE(""https://docs.google.com/spreadsheets/d/""&amp;$A445&amp;""/edit#gid=156619080"",AN$3)"),"#REF!")</f>
        <v>#REF!</v>
      </c>
      <c r="AO445" s="2" t="str">
        <f>IFERROR(__xludf.DUMMYFUNCTION("IMPORTRANGE(""https://docs.google.com/spreadsheets/d/""&amp;$A445&amp;""/edit#gid=156619080"",AO$3)"),"#REF!")</f>
        <v>#REF!</v>
      </c>
      <c r="AP445" s="2" t="str">
        <f>IFERROR(__xludf.DUMMYFUNCTION("IMPORTRANGE(""https://docs.google.com/spreadsheets/d/""&amp;$A445&amp;""/edit#gid=156619080"",AP$3)"),"#REF!")</f>
        <v>#REF!</v>
      </c>
      <c r="AQ445" s="2" t="str">
        <f>IFERROR(__xludf.DUMMYFUNCTION("IMPORTRANGE(""https://docs.google.com/spreadsheets/d/""&amp;$A445&amp;""/edit#gid=156619080"",AQ$3)"),"#REF!")</f>
        <v>#REF!</v>
      </c>
      <c r="AR445" s="2" t="str">
        <f>IFERROR(__xludf.DUMMYFUNCTION("IMPORTRANGE(""https://docs.google.com/spreadsheets/d/""&amp;$A445&amp;""/edit#gid=156619080"",AR$3)"),"#REF!")</f>
        <v>#REF!</v>
      </c>
      <c r="AS445" s="19" t="str">
        <f>IFERROR(__xludf.DUMMYFUNCTION("IMPORTRANGE(""https://docs.google.com/spreadsheets/d/""&amp;$A445&amp;""/edit#gid=156619080"",AS$3)"),"#REF!")</f>
        <v>#REF!</v>
      </c>
      <c r="AT445" s="2" t="str">
        <f>IFERROR(__xludf.DUMMYFUNCTION("IMPORTRANGE(""https://docs.google.com/spreadsheets/d/""&amp;$A445&amp;""/edit#gid=156619080"",AT$3)"),"#REF!")</f>
        <v>#REF!</v>
      </c>
      <c r="AU445" s="3" t="str">
        <f>IFERROR(__xludf.DUMMYFUNCTION("IMPORTRANGE(""https://docs.google.com/spreadsheets/d/""&amp;$A445&amp;""/edit#gid=156619080"",AU$3)"),"#REF!")</f>
        <v>#REF!</v>
      </c>
      <c r="AV445" s="2" t="str">
        <f>IFERROR(__xludf.DUMMYFUNCTION("IMPORTRANGE(""https://docs.google.com/spreadsheets/d/""&amp;$A445&amp;""/edit#gid=156619080"",AV$3)"),"#REF!")</f>
        <v>#REF!</v>
      </c>
      <c r="AW445" s="19" t="str">
        <f>IFERROR(__xludf.DUMMYFUNCTION("IMPORTRANGE(""https://docs.google.com/spreadsheets/d/""&amp;$A445&amp;""/edit#gid=156619080"",AW$3)"),"#REF!")</f>
        <v>#REF!</v>
      </c>
      <c r="AX445" s="2" t="str">
        <f>IFERROR(__xludf.DUMMYFUNCTION("IMPORTRANGE(""https://docs.google.com/spreadsheets/d/""&amp;$A445&amp;""/edit#gid=156619080"",AX$3)"),"#REF!")</f>
        <v>#REF!</v>
      </c>
      <c r="AY445" s="2" t="str">
        <f>IFERROR(__xludf.DUMMYFUNCTION("IMPORTRANGE(""https://docs.google.com/spreadsheets/d/""&amp;$A445&amp;""/edit#gid=156619080"",AY$3)"),"#REF!")</f>
        <v>#REF!</v>
      </c>
      <c r="AZ445" s="2" t="str">
        <f>IFERROR(__xludf.DUMMYFUNCTION("IMPORTRANGE(""https://docs.google.com/spreadsheets/d/""&amp;$A445&amp;""/edit#gid=156619080"",AZ$3)"),"#REF!")</f>
        <v>#REF!</v>
      </c>
      <c r="BA445" s="2" t="str">
        <f>IFERROR(__xludf.DUMMYFUNCTION("IMPORTRANGE(""https://docs.google.com/spreadsheets/d/""&amp;$A445&amp;""/edit#gid=156619080"",BA$3)"),"#REF!")</f>
        <v>#REF!</v>
      </c>
      <c r="BB445" s="2" t="str">
        <f>IFERROR(__xludf.DUMMYFUNCTION("IMPORTRANGE(""https://docs.google.com/spreadsheets/d/""&amp;$A445&amp;""/edit#gid=156619080"",BB$3)"),"#REF!")</f>
        <v>#REF!</v>
      </c>
      <c r="BC445" s="2" t="str">
        <f>IFERROR(__xludf.DUMMYFUNCTION("IMPORTRANGE(""https://docs.google.com/spreadsheets/d/""&amp;$A445&amp;""/edit#gid=156619080"",BC$3)"),"#REF!")</f>
        <v>#REF!</v>
      </c>
    </row>
    <row r="446" ht="51.0" customHeight="1">
      <c r="A446" s="7" t="str">
        <f t="shared" si="5"/>
        <v>1AOmtKecugmG3crfrbEjOZqdgwduBipg67t-hKTBl5lY</v>
      </c>
      <c r="B446" s="1" t="s">
        <v>473</v>
      </c>
      <c r="C446" s="2" t="str">
        <f>IFERROR(__xludf.DUMMYFUNCTION("IMPORTRANGE(""https://docs.google.com/spreadsheets/d/""&amp;$A446&amp;""/edit#gid=156619080"",C$3)"),"#REF!")</f>
        <v>#REF!</v>
      </c>
      <c r="D446" s="2" t="str">
        <f>IFERROR(__xludf.DUMMYFUNCTION("IMPORTRANGE(""https://docs.google.com/spreadsheets/d/""&amp;$A446&amp;""/edit#gid=156619080"",D$3)"),"#REF!")</f>
        <v>#REF!</v>
      </c>
      <c r="E446" s="2" t="str">
        <f>IFERROR(__xludf.DUMMYFUNCTION("IMPORTRANGE(""https://docs.google.com/spreadsheets/d/""&amp;$A446&amp;""/edit#gid=156619080"",E$3)"),"#REF!")</f>
        <v>#REF!</v>
      </c>
      <c r="F446" s="2" t="str">
        <f>IFERROR(__xludf.DUMMYFUNCTION("IMPORTRANGE(""https://docs.google.com/spreadsheets/d/""&amp;$A446&amp;""/edit#gid=156619080"",F$3)"),"#REF!")</f>
        <v>#REF!</v>
      </c>
      <c r="G446" s="2" t="str">
        <f>IFERROR(__xludf.DUMMYFUNCTION("IMPORTRANGE(""https://docs.google.com/spreadsheets/d/""&amp;$A446&amp;""/edit#gid=156619080"",G$3)"),"#REF!")</f>
        <v>#REF!</v>
      </c>
      <c r="H446" s="2" t="str">
        <f>IFERROR(__xludf.DUMMYFUNCTION("IMPORTRANGE(""https://docs.google.com/spreadsheets/d/""&amp;$A446&amp;""/edit#gid=156619080"",H$3)"),"#REF!")</f>
        <v>#REF!</v>
      </c>
      <c r="I446" s="2" t="str">
        <f>IFERROR(__xludf.DUMMYFUNCTION("IMPORTRANGE(""https://docs.google.com/spreadsheets/d/""&amp;$A446&amp;""/edit#gid=156619080"",I$3)"),"#REF!")</f>
        <v>#REF!</v>
      </c>
      <c r="J446" s="2" t="str">
        <f>IFERROR(__xludf.DUMMYFUNCTION("IMPORTRANGE(""https://docs.google.com/spreadsheets/d/""&amp;$A446&amp;""/edit#gid=156619080"",J$3)"),"#REF!")</f>
        <v>#REF!</v>
      </c>
      <c r="K446" s="2" t="str">
        <f>IFERROR(__xludf.DUMMYFUNCTION("IMPORTRANGE(""https://docs.google.com/spreadsheets/d/""&amp;$A446&amp;""/edit#gid=156619080"",K$3)"),"#REF!")</f>
        <v>#REF!</v>
      </c>
      <c r="L446" s="2" t="str">
        <f>IFERROR(__xludf.DUMMYFUNCTION("IMPORTRANGE(""https://docs.google.com/spreadsheets/d/""&amp;$A446&amp;""/edit#gid=156619080"",L$3)"),"#REF!")</f>
        <v>#REF!</v>
      </c>
      <c r="M446" s="2" t="str">
        <f>IFERROR(__xludf.DUMMYFUNCTION("IMPORTRANGE(""https://docs.google.com/spreadsheets/d/""&amp;$A446&amp;""/edit#gid=156619080"",M$3)"),"#REF!")</f>
        <v>#REF!</v>
      </c>
      <c r="N446" s="2" t="str">
        <f>IFERROR(__xludf.DUMMYFUNCTION("IMPORTRANGE(""https://docs.google.com/spreadsheets/d/""&amp;$A446&amp;""/edit#gid=156619080"",N$3)"),"#REF!")</f>
        <v>#REF!</v>
      </c>
      <c r="O446" s="2" t="str">
        <f>IFERROR(__xludf.DUMMYFUNCTION("IMPORTRANGE(""https://docs.google.com/spreadsheets/d/""&amp;$A446&amp;""/edit#gid=156619080"",O$3)"),"#REF!")</f>
        <v>#REF!</v>
      </c>
      <c r="P446" s="2" t="str">
        <f>IFERROR(__xludf.DUMMYFUNCTION("IMPORTRANGE(""https://docs.google.com/spreadsheets/d/""&amp;$A446&amp;""/edit#gid=156619080"",P$3)"),"#REF!")</f>
        <v>#REF!</v>
      </c>
      <c r="Q446" s="2" t="str">
        <f>IFERROR(__xludf.DUMMYFUNCTION("IMPORTRANGE(""https://docs.google.com/spreadsheets/d/""&amp;$A446&amp;""/edit#gid=156619080"",Q$3)"),"#REF!")</f>
        <v>#REF!</v>
      </c>
      <c r="R446" s="2" t="str">
        <f>IFERROR(__xludf.DUMMYFUNCTION("IMPORTRANGE(""https://docs.google.com/spreadsheets/d/""&amp;$A446&amp;""/edit#gid=156619080"",R$3)"),"#REF!")</f>
        <v>#REF!</v>
      </c>
      <c r="S446" s="2" t="str">
        <f>IFERROR(__xludf.DUMMYFUNCTION("IMPORTRANGE(""https://docs.google.com/spreadsheets/d/""&amp;$A446&amp;""/edit#gid=156619080"",S$3)"),"#REF!")</f>
        <v>#REF!</v>
      </c>
      <c r="T446" s="2" t="str">
        <f>IFERROR(__xludf.DUMMYFUNCTION("IMPORTRANGE(""https://docs.google.com/spreadsheets/d/""&amp;$A446&amp;""/edit#gid=156619080"",T$3)"),"#REF!")</f>
        <v>#REF!</v>
      </c>
      <c r="U446" s="2" t="str">
        <f>IFERROR(__xludf.DUMMYFUNCTION("IMPORTRANGE(""https://docs.google.com/spreadsheets/d/""&amp;$A446&amp;""/edit#gid=156619080"",U$3)"),"#REF!")</f>
        <v>#REF!</v>
      </c>
      <c r="V446" s="2" t="str">
        <f>IFERROR(__xludf.DUMMYFUNCTION("IMPORTRANGE(""https://docs.google.com/spreadsheets/d/""&amp;$A446&amp;""/edit#gid=156619080"",V$3)"),"#REF!")</f>
        <v>#REF!</v>
      </c>
      <c r="W446" s="2" t="str">
        <f>IFERROR(__xludf.DUMMYFUNCTION("IMPORTRANGE(""https://docs.google.com/spreadsheets/d/""&amp;$A446&amp;""/edit#gid=156619080"",W$3)"),"#REF!")</f>
        <v>#REF!</v>
      </c>
      <c r="X446" s="2" t="str">
        <f>IFERROR(__xludf.DUMMYFUNCTION("IMPORTRANGE(""https://docs.google.com/spreadsheets/d/""&amp;$A446&amp;""/edit#gid=156619080"",X$3)"),"#REF!")</f>
        <v>#REF!</v>
      </c>
      <c r="Y446" s="2" t="str">
        <f>IFERROR(__xludf.DUMMYFUNCTION("IMPORTRANGE(""https://docs.google.com/spreadsheets/d/""&amp;$A446&amp;""/edit#gid=156619080"",Y$3)"),"#REF!")</f>
        <v>#REF!</v>
      </c>
      <c r="Z446" s="2" t="str">
        <f>IFERROR(__xludf.DUMMYFUNCTION("IMPORTRANGE(""https://docs.google.com/spreadsheets/d/""&amp;$A446&amp;""/edit#gid=156619080"",Z$3)"),"#REF!")</f>
        <v>#REF!</v>
      </c>
      <c r="AA446" s="2" t="str">
        <f>IFERROR(__xludf.DUMMYFUNCTION("IMPORTRANGE(""https://docs.google.com/spreadsheets/d/""&amp;$A446&amp;""/edit#gid=156619080"",AA$3)"),"#REF!")</f>
        <v>#REF!</v>
      </c>
      <c r="AB446" s="2" t="str">
        <f>IFERROR(__xludf.DUMMYFUNCTION("IMPORTRANGE(""https://docs.google.com/spreadsheets/d/""&amp;$A446&amp;""/edit#gid=156619080"",AB$3)"),"#REF!")</f>
        <v>#REF!</v>
      </c>
      <c r="AC446" s="2" t="str">
        <f>IFERROR(__xludf.DUMMYFUNCTION("IMPORTRANGE(""https://docs.google.com/spreadsheets/d/""&amp;$A446&amp;""/edit#gid=156619080"",AC$3)"),"#REF!")</f>
        <v>#REF!</v>
      </c>
      <c r="AD446" s="2" t="str">
        <f>IFERROR(__xludf.DUMMYFUNCTION("IMPORTRANGE(""https://docs.google.com/spreadsheets/d/""&amp;$A446&amp;""/edit#gid=156619080"",AD$3)"),"#REF!")</f>
        <v>#REF!</v>
      </c>
      <c r="AE446" s="2" t="str">
        <f>IFERROR(__xludf.DUMMYFUNCTION("IMPORTRANGE(""https://docs.google.com/spreadsheets/d/""&amp;$A446&amp;""/edit#gid=156619080"",AE$3)"),"#REF!")</f>
        <v>#REF!</v>
      </c>
      <c r="AF446" s="2" t="str">
        <f>IFERROR(__xludf.DUMMYFUNCTION("IMPORTRANGE(""https://docs.google.com/spreadsheets/d/""&amp;$A446&amp;""/edit#gid=156619080"",AF$3)"),"#REF!")</f>
        <v>#REF!</v>
      </c>
      <c r="AG446" s="2" t="str">
        <f>IFERROR(__xludf.DUMMYFUNCTION("IMPORTRANGE(""https://docs.google.com/spreadsheets/d/""&amp;$A446&amp;""/edit#gid=156619080"",AG$3)"),"#REF!")</f>
        <v>#REF!</v>
      </c>
      <c r="AH446" s="2" t="str">
        <f>IFERROR(__xludf.DUMMYFUNCTION("IMPORTRANGE(""https://docs.google.com/spreadsheets/d/""&amp;$A446&amp;""/edit#gid=156619080"",AH$3)"),"#REF!")</f>
        <v>#REF!</v>
      </c>
      <c r="AI446" s="2" t="str">
        <f>IFERROR(__xludf.DUMMYFUNCTION("IMPORTRANGE(""https://docs.google.com/spreadsheets/d/""&amp;$A446&amp;""/edit#gid=156619080"",AI$3)"),"#REF!")</f>
        <v>#REF!</v>
      </c>
      <c r="AJ446" s="2" t="str">
        <f>IFERROR(__xludf.DUMMYFUNCTION("IMPORTRANGE(""https://docs.google.com/spreadsheets/d/""&amp;$A446&amp;""/edit#gid=156619080"",AJ$3)"),"#REF!")</f>
        <v>#REF!</v>
      </c>
      <c r="AK446" s="2" t="str">
        <f>IFERROR(__xludf.DUMMYFUNCTION("IMPORTRANGE(""https://docs.google.com/spreadsheets/d/""&amp;$A446&amp;""/edit#gid=156619080"",AK$3)"),"#REF!")</f>
        <v>#REF!</v>
      </c>
      <c r="AL446" s="2" t="str">
        <f>IFERROR(__xludf.DUMMYFUNCTION("IMPORTRANGE(""https://docs.google.com/spreadsheets/d/""&amp;$A446&amp;""/edit#gid=156619080"",AL$3)"),"#REF!")</f>
        <v>#REF!</v>
      </c>
      <c r="AM446" s="2" t="str">
        <f>IFERROR(__xludf.DUMMYFUNCTION("IMPORTRANGE(""https://docs.google.com/spreadsheets/d/""&amp;$A446&amp;""/edit#gid=156619080"",AM$3)"),"#REF!")</f>
        <v>#REF!</v>
      </c>
      <c r="AN446" s="2" t="str">
        <f>IFERROR(__xludf.DUMMYFUNCTION("IMPORTRANGE(""https://docs.google.com/spreadsheets/d/""&amp;$A446&amp;""/edit#gid=156619080"",AN$3)"),"#REF!")</f>
        <v>#REF!</v>
      </c>
      <c r="AO446" s="2" t="str">
        <f>IFERROR(__xludf.DUMMYFUNCTION("IMPORTRANGE(""https://docs.google.com/spreadsheets/d/""&amp;$A446&amp;""/edit#gid=156619080"",AO$3)"),"#REF!")</f>
        <v>#REF!</v>
      </c>
      <c r="AP446" s="2" t="str">
        <f>IFERROR(__xludf.DUMMYFUNCTION("IMPORTRANGE(""https://docs.google.com/spreadsheets/d/""&amp;$A446&amp;""/edit#gid=156619080"",AP$3)"),"#REF!")</f>
        <v>#REF!</v>
      </c>
      <c r="AQ446" s="2" t="str">
        <f>IFERROR(__xludf.DUMMYFUNCTION("IMPORTRANGE(""https://docs.google.com/spreadsheets/d/""&amp;$A446&amp;""/edit#gid=156619080"",AQ$3)"),"#REF!")</f>
        <v>#REF!</v>
      </c>
      <c r="AR446" s="2" t="str">
        <f>IFERROR(__xludf.DUMMYFUNCTION("IMPORTRANGE(""https://docs.google.com/spreadsheets/d/""&amp;$A446&amp;""/edit#gid=156619080"",AR$3)"),"#REF!")</f>
        <v>#REF!</v>
      </c>
      <c r="AS446" s="19" t="str">
        <f>IFERROR(__xludf.DUMMYFUNCTION("IMPORTRANGE(""https://docs.google.com/spreadsheets/d/""&amp;$A446&amp;""/edit#gid=156619080"",AS$3)"),"#REF!")</f>
        <v>#REF!</v>
      </c>
      <c r="AT446" s="2" t="str">
        <f>IFERROR(__xludf.DUMMYFUNCTION("IMPORTRANGE(""https://docs.google.com/spreadsheets/d/""&amp;$A446&amp;""/edit#gid=156619080"",AT$3)"),"#REF!")</f>
        <v>#REF!</v>
      </c>
      <c r="AU446" s="3" t="str">
        <f>IFERROR(__xludf.DUMMYFUNCTION("IMPORTRANGE(""https://docs.google.com/spreadsheets/d/""&amp;$A446&amp;""/edit#gid=156619080"",AU$3)"),"#REF!")</f>
        <v>#REF!</v>
      </c>
      <c r="AV446" s="2" t="str">
        <f>IFERROR(__xludf.DUMMYFUNCTION("IMPORTRANGE(""https://docs.google.com/spreadsheets/d/""&amp;$A446&amp;""/edit#gid=156619080"",AV$3)"),"#REF!")</f>
        <v>#REF!</v>
      </c>
      <c r="AW446" s="19" t="str">
        <f>IFERROR(__xludf.DUMMYFUNCTION("IMPORTRANGE(""https://docs.google.com/spreadsheets/d/""&amp;$A446&amp;""/edit#gid=156619080"",AW$3)"),"#REF!")</f>
        <v>#REF!</v>
      </c>
      <c r="AX446" s="2" t="str">
        <f>IFERROR(__xludf.DUMMYFUNCTION("IMPORTRANGE(""https://docs.google.com/spreadsheets/d/""&amp;$A446&amp;""/edit#gid=156619080"",AX$3)"),"#REF!")</f>
        <v>#REF!</v>
      </c>
      <c r="AY446" s="2" t="str">
        <f>IFERROR(__xludf.DUMMYFUNCTION("IMPORTRANGE(""https://docs.google.com/spreadsheets/d/""&amp;$A446&amp;""/edit#gid=156619080"",AY$3)"),"#REF!")</f>
        <v>#REF!</v>
      </c>
      <c r="AZ446" s="2" t="str">
        <f>IFERROR(__xludf.DUMMYFUNCTION("IMPORTRANGE(""https://docs.google.com/spreadsheets/d/""&amp;$A446&amp;""/edit#gid=156619080"",AZ$3)"),"#REF!")</f>
        <v>#REF!</v>
      </c>
      <c r="BA446" s="2" t="str">
        <f>IFERROR(__xludf.DUMMYFUNCTION("IMPORTRANGE(""https://docs.google.com/spreadsheets/d/""&amp;$A446&amp;""/edit#gid=156619080"",BA$3)"),"#REF!")</f>
        <v>#REF!</v>
      </c>
      <c r="BB446" s="2" t="str">
        <f>IFERROR(__xludf.DUMMYFUNCTION("IMPORTRANGE(""https://docs.google.com/spreadsheets/d/""&amp;$A446&amp;""/edit#gid=156619080"",BB$3)"),"#REF!")</f>
        <v>#REF!</v>
      </c>
      <c r="BC446" s="2" t="str">
        <f>IFERROR(__xludf.DUMMYFUNCTION("IMPORTRANGE(""https://docs.google.com/spreadsheets/d/""&amp;$A446&amp;""/edit#gid=156619080"",BC$3)"),"#REF!")</f>
        <v>#REF!</v>
      </c>
    </row>
    <row r="447" ht="51.0" customHeight="1">
      <c r="A447" s="7" t="str">
        <f t="shared" si="5"/>
        <v>1qLRHVRz7ULxs31g_ceZcqhwCjyomTShXioOEqEljYPo</v>
      </c>
      <c r="B447" s="1" t="s">
        <v>474</v>
      </c>
      <c r="C447" s="2" t="str">
        <f>IFERROR(__xludf.DUMMYFUNCTION("IMPORTRANGE(""https://docs.google.com/spreadsheets/d/""&amp;$A447&amp;""/edit#gid=156619080"",C$3)"),"#REF!")</f>
        <v>#REF!</v>
      </c>
      <c r="D447" s="2" t="str">
        <f>IFERROR(__xludf.DUMMYFUNCTION("IMPORTRANGE(""https://docs.google.com/spreadsheets/d/""&amp;$A447&amp;""/edit#gid=156619080"",D$3)"),"#REF!")</f>
        <v>#REF!</v>
      </c>
      <c r="E447" s="2" t="str">
        <f>IFERROR(__xludf.DUMMYFUNCTION("IMPORTRANGE(""https://docs.google.com/spreadsheets/d/""&amp;$A447&amp;""/edit#gid=156619080"",E$3)"),"#REF!")</f>
        <v>#REF!</v>
      </c>
      <c r="F447" s="2" t="str">
        <f>IFERROR(__xludf.DUMMYFUNCTION("IMPORTRANGE(""https://docs.google.com/spreadsheets/d/""&amp;$A447&amp;""/edit#gid=156619080"",F$3)"),"#REF!")</f>
        <v>#REF!</v>
      </c>
      <c r="G447" s="2" t="str">
        <f>IFERROR(__xludf.DUMMYFUNCTION("IMPORTRANGE(""https://docs.google.com/spreadsheets/d/""&amp;$A447&amp;""/edit#gid=156619080"",G$3)"),"#REF!")</f>
        <v>#REF!</v>
      </c>
      <c r="H447" s="2" t="str">
        <f>IFERROR(__xludf.DUMMYFUNCTION("IMPORTRANGE(""https://docs.google.com/spreadsheets/d/""&amp;$A447&amp;""/edit#gid=156619080"",H$3)"),"#REF!")</f>
        <v>#REF!</v>
      </c>
      <c r="I447" s="2" t="str">
        <f>IFERROR(__xludf.DUMMYFUNCTION("IMPORTRANGE(""https://docs.google.com/spreadsheets/d/""&amp;$A447&amp;""/edit#gid=156619080"",I$3)"),"#REF!")</f>
        <v>#REF!</v>
      </c>
      <c r="J447" s="2" t="str">
        <f>IFERROR(__xludf.DUMMYFUNCTION("IMPORTRANGE(""https://docs.google.com/spreadsheets/d/""&amp;$A447&amp;""/edit#gid=156619080"",J$3)"),"#REF!")</f>
        <v>#REF!</v>
      </c>
      <c r="K447" s="2" t="str">
        <f>IFERROR(__xludf.DUMMYFUNCTION("IMPORTRANGE(""https://docs.google.com/spreadsheets/d/""&amp;$A447&amp;""/edit#gid=156619080"",K$3)"),"#REF!")</f>
        <v>#REF!</v>
      </c>
      <c r="L447" s="2" t="str">
        <f>IFERROR(__xludf.DUMMYFUNCTION("IMPORTRANGE(""https://docs.google.com/spreadsheets/d/""&amp;$A447&amp;""/edit#gid=156619080"",L$3)"),"#REF!")</f>
        <v>#REF!</v>
      </c>
      <c r="M447" s="2" t="str">
        <f>IFERROR(__xludf.DUMMYFUNCTION("IMPORTRANGE(""https://docs.google.com/spreadsheets/d/""&amp;$A447&amp;""/edit#gid=156619080"",M$3)"),"#REF!")</f>
        <v>#REF!</v>
      </c>
      <c r="N447" s="2" t="str">
        <f>IFERROR(__xludf.DUMMYFUNCTION("IMPORTRANGE(""https://docs.google.com/spreadsheets/d/""&amp;$A447&amp;""/edit#gid=156619080"",N$3)"),"#REF!")</f>
        <v>#REF!</v>
      </c>
      <c r="O447" s="2" t="str">
        <f>IFERROR(__xludf.DUMMYFUNCTION("IMPORTRANGE(""https://docs.google.com/spreadsheets/d/""&amp;$A447&amp;""/edit#gid=156619080"",O$3)"),"#REF!")</f>
        <v>#REF!</v>
      </c>
      <c r="P447" s="2" t="str">
        <f>IFERROR(__xludf.DUMMYFUNCTION("IMPORTRANGE(""https://docs.google.com/spreadsheets/d/""&amp;$A447&amp;""/edit#gid=156619080"",P$3)"),"#REF!")</f>
        <v>#REF!</v>
      </c>
      <c r="Q447" s="2" t="str">
        <f>IFERROR(__xludf.DUMMYFUNCTION("IMPORTRANGE(""https://docs.google.com/spreadsheets/d/""&amp;$A447&amp;""/edit#gid=156619080"",Q$3)"),"#REF!")</f>
        <v>#REF!</v>
      </c>
      <c r="R447" s="2" t="str">
        <f>IFERROR(__xludf.DUMMYFUNCTION("IMPORTRANGE(""https://docs.google.com/spreadsheets/d/""&amp;$A447&amp;""/edit#gid=156619080"",R$3)"),"#REF!")</f>
        <v>#REF!</v>
      </c>
      <c r="S447" s="2" t="str">
        <f>IFERROR(__xludf.DUMMYFUNCTION("IMPORTRANGE(""https://docs.google.com/spreadsheets/d/""&amp;$A447&amp;""/edit#gid=156619080"",S$3)"),"#REF!")</f>
        <v>#REF!</v>
      </c>
      <c r="T447" s="2" t="str">
        <f>IFERROR(__xludf.DUMMYFUNCTION("IMPORTRANGE(""https://docs.google.com/spreadsheets/d/""&amp;$A447&amp;""/edit#gid=156619080"",T$3)"),"#REF!")</f>
        <v>#REF!</v>
      </c>
      <c r="U447" s="2" t="str">
        <f>IFERROR(__xludf.DUMMYFUNCTION("IMPORTRANGE(""https://docs.google.com/spreadsheets/d/""&amp;$A447&amp;""/edit#gid=156619080"",U$3)"),"#REF!")</f>
        <v>#REF!</v>
      </c>
      <c r="V447" s="2" t="str">
        <f>IFERROR(__xludf.DUMMYFUNCTION("IMPORTRANGE(""https://docs.google.com/spreadsheets/d/""&amp;$A447&amp;""/edit#gid=156619080"",V$3)"),"#REF!")</f>
        <v>#REF!</v>
      </c>
      <c r="W447" s="2" t="str">
        <f>IFERROR(__xludf.DUMMYFUNCTION("IMPORTRANGE(""https://docs.google.com/spreadsheets/d/""&amp;$A447&amp;""/edit#gid=156619080"",W$3)"),"#REF!")</f>
        <v>#REF!</v>
      </c>
      <c r="X447" s="2" t="str">
        <f>IFERROR(__xludf.DUMMYFUNCTION("IMPORTRANGE(""https://docs.google.com/spreadsheets/d/""&amp;$A447&amp;""/edit#gid=156619080"",X$3)"),"#REF!")</f>
        <v>#REF!</v>
      </c>
      <c r="Y447" s="2" t="str">
        <f>IFERROR(__xludf.DUMMYFUNCTION("IMPORTRANGE(""https://docs.google.com/spreadsheets/d/""&amp;$A447&amp;""/edit#gid=156619080"",Y$3)"),"#REF!")</f>
        <v>#REF!</v>
      </c>
      <c r="Z447" s="2" t="str">
        <f>IFERROR(__xludf.DUMMYFUNCTION("IMPORTRANGE(""https://docs.google.com/spreadsheets/d/""&amp;$A447&amp;""/edit#gid=156619080"",Z$3)"),"#REF!")</f>
        <v>#REF!</v>
      </c>
      <c r="AA447" s="2" t="str">
        <f>IFERROR(__xludf.DUMMYFUNCTION("IMPORTRANGE(""https://docs.google.com/spreadsheets/d/""&amp;$A447&amp;""/edit#gid=156619080"",AA$3)"),"#REF!")</f>
        <v>#REF!</v>
      </c>
      <c r="AB447" s="2" t="str">
        <f>IFERROR(__xludf.DUMMYFUNCTION("IMPORTRANGE(""https://docs.google.com/spreadsheets/d/""&amp;$A447&amp;""/edit#gid=156619080"",AB$3)"),"#REF!")</f>
        <v>#REF!</v>
      </c>
      <c r="AC447" s="2" t="str">
        <f>IFERROR(__xludf.DUMMYFUNCTION("IMPORTRANGE(""https://docs.google.com/spreadsheets/d/""&amp;$A447&amp;""/edit#gid=156619080"",AC$3)"),"#REF!")</f>
        <v>#REF!</v>
      </c>
      <c r="AD447" s="2" t="str">
        <f>IFERROR(__xludf.DUMMYFUNCTION("IMPORTRANGE(""https://docs.google.com/spreadsheets/d/""&amp;$A447&amp;""/edit#gid=156619080"",AD$3)"),"#REF!")</f>
        <v>#REF!</v>
      </c>
      <c r="AE447" s="2" t="str">
        <f>IFERROR(__xludf.DUMMYFUNCTION("IMPORTRANGE(""https://docs.google.com/spreadsheets/d/""&amp;$A447&amp;""/edit#gid=156619080"",AE$3)"),"#REF!")</f>
        <v>#REF!</v>
      </c>
      <c r="AF447" s="2" t="str">
        <f>IFERROR(__xludf.DUMMYFUNCTION("IMPORTRANGE(""https://docs.google.com/spreadsheets/d/""&amp;$A447&amp;""/edit#gid=156619080"",AF$3)"),"#REF!")</f>
        <v>#REF!</v>
      </c>
      <c r="AG447" s="2" t="str">
        <f>IFERROR(__xludf.DUMMYFUNCTION("IMPORTRANGE(""https://docs.google.com/spreadsheets/d/""&amp;$A447&amp;""/edit#gid=156619080"",AG$3)"),"#REF!")</f>
        <v>#REF!</v>
      </c>
      <c r="AH447" s="2" t="str">
        <f>IFERROR(__xludf.DUMMYFUNCTION("IMPORTRANGE(""https://docs.google.com/spreadsheets/d/""&amp;$A447&amp;""/edit#gid=156619080"",AH$3)"),"#REF!")</f>
        <v>#REF!</v>
      </c>
      <c r="AI447" s="2" t="str">
        <f>IFERROR(__xludf.DUMMYFUNCTION("IMPORTRANGE(""https://docs.google.com/spreadsheets/d/""&amp;$A447&amp;""/edit#gid=156619080"",AI$3)"),"#REF!")</f>
        <v>#REF!</v>
      </c>
      <c r="AJ447" s="2" t="str">
        <f>IFERROR(__xludf.DUMMYFUNCTION("IMPORTRANGE(""https://docs.google.com/spreadsheets/d/""&amp;$A447&amp;""/edit#gid=156619080"",AJ$3)"),"#REF!")</f>
        <v>#REF!</v>
      </c>
      <c r="AK447" s="2" t="str">
        <f>IFERROR(__xludf.DUMMYFUNCTION("IMPORTRANGE(""https://docs.google.com/spreadsheets/d/""&amp;$A447&amp;""/edit#gid=156619080"",AK$3)"),"#REF!")</f>
        <v>#REF!</v>
      </c>
      <c r="AL447" s="2" t="str">
        <f>IFERROR(__xludf.DUMMYFUNCTION("IMPORTRANGE(""https://docs.google.com/spreadsheets/d/""&amp;$A447&amp;""/edit#gid=156619080"",AL$3)"),"#REF!")</f>
        <v>#REF!</v>
      </c>
      <c r="AM447" s="2" t="str">
        <f>IFERROR(__xludf.DUMMYFUNCTION("IMPORTRANGE(""https://docs.google.com/spreadsheets/d/""&amp;$A447&amp;""/edit#gid=156619080"",AM$3)"),"#REF!")</f>
        <v>#REF!</v>
      </c>
      <c r="AN447" s="2" t="str">
        <f>IFERROR(__xludf.DUMMYFUNCTION("IMPORTRANGE(""https://docs.google.com/spreadsheets/d/""&amp;$A447&amp;""/edit#gid=156619080"",AN$3)"),"#REF!")</f>
        <v>#REF!</v>
      </c>
      <c r="AO447" s="2" t="str">
        <f>IFERROR(__xludf.DUMMYFUNCTION("IMPORTRANGE(""https://docs.google.com/spreadsheets/d/""&amp;$A447&amp;""/edit#gid=156619080"",AO$3)"),"#REF!")</f>
        <v>#REF!</v>
      </c>
      <c r="AP447" s="2" t="str">
        <f>IFERROR(__xludf.DUMMYFUNCTION("IMPORTRANGE(""https://docs.google.com/spreadsheets/d/""&amp;$A447&amp;""/edit#gid=156619080"",AP$3)"),"#REF!")</f>
        <v>#REF!</v>
      </c>
      <c r="AQ447" s="2" t="str">
        <f>IFERROR(__xludf.DUMMYFUNCTION("IMPORTRANGE(""https://docs.google.com/spreadsheets/d/""&amp;$A447&amp;""/edit#gid=156619080"",AQ$3)"),"#REF!")</f>
        <v>#REF!</v>
      </c>
      <c r="AR447" s="2" t="str">
        <f>IFERROR(__xludf.DUMMYFUNCTION("IMPORTRANGE(""https://docs.google.com/spreadsheets/d/""&amp;$A447&amp;""/edit#gid=156619080"",AR$3)"),"#REF!")</f>
        <v>#REF!</v>
      </c>
      <c r="AS447" s="19" t="str">
        <f>IFERROR(__xludf.DUMMYFUNCTION("IMPORTRANGE(""https://docs.google.com/spreadsheets/d/""&amp;$A447&amp;""/edit#gid=156619080"",AS$3)"),"#REF!")</f>
        <v>#REF!</v>
      </c>
      <c r="AT447" s="2" t="str">
        <f>IFERROR(__xludf.DUMMYFUNCTION("IMPORTRANGE(""https://docs.google.com/spreadsheets/d/""&amp;$A447&amp;""/edit#gid=156619080"",AT$3)"),"#REF!")</f>
        <v>#REF!</v>
      </c>
      <c r="AU447" s="3" t="str">
        <f>IFERROR(__xludf.DUMMYFUNCTION("IMPORTRANGE(""https://docs.google.com/spreadsheets/d/""&amp;$A447&amp;""/edit#gid=156619080"",AU$3)"),"#REF!")</f>
        <v>#REF!</v>
      </c>
      <c r="AV447" s="2" t="str">
        <f>IFERROR(__xludf.DUMMYFUNCTION("IMPORTRANGE(""https://docs.google.com/spreadsheets/d/""&amp;$A447&amp;""/edit#gid=156619080"",AV$3)"),"#REF!")</f>
        <v>#REF!</v>
      </c>
      <c r="AW447" s="19" t="str">
        <f>IFERROR(__xludf.DUMMYFUNCTION("IMPORTRANGE(""https://docs.google.com/spreadsheets/d/""&amp;$A447&amp;""/edit#gid=156619080"",AW$3)"),"#REF!")</f>
        <v>#REF!</v>
      </c>
      <c r="AX447" s="2" t="str">
        <f>IFERROR(__xludf.DUMMYFUNCTION("IMPORTRANGE(""https://docs.google.com/spreadsheets/d/""&amp;$A447&amp;""/edit#gid=156619080"",AX$3)"),"#REF!")</f>
        <v>#REF!</v>
      </c>
      <c r="AY447" s="2" t="str">
        <f>IFERROR(__xludf.DUMMYFUNCTION("IMPORTRANGE(""https://docs.google.com/spreadsheets/d/""&amp;$A447&amp;""/edit#gid=156619080"",AY$3)"),"#REF!")</f>
        <v>#REF!</v>
      </c>
      <c r="AZ447" s="2" t="str">
        <f>IFERROR(__xludf.DUMMYFUNCTION("IMPORTRANGE(""https://docs.google.com/spreadsheets/d/""&amp;$A447&amp;""/edit#gid=156619080"",AZ$3)"),"#REF!")</f>
        <v>#REF!</v>
      </c>
      <c r="BA447" s="2" t="str">
        <f>IFERROR(__xludf.DUMMYFUNCTION("IMPORTRANGE(""https://docs.google.com/spreadsheets/d/""&amp;$A447&amp;""/edit#gid=156619080"",BA$3)"),"#REF!")</f>
        <v>#REF!</v>
      </c>
      <c r="BB447" s="2" t="str">
        <f>IFERROR(__xludf.DUMMYFUNCTION("IMPORTRANGE(""https://docs.google.com/spreadsheets/d/""&amp;$A447&amp;""/edit#gid=156619080"",BB$3)"),"#REF!")</f>
        <v>#REF!</v>
      </c>
      <c r="BC447" s="2" t="str">
        <f>IFERROR(__xludf.DUMMYFUNCTION("IMPORTRANGE(""https://docs.google.com/spreadsheets/d/""&amp;$A447&amp;""/edit#gid=156619080"",BC$3)"),"#REF!")</f>
        <v>#REF!</v>
      </c>
    </row>
    <row r="448" ht="51.0" customHeight="1">
      <c r="A448" s="7" t="str">
        <f t="shared" si="5"/>
        <v>1EyBrPujj4t5swjzean0sKbG0lTITHL_Du8HETpdnnQQ</v>
      </c>
      <c r="B448" s="1" t="s">
        <v>475</v>
      </c>
      <c r="C448" s="2" t="str">
        <f>IFERROR(__xludf.DUMMYFUNCTION("IMPORTRANGE(""https://docs.google.com/spreadsheets/d/""&amp;$A448&amp;""/edit#gid=156619080"",C$3)"),"#REF!")</f>
        <v>#REF!</v>
      </c>
      <c r="D448" s="2" t="str">
        <f>IFERROR(__xludf.DUMMYFUNCTION("IMPORTRANGE(""https://docs.google.com/spreadsheets/d/""&amp;$A448&amp;""/edit#gid=156619080"",D$3)"),"#REF!")</f>
        <v>#REF!</v>
      </c>
      <c r="E448" s="2" t="str">
        <f>IFERROR(__xludf.DUMMYFUNCTION("IMPORTRANGE(""https://docs.google.com/spreadsheets/d/""&amp;$A448&amp;""/edit#gid=156619080"",E$3)"),"#REF!")</f>
        <v>#REF!</v>
      </c>
      <c r="F448" s="2" t="str">
        <f>IFERROR(__xludf.DUMMYFUNCTION("IMPORTRANGE(""https://docs.google.com/spreadsheets/d/""&amp;$A448&amp;""/edit#gid=156619080"",F$3)"),"#REF!")</f>
        <v>#REF!</v>
      </c>
      <c r="G448" s="2" t="str">
        <f>IFERROR(__xludf.DUMMYFUNCTION("IMPORTRANGE(""https://docs.google.com/spreadsheets/d/""&amp;$A448&amp;""/edit#gid=156619080"",G$3)"),"#REF!")</f>
        <v>#REF!</v>
      </c>
      <c r="H448" s="2" t="str">
        <f>IFERROR(__xludf.DUMMYFUNCTION("IMPORTRANGE(""https://docs.google.com/spreadsheets/d/""&amp;$A448&amp;""/edit#gid=156619080"",H$3)"),"#REF!")</f>
        <v>#REF!</v>
      </c>
      <c r="I448" s="2" t="str">
        <f>IFERROR(__xludf.DUMMYFUNCTION("IMPORTRANGE(""https://docs.google.com/spreadsheets/d/""&amp;$A448&amp;""/edit#gid=156619080"",I$3)"),"#REF!")</f>
        <v>#REF!</v>
      </c>
      <c r="J448" s="2" t="str">
        <f>IFERROR(__xludf.DUMMYFUNCTION("IMPORTRANGE(""https://docs.google.com/spreadsheets/d/""&amp;$A448&amp;""/edit#gid=156619080"",J$3)"),"#REF!")</f>
        <v>#REF!</v>
      </c>
      <c r="K448" s="2" t="str">
        <f>IFERROR(__xludf.DUMMYFUNCTION("IMPORTRANGE(""https://docs.google.com/spreadsheets/d/""&amp;$A448&amp;""/edit#gid=156619080"",K$3)"),"#REF!")</f>
        <v>#REF!</v>
      </c>
      <c r="L448" s="2" t="str">
        <f>IFERROR(__xludf.DUMMYFUNCTION("IMPORTRANGE(""https://docs.google.com/spreadsheets/d/""&amp;$A448&amp;""/edit#gid=156619080"",L$3)"),"#REF!")</f>
        <v>#REF!</v>
      </c>
      <c r="M448" s="2" t="str">
        <f>IFERROR(__xludf.DUMMYFUNCTION("IMPORTRANGE(""https://docs.google.com/spreadsheets/d/""&amp;$A448&amp;""/edit#gid=156619080"",M$3)"),"#REF!")</f>
        <v>#REF!</v>
      </c>
      <c r="N448" s="2" t="str">
        <f>IFERROR(__xludf.DUMMYFUNCTION("IMPORTRANGE(""https://docs.google.com/spreadsheets/d/""&amp;$A448&amp;""/edit#gid=156619080"",N$3)"),"#REF!")</f>
        <v>#REF!</v>
      </c>
      <c r="O448" s="2" t="str">
        <f>IFERROR(__xludf.DUMMYFUNCTION("IMPORTRANGE(""https://docs.google.com/spreadsheets/d/""&amp;$A448&amp;""/edit#gid=156619080"",O$3)"),"#REF!")</f>
        <v>#REF!</v>
      </c>
      <c r="P448" s="2" t="str">
        <f>IFERROR(__xludf.DUMMYFUNCTION("IMPORTRANGE(""https://docs.google.com/spreadsheets/d/""&amp;$A448&amp;""/edit#gid=156619080"",P$3)"),"#REF!")</f>
        <v>#REF!</v>
      </c>
      <c r="Q448" s="2" t="str">
        <f>IFERROR(__xludf.DUMMYFUNCTION("IMPORTRANGE(""https://docs.google.com/spreadsheets/d/""&amp;$A448&amp;""/edit#gid=156619080"",Q$3)"),"#REF!")</f>
        <v>#REF!</v>
      </c>
      <c r="R448" s="2" t="str">
        <f>IFERROR(__xludf.DUMMYFUNCTION("IMPORTRANGE(""https://docs.google.com/spreadsheets/d/""&amp;$A448&amp;""/edit#gid=156619080"",R$3)"),"#REF!")</f>
        <v>#REF!</v>
      </c>
      <c r="S448" s="2" t="str">
        <f>IFERROR(__xludf.DUMMYFUNCTION("IMPORTRANGE(""https://docs.google.com/spreadsheets/d/""&amp;$A448&amp;""/edit#gid=156619080"",S$3)"),"#REF!")</f>
        <v>#REF!</v>
      </c>
      <c r="T448" s="2" t="str">
        <f>IFERROR(__xludf.DUMMYFUNCTION("IMPORTRANGE(""https://docs.google.com/spreadsheets/d/""&amp;$A448&amp;""/edit#gid=156619080"",T$3)"),"#REF!")</f>
        <v>#REF!</v>
      </c>
      <c r="U448" s="2" t="str">
        <f>IFERROR(__xludf.DUMMYFUNCTION("IMPORTRANGE(""https://docs.google.com/spreadsheets/d/""&amp;$A448&amp;""/edit#gid=156619080"",U$3)"),"#REF!")</f>
        <v>#REF!</v>
      </c>
      <c r="V448" s="2" t="str">
        <f>IFERROR(__xludf.DUMMYFUNCTION("IMPORTRANGE(""https://docs.google.com/spreadsheets/d/""&amp;$A448&amp;""/edit#gid=156619080"",V$3)"),"#REF!")</f>
        <v>#REF!</v>
      </c>
      <c r="W448" s="2" t="str">
        <f>IFERROR(__xludf.DUMMYFUNCTION("IMPORTRANGE(""https://docs.google.com/spreadsheets/d/""&amp;$A448&amp;""/edit#gid=156619080"",W$3)"),"#REF!")</f>
        <v>#REF!</v>
      </c>
      <c r="X448" s="2" t="str">
        <f>IFERROR(__xludf.DUMMYFUNCTION("IMPORTRANGE(""https://docs.google.com/spreadsheets/d/""&amp;$A448&amp;""/edit#gid=156619080"",X$3)"),"#REF!")</f>
        <v>#REF!</v>
      </c>
      <c r="Y448" s="2" t="str">
        <f>IFERROR(__xludf.DUMMYFUNCTION("IMPORTRANGE(""https://docs.google.com/spreadsheets/d/""&amp;$A448&amp;""/edit#gid=156619080"",Y$3)"),"#REF!")</f>
        <v>#REF!</v>
      </c>
      <c r="Z448" s="2" t="str">
        <f>IFERROR(__xludf.DUMMYFUNCTION("IMPORTRANGE(""https://docs.google.com/spreadsheets/d/""&amp;$A448&amp;""/edit#gid=156619080"",Z$3)"),"#REF!")</f>
        <v>#REF!</v>
      </c>
      <c r="AA448" s="2" t="str">
        <f>IFERROR(__xludf.DUMMYFUNCTION("IMPORTRANGE(""https://docs.google.com/spreadsheets/d/""&amp;$A448&amp;""/edit#gid=156619080"",AA$3)"),"#REF!")</f>
        <v>#REF!</v>
      </c>
      <c r="AB448" s="2" t="str">
        <f>IFERROR(__xludf.DUMMYFUNCTION("IMPORTRANGE(""https://docs.google.com/spreadsheets/d/""&amp;$A448&amp;""/edit#gid=156619080"",AB$3)"),"#REF!")</f>
        <v>#REF!</v>
      </c>
      <c r="AC448" s="2" t="str">
        <f>IFERROR(__xludf.DUMMYFUNCTION("IMPORTRANGE(""https://docs.google.com/spreadsheets/d/""&amp;$A448&amp;""/edit#gid=156619080"",AC$3)"),"#REF!")</f>
        <v>#REF!</v>
      </c>
      <c r="AD448" s="2" t="str">
        <f>IFERROR(__xludf.DUMMYFUNCTION("IMPORTRANGE(""https://docs.google.com/spreadsheets/d/""&amp;$A448&amp;""/edit#gid=156619080"",AD$3)"),"#REF!")</f>
        <v>#REF!</v>
      </c>
      <c r="AE448" s="2" t="str">
        <f>IFERROR(__xludf.DUMMYFUNCTION("IMPORTRANGE(""https://docs.google.com/spreadsheets/d/""&amp;$A448&amp;""/edit#gid=156619080"",AE$3)"),"#REF!")</f>
        <v>#REF!</v>
      </c>
      <c r="AF448" s="2" t="str">
        <f>IFERROR(__xludf.DUMMYFUNCTION("IMPORTRANGE(""https://docs.google.com/spreadsheets/d/""&amp;$A448&amp;""/edit#gid=156619080"",AF$3)"),"#REF!")</f>
        <v>#REF!</v>
      </c>
      <c r="AG448" s="2" t="str">
        <f>IFERROR(__xludf.DUMMYFUNCTION("IMPORTRANGE(""https://docs.google.com/spreadsheets/d/""&amp;$A448&amp;""/edit#gid=156619080"",AG$3)"),"#REF!")</f>
        <v>#REF!</v>
      </c>
      <c r="AH448" s="2" t="str">
        <f>IFERROR(__xludf.DUMMYFUNCTION("IMPORTRANGE(""https://docs.google.com/spreadsheets/d/""&amp;$A448&amp;""/edit#gid=156619080"",AH$3)"),"#REF!")</f>
        <v>#REF!</v>
      </c>
      <c r="AI448" s="2" t="str">
        <f>IFERROR(__xludf.DUMMYFUNCTION("IMPORTRANGE(""https://docs.google.com/spreadsheets/d/""&amp;$A448&amp;""/edit#gid=156619080"",AI$3)"),"#REF!")</f>
        <v>#REF!</v>
      </c>
      <c r="AJ448" s="2" t="str">
        <f>IFERROR(__xludf.DUMMYFUNCTION("IMPORTRANGE(""https://docs.google.com/spreadsheets/d/""&amp;$A448&amp;""/edit#gid=156619080"",AJ$3)"),"#REF!")</f>
        <v>#REF!</v>
      </c>
      <c r="AK448" s="2" t="str">
        <f>IFERROR(__xludf.DUMMYFUNCTION("IMPORTRANGE(""https://docs.google.com/spreadsheets/d/""&amp;$A448&amp;""/edit#gid=156619080"",AK$3)"),"#REF!")</f>
        <v>#REF!</v>
      </c>
      <c r="AL448" s="2" t="str">
        <f>IFERROR(__xludf.DUMMYFUNCTION("IMPORTRANGE(""https://docs.google.com/spreadsheets/d/""&amp;$A448&amp;""/edit#gid=156619080"",AL$3)"),"#REF!")</f>
        <v>#REF!</v>
      </c>
      <c r="AM448" s="2" t="str">
        <f>IFERROR(__xludf.DUMMYFUNCTION("IMPORTRANGE(""https://docs.google.com/spreadsheets/d/""&amp;$A448&amp;""/edit#gid=156619080"",AM$3)"),"#REF!")</f>
        <v>#REF!</v>
      </c>
      <c r="AN448" s="2" t="str">
        <f>IFERROR(__xludf.DUMMYFUNCTION("IMPORTRANGE(""https://docs.google.com/spreadsheets/d/""&amp;$A448&amp;""/edit#gid=156619080"",AN$3)"),"#REF!")</f>
        <v>#REF!</v>
      </c>
      <c r="AO448" s="2" t="str">
        <f>IFERROR(__xludf.DUMMYFUNCTION("IMPORTRANGE(""https://docs.google.com/spreadsheets/d/""&amp;$A448&amp;""/edit#gid=156619080"",AO$3)"),"#REF!")</f>
        <v>#REF!</v>
      </c>
      <c r="AP448" s="2" t="str">
        <f>IFERROR(__xludf.DUMMYFUNCTION("IMPORTRANGE(""https://docs.google.com/spreadsheets/d/""&amp;$A448&amp;""/edit#gid=156619080"",AP$3)"),"#REF!")</f>
        <v>#REF!</v>
      </c>
      <c r="AQ448" s="2" t="str">
        <f>IFERROR(__xludf.DUMMYFUNCTION("IMPORTRANGE(""https://docs.google.com/spreadsheets/d/""&amp;$A448&amp;""/edit#gid=156619080"",AQ$3)"),"#REF!")</f>
        <v>#REF!</v>
      </c>
      <c r="AR448" s="2" t="str">
        <f>IFERROR(__xludf.DUMMYFUNCTION("IMPORTRANGE(""https://docs.google.com/spreadsheets/d/""&amp;$A448&amp;""/edit#gid=156619080"",AR$3)"),"#REF!")</f>
        <v>#REF!</v>
      </c>
      <c r="AS448" s="19" t="str">
        <f>IFERROR(__xludf.DUMMYFUNCTION("IMPORTRANGE(""https://docs.google.com/spreadsheets/d/""&amp;$A448&amp;""/edit#gid=156619080"",AS$3)"),"#REF!")</f>
        <v>#REF!</v>
      </c>
      <c r="AT448" s="2" t="str">
        <f>IFERROR(__xludf.DUMMYFUNCTION("IMPORTRANGE(""https://docs.google.com/spreadsheets/d/""&amp;$A448&amp;""/edit#gid=156619080"",AT$3)"),"#REF!")</f>
        <v>#REF!</v>
      </c>
      <c r="AU448" s="3" t="str">
        <f>IFERROR(__xludf.DUMMYFUNCTION("IMPORTRANGE(""https://docs.google.com/spreadsheets/d/""&amp;$A448&amp;""/edit#gid=156619080"",AU$3)"),"#REF!")</f>
        <v>#REF!</v>
      </c>
      <c r="AV448" s="2" t="str">
        <f>IFERROR(__xludf.DUMMYFUNCTION("IMPORTRANGE(""https://docs.google.com/spreadsheets/d/""&amp;$A448&amp;""/edit#gid=156619080"",AV$3)"),"#REF!")</f>
        <v>#REF!</v>
      </c>
      <c r="AW448" s="19" t="str">
        <f>IFERROR(__xludf.DUMMYFUNCTION("IMPORTRANGE(""https://docs.google.com/spreadsheets/d/""&amp;$A448&amp;""/edit#gid=156619080"",AW$3)"),"#REF!")</f>
        <v>#REF!</v>
      </c>
      <c r="AX448" s="2" t="str">
        <f>IFERROR(__xludf.DUMMYFUNCTION("IMPORTRANGE(""https://docs.google.com/spreadsheets/d/""&amp;$A448&amp;""/edit#gid=156619080"",AX$3)"),"#REF!")</f>
        <v>#REF!</v>
      </c>
      <c r="AY448" s="2" t="str">
        <f>IFERROR(__xludf.DUMMYFUNCTION("IMPORTRANGE(""https://docs.google.com/spreadsheets/d/""&amp;$A448&amp;""/edit#gid=156619080"",AY$3)"),"#REF!")</f>
        <v>#REF!</v>
      </c>
      <c r="AZ448" s="2" t="str">
        <f>IFERROR(__xludf.DUMMYFUNCTION("IMPORTRANGE(""https://docs.google.com/spreadsheets/d/""&amp;$A448&amp;""/edit#gid=156619080"",AZ$3)"),"#REF!")</f>
        <v>#REF!</v>
      </c>
      <c r="BA448" s="2" t="str">
        <f>IFERROR(__xludf.DUMMYFUNCTION("IMPORTRANGE(""https://docs.google.com/spreadsheets/d/""&amp;$A448&amp;""/edit#gid=156619080"",BA$3)"),"#REF!")</f>
        <v>#REF!</v>
      </c>
      <c r="BB448" s="2" t="str">
        <f>IFERROR(__xludf.DUMMYFUNCTION("IMPORTRANGE(""https://docs.google.com/spreadsheets/d/""&amp;$A448&amp;""/edit#gid=156619080"",BB$3)"),"#REF!")</f>
        <v>#REF!</v>
      </c>
      <c r="BC448" s="2" t="str">
        <f>IFERROR(__xludf.DUMMYFUNCTION("IMPORTRANGE(""https://docs.google.com/spreadsheets/d/""&amp;$A448&amp;""/edit#gid=156619080"",BC$3)"),"#REF!")</f>
        <v>#REF!</v>
      </c>
    </row>
    <row r="449" ht="51.0" customHeight="1">
      <c r="A449" s="7" t="str">
        <f t="shared" si="5"/>
        <v>1_iIFpz0_D9bffD7Gxc_XHI3SX3QqUKI9wkHnioVYDLw</v>
      </c>
      <c r="B449" s="1" t="s">
        <v>476</v>
      </c>
      <c r="C449" s="2" t="str">
        <f>IFERROR(__xludf.DUMMYFUNCTION("IMPORTRANGE(""https://docs.google.com/spreadsheets/d/""&amp;$A449&amp;""/edit#gid=156619080"",C$3)"),"#REF!")</f>
        <v>#REF!</v>
      </c>
      <c r="D449" s="2" t="str">
        <f>IFERROR(__xludf.DUMMYFUNCTION("IMPORTRANGE(""https://docs.google.com/spreadsheets/d/""&amp;$A449&amp;""/edit#gid=156619080"",D$3)"),"#REF!")</f>
        <v>#REF!</v>
      </c>
      <c r="E449" s="2" t="str">
        <f>IFERROR(__xludf.DUMMYFUNCTION("IMPORTRANGE(""https://docs.google.com/spreadsheets/d/""&amp;$A449&amp;""/edit#gid=156619080"",E$3)"),"#REF!")</f>
        <v>#REF!</v>
      </c>
      <c r="F449" s="2" t="str">
        <f>IFERROR(__xludf.DUMMYFUNCTION("IMPORTRANGE(""https://docs.google.com/spreadsheets/d/""&amp;$A449&amp;""/edit#gid=156619080"",F$3)"),"#REF!")</f>
        <v>#REF!</v>
      </c>
      <c r="G449" s="2" t="str">
        <f>IFERROR(__xludf.DUMMYFUNCTION("IMPORTRANGE(""https://docs.google.com/spreadsheets/d/""&amp;$A449&amp;""/edit#gid=156619080"",G$3)"),"#REF!")</f>
        <v>#REF!</v>
      </c>
      <c r="H449" s="2" t="str">
        <f>IFERROR(__xludf.DUMMYFUNCTION("IMPORTRANGE(""https://docs.google.com/spreadsheets/d/""&amp;$A449&amp;""/edit#gid=156619080"",H$3)"),"#REF!")</f>
        <v>#REF!</v>
      </c>
      <c r="I449" s="2" t="str">
        <f>IFERROR(__xludf.DUMMYFUNCTION("IMPORTRANGE(""https://docs.google.com/spreadsheets/d/""&amp;$A449&amp;""/edit#gid=156619080"",I$3)"),"#REF!")</f>
        <v>#REF!</v>
      </c>
      <c r="J449" s="2" t="str">
        <f>IFERROR(__xludf.DUMMYFUNCTION("IMPORTRANGE(""https://docs.google.com/spreadsheets/d/""&amp;$A449&amp;""/edit#gid=156619080"",J$3)"),"#REF!")</f>
        <v>#REF!</v>
      </c>
      <c r="K449" s="2" t="str">
        <f>IFERROR(__xludf.DUMMYFUNCTION("IMPORTRANGE(""https://docs.google.com/spreadsheets/d/""&amp;$A449&amp;""/edit#gid=156619080"",K$3)"),"#REF!")</f>
        <v>#REF!</v>
      </c>
      <c r="L449" s="2" t="str">
        <f>IFERROR(__xludf.DUMMYFUNCTION("IMPORTRANGE(""https://docs.google.com/spreadsheets/d/""&amp;$A449&amp;""/edit#gid=156619080"",L$3)"),"#REF!")</f>
        <v>#REF!</v>
      </c>
      <c r="M449" s="2" t="str">
        <f>IFERROR(__xludf.DUMMYFUNCTION("IMPORTRANGE(""https://docs.google.com/spreadsheets/d/""&amp;$A449&amp;""/edit#gid=156619080"",M$3)"),"#REF!")</f>
        <v>#REF!</v>
      </c>
      <c r="N449" s="2" t="str">
        <f>IFERROR(__xludf.DUMMYFUNCTION("IMPORTRANGE(""https://docs.google.com/spreadsheets/d/""&amp;$A449&amp;""/edit#gid=156619080"",N$3)"),"#REF!")</f>
        <v>#REF!</v>
      </c>
      <c r="O449" s="2" t="str">
        <f>IFERROR(__xludf.DUMMYFUNCTION("IMPORTRANGE(""https://docs.google.com/spreadsheets/d/""&amp;$A449&amp;""/edit#gid=156619080"",O$3)"),"#REF!")</f>
        <v>#REF!</v>
      </c>
      <c r="P449" s="2" t="str">
        <f>IFERROR(__xludf.DUMMYFUNCTION("IMPORTRANGE(""https://docs.google.com/spreadsheets/d/""&amp;$A449&amp;""/edit#gid=156619080"",P$3)"),"#REF!")</f>
        <v>#REF!</v>
      </c>
      <c r="Q449" s="2" t="str">
        <f>IFERROR(__xludf.DUMMYFUNCTION("IMPORTRANGE(""https://docs.google.com/spreadsheets/d/""&amp;$A449&amp;""/edit#gid=156619080"",Q$3)"),"#REF!")</f>
        <v>#REF!</v>
      </c>
      <c r="R449" s="2" t="str">
        <f>IFERROR(__xludf.DUMMYFUNCTION("IMPORTRANGE(""https://docs.google.com/spreadsheets/d/""&amp;$A449&amp;""/edit#gid=156619080"",R$3)"),"#REF!")</f>
        <v>#REF!</v>
      </c>
      <c r="S449" s="2" t="str">
        <f>IFERROR(__xludf.DUMMYFUNCTION("IMPORTRANGE(""https://docs.google.com/spreadsheets/d/""&amp;$A449&amp;""/edit#gid=156619080"",S$3)"),"#REF!")</f>
        <v>#REF!</v>
      </c>
      <c r="T449" s="2" t="str">
        <f>IFERROR(__xludf.DUMMYFUNCTION("IMPORTRANGE(""https://docs.google.com/spreadsheets/d/""&amp;$A449&amp;""/edit#gid=156619080"",T$3)"),"#REF!")</f>
        <v>#REF!</v>
      </c>
      <c r="U449" s="2" t="str">
        <f>IFERROR(__xludf.DUMMYFUNCTION("IMPORTRANGE(""https://docs.google.com/spreadsheets/d/""&amp;$A449&amp;""/edit#gid=156619080"",U$3)"),"#REF!")</f>
        <v>#REF!</v>
      </c>
      <c r="V449" s="2" t="str">
        <f>IFERROR(__xludf.DUMMYFUNCTION("IMPORTRANGE(""https://docs.google.com/spreadsheets/d/""&amp;$A449&amp;""/edit#gid=156619080"",V$3)"),"#REF!")</f>
        <v>#REF!</v>
      </c>
      <c r="W449" s="2" t="str">
        <f>IFERROR(__xludf.DUMMYFUNCTION("IMPORTRANGE(""https://docs.google.com/spreadsheets/d/""&amp;$A449&amp;""/edit#gid=156619080"",W$3)"),"#REF!")</f>
        <v>#REF!</v>
      </c>
      <c r="X449" s="2" t="str">
        <f>IFERROR(__xludf.DUMMYFUNCTION("IMPORTRANGE(""https://docs.google.com/spreadsheets/d/""&amp;$A449&amp;""/edit#gid=156619080"",X$3)"),"#REF!")</f>
        <v>#REF!</v>
      </c>
      <c r="Y449" s="2" t="str">
        <f>IFERROR(__xludf.DUMMYFUNCTION("IMPORTRANGE(""https://docs.google.com/spreadsheets/d/""&amp;$A449&amp;""/edit#gid=156619080"",Y$3)"),"#REF!")</f>
        <v>#REF!</v>
      </c>
      <c r="Z449" s="2" t="str">
        <f>IFERROR(__xludf.DUMMYFUNCTION("IMPORTRANGE(""https://docs.google.com/spreadsheets/d/""&amp;$A449&amp;""/edit#gid=156619080"",Z$3)"),"#REF!")</f>
        <v>#REF!</v>
      </c>
      <c r="AA449" s="2" t="str">
        <f>IFERROR(__xludf.DUMMYFUNCTION("IMPORTRANGE(""https://docs.google.com/spreadsheets/d/""&amp;$A449&amp;""/edit#gid=156619080"",AA$3)"),"#REF!")</f>
        <v>#REF!</v>
      </c>
      <c r="AB449" s="2" t="str">
        <f>IFERROR(__xludf.DUMMYFUNCTION("IMPORTRANGE(""https://docs.google.com/spreadsheets/d/""&amp;$A449&amp;""/edit#gid=156619080"",AB$3)"),"#REF!")</f>
        <v>#REF!</v>
      </c>
      <c r="AC449" s="2" t="str">
        <f>IFERROR(__xludf.DUMMYFUNCTION("IMPORTRANGE(""https://docs.google.com/spreadsheets/d/""&amp;$A449&amp;""/edit#gid=156619080"",AC$3)"),"#REF!")</f>
        <v>#REF!</v>
      </c>
      <c r="AD449" s="2" t="str">
        <f>IFERROR(__xludf.DUMMYFUNCTION("IMPORTRANGE(""https://docs.google.com/spreadsheets/d/""&amp;$A449&amp;""/edit#gid=156619080"",AD$3)"),"#REF!")</f>
        <v>#REF!</v>
      </c>
      <c r="AE449" s="2" t="str">
        <f>IFERROR(__xludf.DUMMYFUNCTION("IMPORTRANGE(""https://docs.google.com/spreadsheets/d/""&amp;$A449&amp;""/edit#gid=156619080"",AE$3)"),"#REF!")</f>
        <v>#REF!</v>
      </c>
      <c r="AF449" s="2" t="str">
        <f>IFERROR(__xludf.DUMMYFUNCTION("IMPORTRANGE(""https://docs.google.com/spreadsheets/d/""&amp;$A449&amp;""/edit#gid=156619080"",AF$3)"),"#REF!")</f>
        <v>#REF!</v>
      </c>
      <c r="AG449" s="2" t="str">
        <f>IFERROR(__xludf.DUMMYFUNCTION("IMPORTRANGE(""https://docs.google.com/spreadsheets/d/""&amp;$A449&amp;""/edit#gid=156619080"",AG$3)"),"#REF!")</f>
        <v>#REF!</v>
      </c>
      <c r="AH449" s="2" t="str">
        <f>IFERROR(__xludf.DUMMYFUNCTION("IMPORTRANGE(""https://docs.google.com/spreadsheets/d/""&amp;$A449&amp;""/edit#gid=156619080"",AH$3)"),"#REF!")</f>
        <v>#REF!</v>
      </c>
      <c r="AI449" s="2" t="str">
        <f>IFERROR(__xludf.DUMMYFUNCTION("IMPORTRANGE(""https://docs.google.com/spreadsheets/d/""&amp;$A449&amp;""/edit#gid=156619080"",AI$3)"),"#REF!")</f>
        <v>#REF!</v>
      </c>
      <c r="AJ449" s="2" t="str">
        <f>IFERROR(__xludf.DUMMYFUNCTION("IMPORTRANGE(""https://docs.google.com/spreadsheets/d/""&amp;$A449&amp;""/edit#gid=156619080"",AJ$3)"),"#REF!")</f>
        <v>#REF!</v>
      </c>
      <c r="AK449" s="2" t="str">
        <f>IFERROR(__xludf.DUMMYFUNCTION("IMPORTRANGE(""https://docs.google.com/spreadsheets/d/""&amp;$A449&amp;""/edit#gid=156619080"",AK$3)"),"#REF!")</f>
        <v>#REF!</v>
      </c>
      <c r="AL449" s="2" t="str">
        <f>IFERROR(__xludf.DUMMYFUNCTION("IMPORTRANGE(""https://docs.google.com/spreadsheets/d/""&amp;$A449&amp;""/edit#gid=156619080"",AL$3)"),"#REF!")</f>
        <v>#REF!</v>
      </c>
      <c r="AM449" s="2" t="str">
        <f>IFERROR(__xludf.DUMMYFUNCTION("IMPORTRANGE(""https://docs.google.com/spreadsheets/d/""&amp;$A449&amp;""/edit#gid=156619080"",AM$3)"),"#REF!")</f>
        <v>#REF!</v>
      </c>
      <c r="AN449" s="2" t="str">
        <f>IFERROR(__xludf.DUMMYFUNCTION("IMPORTRANGE(""https://docs.google.com/spreadsheets/d/""&amp;$A449&amp;""/edit#gid=156619080"",AN$3)"),"#REF!")</f>
        <v>#REF!</v>
      </c>
      <c r="AO449" s="2" t="str">
        <f>IFERROR(__xludf.DUMMYFUNCTION("IMPORTRANGE(""https://docs.google.com/spreadsheets/d/""&amp;$A449&amp;""/edit#gid=156619080"",AO$3)"),"#REF!")</f>
        <v>#REF!</v>
      </c>
      <c r="AP449" s="2" t="str">
        <f>IFERROR(__xludf.DUMMYFUNCTION("IMPORTRANGE(""https://docs.google.com/spreadsheets/d/""&amp;$A449&amp;""/edit#gid=156619080"",AP$3)"),"#REF!")</f>
        <v>#REF!</v>
      </c>
      <c r="AQ449" s="2" t="str">
        <f>IFERROR(__xludf.DUMMYFUNCTION("IMPORTRANGE(""https://docs.google.com/spreadsheets/d/""&amp;$A449&amp;""/edit#gid=156619080"",AQ$3)"),"#REF!")</f>
        <v>#REF!</v>
      </c>
      <c r="AR449" s="2" t="str">
        <f>IFERROR(__xludf.DUMMYFUNCTION("IMPORTRANGE(""https://docs.google.com/spreadsheets/d/""&amp;$A449&amp;""/edit#gid=156619080"",AR$3)"),"#REF!")</f>
        <v>#REF!</v>
      </c>
      <c r="AS449" s="19" t="str">
        <f>IFERROR(__xludf.DUMMYFUNCTION("IMPORTRANGE(""https://docs.google.com/spreadsheets/d/""&amp;$A449&amp;""/edit#gid=156619080"",AS$3)"),"#REF!")</f>
        <v>#REF!</v>
      </c>
      <c r="AT449" s="2" t="str">
        <f>IFERROR(__xludf.DUMMYFUNCTION("IMPORTRANGE(""https://docs.google.com/spreadsheets/d/""&amp;$A449&amp;""/edit#gid=156619080"",AT$3)"),"#REF!")</f>
        <v>#REF!</v>
      </c>
      <c r="AU449" s="3" t="str">
        <f>IFERROR(__xludf.DUMMYFUNCTION("IMPORTRANGE(""https://docs.google.com/spreadsheets/d/""&amp;$A449&amp;""/edit#gid=156619080"",AU$3)"),"#REF!")</f>
        <v>#REF!</v>
      </c>
      <c r="AV449" s="2" t="str">
        <f>IFERROR(__xludf.DUMMYFUNCTION("IMPORTRANGE(""https://docs.google.com/spreadsheets/d/""&amp;$A449&amp;""/edit#gid=156619080"",AV$3)"),"#REF!")</f>
        <v>#REF!</v>
      </c>
      <c r="AW449" s="19" t="str">
        <f>IFERROR(__xludf.DUMMYFUNCTION("IMPORTRANGE(""https://docs.google.com/spreadsheets/d/""&amp;$A449&amp;""/edit#gid=156619080"",AW$3)"),"#REF!")</f>
        <v>#REF!</v>
      </c>
      <c r="AX449" s="2" t="str">
        <f>IFERROR(__xludf.DUMMYFUNCTION("IMPORTRANGE(""https://docs.google.com/spreadsheets/d/""&amp;$A449&amp;""/edit#gid=156619080"",AX$3)"),"#REF!")</f>
        <v>#REF!</v>
      </c>
      <c r="AY449" s="2" t="str">
        <f>IFERROR(__xludf.DUMMYFUNCTION("IMPORTRANGE(""https://docs.google.com/spreadsheets/d/""&amp;$A449&amp;""/edit#gid=156619080"",AY$3)"),"#REF!")</f>
        <v>#REF!</v>
      </c>
      <c r="AZ449" s="2" t="str">
        <f>IFERROR(__xludf.DUMMYFUNCTION("IMPORTRANGE(""https://docs.google.com/spreadsheets/d/""&amp;$A449&amp;""/edit#gid=156619080"",AZ$3)"),"#REF!")</f>
        <v>#REF!</v>
      </c>
      <c r="BA449" s="2" t="str">
        <f>IFERROR(__xludf.DUMMYFUNCTION("IMPORTRANGE(""https://docs.google.com/spreadsheets/d/""&amp;$A449&amp;""/edit#gid=156619080"",BA$3)"),"#REF!")</f>
        <v>#REF!</v>
      </c>
      <c r="BB449" s="2" t="str">
        <f>IFERROR(__xludf.DUMMYFUNCTION("IMPORTRANGE(""https://docs.google.com/spreadsheets/d/""&amp;$A449&amp;""/edit#gid=156619080"",BB$3)"),"#REF!")</f>
        <v>#REF!</v>
      </c>
      <c r="BC449" s="2" t="str">
        <f>IFERROR(__xludf.DUMMYFUNCTION("IMPORTRANGE(""https://docs.google.com/spreadsheets/d/""&amp;$A449&amp;""/edit#gid=156619080"",BC$3)"),"#REF!")</f>
        <v>#REF!</v>
      </c>
    </row>
    <row r="450" ht="51.0" customHeight="1">
      <c r="A450" s="7" t="str">
        <f t="shared" si="5"/>
        <v>1yJOGg_RbH_NqfQh7iv265wC4-_mBqVbzX3lm4x_SF68</v>
      </c>
      <c r="B450" s="1" t="s">
        <v>477</v>
      </c>
      <c r="C450" s="2" t="str">
        <f>IFERROR(__xludf.DUMMYFUNCTION("IMPORTRANGE(""https://docs.google.com/spreadsheets/d/""&amp;$A450&amp;""/edit#gid=156619080"",C$3)"),"#REF!")</f>
        <v>#REF!</v>
      </c>
      <c r="D450" s="2" t="str">
        <f>IFERROR(__xludf.DUMMYFUNCTION("IMPORTRANGE(""https://docs.google.com/spreadsheets/d/""&amp;$A450&amp;""/edit#gid=156619080"",D$3)"),"#REF!")</f>
        <v>#REF!</v>
      </c>
      <c r="E450" s="2" t="str">
        <f>IFERROR(__xludf.DUMMYFUNCTION("IMPORTRANGE(""https://docs.google.com/spreadsheets/d/""&amp;$A450&amp;""/edit#gid=156619080"",E$3)"),"#REF!")</f>
        <v>#REF!</v>
      </c>
      <c r="F450" s="2" t="str">
        <f>IFERROR(__xludf.DUMMYFUNCTION("IMPORTRANGE(""https://docs.google.com/spreadsheets/d/""&amp;$A450&amp;""/edit#gid=156619080"",F$3)"),"#REF!")</f>
        <v>#REF!</v>
      </c>
      <c r="G450" s="2" t="str">
        <f>IFERROR(__xludf.DUMMYFUNCTION("IMPORTRANGE(""https://docs.google.com/spreadsheets/d/""&amp;$A450&amp;""/edit#gid=156619080"",G$3)"),"#REF!")</f>
        <v>#REF!</v>
      </c>
      <c r="H450" s="2" t="str">
        <f>IFERROR(__xludf.DUMMYFUNCTION("IMPORTRANGE(""https://docs.google.com/spreadsheets/d/""&amp;$A450&amp;""/edit#gid=156619080"",H$3)"),"#REF!")</f>
        <v>#REF!</v>
      </c>
      <c r="I450" s="2" t="str">
        <f>IFERROR(__xludf.DUMMYFUNCTION("IMPORTRANGE(""https://docs.google.com/spreadsheets/d/""&amp;$A450&amp;""/edit#gid=156619080"",I$3)"),"#REF!")</f>
        <v>#REF!</v>
      </c>
      <c r="J450" s="2" t="str">
        <f>IFERROR(__xludf.DUMMYFUNCTION("IMPORTRANGE(""https://docs.google.com/spreadsheets/d/""&amp;$A450&amp;""/edit#gid=156619080"",J$3)"),"#REF!")</f>
        <v>#REF!</v>
      </c>
      <c r="K450" s="2" t="str">
        <f>IFERROR(__xludf.DUMMYFUNCTION("IMPORTRANGE(""https://docs.google.com/spreadsheets/d/""&amp;$A450&amp;""/edit#gid=156619080"",K$3)"),"#REF!")</f>
        <v>#REF!</v>
      </c>
      <c r="L450" s="2" t="str">
        <f>IFERROR(__xludf.DUMMYFUNCTION("IMPORTRANGE(""https://docs.google.com/spreadsheets/d/""&amp;$A450&amp;""/edit#gid=156619080"",L$3)"),"#REF!")</f>
        <v>#REF!</v>
      </c>
      <c r="M450" s="2" t="str">
        <f>IFERROR(__xludf.DUMMYFUNCTION("IMPORTRANGE(""https://docs.google.com/spreadsheets/d/""&amp;$A450&amp;""/edit#gid=156619080"",M$3)"),"#REF!")</f>
        <v>#REF!</v>
      </c>
      <c r="N450" s="2" t="str">
        <f>IFERROR(__xludf.DUMMYFUNCTION("IMPORTRANGE(""https://docs.google.com/spreadsheets/d/""&amp;$A450&amp;""/edit#gid=156619080"",N$3)"),"#REF!")</f>
        <v>#REF!</v>
      </c>
      <c r="O450" s="2" t="str">
        <f>IFERROR(__xludf.DUMMYFUNCTION("IMPORTRANGE(""https://docs.google.com/spreadsheets/d/""&amp;$A450&amp;""/edit#gid=156619080"",O$3)"),"#REF!")</f>
        <v>#REF!</v>
      </c>
      <c r="P450" s="2" t="str">
        <f>IFERROR(__xludf.DUMMYFUNCTION("IMPORTRANGE(""https://docs.google.com/spreadsheets/d/""&amp;$A450&amp;""/edit#gid=156619080"",P$3)"),"#REF!")</f>
        <v>#REF!</v>
      </c>
      <c r="Q450" s="2" t="str">
        <f>IFERROR(__xludf.DUMMYFUNCTION("IMPORTRANGE(""https://docs.google.com/spreadsheets/d/""&amp;$A450&amp;""/edit#gid=156619080"",Q$3)"),"#REF!")</f>
        <v>#REF!</v>
      </c>
      <c r="R450" s="2" t="str">
        <f>IFERROR(__xludf.DUMMYFUNCTION("IMPORTRANGE(""https://docs.google.com/spreadsheets/d/""&amp;$A450&amp;""/edit#gid=156619080"",R$3)"),"#REF!")</f>
        <v>#REF!</v>
      </c>
      <c r="S450" s="2" t="str">
        <f>IFERROR(__xludf.DUMMYFUNCTION("IMPORTRANGE(""https://docs.google.com/spreadsheets/d/""&amp;$A450&amp;""/edit#gid=156619080"",S$3)"),"#REF!")</f>
        <v>#REF!</v>
      </c>
      <c r="T450" s="2" t="str">
        <f>IFERROR(__xludf.DUMMYFUNCTION("IMPORTRANGE(""https://docs.google.com/spreadsheets/d/""&amp;$A450&amp;""/edit#gid=156619080"",T$3)"),"#REF!")</f>
        <v>#REF!</v>
      </c>
      <c r="U450" s="2" t="str">
        <f>IFERROR(__xludf.DUMMYFUNCTION("IMPORTRANGE(""https://docs.google.com/spreadsheets/d/""&amp;$A450&amp;""/edit#gid=156619080"",U$3)"),"#REF!")</f>
        <v>#REF!</v>
      </c>
      <c r="V450" s="2" t="str">
        <f>IFERROR(__xludf.DUMMYFUNCTION("IMPORTRANGE(""https://docs.google.com/spreadsheets/d/""&amp;$A450&amp;""/edit#gid=156619080"",V$3)"),"#REF!")</f>
        <v>#REF!</v>
      </c>
      <c r="W450" s="2" t="str">
        <f>IFERROR(__xludf.DUMMYFUNCTION("IMPORTRANGE(""https://docs.google.com/spreadsheets/d/""&amp;$A450&amp;""/edit#gid=156619080"",W$3)"),"#REF!")</f>
        <v>#REF!</v>
      </c>
      <c r="X450" s="2" t="str">
        <f>IFERROR(__xludf.DUMMYFUNCTION("IMPORTRANGE(""https://docs.google.com/spreadsheets/d/""&amp;$A450&amp;""/edit#gid=156619080"",X$3)"),"#REF!")</f>
        <v>#REF!</v>
      </c>
      <c r="Y450" s="2" t="str">
        <f>IFERROR(__xludf.DUMMYFUNCTION("IMPORTRANGE(""https://docs.google.com/spreadsheets/d/""&amp;$A450&amp;""/edit#gid=156619080"",Y$3)"),"#REF!")</f>
        <v>#REF!</v>
      </c>
      <c r="Z450" s="2" t="str">
        <f>IFERROR(__xludf.DUMMYFUNCTION("IMPORTRANGE(""https://docs.google.com/spreadsheets/d/""&amp;$A450&amp;""/edit#gid=156619080"",Z$3)"),"#REF!")</f>
        <v>#REF!</v>
      </c>
      <c r="AA450" s="2" t="str">
        <f>IFERROR(__xludf.DUMMYFUNCTION("IMPORTRANGE(""https://docs.google.com/spreadsheets/d/""&amp;$A450&amp;""/edit#gid=156619080"",AA$3)"),"#REF!")</f>
        <v>#REF!</v>
      </c>
      <c r="AB450" s="2" t="str">
        <f>IFERROR(__xludf.DUMMYFUNCTION("IMPORTRANGE(""https://docs.google.com/spreadsheets/d/""&amp;$A450&amp;""/edit#gid=156619080"",AB$3)"),"#REF!")</f>
        <v>#REF!</v>
      </c>
      <c r="AC450" s="2" t="str">
        <f>IFERROR(__xludf.DUMMYFUNCTION("IMPORTRANGE(""https://docs.google.com/spreadsheets/d/""&amp;$A450&amp;""/edit#gid=156619080"",AC$3)"),"#REF!")</f>
        <v>#REF!</v>
      </c>
      <c r="AD450" s="2" t="str">
        <f>IFERROR(__xludf.DUMMYFUNCTION("IMPORTRANGE(""https://docs.google.com/spreadsheets/d/""&amp;$A450&amp;""/edit#gid=156619080"",AD$3)"),"#REF!")</f>
        <v>#REF!</v>
      </c>
      <c r="AE450" s="2" t="str">
        <f>IFERROR(__xludf.DUMMYFUNCTION("IMPORTRANGE(""https://docs.google.com/spreadsheets/d/""&amp;$A450&amp;""/edit#gid=156619080"",AE$3)"),"#REF!")</f>
        <v>#REF!</v>
      </c>
      <c r="AF450" s="2" t="str">
        <f>IFERROR(__xludf.DUMMYFUNCTION("IMPORTRANGE(""https://docs.google.com/spreadsheets/d/""&amp;$A450&amp;""/edit#gid=156619080"",AF$3)"),"#REF!")</f>
        <v>#REF!</v>
      </c>
      <c r="AG450" s="2" t="str">
        <f>IFERROR(__xludf.DUMMYFUNCTION("IMPORTRANGE(""https://docs.google.com/spreadsheets/d/""&amp;$A450&amp;""/edit#gid=156619080"",AG$3)"),"#REF!")</f>
        <v>#REF!</v>
      </c>
      <c r="AH450" s="2" t="str">
        <f>IFERROR(__xludf.DUMMYFUNCTION("IMPORTRANGE(""https://docs.google.com/spreadsheets/d/""&amp;$A450&amp;""/edit#gid=156619080"",AH$3)"),"#REF!")</f>
        <v>#REF!</v>
      </c>
      <c r="AI450" s="2" t="str">
        <f>IFERROR(__xludf.DUMMYFUNCTION("IMPORTRANGE(""https://docs.google.com/spreadsheets/d/""&amp;$A450&amp;""/edit#gid=156619080"",AI$3)"),"#REF!")</f>
        <v>#REF!</v>
      </c>
      <c r="AJ450" s="2" t="str">
        <f>IFERROR(__xludf.DUMMYFUNCTION("IMPORTRANGE(""https://docs.google.com/spreadsheets/d/""&amp;$A450&amp;""/edit#gid=156619080"",AJ$3)"),"#REF!")</f>
        <v>#REF!</v>
      </c>
      <c r="AK450" s="2" t="str">
        <f>IFERROR(__xludf.DUMMYFUNCTION("IMPORTRANGE(""https://docs.google.com/spreadsheets/d/""&amp;$A450&amp;""/edit#gid=156619080"",AK$3)"),"#REF!")</f>
        <v>#REF!</v>
      </c>
      <c r="AL450" s="2" t="str">
        <f>IFERROR(__xludf.DUMMYFUNCTION("IMPORTRANGE(""https://docs.google.com/spreadsheets/d/""&amp;$A450&amp;""/edit#gid=156619080"",AL$3)"),"#REF!")</f>
        <v>#REF!</v>
      </c>
      <c r="AM450" s="2" t="str">
        <f>IFERROR(__xludf.DUMMYFUNCTION("IMPORTRANGE(""https://docs.google.com/spreadsheets/d/""&amp;$A450&amp;""/edit#gid=156619080"",AM$3)"),"#REF!")</f>
        <v>#REF!</v>
      </c>
      <c r="AN450" s="2" t="str">
        <f>IFERROR(__xludf.DUMMYFUNCTION("IMPORTRANGE(""https://docs.google.com/spreadsheets/d/""&amp;$A450&amp;""/edit#gid=156619080"",AN$3)"),"#REF!")</f>
        <v>#REF!</v>
      </c>
      <c r="AO450" s="2" t="str">
        <f>IFERROR(__xludf.DUMMYFUNCTION("IMPORTRANGE(""https://docs.google.com/spreadsheets/d/""&amp;$A450&amp;""/edit#gid=156619080"",AO$3)"),"#REF!")</f>
        <v>#REF!</v>
      </c>
      <c r="AP450" s="2" t="str">
        <f>IFERROR(__xludf.DUMMYFUNCTION("IMPORTRANGE(""https://docs.google.com/spreadsheets/d/""&amp;$A450&amp;""/edit#gid=156619080"",AP$3)"),"#REF!")</f>
        <v>#REF!</v>
      </c>
      <c r="AQ450" s="2" t="str">
        <f>IFERROR(__xludf.DUMMYFUNCTION("IMPORTRANGE(""https://docs.google.com/spreadsheets/d/""&amp;$A450&amp;""/edit#gid=156619080"",AQ$3)"),"#REF!")</f>
        <v>#REF!</v>
      </c>
      <c r="AR450" s="2" t="str">
        <f>IFERROR(__xludf.DUMMYFUNCTION("IMPORTRANGE(""https://docs.google.com/spreadsheets/d/""&amp;$A450&amp;""/edit#gid=156619080"",AR$3)"),"#REF!")</f>
        <v>#REF!</v>
      </c>
      <c r="AS450" s="19" t="str">
        <f>IFERROR(__xludf.DUMMYFUNCTION("IMPORTRANGE(""https://docs.google.com/spreadsheets/d/""&amp;$A450&amp;""/edit#gid=156619080"",AS$3)"),"#REF!")</f>
        <v>#REF!</v>
      </c>
      <c r="AT450" s="2" t="str">
        <f>IFERROR(__xludf.DUMMYFUNCTION("IMPORTRANGE(""https://docs.google.com/spreadsheets/d/""&amp;$A450&amp;""/edit#gid=156619080"",AT$3)"),"#REF!")</f>
        <v>#REF!</v>
      </c>
      <c r="AU450" s="3" t="str">
        <f>IFERROR(__xludf.DUMMYFUNCTION("IMPORTRANGE(""https://docs.google.com/spreadsheets/d/""&amp;$A450&amp;""/edit#gid=156619080"",AU$3)"),"#REF!")</f>
        <v>#REF!</v>
      </c>
      <c r="AV450" s="2" t="str">
        <f>IFERROR(__xludf.DUMMYFUNCTION("IMPORTRANGE(""https://docs.google.com/spreadsheets/d/""&amp;$A450&amp;""/edit#gid=156619080"",AV$3)"),"#REF!")</f>
        <v>#REF!</v>
      </c>
      <c r="AW450" s="19" t="str">
        <f>IFERROR(__xludf.DUMMYFUNCTION("IMPORTRANGE(""https://docs.google.com/spreadsheets/d/""&amp;$A450&amp;""/edit#gid=156619080"",AW$3)"),"#REF!")</f>
        <v>#REF!</v>
      </c>
      <c r="AX450" s="2" t="str">
        <f>IFERROR(__xludf.DUMMYFUNCTION("IMPORTRANGE(""https://docs.google.com/spreadsheets/d/""&amp;$A450&amp;""/edit#gid=156619080"",AX$3)"),"#REF!")</f>
        <v>#REF!</v>
      </c>
      <c r="AY450" s="2" t="str">
        <f>IFERROR(__xludf.DUMMYFUNCTION("IMPORTRANGE(""https://docs.google.com/spreadsheets/d/""&amp;$A450&amp;""/edit#gid=156619080"",AY$3)"),"#REF!")</f>
        <v>#REF!</v>
      </c>
      <c r="AZ450" s="2" t="str">
        <f>IFERROR(__xludf.DUMMYFUNCTION("IMPORTRANGE(""https://docs.google.com/spreadsheets/d/""&amp;$A450&amp;""/edit#gid=156619080"",AZ$3)"),"#REF!")</f>
        <v>#REF!</v>
      </c>
      <c r="BA450" s="2" t="str">
        <f>IFERROR(__xludf.DUMMYFUNCTION("IMPORTRANGE(""https://docs.google.com/spreadsheets/d/""&amp;$A450&amp;""/edit#gid=156619080"",BA$3)"),"#REF!")</f>
        <v>#REF!</v>
      </c>
      <c r="BB450" s="2" t="str">
        <f>IFERROR(__xludf.DUMMYFUNCTION("IMPORTRANGE(""https://docs.google.com/spreadsheets/d/""&amp;$A450&amp;""/edit#gid=156619080"",BB$3)"),"#REF!")</f>
        <v>#REF!</v>
      </c>
      <c r="BC450" s="2" t="str">
        <f>IFERROR(__xludf.DUMMYFUNCTION("IMPORTRANGE(""https://docs.google.com/spreadsheets/d/""&amp;$A450&amp;""/edit#gid=156619080"",BC$3)"),"#REF!")</f>
        <v>#REF!</v>
      </c>
    </row>
    <row r="451" ht="51.0" customHeight="1">
      <c r="A451" s="7" t="str">
        <f t="shared" si="5"/>
        <v>1FhvG6pYZeEwCVZHSajUI3ySgAxpwWMq8Ar1fUoXNsuk</v>
      </c>
      <c r="B451" s="1" t="s">
        <v>478</v>
      </c>
      <c r="C451" s="2" t="str">
        <f>IFERROR(__xludf.DUMMYFUNCTION("IMPORTRANGE(""https://docs.google.com/spreadsheets/d/""&amp;$A451&amp;""/edit#gid=156619080"",C$3)"),"#REF!")</f>
        <v>#REF!</v>
      </c>
      <c r="D451" s="2" t="str">
        <f>IFERROR(__xludf.DUMMYFUNCTION("IMPORTRANGE(""https://docs.google.com/spreadsheets/d/""&amp;$A451&amp;""/edit#gid=156619080"",D$3)"),"#REF!")</f>
        <v>#REF!</v>
      </c>
      <c r="E451" s="2" t="str">
        <f>IFERROR(__xludf.DUMMYFUNCTION("IMPORTRANGE(""https://docs.google.com/spreadsheets/d/""&amp;$A451&amp;""/edit#gid=156619080"",E$3)"),"#REF!")</f>
        <v>#REF!</v>
      </c>
      <c r="F451" s="2" t="str">
        <f>IFERROR(__xludf.DUMMYFUNCTION("IMPORTRANGE(""https://docs.google.com/spreadsheets/d/""&amp;$A451&amp;""/edit#gid=156619080"",F$3)"),"#REF!")</f>
        <v>#REF!</v>
      </c>
      <c r="G451" s="2" t="str">
        <f>IFERROR(__xludf.DUMMYFUNCTION("IMPORTRANGE(""https://docs.google.com/spreadsheets/d/""&amp;$A451&amp;""/edit#gid=156619080"",G$3)"),"#REF!")</f>
        <v>#REF!</v>
      </c>
      <c r="H451" s="2" t="str">
        <f>IFERROR(__xludf.DUMMYFUNCTION("IMPORTRANGE(""https://docs.google.com/spreadsheets/d/""&amp;$A451&amp;""/edit#gid=156619080"",H$3)"),"#REF!")</f>
        <v>#REF!</v>
      </c>
      <c r="I451" s="2" t="str">
        <f>IFERROR(__xludf.DUMMYFUNCTION("IMPORTRANGE(""https://docs.google.com/spreadsheets/d/""&amp;$A451&amp;""/edit#gid=156619080"",I$3)"),"#REF!")</f>
        <v>#REF!</v>
      </c>
      <c r="J451" s="2" t="str">
        <f>IFERROR(__xludf.DUMMYFUNCTION("IMPORTRANGE(""https://docs.google.com/spreadsheets/d/""&amp;$A451&amp;""/edit#gid=156619080"",J$3)"),"#REF!")</f>
        <v>#REF!</v>
      </c>
      <c r="K451" s="2" t="str">
        <f>IFERROR(__xludf.DUMMYFUNCTION("IMPORTRANGE(""https://docs.google.com/spreadsheets/d/""&amp;$A451&amp;""/edit#gid=156619080"",K$3)"),"#REF!")</f>
        <v>#REF!</v>
      </c>
      <c r="L451" s="2" t="str">
        <f>IFERROR(__xludf.DUMMYFUNCTION("IMPORTRANGE(""https://docs.google.com/spreadsheets/d/""&amp;$A451&amp;""/edit#gid=156619080"",L$3)"),"#REF!")</f>
        <v>#REF!</v>
      </c>
      <c r="M451" s="2" t="str">
        <f>IFERROR(__xludf.DUMMYFUNCTION("IMPORTRANGE(""https://docs.google.com/spreadsheets/d/""&amp;$A451&amp;""/edit#gid=156619080"",M$3)"),"#REF!")</f>
        <v>#REF!</v>
      </c>
      <c r="N451" s="2" t="str">
        <f>IFERROR(__xludf.DUMMYFUNCTION("IMPORTRANGE(""https://docs.google.com/spreadsheets/d/""&amp;$A451&amp;""/edit#gid=156619080"",N$3)"),"#REF!")</f>
        <v>#REF!</v>
      </c>
      <c r="O451" s="2" t="str">
        <f>IFERROR(__xludf.DUMMYFUNCTION("IMPORTRANGE(""https://docs.google.com/spreadsheets/d/""&amp;$A451&amp;""/edit#gid=156619080"",O$3)"),"#REF!")</f>
        <v>#REF!</v>
      </c>
      <c r="P451" s="2" t="str">
        <f>IFERROR(__xludf.DUMMYFUNCTION("IMPORTRANGE(""https://docs.google.com/spreadsheets/d/""&amp;$A451&amp;""/edit#gid=156619080"",P$3)"),"#REF!")</f>
        <v>#REF!</v>
      </c>
      <c r="Q451" s="2" t="str">
        <f>IFERROR(__xludf.DUMMYFUNCTION("IMPORTRANGE(""https://docs.google.com/spreadsheets/d/""&amp;$A451&amp;""/edit#gid=156619080"",Q$3)"),"#REF!")</f>
        <v>#REF!</v>
      </c>
      <c r="R451" s="2" t="str">
        <f>IFERROR(__xludf.DUMMYFUNCTION("IMPORTRANGE(""https://docs.google.com/spreadsheets/d/""&amp;$A451&amp;""/edit#gid=156619080"",R$3)"),"#REF!")</f>
        <v>#REF!</v>
      </c>
      <c r="S451" s="2" t="str">
        <f>IFERROR(__xludf.DUMMYFUNCTION("IMPORTRANGE(""https://docs.google.com/spreadsheets/d/""&amp;$A451&amp;""/edit#gid=156619080"",S$3)"),"#REF!")</f>
        <v>#REF!</v>
      </c>
      <c r="T451" s="2" t="str">
        <f>IFERROR(__xludf.DUMMYFUNCTION("IMPORTRANGE(""https://docs.google.com/spreadsheets/d/""&amp;$A451&amp;""/edit#gid=156619080"",T$3)"),"#REF!")</f>
        <v>#REF!</v>
      </c>
      <c r="U451" s="2" t="str">
        <f>IFERROR(__xludf.DUMMYFUNCTION("IMPORTRANGE(""https://docs.google.com/spreadsheets/d/""&amp;$A451&amp;""/edit#gid=156619080"",U$3)"),"#REF!")</f>
        <v>#REF!</v>
      </c>
      <c r="V451" s="2" t="str">
        <f>IFERROR(__xludf.DUMMYFUNCTION("IMPORTRANGE(""https://docs.google.com/spreadsheets/d/""&amp;$A451&amp;""/edit#gid=156619080"",V$3)"),"#REF!")</f>
        <v>#REF!</v>
      </c>
      <c r="W451" s="2" t="str">
        <f>IFERROR(__xludf.DUMMYFUNCTION("IMPORTRANGE(""https://docs.google.com/spreadsheets/d/""&amp;$A451&amp;""/edit#gid=156619080"",W$3)"),"#REF!")</f>
        <v>#REF!</v>
      </c>
      <c r="X451" s="2" t="str">
        <f>IFERROR(__xludf.DUMMYFUNCTION("IMPORTRANGE(""https://docs.google.com/spreadsheets/d/""&amp;$A451&amp;""/edit#gid=156619080"",X$3)"),"#REF!")</f>
        <v>#REF!</v>
      </c>
      <c r="Y451" s="2" t="str">
        <f>IFERROR(__xludf.DUMMYFUNCTION("IMPORTRANGE(""https://docs.google.com/spreadsheets/d/""&amp;$A451&amp;""/edit#gid=156619080"",Y$3)"),"#REF!")</f>
        <v>#REF!</v>
      </c>
      <c r="Z451" s="2" t="str">
        <f>IFERROR(__xludf.DUMMYFUNCTION("IMPORTRANGE(""https://docs.google.com/spreadsheets/d/""&amp;$A451&amp;""/edit#gid=156619080"",Z$3)"),"#REF!")</f>
        <v>#REF!</v>
      </c>
      <c r="AA451" s="2" t="str">
        <f>IFERROR(__xludf.DUMMYFUNCTION("IMPORTRANGE(""https://docs.google.com/spreadsheets/d/""&amp;$A451&amp;""/edit#gid=156619080"",AA$3)"),"#REF!")</f>
        <v>#REF!</v>
      </c>
      <c r="AB451" s="2" t="str">
        <f>IFERROR(__xludf.DUMMYFUNCTION("IMPORTRANGE(""https://docs.google.com/spreadsheets/d/""&amp;$A451&amp;""/edit#gid=156619080"",AB$3)"),"#REF!")</f>
        <v>#REF!</v>
      </c>
      <c r="AC451" s="2" t="str">
        <f>IFERROR(__xludf.DUMMYFUNCTION("IMPORTRANGE(""https://docs.google.com/spreadsheets/d/""&amp;$A451&amp;""/edit#gid=156619080"",AC$3)"),"#REF!")</f>
        <v>#REF!</v>
      </c>
      <c r="AD451" s="2" t="str">
        <f>IFERROR(__xludf.DUMMYFUNCTION("IMPORTRANGE(""https://docs.google.com/spreadsheets/d/""&amp;$A451&amp;""/edit#gid=156619080"",AD$3)"),"#REF!")</f>
        <v>#REF!</v>
      </c>
      <c r="AE451" s="2" t="str">
        <f>IFERROR(__xludf.DUMMYFUNCTION("IMPORTRANGE(""https://docs.google.com/spreadsheets/d/""&amp;$A451&amp;""/edit#gid=156619080"",AE$3)"),"#REF!")</f>
        <v>#REF!</v>
      </c>
      <c r="AF451" s="2" t="str">
        <f>IFERROR(__xludf.DUMMYFUNCTION("IMPORTRANGE(""https://docs.google.com/spreadsheets/d/""&amp;$A451&amp;""/edit#gid=156619080"",AF$3)"),"#REF!")</f>
        <v>#REF!</v>
      </c>
      <c r="AG451" s="2" t="str">
        <f>IFERROR(__xludf.DUMMYFUNCTION("IMPORTRANGE(""https://docs.google.com/spreadsheets/d/""&amp;$A451&amp;""/edit#gid=156619080"",AG$3)"),"#REF!")</f>
        <v>#REF!</v>
      </c>
      <c r="AH451" s="2" t="str">
        <f>IFERROR(__xludf.DUMMYFUNCTION("IMPORTRANGE(""https://docs.google.com/spreadsheets/d/""&amp;$A451&amp;""/edit#gid=156619080"",AH$3)"),"#REF!")</f>
        <v>#REF!</v>
      </c>
      <c r="AI451" s="2" t="str">
        <f>IFERROR(__xludf.DUMMYFUNCTION("IMPORTRANGE(""https://docs.google.com/spreadsheets/d/""&amp;$A451&amp;""/edit#gid=156619080"",AI$3)"),"#REF!")</f>
        <v>#REF!</v>
      </c>
      <c r="AJ451" s="2" t="str">
        <f>IFERROR(__xludf.DUMMYFUNCTION("IMPORTRANGE(""https://docs.google.com/spreadsheets/d/""&amp;$A451&amp;""/edit#gid=156619080"",AJ$3)"),"#REF!")</f>
        <v>#REF!</v>
      </c>
      <c r="AK451" s="2" t="str">
        <f>IFERROR(__xludf.DUMMYFUNCTION("IMPORTRANGE(""https://docs.google.com/spreadsheets/d/""&amp;$A451&amp;""/edit#gid=156619080"",AK$3)"),"#REF!")</f>
        <v>#REF!</v>
      </c>
      <c r="AL451" s="2" t="str">
        <f>IFERROR(__xludf.DUMMYFUNCTION("IMPORTRANGE(""https://docs.google.com/spreadsheets/d/""&amp;$A451&amp;""/edit#gid=156619080"",AL$3)"),"#REF!")</f>
        <v>#REF!</v>
      </c>
      <c r="AM451" s="2" t="str">
        <f>IFERROR(__xludf.DUMMYFUNCTION("IMPORTRANGE(""https://docs.google.com/spreadsheets/d/""&amp;$A451&amp;""/edit#gid=156619080"",AM$3)"),"#REF!")</f>
        <v>#REF!</v>
      </c>
      <c r="AN451" s="2" t="str">
        <f>IFERROR(__xludf.DUMMYFUNCTION("IMPORTRANGE(""https://docs.google.com/spreadsheets/d/""&amp;$A451&amp;""/edit#gid=156619080"",AN$3)"),"#REF!")</f>
        <v>#REF!</v>
      </c>
      <c r="AO451" s="2" t="str">
        <f>IFERROR(__xludf.DUMMYFUNCTION("IMPORTRANGE(""https://docs.google.com/spreadsheets/d/""&amp;$A451&amp;""/edit#gid=156619080"",AO$3)"),"#REF!")</f>
        <v>#REF!</v>
      </c>
      <c r="AP451" s="2" t="str">
        <f>IFERROR(__xludf.DUMMYFUNCTION("IMPORTRANGE(""https://docs.google.com/spreadsheets/d/""&amp;$A451&amp;""/edit#gid=156619080"",AP$3)"),"#REF!")</f>
        <v>#REF!</v>
      </c>
      <c r="AQ451" s="2" t="str">
        <f>IFERROR(__xludf.DUMMYFUNCTION("IMPORTRANGE(""https://docs.google.com/spreadsheets/d/""&amp;$A451&amp;""/edit#gid=156619080"",AQ$3)"),"#REF!")</f>
        <v>#REF!</v>
      </c>
      <c r="AR451" s="2" t="str">
        <f>IFERROR(__xludf.DUMMYFUNCTION("IMPORTRANGE(""https://docs.google.com/spreadsheets/d/""&amp;$A451&amp;""/edit#gid=156619080"",AR$3)"),"#REF!")</f>
        <v>#REF!</v>
      </c>
      <c r="AS451" s="19" t="str">
        <f>IFERROR(__xludf.DUMMYFUNCTION("IMPORTRANGE(""https://docs.google.com/spreadsheets/d/""&amp;$A451&amp;""/edit#gid=156619080"",AS$3)"),"#REF!")</f>
        <v>#REF!</v>
      </c>
      <c r="AT451" s="2" t="str">
        <f>IFERROR(__xludf.DUMMYFUNCTION("IMPORTRANGE(""https://docs.google.com/spreadsheets/d/""&amp;$A451&amp;""/edit#gid=156619080"",AT$3)"),"#REF!")</f>
        <v>#REF!</v>
      </c>
      <c r="AU451" s="3" t="str">
        <f>IFERROR(__xludf.DUMMYFUNCTION("IMPORTRANGE(""https://docs.google.com/spreadsheets/d/""&amp;$A451&amp;""/edit#gid=156619080"",AU$3)"),"#REF!")</f>
        <v>#REF!</v>
      </c>
      <c r="AV451" s="2" t="str">
        <f>IFERROR(__xludf.DUMMYFUNCTION("IMPORTRANGE(""https://docs.google.com/spreadsheets/d/""&amp;$A451&amp;""/edit#gid=156619080"",AV$3)"),"#REF!")</f>
        <v>#REF!</v>
      </c>
      <c r="AW451" s="19" t="str">
        <f>IFERROR(__xludf.DUMMYFUNCTION("IMPORTRANGE(""https://docs.google.com/spreadsheets/d/""&amp;$A451&amp;""/edit#gid=156619080"",AW$3)"),"#REF!")</f>
        <v>#REF!</v>
      </c>
      <c r="AX451" s="2" t="str">
        <f>IFERROR(__xludf.DUMMYFUNCTION("IMPORTRANGE(""https://docs.google.com/spreadsheets/d/""&amp;$A451&amp;""/edit#gid=156619080"",AX$3)"),"#REF!")</f>
        <v>#REF!</v>
      </c>
      <c r="AY451" s="2" t="str">
        <f>IFERROR(__xludf.DUMMYFUNCTION("IMPORTRANGE(""https://docs.google.com/spreadsheets/d/""&amp;$A451&amp;""/edit#gid=156619080"",AY$3)"),"#REF!")</f>
        <v>#REF!</v>
      </c>
      <c r="AZ451" s="2" t="str">
        <f>IFERROR(__xludf.DUMMYFUNCTION("IMPORTRANGE(""https://docs.google.com/spreadsheets/d/""&amp;$A451&amp;""/edit#gid=156619080"",AZ$3)"),"#REF!")</f>
        <v>#REF!</v>
      </c>
      <c r="BA451" s="2" t="str">
        <f>IFERROR(__xludf.DUMMYFUNCTION("IMPORTRANGE(""https://docs.google.com/spreadsheets/d/""&amp;$A451&amp;""/edit#gid=156619080"",BA$3)"),"#REF!")</f>
        <v>#REF!</v>
      </c>
      <c r="BB451" s="2" t="str">
        <f>IFERROR(__xludf.DUMMYFUNCTION("IMPORTRANGE(""https://docs.google.com/spreadsheets/d/""&amp;$A451&amp;""/edit#gid=156619080"",BB$3)"),"#REF!")</f>
        <v>#REF!</v>
      </c>
      <c r="BC451" s="2" t="str">
        <f>IFERROR(__xludf.DUMMYFUNCTION("IMPORTRANGE(""https://docs.google.com/spreadsheets/d/""&amp;$A451&amp;""/edit#gid=156619080"",BC$3)"),"#REF!")</f>
        <v>#REF!</v>
      </c>
    </row>
    <row r="452" ht="51.0" customHeight="1">
      <c r="A452" s="7" t="str">
        <f t="shared" si="5"/>
        <v>1lw5YBEsCR1wXkqGzvIlK24wDyYZbArBhQudcUuBwO6I</v>
      </c>
      <c r="B452" s="1" t="s">
        <v>479</v>
      </c>
      <c r="C452" s="2" t="str">
        <f>IFERROR(__xludf.DUMMYFUNCTION("IMPORTRANGE(""https://docs.google.com/spreadsheets/d/""&amp;$A452&amp;""/edit#gid=156619080"",C$3)"),"#REF!")</f>
        <v>#REF!</v>
      </c>
      <c r="D452" s="2" t="str">
        <f>IFERROR(__xludf.DUMMYFUNCTION("IMPORTRANGE(""https://docs.google.com/spreadsheets/d/""&amp;$A452&amp;""/edit#gid=156619080"",D$3)"),"#REF!")</f>
        <v>#REF!</v>
      </c>
      <c r="E452" s="2" t="str">
        <f>IFERROR(__xludf.DUMMYFUNCTION("IMPORTRANGE(""https://docs.google.com/spreadsheets/d/""&amp;$A452&amp;""/edit#gid=156619080"",E$3)"),"#REF!")</f>
        <v>#REF!</v>
      </c>
      <c r="F452" s="2" t="str">
        <f>IFERROR(__xludf.DUMMYFUNCTION("IMPORTRANGE(""https://docs.google.com/spreadsheets/d/""&amp;$A452&amp;""/edit#gid=156619080"",F$3)"),"#REF!")</f>
        <v>#REF!</v>
      </c>
      <c r="G452" s="2" t="str">
        <f>IFERROR(__xludf.DUMMYFUNCTION("IMPORTRANGE(""https://docs.google.com/spreadsheets/d/""&amp;$A452&amp;""/edit#gid=156619080"",G$3)"),"#REF!")</f>
        <v>#REF!</v>
      </c>
      <c r="H452" s="2" t="str">
        <f>IFERROR(__xludf.DUMMYFUNCTION("IMPORTRANGE(""https://docs.google.com/spreadsheets/d/""&amp;$A452&amp;""/edit#gid=156619080"",H$3)"),"#REF!")</f>
        <v>#REF!</v>
      </c>
      <c r="I452" s="2" t="str">
        <f>IFERROR(__xludf.DUMMYFUNCTION("IMPORTRANGE(""https://docs.google.com/spreadsheets/d/""&amp;$A452&amp;""/edit#gid=156619080"",I$3)"),"#REF!")</f>
        <v>#REF!</v>
      </c>
      <c r="J452" s="2" t="str">
        <f>IFERROR(__xludf.DUMMYFUNCTION("IMPORTRANGE(""https://docs.google.com/spreadsheets/d/""&amp;$A452&amp;""/edit#gid=156619080"",J$3)"),"#REF!")</f>
        <v>#REF!</v>
      </c>
      <c r="K452" s="2" t="str">
        <f>IFERROR(__xludf.DUMMYFUNCTION("IMPORTRANGE(""https://docs.google.com/spreadsheets/d/""&amp;$A452&amp;""/edit#gid=156619080"",K$3)"),"#REF!")</f>
        <v>#REF!</v>
      </c>
      <c r="L452" s="2" t="str">
        <f>IFERROR(__xludf.DUMMYFUNCTION("IMPORTRANGE(""https://docs.google.com/spreadsheets/d/""&amp;$A452&amp;""/edit#gid=156619080"",L$3)"),"#REF!")</f>
        <v>#REF!</v>
      </c>
      <c r="M452" s="2" t="str">
        <f>IFERROR(__xludf.DUMMYFUNCTION("IMPORTRANGE(""https://docs.google.com/spreadsheets/d/""&amp;$A452&amp;""/edit#gid=156619080"",M$3)"),"#REF!")</f>
        <v>#REF!</v>
      </c>
      <c r="N452" s="2" t="str">
        <f>IFERROR(__xludf.DUMMYFUNCTION("IMPORTRANGE(""https://docs.google.com/spreadsheets/d/""&amp;$A452&amp;""/edit#gid=156619080"",N$3)"),"#REF!")</f>
        <v>#REF!</v>
      </c>
      <c r="O452" s="2" t="str">
        <f>IFERROR(__xludf.DUMMYFUNCTION("IMPORTRANGE(""https://docs.google.com/spreadsheets/d/""&amp;$A452&amp;""/edit#gid=156619080"",O$3)"),"#REF!")</f>
        <v>#REF!</v>
      </c>
      <c r="P452" s="2" t="str">
        <f>IFERROR(__xludf.DUMMYFUNCTION("IMPORTRANGE(""https://docs.google.com/spreadsheets/d/""&amp;$A452&amp;""/edit#gid=156619080"",P$3)"),"#REF!")</f>
        <v>#REF!</v>
      </c>
      <c r="Q452" s="2" t="str">
        <f>IFERROR(__xludf.DUMMYFUNCTION("IMPORTRANGE(""https://docs.google.com/spreadsheets/d/""&amp;$A452&amp;""/edit#gid=156619080"",Q$3)"),"#REF!")</f>
        <v>#REF!</v>
      </c>
      <c r="R452" s="2" t="str">
        <f>IFERROR(__xludf.DUMMYFUNCTION("IMPORTRANGE(""https://docs.google.com/spreadsheets/d/""&amp;$A452&amp;""/edit#gid=156619080"",R$3)"),"#REF!")</f>
        <v>#REF!</v>
      </c>
      <c r="S452" s="2" t="str">
        <f>IFERROR(__xludf.DUMMYFUNCTION("IMPORTRANGE(""https://docs.google.com/spreadsheets/d/""&amp;$A452&amp;""/edit#gid=156619080"",S$3)"),"#REF!")</f>
        <v>#REF!</v>
      </c>
      <c r="T452" s="2" t="str">
        <f>IFERROR(__xludf.DUMMYFUNCTION("IMPORTRANGE(""https://docs.google.com/spreadsheets/d/""&amp;$A452&amp;""/edit#gid=156619080"",T$3)"),"#REF!")</f>
        <v>#REF!</v>
      </c>
      <c r="U452" s="2" t="str">
        <f>IFERROR(__xludf.DUMMYFUNCTION("IMPORTRANGE(""https://docs.google.com/spreadsheets/d/""&amp;$A452&amp;""/edit#gid=156619080"",U$3)"),"#REF!")</f>
        <v>#REF!</v>
      </c>
      <c r="V452" s="2" t="str">
        <f>IFERROR(__xludf.DUMMYFUNCTION("IMPORTRANGE(""https://docs.google.com/spreadsheets/d/""&amp;$A452&amp;""/edit#gid=156619080"",V$3)"),"#REF!")</f>
        <v>#REF!</v>
      </c>
      <c r="W452" s="2" t="str">
        <f>IFERROR(__xludf.DUMMYFUNCTION("IMPORTRANGE(""https://docs.google.com/spreadsheets/d/""&amp;$A452&amp;""/edit#gid=156619080"",W$3)"),"#REF!")</f>
        <v>#REF!</v>
      </c>
      <c r="X452" s="2" t="str">
        <f>IFERROR(__xludf.DUMMYFUNCTION("IMPORTRANGE(""https://docs.google.com/spreadsheets/d/""&amp;$A452&amp;""/edit#gid=156619080"",X$3)"),"#REF!")</f>
        <v>#REF!</v>
      </c>
      <c r="Y452" s="2" t="str">
        <f>IFERROR(__xludf.DUMMYFUNCTION("IMPORTRANGE(""https://docs.google.com/spreadsheets/d/""&amp;$A452&amp;""/edit#gid=156619080"",Y$3)"),"#REF!")</f>
        <v>#REF!</v>
      </c>
      <c r="Z452" s="2" t="str">
        <f>IFERROR(__xludf.DUMMYFUNCTION("IMPORTRANGE(""https://docs.google.com/spreadsheets/d/""&amp;$A452&amp;""/edit#gid=156619080"",Z$3)"),"#REF!")</f>
        <v>#REF!</v>
      </c>
      <c r="AA452" s="2" t="str">
        <f>IFERROR(__xludf.DUMMYFUNCTION("IMPORTRANGE(""https://docs.google.com/spreadsheets/d/""&amp;$A452&amp;""/edit#gid=156619080"",AA$3)"),"#REF!")</f>
        <v>#REF!</v>
      </c>
      <c r="AB452" s="2" t="str">
        <f>IFERROR(__xludf.DUMMYFUNCTION("IMPORTRANGE(""https://docs.google.com/spreadsheets/d/""&amp;$A452&amp;""/edit#gid=156619080"",AB$3)"),"#REF!")</f>
        <v>#REF!</v>
      </c>
      <c r="AC452" s="2" t="str">
        <f>IFERROR(__xludf.DUMMYFUNCTION("IMPORTRANGE(""https://docs.google.com/spreadsheets/d/""&amp;$A452&amp;""/edit#gid=156619080"",AC$3)"),"#REF!")</f>
        <v>#REF!</v>
      </c>
      <c r="AD452" s="2" t="str">
        <f>IFERROR(__xludf.DUMMYFUNCTION("IMPORTRANGE(""https://docs.google.com/spreadsheets/d/""&amp;$A452&amp;""/edit#gid=156619080"",AD$3)"),"#REF!")</f>
        <v>#REF!</v>
      </c>
      <c r="AE452" s="2" t="str">
        <f>IFERROR(__xludf.DUMMYFUNCTION("IMPORTRANGE(""https://docs.google.com/spreadsheets/d/""&amp;$A452&amp;""/edit#gid=156619080"",AE$3)"),"#REF!")</f>
        <v>#REF!</v>
      </c>
      <c r="AF452" s="2" t="str">
        <f>IFERROR(__xludf.DUMMYFUNCTION("IMPORTRANGE(""https://docs.google.com/spreadsheets/d/""&amp;$A452&amp;""/edit#gid=156619080"",AF$3)"),"#REF!")</f>
        <v>#REF!</v>
      </c>
      <c r="AG452" s="2" t="str">
        <f>IFERROR(__xludf.DUMMYFUNCTION("IMPORTRANGE(""https://docs.google.com/spreadsheets/d/""&amp;$A452&amp;""/edit#gid=156619080"",AG$3)"),"#REF!")</f>
        <v>#REF!</v>
      </c>
      <c r="AH452" s="2" t="str">
        <f>IFERROR(__xludf.DUMMYFUNCTION("IMPORTRANGE(""https://docs.google.com/spreadsheets/d/""&amp;$A452&amp;""/edit#gid=156619080"",AH$3)"),"#REF!")</f>
        <v>#REF!</v>
      </c>
      <c r="AI452" s="2" t="str">
        <f>IFERROR(__xludf.DUMMYFUNCTION("IMPORTRANGE(""https://docs.google.com/spreadsheets/d/""&amp;$A452&amp;""/edit#gid=156619080"",AI$3)"),"#REF!")</f>
        <v>#REF!</v>
      </c>
      <c r="AJ452" s="2" t="str">
        <f>IFERROR(__xludf.DUMMYFUNCTION("IMPORTRANGE(""https://docs.google.com/spreadsheets/d/""&amp;$A452&amp;""/edit#gid=156619080"",AJ$3)"),"#REF!")</f>
        <v>#REF!</v>
      </c>
      <c r="AK452" s="2" t="str">
        <f>IFERROR(__xludf.DUMMYFUNCTION("IMPORTRANGE(""https://docs.google.com/spreadsheets/d/""&amp;$A452&amp;""/edit#gid=156619080"",AK$3)"),"#REF!")</f>
        <v>#REF!</v>
      </c>
      <c r="AL452" s="2" t="str">
        <f>IFERROR(__xludf.DUMMYFUNCTION("IMPORTRANGE(""https://docs.google.com/spreadsheets/d/""&amp;$A452&amp;""/edit#gid=156619080"",AL$3)"),"#REF!")</f>
        <v>#REF!</v>
      </c>
      <c r="AM452" s="2" t="str">
        <f>IFERROR(__xludf.DUMMYFUNCTION("IMPORTRANGE(""https://docs.google.com/spreadsheets/d/""&amp;$A452&amp;""/edit#gid=156619080"",AM$3)"),"#REF!")</f>
        <v>#REF!</v>
      </c>
      <c r="AN452" s="2" t="str">
        <f>IFERROR(__xludf.DUMMYFUNCTION("IMPORTRANGE(""https://docs.google.com/spreadsheets/d/""&amp;$A452&amp;""/edit#gid=156619080"",AN$3)"),"#REF!")</f>
        <v>#REF!</v>
      </c>
      <c r="AO452" s="2" t="str">
        <f>IFERROR(__xludf.DUMMYFUNCTION("IMPORTRANGE(""https://docs.google.com/spreadsheets/d/""&amp;$A452&amp;""/edit#gid=156619080"",AO$3)"),"#REF!")</f>
        <v>#REF!</v>
      </c>
      <c r="AP452" s="2" t="str">
        <f>IFERROR(__xludf.DUMMYFUNCTION("IMPORTRANGE(""https://docs.google.com/spreadsheets/d/""&amp;$A452&amp;""/edit#gid=156619080"",AP$3)"),"#REF!")</f>
        <v>#REF!</v>
      </c>
      <c r="AQ452" s="2" t="str">
        <f>IFERROR(__xludf.DUMMYFUNCTION("IMPORTRANGE(""https://docs.google.com/spreadsheets/d/""&amp;$A452&amp;""/edit#gid=156619080"",AQ$3)"),"#REF!")</f>
        <v>#REF!</v>
      </c>
      <c r="AR452" s="2" t="str">
        <f>IFERROR(__xludf.DUMMYFUNCTION("IMPORTRANGE(""https://docs.google.com/spreadsheets/d/""&amp;$A452&amp;""/edit#gid=156619080"",AR$3)"),"#REF!")</f>
        <v>#REF!</v>
      </c>
      <c r="AS452" s="19" t="str">
        <f>IFERROR(__xludf.DUMMYFUNCTION("IMPORTRANGE(""https://docs.google.com/spreadsheets/d/""&amp;$A452&amp;""/edit#gid=156619080"",AS$3)"),"#REF!")</f>
        <v>#REF!</v>
      </c>
      <c r="AT452" s="2" t="str">
        <f>IFERROR(__xludf.DUMMYFUNCTION("IMPORTRANGE(""https://docs.google.com/spreadsheets/d/""&amp;$A452&amp;""/edit#gid=156619080"",AT$3)"),"#REF!")</f>
        <v>#REF!</v>
      </c>
      <c r="AU452" s="3" t="str">
        <f>IFERROR(__xludf.DUMMYFUNCTION("IMPORTRANGE(""https://docs.google.com/spreadsheets/d/""&amp;$A452&amp;""/edit#gid=156619080"",AU$3)"),"#REF!")</f>
        <v>#REF!</v>
      </c>
      <c r="AV452" s="2" t="str">
        <f>IFERROR(__xludf.DUMMYFUNCTION("IMPORTRANGE(""https://docs.google.com/spreadsheets/d/""&amp;$A452&amp;""/edit#gid=156619080"",AV$3)"),"#REF!")</f>
        <v>#REF!</v>
      </c>
      <c r="AW452" s="19" t="str">
        <f>IFERROR(__xludf.DUMMYFUNCTION("IMPORTRANGE(""https://docs.google.com/spreadsheets/d/""&amp;$A452&amp;""/edit#gid=156619080"",AW$3)"),"#REF!")</f>
        <v>#REF!</v>
      </c>
      <c r="AX452" s="2" t="str">
        <f>IFERROR(__xludf.DUMMYFUNCTION("IMPORTRANGE(""https://docs.google.com/spreadsheets/d/""&amp;$A452&amp;""/edit#gid=156619080"",AX$3)"),"#REF!")</f>
        <v>#REF!</v>
      </c>
      <c r="AY452" s="2" t="str">
        <f>IFERROR(__xludf.DUMMYFUNCTION("IMPORTRANGE(""https://docs.google.com/spreadsheets/d/""&amp;$A452&amp;""/edit#gid=156619080"",AY$3)"),"#REF!")</f>
        <v>#REF!</v>
      </c>
      <c r="AZ452" s="2" t="str">
        <f>IFERROR(__xludf.DUMMYFUNCTION("IMPORTRANGE(""https://docs.google.com/spreadsheets/d/""&amp;$A452&amp;""/edit#gid=156619080"",AZ$3)"),"#REF!")</f>
        <v>#REF!</v>
      </c>
      <c r="BA452" s="2" t="str">
        <f>IFERROR(__xludf.DUMMYFUNCTION("IMPORTRANGE(""https://docs.google.com/spreadsheets/d/""&amp;$A452&amp;""/edit#gid=156619080"",BA$3)"),"#REF!")</f>
        <v>#REF!</v>
      </c>
      <c r="BB452" s="2" t="str">
        <f>IFERROR(__xludf.DUMMYFUNCTION("IMPORTRANGE(""https://docs.google.com/spreadsheets/d/""&amp;$A452&amp;""/edit#gid=156619080"",BB$3)"),"#REF!")</f>
        <v>#REF!</v>
      </c>
      <c r="BC452" s="2" t="str">
        <f>IFERROR(__xludf.DUMMYFUNCTION("IMPORTRANGE(""https://docs.google.com/spreadsheets/d/""&amp;$A452&amp;""/edit#gid=156619080"",BC$3)"),"#REF!")</f>
        <v>#REF!</v>
      </c>
    </row>
    <row r="453" ht="51.0" customHeight="1">
      <c r="A453" s="7" t="str">
        <f t="shared" si="5"/>
        <v>1FqwC2iMU32rEtidzgKaYV-KXHBvXUhX0eQJvWGAthl4</v>
      </c>
      <c r="B453" s="1" t="s">
        <v>480</v>
      </c>
      <c r="C453" s="2" t="str">
        <f>IFERROR(__xludf.DUMMYFUNCTION("IMPORTRANGE(""https://docs.google.com/spreadsheets/d/""&amp;$A453&amp;""/edit#gid=156619080"",C$3)"),"#REF!")</f>
        <v>#REF!</v>
      </c>
      <c r="D453" s="2" t="str">
        <f>IFERROR(__xludf.DUMMYFUNCTION("IMPORTRANGE(""https://docs.google.com/spreadsheets/d/""&amp;$A453&amp;""/edit#gid=156619080"",D$3)"),"#REF!")</f>
        <v>#REF!</v>
      </c>
      <c r="E453" s="2" t="str">
        <f>IFERROR(__xludf.DUMMYFUNCTION("IMPORTRANGE(""https://docs.google.com/spreadsheets/d/""&amp;$A453&amp;""/edit#gid=156619080"",E$3)"),"#REF!")</f>
        <v>#REF!</v>
      </c>
      <c r="F453" s="2" t="str">
        <f>IFERROR(__xludf.DUMMYFUNCTION("IMPORTRANGE(""https://docs.google.com/spreadsheets/d/""&amp;$A453&amp;""/edit#gid=156619080"",F$3)"),"#REF!")</f>
        <v>#REF!</v>
      </c>
      <c r="G453" s="2" t="str">
        <f>IFERROR(__xludf.DUMMYFUNCTION("IMPORTRANGE(""https://docs.google.com/spreadsheets/d/""&amp;$A453&amp;""/edit#gid=156619080"",G$3)"),"#REF!")</f>
        <v>#REF!</v>
      </c>
      <c r="H453" s="2" t="str">
        <f>IFERROR(__xludf.DUMMYFUNCTION("IMPORTRANGE(""https://docs.google.com/spreadsheets/d/""&amp;$A453&amp;""/edit#gid=156619080"",H$3)"),"#REF!")</f>
        <v>#REF!</v>
      </c>
      <c r="I453" s="2" t="str">
        <f>IFERROR(__xludf.DUMMYFUNCTION("IMPORTRANGE(""https://docs.google.com/spreadsheets/d/""&amp;$A453&amp;""/edit#gid=156619080"",I$3)"),"#REF!")</f>
        <v>#REF!</v>
      </c>
      <c r="J453" s="2" t="str">
        <f>IFERROR(__xludf.DUMMYFUNCTION("IMPORTRANGE(""https://docs.google.com/spreadsheets/d/""&amp;$A453&amp;""/edit#gid=156619080"",J$3)"),"#REF!")</f>
        <v>#REF!</v>
      </c>
      <c r="K453" s="2" t="str">
        <f>IFERROR(__xludf.DUMMYFUNCTION("IMPORTRANGE(""https://docs.google.com/spreadsheets/d/""&amp;$A453&amp;""/edit#gid=156619080"",K$3)"),"#REF!")</f>
        <v>#REF!</v>
      </c>
      <c r="L453" s="2" t="str">
        <f>IFERROR(__xludf.DUMMYFUNCTION("IMPORTRANGE(""https://docs.google.com/spreadsheets/d/""&amp;$A453&amp;""/edit#gid=156619080"",L$3)"),"#REF!")</f>
        <v>#REF!</v>
      </c>
      <c r="M453" s="2" t="str">
        <f>IFERROR(__xludf.DUMMYFUNCTION("IMPORTRANGE(""https://docs.google.com/spreadsheets/d/""&amp;$A453&amp;""/edit#gid=156619080"",M$3)"),"#REF!")</f>
        <v>#REF!</v>
      </c>
      <c r="N453" s="2" t="str">
        <f>IFERROR(__xludf.DUMMYFUNCTION("IMPORTRANGE(""https://docs.google.com/spreadsheets/d/""&amp;$A453&amp;""/edit#gid=156619080"",N$3)"),"#REF!")</f>
        <v>#REF!</v>
      </c>
      <c r="O453" s="2" t="str">
        <f>IFERROR(__xludf.DUMMYFUNCTION("IMPORTRANGE(""https://docs.google.com/spreadsheets/d/""&amp;$A453&amp;""/edit#gid=156619080"",O$3)"),"#REF!")</f>
        <v>#REF!</v>
      </c>
      <c r="P453" s="2" t="str">
        <f>IFERROR(__xludf.DUMMYFUNCTION("IMPORTRANGE(""https://docs.google.com/spreadsheets/d/""&amp;$A453&amp;""/edit#gid=156619080"",P$3)"),"#REF!")</f>
        <v>#REF!</v>
      </c>
      <c r="Q453" s="2" t="str">
        <f>IFERROR(__xludf.DUMMYFUNCTION("IMPORTRANGE(""https://docs.google.com/spreadsheets/d/""&amp;$A453&amp;""/edit#gid=156619080"",Q$3)"),"#REF!")</f>
        <v>#REF!</v>
      </c>
      <c r="R453" s="2" t="str">
        <f>IFERROR(__xludf.DUMMYFUNCTION("IMPORTRANGE(""https://docs.google.com/spreadsheets/d/""&amp;$A453&amp;""/edit#gid=156619080"",R$3)"),"#REF!")</f>
        <v>#REF!</v>
      </c>
      <c r="S453" s="2" t="str">
        <f>IFERROR(__xludf.DUMMYFUNCTION("IMPORTRANGE(""https://docs.google.com/spreadsheets/d/""&amp;$A453&amp;""/edit#gid=156619080"",S$3)"),"#REF!")</f>
        <v>#REF!</v>
      </c>
      <c r="T453" s="2" t="str">
        <f>IFERROR(__xludf.DUMMYFUNCTION("IMPORTRANGE(""https://docs.google.com/spreadsheets/d/""&amp;$A453&amp;""/edit#gid=156619080"",T$3)"),"#REF!")</f>
        <v>#REF!</v>
      </c>
      <c r="U453" s="2" t="str">
        <f>IFERROR(__xludf.DUMMYFUNCTION("IMPORTRANGE(""https://docs.google.com/spreadsheets/d/""&amp;$A453&amp;""/edit#gid=156619080"",U$3)"),"#REF!")</f>
        <v>#REF!</v>
      </c>
      <c r="V453" s="2" t="str">
        <f>IFERROR(__xludf.DUMMYFUNCTION("IMPORTRANGE(""https://docs.google.com/spreadsheets/d/""&amp;$A453&amp;""/edit#gid=156619080"",V$3)"),"#REF!")</f>
        <v>#REF!</v>
      </c>
      <c r="W453" s="2" t="str">
        <f>IFERROR(__xludf.DUMMYFUNCTION("IMPORTRANGE(""https://docs.google.com/spreadsheets/d/""&amp;$A453&amp;""/edit#gid=156619080"",W$3)"),"#REF!")</f>
        <v>#REF!</v>
      </c>
      <c r="X453" s="2" t="str">
        <f>IFERROR(__xludf.DUMMYFUNCTION("IMPORTRANGE(""https://docs.google.com/spreadsheets/d/""&amp;$A453&amp;""/edit#gid=156619080"",X$3)"),"#REF!")</f>
        <v>#REF!</v>
      </c>
      <c r="Y453" s="2" t="str">
        <f>IFERROR(__xludf.DUMMYFUNCTION("IMPORTRANGE(""https://docs.google.com/spreadsheets/d/""&amp;$A453&amp;""/edit#gid=156619080"",Y$3)"),"#REF!")</f>
        <v>#REF!</v>
      </c>
      <c r="Z453" s="2" t="str">
        <f>IFERROR(__xludf.DUMMYFUNCTION("IMPORTRANGE(""https://docs.google.com/spreadsheets/d/""&amp;$A453&amp;""/edit#gid=156619080"",Z$3)"),"#REF!")</f>
        <v>#REF!</v>
      </c>
      <c r="AA453" s="2" t="str">
        <f>IFERROR(__xludf.DUMMYFUNCTION("IMPORTRANGE(""https://docs.google.com/spreadsheets/d/""&amp;$A453&amp;""/edit#gid=156619080"",AA$3)"),"#REF!")</f>
        <v>#REF!</v>
      </c>
      <c r="AB453" s="2" t="str">
        <f>IFERROR(__xludf.DUMMYFUNCTION("IMPORTRANGE(""https://docs.google.com/spreadsheets/d/""&amp;$A453&amp;""/edit#gid=156619080"",AB$3)"),"#REF!")</f>
        <v>#REF!</v>
      </c>
      <c r="AC453" s="2" t="str">
        <f>IFERROR(__xludf.DUMMYFUNCTION("IMPORTRANGE(""https://docs.google.com/spreadsheets/d/""&amp;$A453&amp;""/edit#gid=156619080"",AC$3)"),"#REF!")</f>
        <v>#REF!</v>
      </c>
      <c r="AD453" s="2" t="str">
        <f>IFERROR(__xludf.DUMMYFUNCTION("IMPORTRANGE(""https://docs.google.com/spreadsheets/d/""&amp;$A453&amp;""/edit#gid=156619080"",AD$3)"),"#REF!")</f>
        <v>#REF!</v>
      </c>
      <c r="AE453" s="2" t="str">
        <f>IFERROR(__xludf.DUMMYFUNCTION("IMPORTRANGE(""https://docs.google.com/spreadsheets/d/""&amp;$A453&amp;""/edit#gid=156619080"",AE$3)"),"#REF!")</f>
        <v>#REF!</v>
      </c>
      <c r="AF453" s="2" t="str">
        <f>IFERROR(__xludf.DUMMYFUNCTION("IMPORTRANGE(""https://docs.google.com/spreadsheets/d/""&amp;$A453&amp;""/edit#gid=156619080"",AF$3)"),"#REF!")</f>
        <v>#REF!</v>
      </c>
      <c r="AG453" s="2" t="str">
        <f>IFERROR(__xludf.DUMMYFUNCTION("IMPORTRANGE(""https://docs.google.com/spreadsheets/d/""&amp;$A453&amp;""/edit#gid=156619080"",AG$3)"),"#REF!")</f>
        <v>#REF!</v>
      </c>
      <c r="AH453" s="2" t="str">
        <f>IFERROR(__xludf.DUMMYFUNCTION("IMPORTRANGE(""https://docs.google.com/spreadsheets/d/""&amp;$A453&amp;""/edit#gid=156619080"",AH$3)"),"#REF!")</f>
        <v>#REF!</v>
      </c>
      <c r="AI453" s="2" t="str">
        <f>IFERROR(__xludf.DUMMYFUNCTION("IMPORTRANGE(""https://docs.google.com/spreadsheets/d/""&amp;$A453&amp;""/edit#gid=156619080"",AI$3)"),"#REF!")</f>
        <v>#REF!</v>
      </c>
      <c r="AJ453" s="2" t="str">
        <f>IFERROR(__xludf.DUMMYFUNCTION("IMPORTRANGE(""https://docs.google.com/spreadsheets/d/""&amp;$A453&amp;""/edit#gid=156619080"",AJ$3)"),"#REF!")</f>
        <v>#REF!</v>
      </c>
      <c r="AK453" s="2" t="str">
        <f>IFERROR(__xludf.DUMMYFUNCTION("IMPORTRANGE(""https://docs.google.com/spreadsheets/d/""&amp;$A453&amp;""/edit#gid=156619080"",AK$3)"),"#REF!")</f>
        <v>#REF!</v>
      </c>
      <c r="AL453" s="2" t="str">
        <f>IFERROR(__xludf.DUMMYFUNCTION("IMPORTRANGE(""https://docs.google.com/spreadsheets/d/""&amp;$A453&amp;""/edit#gid=156619080"",AL$3)"),"#REF!")</f>
        <v>#REF!</v>
      </c>
      <c r="AM453" s="2" t="str">
        <f>IFERROR(__xludf.DUMMYFUNCTION("IMPORTRANGE(""https://docs.google.com/spreadsheets/d/""&amp;$A453&amp;""/edit#gid=156619080"",AM$3)"),"#REF!")</f>
        <v>#REF!</v>
      </c>
      <c r="AN453" s="2" t="str">
        <f>IFERROR(__xludf.DUMMYFUNCTION("IMPORTRANGE(""https://docs.google.com/spreadsheets/d/""&amp;$A453&amp;""/edit#gid=156619080"",AN$3)"),"#REF!")</f>
        <v>#REF!</v>
      </c>
      <c r="AO453" s="2" t="str">
        <f>IFERROR(__xludf.DUMMYFUNCTION("IMPORTRANGE(""https://docs.google.com/spreadsheets/d/""&amp;$A453&amp;""/edit#gid=156619080"",AO$3)"),"#REF!")</f>
        <v>#REF!</v>
      </c>
      <c r="AP453" s="2" t="str">
        <f>IFERROR(__xludf.DUMMYFUNCTION("IMPORTRANGE(""https://docs.google.com/spreadsheets/d/""&amp;$A453&amp;""/edit#gid=156619080"",AP$3)"),"#REF!")</f>
        <v>#REF!</v>
      </c>
      <c r="AQ453" s="2" t="str">
        <f>IFERROR(__xludf.DUMMYFUNCTION("IMPORTRANGE(""https://docs.google.com/spreadsheets/d/""&amp;$A453&amp;""/edit#gid=156619080"",AQ$3)"),"#REF!")</f>
        <v>#REF!</v>
      </c>
      <c r="AR453" s="2" t="str">
        <f>IFERROR(__xludf.DUMMYFUNCTION("IMPORTRANGE(""https://docs.google.com/spreadsheets/d/""&amp;$A453&amp;""/edit#gid=156619080"",AR$3)"),"#REF!")</f>
        <v>#REF!</v>
      </c>
      <c r="AS453" s="19" t="str">
        <f>IFERROR(__xludf.DUMMYFUNCTION("IMPORTRANGE(""https://docs.google.com/spreadsheets/d/""&amp;$A453&amp;""/edit#gid=156619080"",AS$3)"),"#REF!")</f>
        <v>#REF!</v>
      </c>
      <c r="AT453" s="2" t="str">
        <f>IFERROR(__xludf.DUMMYFUNCTION("IMPORTRANGE(""https://docs.google.com/spreadsheets/d/""&amp;$A453&amp;""/edit#gid=156619080"",AT$3)"),"#REF!")</f>
        <v>#REF!</v>
      </c>
      <c r="AU453" s="3" t="str">
        <f>IFERROR(__xludf.DUMMYFUNCTION("IMPORTRANGE(""https://docs.google.com/spreadsheets/d/""&amp;$A453&amp;""/edit#gid=156619080"",AU$3)"),"#REF!")</f>
        <v>#REF!</v>
      </c>
      <c r="AV453" s="2" t="str">
        <f>IFERROR(__xludf.DUMMYFUNCTION("IMPORTRANGE(""https://docs.google.com/spreadsheets/d/""&amp;$A453&amp;""/edit#gid=156619080"",AV$3)"),"#REF!")</f>
        <v>#REF!</v>
      </c>
      <c r="AW453" s="19" t="str">
        <f>IFERROR(__xludf.DUMMYFUNCTION("IMPORTRANGE(""https://docs.google.com/spreadsheets/d/""&amp;$A453&amp;""/edit#gid=156619080"",AW$3)"),"#REF!")</f>
        <v>#REF!</v>
      </c>
      <c r="AX453" s="2" t="str">
        <f>IFERROR(__xludf.DUMMYFUNCTION("IMPORTRANGE(""https://docs.google.com/spreadsheets/d/""&amp;$A453&amp;""/edit#gid=156619080"",AX$3)"),"#REF!")</f>
        <v>#REF!</v>
      </c>
      <c r="AY453" s="2" t="str">
        <f>IFERROR(__xludf.DUMMYFUNCTION("IMPORTRANGE(""https://docs.google.com/spreadsheets/d/""&amp;$A453&amp;""/edit#gid=156619080"",AY$3)"),"#REF!")</f>
        <v>#REF!</v>
      </c>
      <c r="AZ453" s="2" t="str">
        <f>IFERROR(__xludf.DUMMYFUNCTION("IMPORTRANGE(""https://docs.google.com/spreadsheets/d/""&amp;$A453&amp;""/edit#gid=156619080"",AZ$3)"),"#REF!")</f>
        <v>#REF!</v>
      </c>
      <c r="BA453" s="2" t="str">
        <f>IFERROR(__xludf.DUMMYFUNCTION("IMPORTRANGE(""https://docs.google.com/spreadsheets/d/""&amp;$A453&amp;""/edit#gid=156619080"",BA$3)"),"#REF!")</f>
        <v>#REF!</v>
      </c>
      <c r="BB453" s="2" t="str">
        <f>IFERROR(__xludf.DUMMYFUNCTION("IMPORTRANGE(""https://docs.google.com/spreadsheets/d/""&amp;$A453&amp;""/edit#gid=156619080"",BB$3)"),"#REF!")</f>
        <v>#REF!</v>
      </c>
      <c r="BC453" s="2" t="str">
        <f>IFERROR(__xludf.DUMMYFUNCTION("IMPORTRANGE(""https://docs.google.com/spreadsheets/d/""&amp;$A453&amp;""/edit#gid=156619080"",BC$3)"),"#REF!")</f>
        <v>#REF!</v>
      </c>
    </row>
    <row r="454" ht="51.0" customHeight="1">
      <c r="A454" s="7" t="str">
        <f t="shared" si="5"/>
        <v>1C3TsLMX0JSYF4Jp2nGcGrpuymDMfFYX4Kr2yXXDk0Ek</v>
      </c>
      <c r="B454" s="1" t="s">
        <v>481</v>
      </c>
      <c r="C454" s="2" t="str">
        <f>IFERROR(__xludf.DUMMYFUNCTION("IMPORTRANGE(""https://docs.google.com/spreadsheets/d/""&amp;$A454&amp;""/edit#gid=156619080"",C$3)"),"#REF!")</f>
        <v>#REF!</v>
      </c>
      <c r="D454" s="2" t="str">
        <f>IFERROR(__xludf.DUMMYFUNCTION("IMPORTRANGE(""https://docs.google.com/spreadsheets/d/""&amp;$A454&amp;""/edit#gid=156619080"",D$3)"),"#REF!")</f>
        <v>#REF!</v>
      </c>
      <c r="E454" s="2" t="str">
        <f>IFERROR(__xludf.DUMMYFUNCTION("IMPORTRANGE(""https://docs.google.com/spreadsheets/d/""&amp;$A454&amp;""/edit#gid=156619080"",E$3)"),"#REF!")</f>
        <v>#REF!</v>
      </c>
      <c r="F454" s="2" t="str">
        <f>IFERROR(__xludf.DUMMYFUNCTION("IMPORTRANGE(""https://docs.google.com/spreadsheets/d/""&amp;$A454&amp;""/edit#gid=156619080"",F$3)"),"#REF!")</f>
        <v>#REF!</v>
      </c>
      <c r="G454" s="2" t="str">
        <f>IFERROR(__xludf.DUMMYFUNCTION("IMPORTRANGE(""https://docs.google.com/spreadsheets/d/""&amp;$A454&amp;""/edit#gid=156619080"",G$3)"),"#REF!")</f>
        <v>#REF!</v>
      </c>
      <c r="H454" s="2" t="str">
        <f>IFERROR(__xludf.DUMMYFUNCTION("IMPORTRANGE(""https://docs.google.com/spreadsheets/d/""&amp;$A454&amp;""/edit#gid=156619080"",H$3)"),"#REF!")</f>
        <v>#REF!</v>
      </c>
      <c r="I454" s="2" t="str">
        <f>IFERROR(__xludf.DUMMYFUNCTION("IMPORTRANGE(""https://docs.google.com/spreadsheets/d/""&amp;$A454&amp;""/edit#gid=156619080"",I$3)"),"#REF!")</f>
        <v>#REF!</v>
      </c>
      <c r="J454" s="2" t="str">
        <f>IFERROR(__xludf.DUMMYFUNCTION("IMPORTRANGE(""https://docs.google.com/spreadsheets/d/""&amp;$A454&amp;""/edit#gid=156619080"",J$3)"),"#REF!")</f>
        <v>#REF!</v>
      </c>
      <c r="K454" s="2" t="str">
        <f>IFERROR(__xludf.DUMMYFUNCTION("IMPORTRANGE(""https://docs.google.com/spreadsheets/d/""&amp;$A454&amp;""/edit#gid=156619080"",K$3)"),"#REF!")</f>
        <v>#REF!</v>
      </c>
      <c r="L454" s="2" t="str">
        <f>IFERROR(__xludf.DUMMYFUNCTION("IMPORTRANGE(""https://docs.google.com/spreadsheets/d/""&amp;$A454&amp;""/edit#gid=156619080"",L$3)"),"#REF!")</f>
        <v>#REF!</v>
      </c>
      <c r="M454" s="2" t="str">
        <f>IFERROR(__xludf.DUMMYFUNCTION("IMPORTRANGE(""https://docs.google.com/spreadsheets/d/""&amp;$A454&amp;""/edit#gid=156619080"",M$3)"),"#REF!")</f>
        <v>#REF!</v>
      </c>
      <c r="N454" s="2" t="str">
        <f>IFERROR(__xludf.DUMMYFUNCTION("IMPORTRANGE(""https://docs.google.com/spreadsheets/d/""&amp;$A454&amp;""/edit#gid=156619080"",N$3)"),"#REF!")</f>
        <v>#REF!</v>
      </c>
      <c r="O454" s="2" t="str">
        <f>IFERROR(__xludf.DUMMYFUNCTION("IMPORTRANGE(""https://docs.google.com/spreadsheets/d/""&amp;$A454&amp;""/edit#gid=156619080"",O$3)"),"#REF!")</f>
        <v>#REF!</v>
      </c>
      <c r="P454" s="2" t="str">
        <f>IFERROR(__xludf.DUMMYFUNCTION("IMPORTRANGE(""https://docs.google.com/spreadsheets/d/""&amp;$A454&amp;""/edit#gid=156619080"",P$3)"),"#REF!")</f>
        <v>#REF!</v>
      </c>
      <c r="Q454" s="2" t="str">
        <f>IFERROR(__xludf.DUMMYFUNCTION("IMPORTRANGE(""https://docs.google.com/spreadsheets/d/""&amp;$A454&amp;""/edit#gid=156619080"",Q$3)"),"#REF!")</f>
        <v>#REF!</v>
      </c>
      <c r="R454" s="2" t="str">
        <f>IFERROR(__xludf.DUMMYFUNCTION("IMPORTRANGE(""https://docs.google.com/spreadsheets/d/""&amp;$A454&amp;""/edit#gid=156619080"",R$3)"),"#REF!")</f>
        <v>#REF!</v>
      </c>
      <c r="S454" s="2" t="str">
        <f>IFERROR(__xludf.DUMMYFUNCTION("IMPORTRANGE(""https://docs.google.com/spreadsheets/d/""&amp;$A454&amp;""/edit#gid=156619080"",S$3)"),"#REF!")</f>
        <v>#REF!</v>
      </c>
      <c r="T454" s="2" t="str">
        <f>IFERROR(__xludf.DUMMYFUNCTION("IMPORTRANGE(""https://docs.google.com/spreadsheets/d/""&amp;$A454&amp;""/edit#gid=156619080"",T$3)"),"#REF!")</f>
        <v>#REF!</v>
      </c>
      <c r="U454" s="2" t="str">
        <f>IFERROR(__xludf.DUMMYFUNCTION("IMPORTRANGE(""https://docs.google.com/spreadsheets/d/""&amp;$A454&amp;""/edit#gid=156619080"",U$3)"),"#REF!")</f>
        <v>#REF!</v>
      </c>
      <c r="V454" s="2" t="str">
        <f>IFERROR(__xludf.DUMMYFUNCTION("IMPORTRANGE(""https://docs.google.com/spreadsheets/d/""&amp;$A454&amp;""/edit#gid=156619080"",V$3)"),"#REF!")</f>
        <v>#REF!</v>
      </c>
      <c r="W454" s="2" t="str">
        <f>IFERROR(__xludf.DUMMYFUNCTION("IMPORTRANGE(""https://docs.google.com/spreadsheets/d/""&amp;$A454&amp;""/edit#gid=156619080"",W$3)"),"#REF!")</f>
        <v>#REF!</v>
      </c>
      <c r="X454" s="2" t="str">
        <f>IFERROR(__xludf.DUMMYFUNCTION("IMPORTRANGE(""https://docs.google.com/spreadsheets/d/""&amp;$A454&amp;""/edit#gid=156619080"",X$3)"),"#REF!")</f>
        <v>#REF!</v>
      </c>
      <c r="Y454" s="2" t="str">
        <f>IFERROR(__xludf.DUMMYFUNCTION("IMPORTRANGE(""https://docs.google.com/spreadsheets/d/""&amp;$A454&amp;""/edit#gid=156619080"",Y$3)"),"#REF!")</f>
        <v>#REF!</v>
      </c>
      <c r="Z454" s="2" t="str">
        <f>IFERROR(__xludf.DUMMYFUNCTION("IMPORTRANGE(""https://docs.google.com/spreadsheets/d/""&amp;$A454&amp;""/edit#gid=156619080"",Z$3)"),"#REF!")</f>
        <v>#REF!</v>
      </c>
      <c r="AA454" s="2" t="str">
        <f>IFERROR(__xludf.DUMMYFUNCTION("IMPORTRANGE(""https://docs.google.com/spreadsheets/d/""&amp;$A454&amp;""/edit#gid=156619080"",AA$3)"),"#REF!")</f>
        <v>#REF!</v>
      </c>
      <c r="AB454" s="2" t="str">
        <f>IFERROR(__xludf.DUMMYFUNCTION("IMPORTRANGE(""https://docs.google.com/spreadsheets/d/""&amp;$A454&amp;""/edit#gid=156619080"",AB$3)"),"#REF!")</f>
        <v>#REF!</v>
      </c>
      <c r="AC454" s="2" t="str">
        <f>IFERROR(__xludf.DUMMYFUNCTION("IMPORTRANGE(""https://docs.google.com/spreadsheets/d/""&amp;$A454&amp;""/edit#gid=156619080"",AC$3)"),"#REF!")</f>
        <v>#REF!</v>
      </c>
      <c r="AD454" s="2" t="str">
        <f>IFERROR(__xludf.DUMMYFUNCTION("IMPORTRANGE(""https://docs.google.com/spreadsheets/d/""&amp;$A454&amp;""/edit#gid=156619080"",AD$3)"),"#REF!")</f>
        <v>#REF!</v>
      </c>
      <c r="AE454" s="2" t="str">
        <f>IFERROR(__xludf.DUMMYFUNCTION("IMPORTRANGE(""https://docs.google.com/spreadsheets/d/""&amp;$A454&amp;""/edit#gid=156619080"",AE$3)"),"#REF!")</f>
        <v>#REF!</v>
      </c>
      <c r="AF454" s="2" t="str">
        <f>IFERROR(__xludf.DUMMYFUNCTION("IMPORTRANGE(""https://docs.google.com/spreadsheets/d/""&amp;$A454&amp;""/edit#gid=156619080"",AF$3)"),"#REF!")</f>
        <v>#REF!</v>
      </c>
      <c r="AG454" s="2" t="str">
        <f>IFERROR(__xludf.DUMMYFUNCTION("IMPORTRANGE(""https://docs.google.com/spreadsheets/d/""&amp;$A454&amp;""/edit#gid=156619080"",AG$3)"),"#REF!")</f>
        <v>#REF!</v>
      </c>
      <c r="AH454" s="2" t="str">
        <f>IFERROR(__xludf.DUMMYFUNCTION("IMPORTRANGE(""https://docs.google.com/spreadsheets/d/""&amp;$A454&amp;""/edit#gid=156619080"",AH$3)"),"#REF!")</f>
        <v>#REF!</v>
      </c>
      <c r="AI454" s="2" t="str">
        <f>IFERROR(__xludf.DUMMYFUNCTION("IMPORTRANGE(""https://docs.google.com/spreadsheets/d/""&amp;$A454&amp;""/edit#gid=156619080"",AI$3)"),"#REF!")</f>
        <v>#REF!</v>
      </c>
      <c r="AJ454" s="2" t="str">
        <f>IFERROR(__xludf.DUMMYFUNCTION("IMPORTRANGE(""https://docs.google.com/spreadsheets/d/""&amp;$A454&amp;""/edit#gid=156619080"",AJ$3)"),"#REF!")</f>
        <v>#REF!</v>
      </c>
      <c r="AK454" s="2" t="str">
        <f>IFERROR(__xludf.DUMMYFUNCTION("IMPORTRANGE(""https://docs.google.com/spreadsheets/d/""&amp;$A454&amp;""/edit#gid=156619080"",AK$3)"),"#REF!")</f>
        <v>#REF!</v>
      </c>
      <c r="AL454" s="2" t="str">
        <f>IFERROR(__xludf.DUMMYFUNCTION("IMPORTRANGE(""https://docs.google.com/spreadsheets/d/""&amp;$A454&amp;""/edit#gid=156619080"",AL$3)"),"#REF!")</f>
        <v>#REF!</v>
      </c>
      <c r="AM454" s="2" t="str">
        <f>IFERROR(__xludf.DUMMYFUNCTION("IMPORTRANGE(""https://docs.google.com/spreadsheets/d/""&amp;$A454&amp;""/edit#gid=156619080"",AM$3)"),"#REF!")</f>
        <v>#REF!</v>
      </c>
      <c r="AN454" s="2" t="str">
        <f>IFERROR(__xludf.DUMMYFUNCTION("IMPORTRANGE(""https://docs.google.com/spreadsheets/d/""&amp;$A454&amp;""/edit#gid=156619080"",AN$3)"),"#REF!")</f>
        <v>#REF!</v>
      </c>
      <c r="AO454" s="2" t="str">
        <f>IFERROR(__xludf.DUMMYFUNCTION("IMPORTRANGE(""https://docs.google.com/spreadsheets/d/""&amp;$A454&amp;""/edit#gid=156619080"",AO$3)"),"#REF!")</f>
        <v>#REF!</v>
      </c>
      <c r="AP454" s="2" t="str">
        <f>IFERROR(__xludf.DUMMYFUNCTION("IMPORTRANGE(""https://docs.google.com/spreadsheets/d/""&amp;$A454&amp;""/edit#gid=156619080"",AP$3)"),"#REF!")</f>
        <v>#REF!</v>
      </c>
      <c r="AQ454" s="2" t="str">
        <f>IFERROR(__xludf.DUMMYFUNCTION("IMPORTRANGE(""https://docs.google.com/spreadsheets/d/""&amp;$A454&amp;""/edit#gid=156619080"",AQ$3)"),"#REF!")</f>
        <v>#REF!</v>
      </c>
      <c r="AR454" s="2" t="str">
        <f>IFERROR(__xludf.DUMMYFUNCTION("IMPORTRANGE(""https://docs.google.com/spreadsheets/d/""&amp;$A454&amp;""/edit#gid=156619080"",AR$3)"),"#REF!")</f>
        <v>#REF!</v>
      </c>
      <c r="AS454" s="19" t="str">
        <f>IFERROR(__xludf.DUMMYFUNCTION("IMPORTRANGE(""https://docs.google.com/spreadsheets/d/""&amp;$A454&amp;""/edit#gid=156619080"",AS$3)"),"#REF!")</f>
        <v>#REF!</v>
      </c>
      <c r="AT454" s="2" t="str">
        <f>IFERROR(__xludf.DUMMYFUNCTION("IMPORTRANGE(""https://docs.google.com/spreadsheets/d/""&amp;$A454&amp;""/edit#gid=156619080"",AT$3)"),"#REF!")</f>
        <v>#REF!</v>
      </c>
      <c r="AU454" s="3" t="str">
        <f>IFERROR(__xludf.DUMMYFUNCTION("IMPORTRANGE(""https://docs.google.com/spreadsheets/d/""&amp;$A454&amp;""/edit#gid=156619080"",AU$3)"),"#REF!")</f>
        <v>#REF!</v>
      </c>
      <c r="AV454" s="2" t="str">
        <f>IFERROR(__xludf.DUMMYFUNCTION("IMPORTRANGE(""https://docs.google.com/spreadsheets/d/""&amp;$A454&amp;""/edit#gid=156619080"",AV$3)"),"#REF!")</f>
        <v>#REF!</v>
      </c>
      <c r="AW454" s="19" t="str">
        <f>IFERROR(__xludf.DUMMYFUNCTION("IMPORTRANGE(""https://docs.google.com/spreadsheets/d/""&amp;$A454&amp;""/edit#gid=156619080"",AW$3)"),"#REF!")</f>
        <v>#REF!</v>
      </c>
      <c r="AX454" s="2" t="str">
        <f>IFERROR(__xludf.DUMMYFUNCTION("IMPORTRANGE(""https://docs.google.com/spreadsheets/d/""&amp;$A454&amp;""/edit#gid=156619080"",AX$3)"),"#REF!")</f>
        <v>#REF!</v>
      </c>
      <c r="AY454" s="2" t="str">
        <f>IFERROR(__xludf.DUMMYFUNCTION("IMPORTRANGE(""https://docs.google.com/spreadsheets/d/""&amp;$A454&amp;""/edit#gid=156619080"",AY$3)"),"#REF!")</f>
        <v>#REF!</v>
      </c>
      <c r="AZ454" s="2" t="str">
        <f>IFERROR(__xludf.DUMMYFUNCTION("IMPORTRANGE(""https://docs.google.com/spreadsheets/d/""&amp;$A454&amp;""/edit#gid=156619080"",AZ$3)"),"#REF!")</f>
        <v>#REF!</v>
      </c>
      <c r="BA454" s="2" t="str">
        <f>IFERROR(__xludf.DUMMYFUNCTION("IMPORTRANGE(""https://docs.google.com/spreadsheets/d/""&amp;$A454&amp;""/edit#gid=156619080"",BA$3)"),"#REF!")</f>
        <v>#REF!</v>
      </c>
      <c r="BB454" s="2" t="str">
        <f>IFERROR(__xludf.DUMMYFUNCTION("IMPORTRANGE(""https://docs.google.com/spreadsheets/d/""&amp;$A454&amp;""/edit#gid=156619080"",BB$3)"),"#REF!")</f>
        <v>#REF!</v>
      </c>
      <c r="BC454" s="2" t="str">
        <f>IFERROR(__xludf.DUMMYFUNCTION("IMPORTRANGE(""https://docs.google.com/spreadsheets/d/""&amp;$A454&amp;""/edit#gid=156619080"",BC$3)"),"#REF!")</f>
        <v>#REF!</v>
      </c>
    </row>
    <row r="455" ht="51.0" customHeight="1">
      <c r="A455" s="7" t="str">
        <f t="shared" si="5"/>
        <v>16OTZxbYypQdWQP9N2mloegHua-cnu95Bo720Pc8DzOI</v>
      </c>
      <c r="B455" s="1" t="s">
        <v>482</v>
      </c>
      <c r="C455" s="2" t="str">
        <f>IFERROR(__xludf.DUMMYFUNCTION("IMPORTRANGE(""https://docs.google.com/spreadsheets/d/""&amp;$A455&amp;""/edit#gid=156619080"",C$3)"),"#REF!")</f>
        <v>#REF!</v>
      </c>
      <c r="D455" s="2" t="str">
        <f>IFERROR(__xludf.DUMMYFUNCTION("IMPORTRANGE(""https://docs.google.com/spreadsheets/d/""&amp;$A455&amp;""/edit#gid=156619080"",D$3)"),"#REF!")</f>
        <v>#REF!</v>
      </c>
      <c r="E455" s="2" t="str">
        <f>IFERROR(__xludf.DUMMYFUNCTION("IMPORTRANGE(""https://docs.google.com/spreadsheets/d/""&amp;$A455&amp;""/edit#gid=156619080"",E$3)"),"#REF!")</f>
        <v>#REF!</v>
      </c>
      <c r="F455" s="2" t="str">
        <f>IFERROR(__xludf.DUMMYFUNCTION("IMPORTRANGE(""https://docs.google.com/spreadsheets/d/""&amp;$A455&amp;""/edit#gid=156619080"",F$3)"),"#REF!")</f>
        <v>#REF!</v>
      </c>
      <c r="G455" s="2" t="str">
        <f>IFERROR(__xludf.DUMMYFUNCTION("IMPORTRANGE(""https://docs.google.com/spreadsheets/d/""&amp;$A455&amp;""/edit#gid=156619080"",G$3)"),"#REF!")</f>
        <v>#REF!</v>
      </c>
      <c r="H455" s="2" t="str">
        <f>IFERROR(__xludf.DUMMYFUNCTION("IMPORTRANGE(""https://docs.google.com/spreadsheets/d/""&amp;$A455&amp;""/edit#gid=156619080"",H$3)"),"#REF!")</f>
        <v>#REF!</v>
      </c>
      <c r="I455" s="2" t="str">
        <f>IFERROR(__xludf.DUMMYFUNCTION("IMPORTRANGE(""https://docs.google.com/spreadsheets/d/""&amp;$A455&amp;""/edit#gid=156619080"",I$3)"),"#REF!")</f>
        <v>#REF!</v>
      </c>
      <c r="J455" s="2" t="str">
        <f>IFERROR(__xludf.DUMMYFUNCTION("IMPORTRANGE(""https://docs.google.com/spreadsheets/d/""&amp;$A455&amp;""/edit#gid=156619080"",J$3)"),"#REF!")</f>
        <v>#REF!</v>
      </c>
      <c r="K455" s="2" t="str">
        <f>IFERROR(__xludf.DUMMYFUNCTION("IMPORTRANGE(""https://docs.google.com/spreadsheets/d/""&amp;$A455&amp;""/edit#gid=156619080"",K$3)"),"#REF!")</f>
        <v>#REF!</v>
      </c>
      <c r="L455" s="2" t="str">
        <f>IFERROR(__xludf.DUMMYFUNCTION("IMPORTRANGE(""https://docs.google.com/spreadsheets/d/""&amp;$A455&amp;""/edit#gid=156619080"",L$3)"),"#REF!")</f>
        <v>#REF!</v>
      </c>
      <c r="M455" s="2" t="str">
        <f>IFERROR(__xludf.DUMMYFUNCTION("IMPORTRANGE(""https://docs.google.com/spreadsheets/d/""&amp;$A455&amp;""/edit#gid=156619080"",M$3)"),"#REF!")</f>
        <v>#REF!</v>
      </c>
      <c r="N455" s="2" t="str">
        <f>IFERROR(__xludf.DUMMYFUNCTION("IMPORTRANGE(""https://docs.google.com/spreadsheets/d/""&amp;$A455&amp;""/edit#gid=156619080"",N$3)"),"#REF!")</f>
        <v>#REF!</v>
      </c>
      <c r="O455" s="2" t="str">
        <f>IFERROR(__xludf.DUMMYFUNCTION("IMPORTRANGE(""https://docs.google.com/spreadsheets/d/""&amp;$A455&amp;""/edit#gid=156619080"",O$3)"),"#REF!")</f>
        <v>#REF!</v>
      </c>
      <c r="P455" s="2" t="str">
        <f>IFERROR(__xludf.DUMMYFUNCTION("IMPORTRANGE(""https://docs.google.com/spreadsheets/d/""&amp;$A455&amp;""/edit#gid=156619080"",P$3)"),"#REF!")</f>
        <v>#REF!</v>
      </c>
      <c r="Q455" s="2" t="str">
        <f>IFERROR(__xludf.DUMMYFUNCTION("IMPORTRANGE(""https://docs.google.com/spreadsheets/d/""&amp;$A455&amp;""/edit#gid=156619080"",Q$3)"),"#REF!")</f>
        <v>#REF!</v>
      </c>
      <c r="R455" s="2" t="str">
        <f>IFERROR(__xludf.DUMMYFUNCTION("IMPORTRANGE(""https://docs.google.com/spreadsheets/d/""&amp;$A455&amp;""/edit#gid=156619080"",R$3)"),"#REF!")</f>
        <v>#REF!</v>
      </c>
      <c r="S455" s="2" t="str">
        <f>IFERROR(__xludf.DUMMYFUNCTION("IMPORTRANGE(""https://docs.google.com/spreadsheets/d/""&amp;$A455&amp;""/edit#gid=156619080"",S$3)"),"#REF!")</f>
        <v>#REF!</v>
      </c>
      <c r="T455" s="2" t="str">
        <f>IFERROR(__xludf.DUMMYFUNCTION("IMPORTRANGE(""https://docs.google.com/spreadsheets/d/""&amp;$A455&amp;""/edit#gid=156619080"",T$3)"),"#REF!")</f>
        <v>#REF!</v>
      </c>
      <c r="U455" s="2" t="str">
        <f>IFERROR(__xludf.DUMMYFUNCTION("IMPORTRANGE(""https://docs.google.com/spreadsheets/d/""&amp;$A455&amp;""/edit#gid=156619080"",U$3)"),"#REF!")</f>
        <v>#REF!</v>
      </c>
      <c r="V455" s="2" t="str">
        <f>IFERROR(__xludf.DUMMYFUNCTION("IMPORTRANGE(""https://docs.google.com/spreadsheets/d/""&amp;$A455&amp;""/edit#gid=156619080"",V$3)"),"#REF!")</f>
        <v>#REF!</v>
      </c>
      <c r="W455" s="2" t="str">
        <f>IFERROR(__xludf.DUMMYFUNCTION("IMPORTRANGE(""https://docs.google.com/spreadsheets/d/""&amp;$A455&amp;""/edit#gid=156619080"",W$3)"),"#REF!")</f>
        <v>#REF!</v>
      </c>
      <c r="X455" s="2" t="str">
        <f>IFERROR(__xludf.DUMMYFUNCTION("IMPORTRANGE(""https://docs.google.com/spreadsheets/d/""&amp;$A455&amp;""/edit#gid=156619080"",X$3)"),"#REF!")</f>
        <v>#REF!</v>
      </c>
      <c r="Y455" s="2" t="str">
        <f>IFERROR(__xludf.DUMMYFUNCTION("IMPORTRANGE(""https://docs.google.com/spreadsheets/d/""&amp;$A455&amp;""/edit#gid=156619080"",Y$3)"),"#REF!")</f>
        <v>#REF!</v>
      </c>
      <c r="Z455" s="2" t="str">
        <f>IFERROR(__xludf.DUMMYFUNCTION("IMPORTRANGE(""https://docs.google.com/spreadsheets/d/""&amp;$A455&amp;""/edit#gid=156619080"",Z$3)"),"#REF!")</f>
        <v>#REF!</v>
      </c>
      <c r="AA455" s="2" t="str">
        <f>IFERROR(__xludf.DUMMYFUNCTION("IMPORTRANGE(""https://docs.google.com/spreadsheets/d/""&amp;$A455&amp;""/edit#gid=156619080"",AA$3)"),"#REF!")</f>
        <v>#REF!</v>
      </c>
      <c r="AB455" s="2" t="str">
        <f>IFERROR(__xludf.DUMMYFUNCTION("IMPORTRANGE(""https://docs.google.com/spreadsheets/d/""&amp;$A455&amp;""/edit#gid=156619080"",AB$3)"),"#REF!")</f>
        <v>#REF!</v>
      </c>
      <c r="AC455" s="2" t="str">
        <f>IFERROR(__xludf.DUMMYFUNCTION("IMPORTRANGE(""https://docs.google.com/spreadsheets/d/""&amp;$A455&amp;""/edit#gid=156619080"",AC$3)"),"#REF!")</f>
        <v>#REF!</v>
      </c>
      <c r="AD455" s="2" t="str">
        <f>IFERROR(__xludf.DUMMYFUNCTION("IMPORTRANGE(""https://docs.google.com/spreadsheets/d/""&amp;$A455&amp;""/edit#gid=156619080"",AD$3)"),"#REF!")</f>
        <v>#REF!</v>
      </c>
      <c r="AE455" s="2" t="str">
        <f>IFERROR(__xludf.DUMMYFUNCTION("IMPORTRANGE(""https://docs.google.com/spreadsheets/d/""&amp;$A455&amp;""/edit#gid=156619080"",AE$3)"),"#REF!")</f>
        <v>#REF!</v>
      </c>
      <c r="AF455" s="2" t="str">
        <f>IFERROR(__xludf.DUMMYFUNCTION("IMPORTRANGE(""https://docs.google.com/spreadsheets/d/""&amp;$A455&amp;""/edit#gid=156619080"",AF$3)"),"#REF!")</f>
        <v>#REF!</v>
      </c>
      <c r="AG455" s="2" t="str">
        <f>IFERROR(__xludf.DUMMYFUNCTION("IMPORTRANGE(""https://docs.google.com/spreadsheets/d/""&amp;$A455&amp;""/edit#gid=156619080"",AG$3)"),"#REF!")</f>
        <v>#REF!</v>
      </c>
      <c r="AH455" s="2" t="str">
        <f>IFERROR(__xludf.DUMMYFUNCTION("IMPORTRANGE(""https://docs.google.com/spreadsheets/d/""&amp;$A455&amp;""/edit#gid=156619080"",AH$3)"),"#REF!")</f>
        <v>#REF!</v>
      </c>
      <c r="AI455" s="2" t="str">
        <f>IFERROR(__xludf.DUMMYFUNCTION("IMPORTRANGE(""https://docs.google.com/spreadsheets/d/""&amp;$A455&amp;""/edit#gid=156619080"",AI$3)"),"#REF!")</f>
        <v>#REF!</v>
      </c>
      <c r="AJ455" s="2" t="str">
        <f>IFERROR(__xludf.DUMMYFUNCTION("IMPORTRANGE(""https://docs.google.com/spreadsheets/d/""&amp;$A455&amp;""/edit#gid=156619080"",AJ$3)"),"#REF!")</f>
        <v>#REF!</v>
      </c>
      <c r="AK455" s="2" t="str">
        <f>IFERROR(__xludf.DUMMYFUNCTION("IMPORTRANGE(""https://docs.google.com/spreadsheets/d/""&amp;$A455&amp;""/edit#gid=156619080"",AK$3)"),"#REF!")</f>
        <v>#REF!</v>
      </c>
      <c r="AL455" s="2" t="str">
        <f>IFERROR(__xludf.DUMMYFUNCTION("IMPORTRANGE(""https://docs.google.com/spreadsheets/d/""&amp;$A455&amp;""/edit#gid=156619080"",AL$3)"),"#REF!")</f>
        <v>#REF!</v>
      </c>
      <c r="AM455" s="2" t="str">
        <f>IFERROR(__xludf.DUMMYFUNCTION("IMPORTRANGE(""https://docs.google.com/spreadsheets/d/""&amp;$A455&amp;""/edit#gid=156619080"",AM$3)"),"#REF!")</f>
        <v>#REF!</v>
      </c>
      <c r="AN455" s="2" t="str">
        <f>IFERROR(__xludf.DUMMYFUNCTION("IMPORTRANGE(""https://docs.google.com/spreadsheets/d/""&amp;$A455&amp;""/edit#gid=156619080"",AN$3)"),"#REF!")</f>
        <v>#REF!</v>
      </c>
      <c r="AO455" s="2" t="str">
        <f>IFERROR(__xludf.DUMMYFUNCTION("IMPORTRANGE(""https://docs.google.com/spreadsheets/d/""&amp;$A455&amp;""/edit#gid=156619080"",AO$3)"),"#REF!")</f>
        <v>#REF!</v>
      </c>
      <c r="AP455" s="2" t="str">
        <f>IFERROR(__xludf.DUMMYFUNCTION("IMPORTRANGE(""https://docs.google.com/spreadsheets/d/""&amp;$A455&amp;""/edit#gid=156619080"",AP$3)"),"#REF!")</f>
        <v>#REF!</v>
      </c>
      <c r="AQ455" s="2" t="str">
        <f>IFERROR(__xludf.DUMMYFUNCTION("IMPORTRANGE(""https://docs.google.com/spreadsheets/d/""&amp;$A455&amp;""/edit#gid=156619080"",AQ$3)"),"#REF!")</f>
        <v>#REF!</v>
      </c>
      <c r="AR455" s="2" t="str">
        <f>IFERROR(__xludf.DUMMYFUNCTION("IMPORTRANGE(""https://docs.google.com/spreadsheets/d/""&amp;$A455&amp;""/edit#gid=156619080"",AR$3)"),"#REF!")</f>
        <v>#REF!</v>
      </c>
      <c r="AS455" s="19" t="str">
        <f>IFERROR(__xludf.DUMMYFUNCTION("IMPORTRANGE(""https://docs.google.com/spreadsheets/d/""&amp;$A455&amp;""/edit#gid=156619080"",AS$3)"),"#REF!")</f>
        <v>#REF!</v>
      </c>
      <c r="AT455" s="2" t="str">
        <f>IFERROR(__xludf.DUMMYFUNCTION("IMPORTRANGE(""https://docs.google.com/spreadsheets/d/""&amp;$A455&amp;""/edit#gid=156619080"",AT$3)"),"#REF!")</f>
        <v>#REF!</v>
      </c>
      <c r="AU455" s="3" t="str">
        <f>IFERROR(__xludf.DUMMYFUNCTION("IMPORTRANGE(""https://docs.google.com/spreadsheets/d/""&amp;$A455&amp;""/edit#gid=156619080"",AU$3)"),"#REF!")</f>
        <v>#REF!</v>
      </c>
      <c r="AV455" s="2" t="str">
        <f>IFERROR(__xludf.DUMMYFUNCTION("IMPORTRANGE(""https://docs.google.com/spreadsheets/d/""&amp;$A455&amp;""/edit#gid=156619080"",AV$3)"),"#REF!")</f>
        <v>#REF!</v>
      </c>
      <c r="AW455" s="19" t="str">
        <f>IFERROR(__xludf.DUMMYFUNCTION("IMPORTRANGE(""https://docs.google.com/spreadsheets/d/""&amp;$A455&amp;""/edit#gid=156619080"",AW$3)"),"#REF!")</f>
        <v>#REF!</v>
      </c>
      <c r="AX455" s="2" t="str">
        <f>IFERROR(__xludf.DUMMYFUNCTION("IMPORTRANGE(""https://docs.google.com/spreadsheets/d/""&amp;$A455&amp;""/edit#gid=156619080"",AX$3)"),"#REF!")</f>
        <v>#REF!</v>
      </c>
      <c r="AY455" s="2" t="str">
        <f>IFERROR(__xludf.DUMMYFUNCTION("IMPORTRANGE(""https://docs.google.com/spreadsheets/d/""&amp;$A455&amp;""/edit#gid=156619080"",AY$3)"),"#REF!")</f>
        <v>#REF!</v>
      </c>
      <c r="AZ455" s="2" t="str">
        <f>IFERROR(__xludf.DUMMYFUNCTION("IMPORTRANGE(""https://docs.google.com/spreadsheets/d/""&amp;$A455&amp;""/edit#gid=156619080"",AZ$3)"),"#REF!")</f>
        <v>#REF!</v>
      </c>
      <c r="BA455" s="2" t="str">
        <f>IFERROR(__xludf.DUMMYFUNCTION("IMPORTRANGE(""https://docs.google.com/spreadsheets/d/""&amp;$A455&amp;""/edit#gid=156619080"",BA$3)"),"#REF!")</f>
        <v>#REF!</v>
      </c>
      <c r="BB455" s="2" t="str">
        <f>IFERROR(__xludf.DUMMYFUNCTION("IMPORTRANGE(""https://docs.google.com/spreadsheets/d/""&amp;$A455&amp;""/edit#gid=156619080"",BB$3)"),"#REF!")</f>
        <v>#REF!</v>
      </c>
      <c r="BC455" s="2" t="str">
        <f>IFERROR(__xludf.DUMMYFUNCTION("IMPORTRANGE(""https://docs.google.com/spreadsheets/d/""&amp;$A455&amp;""/edit#gid=156619080"",BC$3)"),"#REF!")</f>
        <v>#REF!</v>
      </c>
    </row>
    <row r="456" ht="51.0" customHeight="1">
      <c r="A456" s="7" t="str">
        <f t="shared" si="5"/>
        <v>1yaW6rTtydQ150cgwc5BIdgXqVhhV0speo3GfJWvdYMQ</v>
      </c>
      <c r="B456" s="1" t="s">
        <v>483</v>
      </c>
      <c r="C456" s="2" t="str">
        <f>IFERROR(__xludf.DUMMYFUNCTION("IMPORTRANGE(""https://docs.google.com/spreadsheets/d/""&amp;$A456&amp;""/edit#gid=156619080"",C$3)"),"#REF!")</f>
        <v>#REF!</v>
      </c>
      <c r="D456" s="2" t="str">
        <f>IFERROR(__xludf.DUMMYFUNCTION("IMPORTRANGE(""https://docs.google.com/spreadsheets/d/""&amp;$A456&amp;""/edit#gid=156619080"",D$3)"),"#REF!")</f>
        <v>#REF!</v>
      </c>
      <c r="E456" s="2" t="str">
        <f>IFERROR(__xludf.DUMMYFUNCTION("IMPORTRANGE(""https://docs.google.com/spreadsheets/d/""&amp;$A456&amp;""/edit#gid=156619080"",E$3)"),"#REF!")</f>
        <v>#REF!</v>
      </c>
      <c r="F456" s="2" t="str">
        <f>IFERROR(__xludf.DUMMYFUNCTION("IMPORTRANGE(""https://docs.google.com/spreadsheets/d/""&amp;$A456&amp;""/edit#gid=156619080"",F$3)"),"#REF!")</f>
        <v>#REF!</v>
      </c>
      <c r="G456" s="2" t="str">
        <f>IFERROR(__xludf.DUMMYFUNCTION("IMPORTRANGE(""https://docs.google.com/spreadsheets/d/""&amp;$A456&amp;""/edit#gid=156619080"",G$3)"),"#REF!")</f>
        <v>#REF!</v>
      </c>
      <c r="H456" s="2" t="str">
        <f>IFERROR(__xludf.DUMMYFUNCTION("IMPORTRANGE(""https://docs.google.com/spreadsheets/d/""&amp;$A456&amp;""/edit#gid=156619080"",H$3)"),"#REF!")</f>
        <v>#REF!</v>
      </c>
      <c r="I456" s="2" t="str">
        <f>IFERROR(__xludf.DUMMYFUNCTION("IMPORTRANGE(""https://docs.google.com/spreadsheets/d/""&amp;$A456&amp;""/edit#gid=156619080"",I$3)"),"#REF!")</f>
        <v>#REF!</v>
      </c>
      <c r="J456" s="2" t="str">
        <f>IFERROR(__xludf.DUMMYFUNCTION("IMPORTRANGE(""https://docs.google.com/spreadsheets/d/""&amp;$A456&amp;""/edit#gid=156619080"",J$3)"),"#REF!")</f>
        <v>#REF!</v>
      </c>
      <c r="K456" s="2" t="str">
        <f>IFERROR(__xludf.DUMMYFUNCTION("IMPORTRANGE(""https://docs.google.com/spreadsheets/d/""&amp;$A456&amp;""/edit#gid=156619080"",K$3)"),"#REF!")</f>
        <v>#REF!</v>
      </c>
      <c r="L456" s="2" t="str">
        <f>IFERROR(__xludf.DUMMYFUNCTION("IMPORTRANGE(""https://docs.google.com/spreadsheets/d/""&amp;$A456&amp;""/edit#gid=156619080"",L$3)"),"#REF!")</f>
        <v>#REF!</v>
      </c>
      <c r="M456" s="2" t="str">
        <f>IFERROR(__xludf.DUMMYFUNCTION("IMPORTRANGE(""https://docs.google.com/spreadsheets/d/""&amp;$A456&amp;""/edit#gid=156619080"",M$3)"),"#REF!")</f>
        <v>#REF!</v>
      </c>
      <c r="N456" s="2" t="str">
        <f>IFERROR(__xludf.DUMMYFUNCTION("IMPORTRANGE(""https://docs.google.com/spreadsheets/d/""&amp;$A456&amp;""/edit#gid=156619080"",N$3)"),"#REF!")</f>
        <v>#REF!</v>
      </c>
      <c r="O456" s="2" t="str">
        <f>IFERROR(__xludf.DUMMYFUNCTION("IMPORTRANGE(""https://docs.google.com/spreadsheets/d/""&amp;$A456&amp;""/edit#gid=156619080"",O$3)"),"#REF!")</f>
        <v>#REF!</v>
      </c>
      <c r="P456" s="2" t="str">
        <f>IFERROR(__xludf.DUMMYFUNCTION("IMPORTRANGE(""https://docs.google.com/spreadsheets/d/""&amp;$A456&amp;""/edit#gid=156619080"",P$3)"),"#REF!")</f>
        <v>#REF!</v>
      </c>
      <c r="Q456" s="2" t="str">
        <f>IFERROR(__xludf.DUMMYFUNCTION("IMPORTRANGE(""https://docs.google.com/spreadsheets/d/""&amp;$A456&amp;""/edit#gid=156619080"",Q$3)"),"#REF!")</f>
        <v>#REF!</v>
      </c>
      <c r="R456" s="2" t="str">
        <f>IFERROR(__xludf.DUMMYFUNCTION("IMPORTRANGE(""https://docs.google.com/spreadsheets/d/""&amp;$A456&amp;""/edit#gid=156619080"",R$3)"),"#REF!")</f>
        <v>#REF!</v>
      </c>
      <c r="S456" s="2" t="str">
        <f>IFERROR(__xludf.DUMMYFUNCTION("IMPORTRANGE(""https://docs.google.com/spreadsheets/d/""&amp;$A456&amp;""/edit#gid=156619080"",S$3)"),"#REF!")</f>
        <v>#REF!</v>
      </c>
      <c r="T456" s="2" t="str">
        <f>IFERROR(__xludf.DUMMYFUNCTION("IMPORTRANGE(""https://docs.google.com/spreadsheets/d/""&amp;$A456&amp;""/edit#gid=156619080"",T$3)"),"#REF!")</f>
        <v>#REF!</v>
      </c>
      <c r="U456" s="2" t="str">
        <f>IFERROR(__xludf.DUMMYFUNCTION("IMPORTRANGE(""https://docs.google.com/spreadsheets/d/""&amp;$A456&amp;""/edit#gid=156619080"",U$3)"),"#REF!")</f>
        <v>#REF!</v>
      </c>
      <c r="V456" s="2" t="str">
        <f>IFERROR(__xludf.DUMMYFUNCTION("IMPORTRANGE(""https://docs.google.com/spreadsheets/d/""&amp;$A456&amp;""/edit#gid=156619080"",V$3)"),"#REF!")</f>
        <v>#REF!</v>
      </c>
      <c r="W456" s="2" t="str">
        <f>IFERROR(__xludf.DUMMYFUNCTION("IMPORTRANGE(""https://docs.google.com/spreadsheets/d/""&amp;$A456&amp;""/edit#gid=156619080"",W$3)"),"#REF!")</f>
        <v>#REF!</v>
      </c>
      <c r="X456" s="2" t="str">
        <f>IFERROR(__xludf.DUMMYFUNCTION("IMPORTRANGE(""https://docs.google.com/spreadsheets/d/""&amp;$A456&amp;""/edit#gid=156619080"",X$3)"),"#REF!")</f>
        <v>#REF!</v>
      </c>
      <c r="Y456" s="2" t="str">
        <f>IFERROR(__xludf.DUMMYFUNCTION("IMPORTRANGE(""https://docs.google.com/spreadsheets/d/""&amp;$A456&amp;""/edit#gid=156619080"",Y$3)"),"#REF!")</f>
        <v>#REF!</v>
      </c>
      <c r="Z456" s="2" t="str">
        <f>IFERROR(__xludf.DUMMYFUNCTION("IMPORTRANGE(""https://docs.google.com/spreadsheets/d/""&amp;$A456&amp;""/edit#gid=156619080"",Z$3)"),"#REF!")</f>
        <v>#REF!</v>
      </c>
      <c r="AA456" s="2" t="str">
        <f>IFERROR(__xludf.DUMMYFUNCTION("IMPORTRANGE(""https://docs.google.com/spreadsheets/d/""&amp;$A456&amp;""/edit#gid=156619080"",AA$3)"),"#REF!")</f>
        <v>#REF!</v>
      </c>
      <c r="AB456" s="2" t="str">
        <f>IFERROR(__xludf.DUMMYFUNCTION("IMPORTRANGE(""https://docs.google.com/spreadsheets/d/""&amp;$A456&amp;""/edit#gid=156619080"",AB$3)"),"#REF!")</f>
        <v>#REF!</v>
      </c>
      <c r="AC456" s="2" t="str">
        <f>IFERROR(__xludf.DUMMYFUNCTION("IMPORTRANGE(""https://docs.google.com/spreadsheets/d/""&amp;$A456&amp;""/edit#gid=156619080"",AC$3)"),"#REF!")</f>
        <v>#REF!</v>
      </c>
      <c r="AD456" s="2" t="str">
        <f>IFERROR(__xludf.DUMMYFUNCTION("IMPORTRANGE(""https://docs.google.com/spreadsheets/d/""&amp;$A456&amp;""/edit#gid=156619080"",AD$3)"),"#REF!")</f>
        <v>#REF!</v>
      </c>
      <c r="AE456" s="2" t="str">
        <f>IFERROR(__xludf.DUMMYFUNCTION("IMPORTRANGE(""https://docs.google.com/spreadsheets/d/""&amp;$A456&amp;""/edit#gid=156619080"",AE$3)"),"#REF!")</f>
        <v>#REF!</v>
      </c>
      <c r="AF456" s="2" t="str">
        <f>IFERROR(__xludf.DUMMYFUNCTION("IMPORTRANGE(""https://docs.google.com/spreadsheets/d/""&amp;$A456&amp;""/edit#gid=156619080"",AF$3)"),"#REF!")</f>
        <v>#REF!</v>
      </c>
      <c r="AG456" s="2" t="str">
        <f>IFERROR(__xludf.DUMMYFUNCTION("IMPORTRANGE(""https://docs.google.com/spreadsheets/d/""&amp;$A456&amp;""/edit#gid=156619080"",AG$3)"),"#REF!")</f>
        <v>#REF!</v>
      </c>
      <c r="AH456" s="2" t="str">
        <f>IFERROR(__xludf.DUMMYFUNCTION("IMPORTRANGE(""https://docs.google.com/spreadsheets/d/""&amp;$A456&amp;""/edit#gid=156619080"",AH$3)"),"#REF!")</f>
        <v>#REF!</v>
      </c>
      <c r="AI456" s="2" t="str">
        <f>IFERROR(__xludf.DUMMYFUNCTION("IMPORTRANGE(""https://docs.google.com/spreadsheets/d/""&amp;$A456&amp;""/edit#gid=156619080"",AI$3)"),"#REF!")</f>
        <v>#REF!</v>
      </c>
      <c r="AJ456" s="2" t="str">
        <f>IFERROR(__xludf.DUMMYFUNCTION("IMPORTRANGE(""https://docs.google.com/spreadsheets/d/""&amp;$A456&amp;""/edit#gid=156619080"",AJ$3)"),"#REF!")</f>
        <v>#REF!</v>
      </c>
      <c r="AK456" s="2" t="str">
        <f>IFERROR(__xludf.DUMMYFUNCTION("IMPORTRANGE(""https://docs.google.com/spreadsheets/d/""&amp;$A456&amp;""/edit#gid=156619080"",AK$3)"),"#REF!")</f>
        <v>#REF!</v>
      </c>
      <c r="AL456" s="2" t="str">
        <f>IFERROR(__xludf.DUMMYFUNCTION("IMPORTRANGE(""https://docs.google.com/spreadsheets/d/""&amp;$A456&amp;""/edit#gid=156619080"",AL$3)"),"#REF!")</f>
        <v>#REF!</v>
      </c>
      <c r="AM456" s="2" t="str">
        <f>IFERROR(__xludf.DUMMYFUNCTION("IMPORTRANGE(""https://docs.google.com/spreadsheets/d/""&amp;$A456&amp;""/edit#gid=156619080"",AM$3)"),"#REF!")</f>
        <v>#REF!</v>
      </c>
      <c r="AN456" s="2" t="str">
        <f>IFERROR(__xludf.DUMMYFUNCTION("IMPORTRANGE(""https://docs.google.com/spreadsheets/d/""&amp;$A456&amp;""/edit#gid=156619080"",AN$3)"),"#REF!")</f>
        <v>#REF!</v>
      </c>
      <c r="AO456" s="2" t="str">
        <f>IFERROR(__xludf.DUMMYFUNCTION("IMPORTRANGE(""https://docs.google.com/spreadsheets/d/""&amp;$A456&amp;""/edit#gid=156619080"",AO$3)"),"#REF!")</f>
        <v>#REF!</v>
      </c>
      <c r="AP456" s="2" t="str">
        <f>IFERROR(__xludf.DUMMYFUNCTION("IMPORTRANGE(""https://docs.google.com/spreadsheets/d/""&amp;$A456&amp;""/edit#gid=156619080"",AP$3)"),"#REF!")</f>
        <v>#REF!</v>
      </c>
      <c r="AQ456" s="2" t="str">
        <f>IFERROR(__xludf.DUMMYFUNCTION("IMPORTRANGE(""https://docs.google.com/spreadsheets/d/""&amp;$A456&amp;""/edit#gid=156619080"",AQ$3)"),"#REF!")</f>
        <v>#REF!</v>
      </c>
      <c r="AR456" s="2" t="str">
        <f>IFERROR(__xludf.DUMMYFUNCTION("IMPORTRANGE(""https://docs.google.com/spreadsheets/d/""&amp;$A456&amp;""/edit#gid=156619080"",AR$3)"),"#REF!")</f>
        <v>#REF!</v>
      </c>
      <c r="AS456" s="19" t="str">
        <f>IFERROR(__xludf.DUMMYFUNCTION("IMPORTRANGE(""https://docs.google.com/spreadsheets/d/""&amp;$A456&amp;""/edit#gid=156619080"",AS$3)"),"#REF!")</f>
        <v>#REF!</v>
      </c>
      <c r="AT456" s="2" t="str">
        <f>IFERROR(__xludf.DUMMYFUNCTION("IMPORTRANGE(""https://docs.google.com/spreadsheets/d/""&amp;$A456&amp;""/edit#gid=156619080"",AT$3)"),"#REF!")</f>
        <v>#REF!</v>
      </c>
      <c r="AU456" s="3" t="str">
        <f>IFERROR(__xludf.DUMMYFUNCTION("IMPORTRANGE(""https://docs.google.com/spreadsheets/d/""&amp;$A456&amp;""/edit#gid=156619080"",AU$3)"),"#REF!")</f>
        <v>#REF!</v>
      </c>
      <c r="AV456" s="2" t="str">
        <f>IFERROR(__xludf.DUMMYFUNCTION("IMPORTRANGE(""https://docs.google.com/spreadsheets/d/""&amp;$A456&amp;""/edit#gid=156619080"",AV$3)"),"#REF!")</f>
        <v>#REF!</v>
      </c>
      <c r="AW456" s="19" t="str">
        <f>IFERROR(__xludf.DUMMYFUNCTION("IMPORTRANGE(""https://docs.google.com/spreadsheets/d/""&amp;$A456&amp;""/edit#gid=156619080"",AW$3)"),"#REF!")</f>
        <v>#REF!</v>
      </c>
      <c r="AX456" s="2" t="str">
        <f>IFERROR(__xludf.DUMMYFUNCTION("IMPORTRANGE(""https://docs.google.com/spreadsheets/d/""&amp;$A456&amp;""/edit#gid=156619080"",AX$3)"),"#REF!")</f>
        <v>#REF!</v>
      </c>
      <c r="AY456" s="2" t="str">
        <f>IFERROR(__xludf.DUMMYFUNCTION("IMPORTRANGE(""https://docs.google.com/spreadsheets/d/""&amp;$A456&amp;""/edit#gid=156619080"",AY$3)"),"#REF!")</f>
        <v>#REF!</v>
      </c>
      <c r="AZ456" s="2" t="str">
        <f>IFERROR(__xludf.DUMMYFUNCTION("IMPORTRANGE(""https://docs.google.com/spreadsheets/d/""&amp;$A456&amp;""/edit#gid=156619080"",AZ$3)"),"#REF!")</f>
        <v>#REF!</v>
      </c>
      <c r="BA456" s="2" t="str">
        <f>IFERROR(__xludf.DUMMYFUNCTION("IMPORTRANGE(""https://docs.google.com/spreadsheets/d/""&amp;$A456&amp;""/edit#gid=156619080"",BA$3)"),"#REF!")</f>
        <v>#REF!</v>
      </c>
      <c r="BB456" s="2" t="str">
        <f>IFERROR(__xludf.DUMMYFUNCTION("IMPORTRANGE(""https://docs.google.com/spreadsheets/d/""&amp;$A456&amp;""/edit#gid=156619080"",BB$3)"),"#REF!")</f>
        <v>#REF!</v>
      </c>
      <c r="BC456" s="2" t="str">
        <f>IFERROR(__xludf.DUMMYFUNCTION("IMPORTRANGE(""https://docs.google.com/spreadsheets/d/""&amp;$A456&amp;""/edit#gid=156619080"",BC$3)"),"#REF!")</f>
        <v>#REF!</v>
      </c>
    </row>
    <row r="457" ht="51.0" customHeight="1">
      <c r="A457" s="7" t="str">
        <f t="shared" si="5"/>
        <v>1lHEs8-Ha4V9IY9Xo8o2HgVsuDmb3Zyysg2ataTe0sBo</v>
      </c>
      <c r="B457" s="1" t="s">
        <v>484</v>
      </c>
      <c r="C457" s="2" t="str">
        <f>IFERROR(__xludf.DUMMYFUNCTION("IMPORTRANGE(""https://docs.google.com/spreadsheets/d/""&amp;$A457&amp;""/edit#gid=156619080"",C$3)"),"#REF!")</f>
        <v>#REF!</v>
      </c>
      <c r="D457" s="2" t="str">
        <f>IFERROR(__xludf.DUMMYFUNCTION("IMPORTRANGE(""https://docs.google.com/spreadsheets/d/""&amp;$A457&amp;""/edit#gid=156619080"",D$3)"),"#REF!")</f>
        <v>#REF!</v>
      </c>
      <c r="E457" s="2" t="str">
        <f>IFERROR(__xludf.DUMMYFUNCTION("IMPORTRANGE(""https://docs.google.com/spreadsheets/d/""&amp;$A457&amp;""/edit#gid=156619080"",E$3)"),"#REF!")</f>
        <v>#REF!</v>
      </c>
      <c r="F457" s="2" t="str">
        <f>IFERROR(__xludf.DUMMYFUNCTION("IMPORTRANGE(""https://docs.google.com/spreadsheets/d/""&amp;$A457&amp;""/edit#gid=156619080"",F$3)"),"#REF!")</f>
        <v>#REF!</v>
      </c>
      <c r="G457" s="2" t="str">
        <f>IFERROR(__xludf.DUMMYFUNCTION("IMPORTRANGE(""https://docs.google.com/spreadsheets/d/""&amp;$A457&amp;""/edit#gid=156619080"",G$3)"),"#REF!")</f>
        <v>#REF!</v>
      </c>
      <c r="H457" s="2" t="str">
        <f>IFERROR(__xludf.DUMMYFUNCTION("IMPORTRANGE(""https://docs.google.com/spreadsheets/d/""&amp;$A457&amp;""/edit#gid=156619080"",H$3)"),"#REF!")</f>
        <v>#REF!</v>
      </c>
      <c r="I457" s="2" t="str">
        <f>IFERROR(__xludf.DUMMYFUNCTION("IMPORTRANGE(""https://docs.google.com/spreadsheets/d/""&amp;$A457&amp;""/edit#gid=156619080"",I$3)"),"#REF!")</f>
        <v>#REF!</v>
      </c>
      <c r="J457" s="2" t="str">
        <f>IFERROR(__xludf.DUMMYFUNCTION("IMPORTRANGE(""https://docs.google.com/spreadsheets/d/""&amp;$A457&amp;""/edit#gid=156619080"",J$3)"),"#REF!")</f>
        <v>#REF!</v>
      </c>
      <c r="K457" s="2" t="str">
        <f>IFERROR(__xludf.DUMMYFUNCTION("IMPORTRANGE(""https://docs.google.com/spreadsheets/d/""&amp;$A457&amp;""/edit#gid=156619080"",K$3)"),"#REF!")</f>
        <v>#REF!</v>
      </c>
      <c r="L457" s="2" t="str">
        <f>IFERROR(__xludf.DUMMYFUNCTION("IMPORTRANGE(""https://docs.google.com/spreadsheets/d/""&amp;$A457&amp;""/edit#gid=156619080"",L$3)"),"#REF!")</f>
        <v>#REF!</v>
      </c>
      <c r="M457" s="2" t="str">
        <f>IFERROR(__xludf.DUMMYFUNCTION("IMPORTRANGE(""https://docs.google.com/spreadsheets/d/""&amp;$A457&amp;""/edit#gid=156619080"",M$3)"),"#REF!")</f>
        <v>#REF!</v>
      </c>
      <c r="N457" s="2" t="str">
        <f>IFERROR(__xludf.DUMMYFUNCTION("IMPORTRANGE(""https://docs.google.com/spreadsheets/d/""&amp;$A457&amp;""/edit#gid=156619080"",N$3)"),"#REF!")</f>
        <v>#REF!</v>
      </c>
      <c r="O457" s="2" t="str">
        <f>IFERROR(__xludf.DUMMYFUNCTION("IMPORTRANGE(""https://docs.google.com/spreadsheets/d/""&amp;$A457&amp;""/edit#gid=156619080"",O$3)"),"#REF!")</f>
        <v>#REF!</v>
      </c>
      <c r="P457" s="2" t="str">
        <f>IFERROR(__xludf.DUMMYFUNCTION("IMPORTRANGE(""https://docs.google.com/spreadsheets/d/""&amp;$A457&amp;""/edit#gid=156619080"",P$3)"),"#REF!")</f>
        <v>#REF!</v>
      </c>
      <c r="Q457" s="2" t="str">
        <f>IFERROR(__xludf.DUMMYFUNCTION("IMPORTRANGE(""https://docs.google.com/spreadsheets/d/""&amp;$A457&amp;""/edit#gid=156619080"",Q$3)"),"#REF!")</f>
        <v>#REF!</v>
      </c>
      <c r="R457" s="2" t="str">
        <f>IFERROR(__xludf.DUMMYFUNCTION("IMPORTRANGE(""https://docs.google.com/spreadsheets/d/""&amp;$A457&amp;""/edit#gid=156619080"",R$3)"),"#REF!")</f>
        <v>#REF!</v>
      </c>
      <c r="S457" s="2" t="str">
        <f>IFERROR(__xludf.DUMMYFUNCTION("IMPORTRANGE(""https://docs.google.com/spreadsheets/d/""&amp;$A457&amp;""/edit#gid=156619080"",S$3)"),"#REF!")</f>
        <v>#REF!</v>
      </c>
      <c r="T457" s="2" t="str">
        <f>IFERROR(__xludf.DUMMYFUNCTION("IMPORTRANGE(""https://docs.google.com/spreadsheets/d/""&amp;$A457&amp;""/edit#gid=156619080"",T$3)"),"#REF!")</f>
        <v>#REF!</v>
      </c>
      <c r="U457" s="2" t="str">
        <f>IFERROR(__xludf.DUMMYFUNCTION("IMPORTRANGE(""https://docs.google.com/spreadsheets/d/""&amp;$A457&amp;""/edit#gid=156619080"",U$3)"),"#REF!")</f>
        <v>#REF!</v>
      </c>
      <c r="V457" s="2" t="str">
        <f>IFERROR(__xludf.DUMMYFUNCTION("IMPORTRANGE(""https://docs.google.com/spreadsheets/d/""&amp;$A457&amp;""/edit#gid=156619080"",V$3)"),"#REF!")</f>
        <v>#REF!</v>
      </c>
      <c r="W457" s="2" t="str">
        <f>IFERROR(__xludf.DUMMYFUNCTION("IMPORTRANGE(""https://docs.google.com/spreadsheets/d/""&amp;$A457&amp;""/edit#gid=156619080"",W$3)"),"#REF!")</f>
        <v>#REF!</v>
      </c>
      <c r="X457" s="2" t="str">
        <f>IFERROR(__xludf.DUMMYFUNCTION("IMPORTRANGE(""https://docs.google.com/spreadsheets/d/""&amp;$A457&amp;""/edit#gid=156619080"",X$3)"),"#REF!")</f>
        <v>#REF!</v>
      </c>
      <c r="Y457" s="2" t="str">
        <f>IFERROR(__xludf.DUMMYFUNCTION("IMPORTRANGE(""https://docs.google.com/spreadsheets/d/""&amp;$A457&amp;""/edit#gid=156619080"",Y$3)"),"#REF!")</f>
        <v>#REF!</v>
      </c>
      <c r="Z457" s="2" t="str">
        <f>IFERROR(__xludf.DUMMYFUNCTION("IMPORTRANGE(""https://docs.google.com/spreadsheets/d/""&amp;$A457&amp;""/edit#gid=156619080"",Z$3)"),"#REF!")</f>
        <v>#REF!</v>
      </c>
      <c r="AA457" s="2" t="str">
        <f>IFERROR(__xludf.DUMMYFUNCTION("IMPORTRANGE(""https://docs.google.com/spreadsheets/d/""&amp;$A457&amp;""/edit#gid=156619080"",AA$3)"),"#REF!")</f>
        <v>#REF!</v>
      </c>
      <c r="AB457" s="2" t="str">
        <f>IFERROR(__xludf.DUMMYFUNCTION("IMPORTRANGE(""https://docs.google.com/spreadsheets/d/""&amp;$A457&amp;""/edit#gid=156619080"",AB$3)"),"#REF!")</f>
        <v>#REF!</v>
      </c>
      <c r="AC457" s="2" t="str">
        <f>IFERROR(__xludf.DUMMYFUNCTION("IMPORTRANGE(""https://docs.google.com/spreadsheets/d/""&amp;$A457&amp;""/edit#gid=156619080"",AC$3)"),"#REF!")</f>
        <v>#REF!</v>
      </c>
      <c r="AD457" s="2" t="str">
        <f>IFERROR(__xludf.DUMMYFUNCTION("IMPORTRANGE(""https://docs.google.com/spreadsheets/d/""&amp;$A457&amp;""/edit#gid=156619080"",AD$3)"),"#REF!")</f>
        <v>#REF!</v>
      </c>
      <c r="AE457" s="2" t="str">
        <f>IFERROR(__xludf.DUMMYFUNCTION("IMPORTRANGE(""https://docs.google.com/spreadsheets/d/""&amp;$A457&amp;""/edit#gid=156619080"",AE$3)"),"#REF!")</f>
        <v>#REF!</v>
      </c>
      <c r="AF457" s="2" t="str">
        <f>IFERROR(__xludf.DUMMYFUNCTION("IMPORTRANGE(""https://docs.google.com/spreadsheets/d/""&amp;$A457&amp;""/edit#gid=156619080"",AF$3)"),"#REF!")</f>
        <v>#REF!</v>
      </c>
      <c r="AG457" s="2" t="str">
        <f>IFERROR(__xludf.DUMMYFUNCTION("IMPORTRANGE(""https://docs.google.com/spreadsheets/d/""&amp;$A457&amp;""/edit#gid=156619080"",AG$3)"),"#REF!")</f>
        <v>#REF!</v>
      </c>
      <c r="AH457" s="2" t="str">
        <f>IFERROR(__xludf.DUMMYFUNCTION("IMPORTRANGE(""https://docs.google.com/spreadsheets/d/""&amp;$A457&amp;""/edit#gid=156619080"",AH$3)"),"#REF!")</f>
        <v>#REF!</v>
      </c>
      <c r="AI457" s="2" t="str">
        <f>IFERROR(__xludf.DUMMYFUNCTION("IMPORTRANGE(""https://docs.google.com/spreadsheets/d/""&amp;$A457&amp;""/edit#gid=156619080"",AI$3)"),"#REF!")</f>
        <v>#REF!</v>
      </c>
      <c r="AJ457" s="2" t="str">
        <f>IFERROR(__xludf.DUMMYFUNCTION("IMPORTRANGE(""https://docs.google.com/spreadsheets/d/""&amp;$A457&amp;""/edit#gid=156619080"",AJ$3)"),"#REF!")</f>
        <v>#REF!</v>
      </c>
      <c r="AK457" s="2" t="str">
        <f>IFERROR(__xludf.DUMMYFUNCTION("IMPORTRANGE(""https://docs.google.com/spreadsheets/d/""&amp;$A457&amp;""/edit#gid=156619080"",AK$3)"),"#REF!")</f>
        <v>#REF!</v>
      </c>
      <c r="AL457" s="2" t="str">
        <f>IFERROR(__xludf.DUMMYFUNCTION("IMPORTRANGE(""https://docs.google.com/spreadsheets/d/""&amp;$A457&amp;""/edit#gid=156619080"",AL$3)"),"#REF!")</f>
        <v>#REF!</v>
      </c>
      <c r="AM457" s="2" t="str">
        <f>IFERROR(__xludf.DUMMYFUNCTION("IMPORTRANGE(""https://docs.google.com/spreadsheets/d/""&amp;$A457&amp;""/edit#gid=156619080"",AM$3)"),"#REF!")</f>
        <v>#REF!</v>
      </c>
      <c r="AN457" s="2" t="str">
        <f>IFERROR(__xludf.DUMMYFUNCTION("IMPORTRANGE(""https://docs.google.com/spreadsheets/d/""&amp;$A457&amp;""/edit#gid=156619080"",AN$3)"),"#REF!")</f>
        <v>#REF!</v>
      </c>
      <c r="AO457" s="2" t="str">
        <f>IFERROR(__xludf.DUMMYFUNCTION("IMPORTRANGE(""https://docs.google.com/spreadsheets/d/""&amp;$A457&amp;""/edit#gid=156619080"",AO$3)"),"#REF!")</f>
        <v>#REF!</v>
      </c>
      <c r="AP457" s="2" t="str">
        <f>IFERROR(__xludf.DUMMYFUNCTION("IMPORTRANGE(""https://docs.google.com/spreadsheets/d/""&amp;$A457&amp;""/edit#gid=156619080"",AP$3)"),"#REF!")</f>
        <v>#REF!</v>
      </c>
      <c r="AQ457" s="2" t="str">
        <f>IFERROR(__xludf.DUMMYFUNCTION("IMPORTRANGE(""https://docs.google.com/spreadsheets/d/""&amp;$A457&amp;""/edit#gid=156619080"",AQ$3)"),"#REF!")</f>
        <v>#REF!</v>
      </c>
      <c r="AR457" s="2" t="str">
        <f>IFERROR(__xludf.DUMMYFUNCTION("IMPORTRANGE(""https://docs.google.com/spreadsheets/d/""&amp;$A457&amp;""/edit#gid=156619080"",AR$3)"),"#REF!")</f>
        <v>#REF!</v>
      </c>
      <c r="AS457" s="19" t="str">
        <f>IFERROR(__xludf.DUMMYFUNCTION("IMPORTRANGE(""https://docs.google.com/spreadsheets/d/""&amp;$A457&amp;""/edit#gid=156619080"",AS$3)"),"#REF!")</f>
        <v>#REF!</v>
      </c>
      <c r="AT457" s="2" t="str">
        <f>IFERROR(__xludf.DUMMYFUNCTION("IMPORTRANGE(""https://docs.google.com/spreadsheets/d/""&amp;$A457&amp;""/edit#gid=156619080"",AT$3)"),"#REF!")</f>
        <v>#REF!</v>
      </c>
      <c r="AU457" s="3" t="str">
        <f>IFERROR(__xludf.DUMMYFUNCTION("IMPORTRANGE(""https://docs.google.com/spreadsheets/d/""&amp;$A457&amp;""/edit#gid=156619080"",AU$3)"),"#REF!")</f>
        <v>#REF!</v>
      </c>
      <c r="AV457" s="2" t="str">
        <f>IFERROR(__xludf.DUMMYFUNCTION("IMPORTRANGE(""https://docs.google.com/spreadsheets/d/""&amp;$A457&amp;""/edit#gid=156619080"",AV$3)"),"#REF!")</f>
        <v>#REF!</v>
      </c>
      <c r="AW457" s="19" t="str">
        <f>IFERROR(__xludf.DUMMYFUNCTION("IMPORTRANGE(""https://docs.google.com/spreadsheets/d/""&amp;$A457&amp;""/edit#gid=156619080"",AW$3)"),"#REF!")</f>
        <v>#REF!</v>
      </c>
      <c r="AX457" s="2" t="str">
        <f>IFERROR(__xludf.DUMMYFUNCTION("IMPORTRANGE(""https://docs.google.com/spreadsheets/d/""&amp;$A457&amp;""/edit#gid=156619080"",AX$3)"),"#REF!")</f>
        <v>#REF!</v>
      </c>
      <c r="AY457" s="2" t="str">
        <f>IFERROR(__xludf.DUMMYFUNCTION("IMPORTRANGE(""https://docs.google.com/spreadsheets/d/""&amp;$A457&amp;""/edit#gid=156619080"",AY$3)"),"#REF!")</f>
        <v>#REF!</v>
      </c>
      <c r="AZ457" s="2" t="str">
        <f>IFERROR(__xludf.DUMMYFUNCTION("IMPORTRANGE(""https://docs.google.com/spreadsheets/d/""&amp;$A457&amp;""/edit#gid=156619080"",AZ$3)"),"#REF!")</f>
        <v>#REF!</v>
      </c>
      <c r="BA457" s="2" t="str">
        <f>IFERROR(__xludf.DUMMYFUNCTION("IMPORTRANGE(""https://docs.google.com/spreadsheets/d/""&amp;$A457&amp;""/edit#gid=156619080"",BA$3)"),"#REF!")</f>
        <v>#REF!</v>
      </c>
      <c r="BB457" s="2" t="str">
        <f>IFERROR(__xludf.DUMMYFUNCTION("IMPORTRANGE(""https://docs.google.com/spreadsheets/d/""&amp;$A457&amp;""/edit#gid=156619080"",BB$3)"),"#REF!")</f>
        <v>#REF!</v>
      </c>
      <c r="BC457" s="2" t="str">
        <f>IFERROR(__xludf.DUMMYFUNCTION("IMPORTRANGE(""https://docs.google.com/spreadsheets/d/""&amp;$A457&amp;""/edit#gid=156619080"",BC$3)"),"#REF!")</f>
        <v>#REF!</v>
      </c>
    </row>
    <row r="458" ht="51.0" customHeight="1">
      <c r="A458" s="7" t="str">
        <f t="shared" si="5"/>
        <v>1fMJbenCbmolU5OVgGaR9xNine9itl7TjyS5J8jWMyag</v>
      </c>
      <c r="B458" s="1" t="s">
        <v>485</v>
      </c>
      <c r="C458" s="2" t="str">
        <f>IFERROR(__xludf.DUMMYFUNCTION("IMPORTRANGE(""https://docs.google.com/spreadsheets/d/""&amp;$A458&amp;""/edit#gid=156619080"",C$3)"),"#REF!")</f>
        <v>#REF!</v>
      </c>
      <c r="D458" s="2" t="str">
        <f>IFERROR(__xludf.DUMMYFUNCTION("IMPORTRANGE(""https://docs.google.com/spreadsheets/d/""&amp;$A458&amp;""/edit#gid=156619080"",D$3)"),"#REF!")</f>
        <v>#REF!</v>
      </c>
      <c r="E458" s="2" t="str">
        <f>IFERROR(__xludf.DUMMYFUNCTION("IMPORTRANGE(""https://docs.google.com/spreadsheets/d/""&amp;$A458&amp;""/edit#gid=156619080"",E$3)"),"#REF!")</f>
        <v>#REF!</v>
      </c>
      <c r="F458" s="2" t="str">
        <f>IFERROR(__xludf.DUMMYFUNCTION("IMPORTRANGE(""https://docs.google.com/spreadsheets/d/""&amp;$A458&amp;""/edit#gid=156619080"",F$3)"),"#REF!")</f>
        <v>#REF!</v>
      </c>
      <c r="G458" s="2" t="str">
        <f>IFERROR(__xludf.DUMMYFUNCTION("IMPORTRANGE(""https://docs.google.com/spreadsheets/d/""&amp;$A458&amp;""/edit#gid=156619080"",G$3)"),"#REF!")</f>
        <v>#REF!</v>
      </c>
      <c r="H458" s="2" t="str">
        <f>IFERROR(__xludf.DUMMYFUNCTION("IMPORTRANGE(""https://docs.google.com/spreadsheets/d/""&amp;$A458&amp;""/edit#gid=156619080"",H$3)"),"#REF!")</f>
        <v>#REF!</v>
      </c>
      <c r="I458" s="2" t="str">
        <f>IFERROR(__xludf.DUMMYFUNCTION("IMPORTRANGE(""https://docs.google.com/spreadsheets/d/""&amp;$A458&amp;""/edit#gid=156619080"",I$3)"),"#REF!")</f>
        <v>#REF!</v>
      </c>
      <c r="J458" s="2" t="str">
        <f>IFERROR(__xludf.DUMMYFUNCTION("IMPORTRANGE(""https://docs.google.com/spreadsheets/d/""&amp;$A458&amp;""/edit#gid=156619080"",J$3)"),"#REF!")</f>
        <v>#REF!</v>
      </c>
      <c r="K458" s="2" t="str">
        <f>IFERROR(__xludf.DUMMYFUNCTION("IMPORTRANGE(""https://docs.google.com/spreadsheets/d/""&amp;$A458&amp;""/edit#gid=156619080"",K$3)"),"#REF!")</f>
        <v>#REF!</v>
      </c>
      <c r="L458" s="2" t="str">
        <f>IFERROR(__xludf.DUMMYFUNCTION("IMPORTRANGE(""https://docs.google.com/spreadsheets/d/""&amp;$A458&amp;""/edit#gid=156619080"",L$3)"),"#REF!")</f>
        <v>#REF!</v>
      </c>
      <c r="M458" s="2" t="str">
        <f>IFERROR(__xludf.DUMMYFUNCTION("IMPORTRANGE(""https://docs.google.com/spreadsheets/d/""&amp;$A458&amp;""/edit#gid=156619080"",M$3)"),"#REF!")</f>
        <v>#REF!</v>
      </c>
      <c r="N458" s="2" t="str">
        <f>IFERROR(__xludf.DUMMYFUNCTION("IMPORTRANGE(""https://docs.google.com/spreadsheets/d/""&amp;$A458&amp;""/edit#gid=156619080"",N$3)"),"#REF!")</f>
        <v>#REF!</v>
      </c>
      <c r="O458" s="2" t="str">
        <f>IFERROR(__xludf.DUMMYFUNCTION("IMPORTRANGE(""https://docs.google.com/spreadsheets/d/""&amp;$A458&amp;""/edit#gid=156619080"",O$3)"),"#REF!")</f>
        <v>#REF!</v>
      </c>
      <c r="P458" s="2" t="str">
        <f>IFERROR(__xludf.DUMMYFUNCTION("IMPORTRANGE(""https://docs.google.com/spreadsheets/d/""&amp;$A458&amp;""/edit#gid=156619080"",P$3)"),"#REF!")</f>
        <v>#REF!</v>
      </c>
      <c r="Q458" s="2" t="str">
        <f>IFERROR(__xludf.DUMMYFUNCTION("IMPORTRANGE(""https://docs.google.com/spreadsheets/d/""&amp;$A458&amp;""/edit#gid=156619080"",Q$3)"),"#REF!")</f>
        <v>#REF!</v>
      </c>
      <c r="R458" s="2" t="str">
        <f>IFERROR(__xludf.DUMMYFUNCTION("IMPORTRANGE(""https://docs.google.com/spreadsheets/d/""&amp;$A458&amp;""/edit#gid=156619080"",R$3)"),"#REF!")</f>
        <v>#REF!</v>
      </c>
      <c r="S458" s="2" t="str">
        <f>IFERROR(__xludf.DUMMYFUNCTION("IMPORTRANGE(""https://docs.google.com/spreadsheets/d/""&amp;$A458&amp;""/edit#gid=156619080"",S$3)"),"#REF!")</f>
        <v>#REF!</v>
      </c>
      <c r="T458" s="2" t="str">
        <f>IFERROR(__xludf.DUMMYFUNCTION("IMPORTRANGE(""https://docs.google.com/spreadsheets/d/""&amp;$A458&amp;""/edit#gid=156619080"",T$3)"),"#REF!")</f>
        <v>#REF!</v>
      </c>
      <c r="U458" s="2" t="str">
        <f>IFERROR(__xludf.DUMMYFUNCTION("IMPORTRANGE(""https://docs.google.com/spreadsheets/d/""&amp;$A458&amp;""/edit#gid=156619080"",U$3)"),"#REF!")</f>
        <v>#REF!</v>
      </c>
      <c r="V458" s="2" t="str">
        <f>IFERROR(__xludf.DUMMYFUNCTION("IMPORTRANGE(""https://docs.google.com/spreadsheets/d/""&amp;$A458&amp;""/edit#gid=156619080"",V$3)"),"#REF!")</f>
        <v>#REF!</v>
      </c>
      <c r="W458" s="2" t="str">
        <f>IFERROR(__xludf.DUMMYFUNCTION("IMPORTRANGE(""https://docs.google.com/spreadsheets/d/""&amp;$A458&amp;""/edit#gid=156619080"",W$3)"),"#REF!")</f>
        <v>#REF!</v>
      </c>
      <c r="X458" s="2" t="str">
        <f>IFERROR(__xludf.DUMMYFUNCTION("IMPORTRANGE(""https://docs.google.com/spreadsheets/d/""&amp;$A458&amp;""/edit#gid=156619080"",X$3)"),"#REF!")</f>
        <v>#REF!</v>
      </c>
      <c r="Y458" s="2" t="str">
        <f>IFERROR(__xludf.DUMMYFUNCTION("IMPORTRANGE(""https://docs.google.com/spreadsheets/d/""&amp;$A458&amp;""/edit#gid=156619080"",Y$3)"),"#REF!")</f>
        <v>#REF!</v>
      </c>
      <c r="Z458" s="2" t="str">
        <f>IFERROR(__xludf.DUMMYFUNCTION("IMPORTRANGE(""https://docs.google.com/spreadsheets/d/""&amp;$A458&amp;""/edit#gid=156619080"",Z$3)"),"#REF!")</f>
        <v>#REF!</v>
      </c>
      <c r="AA458" s="2" t="str">
        <f>IFERROR(__xludf.DUMMYFUNCTION("IMPORTRANGE(""https://docs.google.com/spreadsheets/d/""&amp;$A458&amp;""/edit#gid=156619080"",AA$3)"),"#REF!")</f>
        <v>#REF!</v>
      </c>
      <c r="AB458" s="2" t="str">
        <f>IFERROR(__xludf.DUMMYFUNCTION("IMPORTRANGE(""https://docs.google.com/spreadsheets/d/""&amp;$A458&amp;""/edit#gid=156619080"",AB$3)"),"#REF!")</f>
        <v>#REF!</v>
      </c>
      <c r="AC458" s="2" t="str">
        <f>IFERROR(__xludf.DUMMYFUNCTION("IMPORTRANGE(""https://docs.google.com/spreadsheets/d/""&amp;$A458&amp;""/edit#gid=156619080"",AC$3)"),"#REF!")</f>
        <v>#REF!</v>
      </c>
      <c r="AD458" s="2" t="str">
        <f>IFERROR(__xludf.DUMMYFUNCTION("IMPORTRANGE(""https://docs.google.com/spreadsheets/d/""&amp;$A458&amp;""/edit#gid=156619080"",AD$3)"),"#REF!")</f>
        <v>#REF!</v>
      </c>
      <c r="AE458" s="2" t="str">
        <f>IFERROR(__xludf.DUMMYFUNCTION("IMPORTRANGE(""https://docs.google.com/spreadsheets/d/""&amp;$A458&amp;""/edit#gid=156619080"",AE$3)"),"#REF!")</f>
        <v>#REF!</v>
      </c>
      <c r="AF458" s="2" t="str">
        <f>IFERROR(__xludf.DUMMYFUNCTION("IMPORTRANGE(""https://docs.google.com/spreadsheets/d/""&amp;$A458&amp;""/edit#gid=156619080"",AF$3)"),"#REF!")</f>
        <v>#REF!</v>
      </c>
      <c r="AG458" s="2" t="str">
        <f>IFERROR(__xludf.DUMMYFUNCTION("IMPORTRANGE(""https://docs.google.com/spreadsheets/d/""&amp;$A458&amp;""/edit#gid=156619080"",AG$3)"),"#REF!")</f>
        <v>#REF!</v>
      </c>
      <c r="AH458" s="2" t="str">
        <f>IFERROR(__xludf.DUMMYFUNCTION("IMPORTRANGE(""https://docs.google.com/spreadsheets/d/""&amp;$A458&amp;""/edit#gid=156619080"",AH$3)"),"#REF!")</f>
        <v>#REF!</v>
      </c>
      <c r="AI458" s="2" t="str">
        <f>IFERROR(__xludf.DUMMYFUNCTION("IMPORTRANGE(""https://docs.google.com/spreadsheets/d/""&amp;$A458&amp;""/edit#gid=156619080"",AI$3)"),"#REF!")</f>
        <v>#REF!</v>
      </c>
      <c r="AJ458" s="2" t="str">
        <f>IFERROR(__xludf.DUMMYFUNCTION("IMPORTRANGE(""https://docs.google.com/spreadsheets/d/""&amp;$A458&amp;""/edit#gid=156619080"",AJ$3)"),"#REF!")</f>
        <v>#REF!</v>
      </c>
      <c r="AK458" s="2" t="str">
        <f>IFERROR(__xludf.DUMMYFUNCTION("IMPORTRANGE(""https://docs.google.com/spreadsheets/d/""&amp;$A458&amp;""/edit#gid=156619080"",AK$3)"),"#REF!")</f>
        <v>#REF!</v>
      </c>
      <c r="AL458" s="2" t="str">
        <f>IFERROR(__xludf.DUMMYFUNCTION("IMPORTRANGE(""https://docs.google.com/spreadsheets/d/""&amp;$A458&amp;""/edit#gid=156619080"",AL$3)"),"#REF!")</f>
        <v>#REF!</v>
      </c>
      <c r="AM458" s="2" t="str">
        <f>IFERROR(__xludf.DUMMYFUNCTION("IMPORTRANGE(""https://docs.google.com/spreadsheets/d/""&amp;$A458&amp;""/edit#gid=156619080"",AM$3)"),"#REF!")</f>
        <v>#REF!</v>
      </c>
      <c r="AN458" s="2" t="str">
        <f>IFERROR(__xludf.DUMMYFUNCTION("IMPORTRANGE(""https://docs.google.com/spreadsheets/d/""&amp;$A458&amp;""/edit#gid=156619080"",AN$3)"),"#REF!")</f>
        <v>#REF!</v>
      </c>
      <c r="AO458" s="2" t="str">
        <f>IFERROR(__xludf.DUMMYFUNCTION("IMPORTRANGE(""https://docs.google.com/spreadsheets/d/""&amp;$A458&amp;""/edit#gid=156619080"",AO$3)"),"#REF!")</f>
        <v>#REF!</v>
      </c>
      <c r="AP458" s="2" t="str">
        <f>IFERROR(__xludf.DUMMYFUNCTION("IMPORTRANGE(""https://docs.google.com/spreadsheets/d/""&amp;$A458&amp;""/edit#gid=156619080"",AP$3)"),"#REF!")</f>
        <v>#REF!</v>
      </c>
      <c r="AQ458" s="2" t="str">
        <f>IFERROR(__xludf.DUMMYFUNCTION("IMPORTRANGE(""https://docs.google.com/spreadsheets/d/""&amp;$A458&amp;""/edit#gid=156619080"",AQ$3)"),"#REF!")</f>
        <v>#REF!</v>
      </c>
      <c r="AR458" s="2" t="str">
        <f>IFERROR(__xludf.DUMMYFUNCTION("IMPORTRANGE(""https://docs.google.com/spreadsheets/d/""&amp;$A458&amp;""/edit#gid=156619080"",AR$3)"),"#REF!")</f>
        <v>#REF!</v>
      </c>
      <c r="AS458" s="19" t="str">
        <f>IFERROR(__xludf.DUMMYFUNCTION("IMPORTRANGE(""https://docs.google.com/spreadsheets/d/""&amp;$A458&amp;""/edit#gid=156619080"",AS$3)"),"#REF!")</f>
        <v>#REF!</v>
      </c>
      <c r="AT458" s="2" t="str">
        <f>IFERROR(__xludf.DUMMYFUNCTION("IMPORTRANGE(""https://docs.google.com/spreadsheets/d/""&amp;$A458&amp;""/edit#gid=156619080"",AT$3)"),"#REF!")</f>
        <v>#REF!</v>
      </c>
      <c r="AU458" s="3" t="str">
        <f>IFERROR(__xludf.DUMMYFUNCTION("IMPORTRANGE(""https://docs.google.com/spreadsheets/d/""&amp;$A458&amp;""/edit#gid=156619080"",AU$3)"),"#REF!")</f>
        <v>#REF!</v>
      </c>
      <c r="AV458" s="2" t="str">
        <f>IFERROR(__xludf.DUMMYFUNCTION("IMPORTRANGE(""https://docs.google.com/spreadsheets/d/""&amp;$A458&amp;""/edit#gid=156619080"",AV$3)"),"#REF!")</f>
        <v>#REF!</v>
      </c>
      <c r="AW458" s="19" t="str">
        <f>IFERROR(__xludf.DUMMYFUNCTION("IMPORTRANGE(""https://docs.google.com/spreadsheets/d/""&amp;$A458&amp;""/edit#gid=156619080"",AW$3)"),"#REF!")</f>
        <v>#REF!</v>
      </c>
      <c r="AX458" s="2" t="str">
        <f>IFERROR(__xludf.DUMMYFUNCTION("IMPORTRANGE(""https://docs.google.com/spreadsheets/d/""&amp;$A458&amp;""/edit#gid=156619080"",AX$3)"),"#REF!")</f>
        <v>#REF!</v>
      </c>
      <c r="AY458" s="2" t="str">
        <f>IFERROR(__xludf.DUMMYFUNCTION("IMPORTRANGE(""https://docs.google.com/spreadsheets/d/""&amp;$A458&amp;""/edit#gid=156619080"",AY$3)"),"#REF!")</f>
        <v>#REF!</v>
      </c>
      <c r="AZ458" s="2" t="str">
        <f>IFERROR(__xludf.DUMMYFUNCTION("IMPORTRANGE(""https://docs.google.com/spreadsheets/d/""&amp;$A458&amp;""/edit#gid=156619080"",AZ$3)"),"#REF!")</f>
        <v>#REF!</v>
      </c>
      <c r="BA458" s="2" t="str">
        <f>IFERROR(__xludf.DUMMYFUNCTION("IMPORTRANGE(""https://docs.google.com/spreadsheets/d/""&amp;$A458&amp;""/edit#gid=156619080"",BA$3)"),"#REF!")</f>
        <v>#REF!</v>
      </c>
      <c r="BB458" s="2" t="str">
        <f>IFERROR(__xludf.DUMMYFUNCTION("IMPORTRANGE(""https://docs.google.com/spreadsheets/d/""&amp;$A458&amp;""/edit#gid=156619080"",BB$3)"),"#REF!")</f>
        <v>#REF!</v>
      </c>
      <c r="BC458" s="2" t="str">
        <f>IFERROR(__xludf.DUMMYFUNCTION("IMPORTRANGE(""https://docs.google.com/spreadsheets/d/""&amp;$A458&amp;""/edit#gid=156619080"",BC$3)"),"#REF!")</f>
        <v>#REF!</v>
      </c>
    </row>
    <row r="459" ht="51.0" customHeight="1">
      <c r="A459" s="7" t="str">
        <f t="shared" si="5"/>
        <v>12eviCIER2xbmBZ5n5x4ZspV-wfKeYpboxs3SGq7xHog</v>
      </c>
      <c r="B459" s="1" t="s">
        <v>486</v>
      </c>
      <c r="C459" s="2" t="str">
        <f>IFERROR(__xludf.DUMMYFUNCTION("IMPORTRANGE(""https://docs.google.com/spreadsheets/d/""&amp;$A459&amp;""/edit#gid=156619080"",C$3)"),"#REF!")</f>
        <v>#REF!</v>
      </c>
      <c r="D459" s="2" t="str">
        <f>IFERROR(__xludf.DUMMYFUNCTION("IMPORTRANGE(""https://docs.google.com/spreadsheets/d/""&amp;$A459&amp;""/edit#gid=156619080"",D$3)"),"#REF!")</f>
        <v>#REF!</v>
      </c>
      <c r="E459" s="2" t="str">
        <f>IFERROR(__xludf.DUMMYFUNCTION("IMPORTRANGE(""https://docs.google.com/spreadsheets/d/""&amp;$A459&amp;""/edit#gid=156619080"",E$3)"),"#REF!")</f>
        <v>#REF!</v>
      </c>
      <c r="F459" s="2" t="str">
        <f>IFERROR(__xludf.DUMMYFUNCTION("IMPORTRANGE(""https://docs.google.com/spreadsheets/d/""&amp;$A459&amp;""/edit#gid=156619080"",F$3)"),"#REF!")</f>
        <v>#REF!</v>
      </c>
      <c r="G459" s="2" t="str">
        <f>IFERROR(__xludf.DUMMYFUNCTION("IMPORTRANGE(""https://docs.google.com/spreadsheets/d/""&amp;$A459&amp;""/edit#gid=156619080"",G$3)"),"#REF!")</f>
        <v>#REF!</v>
      </c>
      <c r="H459" s="2" t="str">
        <f>IFERROR(__xludf.DUMMYFUNCTION("IMPORTRANGE(""https://docs.google.com/spreadsheets/d/""&amp;$A459&amp;""/edit#gid=156619080"",H$3)"),"#REF!")</f>
        <v>#REF!</v>
      </c>
      <c r="I459" s="2" t="str">
        <f>IFERROR(__xludf.DUMMYFUNCTION("IMPORTRANGE(""https://docs.google.com/spreadsheets/d/""&amp;$A459&amp;""/edit#gid=156619080"",I$3)"),"#REF!")</f>
        <v>#REF!</v>
      </c>
      <c r="J459" s="2" t="str">
        <f>IFERROR(__xludf.DUMMYFUNCTION("IMPORTRANGE(""https://docs.google.com/spreadsheets/d/""&amp;$A459&amp;""/edit#gid=156619080"",J$3)"),"#REF!")</f>
        <v>#REF!</v>
      </c>
      <c r="K459" s="2" t="str">
        <f>IFERROR(__xludf.DUMMYFUNCTION("IMPORTRANGE(""https://docs.google.com/spreadsheets/d/""&amp;$A459&amp;""/edit#gid=156619080"",K$3)"),"#REF!")</f>
        <v>#REF!</v>
      </c>
      <c r="L459" s="2" t="str">
        <f>IFERROR(__xludf.DUMMYFUNCTION("IMPORTRANGE(""https://docs.google.com/spreadsheets/d/""&amp;$A459&amp;""/edit#gid=156619080"",L$3)"),"#REF!")</f>
        <v>#REF!</v>
      </c>
      <c r="M459" s="2" t="str">
        <f>IFERROR(__xludf.DUMMYFUNCTION("IMPORTRANGE(""https://docs.google.com/spreadsheets/d/""&amp;$A459&amp;""/edit#gid=156619080"",M$3)"),"#REF!")</f>
        <v>#REF!</v>
      </c>
      <c r="N459" s="2" t="str">
        <f>IFERROR(__xludf.DUMMYFUNCTION("IMPORTRANGE(""https://docs.google.com/spreadsheets/d/""&amp;$A459&amp;""/edit#gid=156619080"",N$3)"),"#REF!")</f>
        <v>#REF!</v>
      </c>
      <c r="O459" s="2" t="str">
        <f>IFERROR(__xludf.DUMMYFUNCTION("IMPORTRANGE(""https://docs.google.com/spreadsheets/d/""&amp;$A459&amp;""/edit#gid=156619080"",O$3)"),"#REF!")</f>
        <v>#REF!</v>
      </c>
      <c r="P459" s="2" t="str">
        <f>IFERROR(__xludf.DUMMYFUNCTION("IMPORTRANGE(""https://docs.google.com/spreadsheets/d/""&amp;$A459&amp;""/edit#gid=156619080"",P$3)"),"#REF!")</f>
        <v>#REF!</v>
      </c>
      <c r="Q459" s="2" t="str">
        <f>IFERROR(__xludf.DUMMYFUNCTION("IMPORTRANGE(""https://docs.google.com/spreadsheets/d/""&amp;$A459&amp;""/edit#gid=156619080"",Q$3)"),"#REF!")</f>
        <v>#REF!</v>
      </c>
      <c r="R459" s="2" t="str">
        <f>IFERROR(__xludf.DUMMYFUNCTION("IMPORTRANGE(""https://docs.google.com/spreadsheets/d/""&amp;$A459&amp;""/edit#gid=156619080"",R$3)"),"#REF!")</f>
        <v>#REF!</v>
      </c>
      <c r="S459" s="2" t="str">
        <f>IFERROR(__xludf.DUMMYFUNCTION("IMPORTRANGE(""https://docs.google.com/spreadsheets/d/""&amp;$A459&amp;""/edit#gid=156619080"",S$3)"),"#REF!")</f>
        <v>#REF!</v>
      </c>
      <c r="T459" s="2" t="str">
        <f>IFERROR(__xludf.DUMMYFUNCTION("IMPORTRANGE(""https://docs.google.com/spreadsheets/d/""&amp;$A459&amp;""/edit#gid=156619080"",T$3)"),"#REF!")</f>
        <v>#REF!</v>
      </c>
      <c r="U459" s="2" t="str">
        <f>IFERROR(__xludf.DUMMYFUNCTION("IMPORTRANGE(""https://docs.google.com/spreadsheets/d/""&amp;$A459&amp;""/edit#gid=156619080"",U$3)"),"#REF!")</f>
        <v>#REF!</v>
      </c>
      <c r="V459" s="2" t="str">
        <f>IFERROR(__xludf.DUMMYFUNCTION("IMPORTRANGE(""https://docs.google.com/spreadsheets/d/""&amp;$A459&amp;""/edit#gid=156619080"",V$3)"),"#REF!")</f>
        <v>#REF!</v>
      </c>
      <c r="W459" s="2" t="str">
        <f>IFERROR(__xludf.DUMMYFUNCTION("IMPORTRANGE(""https://docs.google.com/spreadsheets/d/""&amp;$A459&amp;""/edit#gid=156619080"",W$3)"),"#REF!")</f>
        <v>#REF!</v>
      </c>
      <c r="X459" s="2" t="str">
        <f>IFERROR(__xludf.DUMMYFUNCTION("IMPORTRANGE(""https://docs.google.com/spreadsheets/d/""&amp;$A459&amp;""/edit#gid=156619080"",X$3)"),"#REF!")</f>
        <v>#REF!</v>
      </c>
      <c r="Y459" s="2" t="str">
        <f>IFERROR(__xludf.DUMMYFUNCTION("IMPORTRANGE(""https://docs.google.com/spreadsheets/d/""&amp;$A459&amp;""/edit#gid=156619080"",Y$3)"),"#REF!")</f>
        <v>#REF!</v>
      </c>
      <c r="Z459" s="2" t="str">
        <f>IFERROR(__xludf.DUMMYFUNCTION("IMPORTRANGE(""https://docs.google.com/spreadsheets/d/""&amp;$A459&amp;""/edit#gid=156619080"",Z$3)"),"#REF!")</f>
        <v>#REF!</v>
      </c>
      <c r="AA459" s="2" t="str">
        <f>IFERROR(__xludf.DUMMYFUNCTION("IMPORTRANGE(""https://docs.google.com/spreadsheets/d/""&amp;$A459&amp;""/edit#gid=156619080"",AA$3)"),"#REF!")</f>
        <v>#REF!</v>
      </c>
      <c r="AB459" s="2" t="str">
        <f>IFERROR(__xludf.DUMMYFUNCTION("IMPORTRANGE(""https://docs.google.com/spreadsheets/d/""&amp;$A459&amp;""/edit#gid=156619080"",AB$3)"),"#REF!")</f>
        <v>#REF!</v>
      </c>
      <c r="AC459" s="2" t="str">
        <f>IFERROR(__xludf.DUMMYFUNCTION("IMPORTRANGE(""https://docs.google.com/spreadsheets/d/""&amp;$A459&amp;""/edit#gid=156619080"",AC$3)"),"#REF!")</f>
        <v>#REF!</v>
      </c>
      <c r="AD459" s="2" t="str">
        <f>IFERROR(__xludf.DUMMYFUNCTION("IMPORTRANGE(""https://docs.google.com/spreadsheets/d/""&amp;$A459&amp;""/edit#gid=156619080"",AD$3)"),"#REF!")</f>
        <v>#REF!</v>
      </c>
      <c r="AE459" s="2" t="str">
        <f>IFERROR(__xludf.DUMMYFUNCTION("IMPORTRANGE(""https://docs.google.com/spreadsheets/d/""&amp;$A459&amp;""/edit#gid=156619080"",AE$3)"),"#REF!")</f>
        <v>#REF!</v>
      </c>
      <c r="AF459" s="2" t="str">
        <f>IFERROR(__xludf.DUMMYFUNCTION("IMPORTRANGE(""https://docs.google.com/spreadsheets/d/""&amp;$A459&amp;""/edit#gid=156619080"",AF$3)"),"#REF!")</f>
        <v>#REF!</v>
      </c>
      <c r="AG459" s="2" t="str">
        <f>IFERROR(__xludf.DUMMYFUNCTION("IMPORTRANGE(""https://docs.google.com/spreadsheets/d/""&amp;$A459&amp;""/edit#gid=156619080"",AG$3)"),"#REF!")</f>
        <v>#REF!</v>
      </c>
      <c r="AH459" s="2" t="str">
        <f>IFERROR(__xludf.DUMMYFUNCTION("IMPORTRANGE(""https://docs.google.com/spreadsheets/d/""&amp;$A459&amp;""/edit#gid=156619080"",AH$3)"),"#REF!")</f>
        <v>#REF!</v>
      </c>
      <c r="AI459" s="2" t="str">
        <f>IFERROR(__xludf.DUMMYFUNCTION("IMPORTRANGE(""https://docs.google.com/spreadsheets/d/""&amp;$A459&amp;""/edit#gid=156619080"",AI$3)"),"#REF!")</f>
        <v>#REF!</v>
      </c>
      <c r="AJ459" s="2" t="str">
        <f>IFERROR(__xludf.DUMMYFUNCTION("IMPORTRANGE(""https://docs.google.com/spreadsheets/d/""&amp;$A459&amp;""/edit#gid=156619080"",AJ$3)"),"#REF!")</f>
        <v>#REF!</v>
      </c>
      <c r="AK459" s="2" t="str">
        <f>IFERROR(__xludf.DUMMYFUNCTION("IMPORTRANGE(""https://docs.google.com/spreadsheets/d/""&amp;$A459&amp;""/edit#gid=156619080"",AK$3)"),"#REF!")</f>
        <v>#REF!</v>
      </c>
      <c r="AL459" s="2" t="str">
        <f>IFERROR(__xludf.DUMMYFUNCTION("IMPORTRANGE(""https://docs.google.com/spreadsheets/d/""&amp;$A459&amp;""/edit#gid=156619080"",AL$3)"),"#REF!")</f>
        <v>#REF!</v>
      </c>
      <c r="AM459" s="2" t="str">
        <f>IFERROR(__xludf.DUMMYFUNCTION("IMPORTRANGE(""https://docs.google.com/spreadsheets/d/""&amp;$A459&amp;""/edit#gid=156619080"",AM$3)"),"#REF!")</f>
        <v>#REF!</v>
      </c>
      <c r="AN459" s="2" t="str">
        <f>IFERROR(__xludf.DUMMYFUNCTION("IMPORTRANGE(""https://docs.google.com/spreadsheets/d/""&amp;$A459&amp;""/edit#gid=156619080"",AN$3)"),"#REF!")</f>
        <v>#REF!</v>
      </c>
      <c r="AO459" s="2" t="str">
        <f>IFERROR(__xludf.DUMMYFUNCTION("IMPORTRANGE(""https://docs.google.com/spreadsheets/d/""&amp;$A459&amp;""/edit#gid=156619080"",AO$3)"),"#REF!")</f>
        <v>#REF!</v>
      </c>
      <c r="AP459" s="2" t="str">
        <f>IFERROR(__xludf.DUMMYFUNCTION("IMPORTRANGE(""https://docs.google.com/spreadsheets/d/""&amp;$A459&amp;""/edit#gid=156619080"",AP$3)"),"#REF!")</f>
        <v>#REF!</v>
      </c>
      <c r="AQ459" s="2" t="str">
        <f>IFERROR(__xludf.DUMMYFUNCTION("IMPORTRANGE(""https://docs.google.com/spreadsheets/d/""&amp;$A459&amp;""/edit#gid=156619080"",AQ$3)"),"#REF!")</f>
        <v>#REF!</v>
      </c>
      <c r="AR459" s="2" t="str">
        <f>IFERROR(__xludf.DUMMYFUNCTION("IMPORTRANGE(""https://docs.google.com/spreadsheets/d/""&amp;$A459&amp;""/edit#gid=156619080"",AR$3)"),"#REF!")</f>
        <v>#REF!</v>
      </c>
      <c r="AS459" s="19" t="str">
        <f>IFERROR(__xludf.DUMMYFUNCTION("IMPORTRANGE(""https://docs.google.com/spreadsheets/d/""&amp;$A459&amp;""/edit#gid=156619080"",AS$3)"),"#REF!")</f>
        <v>#REF!</v>
      </c>
      <c r="AT459" s="2" t="str">
        <f>IFERROR(__xludf.DUMMYFUNCTION("IMPORTRANGE(""https://docs.google.com/spreadsheets/d/""&amp;$A459&amp;""/edit#gid=156619080"",AT$3)"),"#REF!")</f>
        <v>#REF!</v>
      </c>
      <c r="AU459" s="3" t="str">
        <f>IFERROR(__xludf.DUMMYFUNCTION("IMPORTRANGE(""https://docs.google.com/spreadsheets/d/""&amp;$A459&amp;""/edit#gid=156619080"",AU$3)"),"#REF!")</f>
        <v>#REF!</v>
      </c>
      <c r="AV459" s="2" t="str">
        <f>IFERROR(__xludf.DUMMYFUNCTION("IMPORTRANGE(""https://docs.google.com/spreadsheets/d/""&amp;$A459&amp;""/edit#gid=156619080"",AV$3)"),"#REF!")</f>
        <v>#REF!</v>
      </c>
      <c r="AW459" s="19" t="str">
        <f>IFERROR(__xludf.DUMMYFUNCTION("IMPORTRANGE(""https://docs.google.com/spreadsheets/d/""&amp;$A459&amp;""/edit#gid=156619080"",AW$3)"),"#REF!")</f>
        <v>#REF!</v>
      </c>
      <c r="AX459" s="2" t="str">
        <f>IFERROR(__xludf.DUMMYFUNCTION("IMPORTRANGE(""https://docs.google.com/spreadsheets/d/""&amp;$A459&amp;""/edit#gid=156619080"",AX$3)"),"#REF!")</f>
        <v>#REF!</v>
      </c>
      <c r="AY459" s="2" t="str">
        <f>IFERROR(__xludf.DUMMYFUNCTION("IMPORTRANGE(""https://docs.google.com/spreadsheets/d/""&amp;$A459&amp;""/edit#gid=156619080"",AY$3)"),"#REF!")</f>
        <v>#REF!</v>
      </c>
      <c r="AZ459" s="2" t="str">
        <f>IFERROR(__xludf.DUMMYFUNCTION("IMPORTRANGE(""https://docs.google.com/spreadsheets/d/""&amp;$A459&amp;""/edit#gid=156619080"",AZ$3)"),"#REF!")</f>
        <v>#REF!</v>
      </c>
      <c r="BA459" s="2" t="str">
        <f>IFERROR(__xludf.DUMMYFUNCTION("IMPORTRANGE(""https://docs.google.com/spreadsheets/d/""&amp;$A459&amp;""/edit#gid=156619080"",BA$3)"),"#REF!")</f>
        <v>#REF!</v>
      </c>
      <c r="BB459" s="2" t="str">
        <f>IFERROR(__xludf.DUMMYFUNCTION("IMPORTRANGE(""https://docs.google.com/spreadsheets/d/""&amp;$A459&amp;""/edit#gid=156619080"",BB$3)"),"#REF!")</f>
        <v>#REF!</v>
      </c>
      <c r="BC459" s="2" t="str">
        <f>IFERROR(__xludf.DUMMYFUNCTION("IMPORTRANGE(""https://docs.google.com/spreadsheets/d/""&amp;$A459&amp;""/edit#gid=156619080"",BC$3)"),"#REF!")</f>
        <v>#REF!</v>
      </c>
    </row>
    <row r="460" ht="51.0" customHeight="1">
      <c r="A460" s="7" t="str">
        <f t="shared" si="5"/>
        <v>1JNvb40-PiGerVPBpQKhRrq_wWl_ljDlFGWZHKHhgF4c</v>
      </c>
      <c r="B460" s="1" t="s">
        <v>487</v>
      </c>
      <c r="C460" s="2" t="str">
        <f>IFERROR(__xludf.DUMMYFUNCTION("IMPORTRANGE(""https://docs.google.com/spreadsheets/d/""&amp;$A460&amp;""/edit#gid=156619080"",C$3)"),"#REF!")</f>
        <v>#REF!</v>
      </c>
      <c r="D460" s="2" t="str">
        <f>IFERROR(__xludf.DUMMYFUNCTION("IMPORTRANGE(""https://docs.google.com/spreadsheets/d/""&amp;$A460&amp;""/edit#gid=156619080"",D$3)"),"#REF!")</f>
        <v>#REF!</v>
      </c>
      <c r="E460" s="2" t="str">
        <f>IFERROR(__xludf.DUMMYFUNCTION("IMPORTRANGE(""https://docs.google.com/spreadsheets/d/""&amp;$A460&amp;""/edit#gid=156619080"",E$3)"),"#REF!")</f>
        <v>#REF!</v>
      </c>
      <c r="F460" s="2" t="str">
        <f>IFERROR(__xludf.DUMMYFUNCTION("IMPORTRANGE(""https://docs.google.com/spreadsheets/d/""&amp;$A460&amp;""/edit#gid=156619080"",F$3)"),"#REF!")</f>
        <v>#REF!</v>
      </c>
      <c r="G460" s="2" t="str">
        <f>IFERROR(__xludf.DUMMYFUNCTION("IMPORTRANGE(""https://docs.google.com/spreadsheets/d/""&amp;$A460&amp;""/edit#gid=156619080"",G$3)"),"#REF!")</f>
        <v>#REF!</v>
      </c>
      <c r="H460" s="2" t="str">
        <f>IFERROR(__xludf.DUMMYFUNCTION("IMPORTRANGE(""https://docs.google.com/spreadsheets/d/""&amp;$A460&amp;""/edit#gid=156619080"",H$3)"),"#REF!")</f>
        <v>#REF!</v>
      </c>
      <c r="I460" s="2" t="str">
        <f>IFERROR(__xludf.DUMMYFUNCTION("IMPORTRANGE(""https://docs.google.com/spreadsheets/d/""&amp;$A460&amp;""/edit#gid=156619080"",I$3)"),"#REF!")</f>
        <v>#REF!</v>
      </c>
      <c r="J460" s="2" t="str">
        <f>IFERROR(__xludf.DUMMYFUNCTION("IMPORTRANGE(""https://docs.google.com/spreadsheets/d/""&amp;$A460&amp;""/edit#gid=156619080"",J$3)"),"#REF!")</f>
        <v>#REF!</v>
      </c>
      <c r="K460" s="2" t="str">
        <f>IFERROR(__xludf.DUMMYFUNCTION("IMPORTRANGE(""https://docs.google.com/spreadsheets/d/""&amp;$A460&amp;""/edit#gid=156619080"",K$3)"),"#REF!")</f>
        <v>#REF!</v>
      </c>
      <c r="L460" s="2" t="str">
        <f>IFERROR(__xludf.DUMMYFUNCTION("IMPORTRANGE(""https://docs.google.com/spreadsheets/d/""&amp;$A460&amp;""/edit#gid=156619080"",L$3)"),"#REF!")</f>
        <v>#REF!</v>
      </c>
      <c r="M460" s="2" t="str">
        <f>IFERROR(__xludf.DUMMYFUNCTION("IMPORTRANGE(""https://docs.google.com/spreadsheets/d/""&amp;$A460&amp;""/edit#gid=156619080"",M$3)"),"#REF!")</f>
        <v>#REF!</v>
      </c>
      <c r="N460" s="2" t="str">
        <f>IFERROR(__xludf.DUMMYFUNCTION("IMPORTRANGE(""https://docs.google.com/spreadsheets/d/""&amp;$A460&amp;""/edit#gid=156619080"",N$3)"),"#REF!")</f>
        <v>#REF!</v>
      </c>
      <c r="O460" s="2" t="str">
        <f>IFERROR(__xludf.DUMMYFUNCTION("IMPORTRANGE(""https://docs.google.com/spreadsheets/d/""&amp;$A460&amp;""/edit#gid=156619080"",O$3)"),"#REF!")</f>
        <v>#REF!</v>
      </c>
      <c r="P460" s="2" t="str">
        <f>IFERROR(__xludf.DUMMYFUNCTION("IMPORTRANGE(""https://docs.google.com/spreadsheets/d/""&amp;$A460&amp;""/edit#gid=156619080"",P$3)"),"#REF!")</f>
        <v>#REF!</v>
      </c>
      <c r="Q460" s="2" t="str">
        <f>IFERROR(__xludf.DUMMYFUNCTION("IMPORTRANGE(""https://docs.google.com/spreadsheets/d/""&amp;$A460&amp;""/edit#gid=156619080"",Q$3)"),"#REF!")</f>
        <v>#REF!</v>
      </c>
      <c r="R460" s="2" t="str">
        <f>IFERROR(__xludf.DUMMYFUNCTION("IMPORTRANGE(""https://docs.google.com/spreadsheets/d/""&amp;$A460&amp;""/edit#gid=156619080"",R$3)"),"#REF!")</f>
        <v>#REF!</v>
      </c>
      <c r="S460" s="2" t="str">
        <f>IFERROR(__xludf.DUMMYFUNCTION("IMPORTRANGE(""https://docs.google.com/spreadsheets/d/""&amp;$A460&amp;""/edit#gid=156619080"",S$3)"),"#REF!")</f>
        <v>#REF!</v>
      </c>
      <c r="T460" s="2" t="str">
        <f>IFERROR(__xludf.DUMMYFUNCTION("IMPORTRANGE(""https://docs.google.com/spreadsheets/d/""&amp;$A460&amp;""/edit#gid=156619080"",T$3)"),"#REF!")</f>
        <v>#REF!</v>
      </c>
      <c r="U460" s="2" t="str">
        <f>IFERROR(__xludf.DUMMYFUNCTION("IMPORTRANGE(""https://docs.google.com/spreadsheets/d/""&amp;$A460&amp;""/edit#gid=156619080"",U$3)"),"#REF!")</f>
        <v>#REF!</v>
      </c>
      <c r="V460" s="2" t="str">
        <f>IFERROR(__xludf.DUMMYFUNCTION("IMPORTRANGE(""https://docs.google.com/spreadsheets/d/""&amp;$A460&amp;""/edit#gid=156619080"",V$3)"),"#REF!")</f>
        <v>#REF!</v>
      </c>
      <c r="W460" s="2" t="str">
        <f>IFERROR(__xludf.DUMMYFUNCTION("IMPORTRANGE(""https://docs.google.com/spreadsheets/d/""&amp;$A460&amp;""/edit#gid=156619080"",W$3)"),"#REF!")</f>
        <v>#REF!</v>
      </c>
      <c r="X460" s="2" t="str">
        <f>IFERROR(__xludf.DUMMYFUNCTION("IMPORTRANGE(""https://docs.google.com/spreadsheets/d/""&amp;$A460&amp;""/edit#gid=156619080"",X$3)"),"#REF!")</f>
        <v>#REF!</v>
      </c>
      <c r="Y460" s="2" t="str">
        <f>IFERROR(__xludf.DUMMYFUNCTION("IMPORTRANGE(""https://docs.google.com/spreadsheets/d/""&amp;$A460&amp;""/edit#gid=156619080"",Y$3)"),"#REF!")</f>
        <v>#REF!</v>
      </c>
      <c r="Z460" s="2" t="str">
        <f>IFERROR(__xludf.DUMMYFUNCTION("IMPORTRANGE(""https://docs.google.com/spreadsheets/d/""&amp;$A460&amp;""/edit#gid=156619080"",Z$3)"),"#REF!")</f>
        <v>#REF!</v>
      </c>
      <c r="AA460" s="2" t="str">
        <f>IFERROR(__xludf.DUMMYFUNCTION("IMPORTRANGE(""https://docs.google.com/spreadsheets/d/""&amp;$A460&amp;""/edit#gid=156619080"",AA$3)"),"#REF!")</f>
        <v>#REF!</v>
      </c>
      <c r="AB460" s="2" t="str">
        <f>IFERROR(__xludf.DUMMYFUNCTION("IMPORTRANGE(""https://docs.google.com/spreadsheets/d/""&amp;$A460&amp;""/edit#gid=156619080"",AB$3)"),"#REF!")</f>
        <v>#REF!</v>
      </c>
      <c r="AC460" s="2" t="str">
        <f>IFERROR(__xludf.DUMMYFUNCTION("IMPORTRANGE(""https://docs.google.com/spreadsheets/d/""&amp;$A460&amp;""/edit#gid=156619080"",AC$3)"),"#REF!")</f>
        <v>#REF!</v>
      </c>
      <c r="AD460" s="2" t="str">
        <f>IFERROR(__xludf.DUMMYFUNCTION("IMPORTRANGE(""https://docs.google.com/spreadsheets/d/""&amp;$A460&amp;""/edit#gid=156619080"",AD$3)"),"#REF!")</f>
        <v>#REF!</v>
      </c>
      <c r="AE460" s="2" t="str">
        <f>IFERROR(__xludf.DUMMYFUNCTION("IMPORTRANGE(""https://docs.google.com/spreadsheets/d/""&amp;$A460&amp;""/edit#gid=156619080"",AE$3)"),"#REF!")</f>
        <v>#REF!</v>
      </c>
      <c r="AF460" s="2" t="str">
        <f>IFERROR(__xludf.DUMMYFUNCTION("IMPORTRANGE(""https://docs.google.com/spreadsheets/d/""&amp;$A460&amp;""/edit#gid=156619080"",AF$3)"),"#REF!")</f>
        <v>#REF!</v>
      </c>
      <c r="AG460" s="2" t="str">
        <f>IFERROR(__xludf.DUMMYFUNCTION("IMPORTRANGE(""https://docs.google.com/spreadsheets/d/""&amp;$A460&amp;""/edit#gid=156619080"",AG$3)"),"#REF!")</f>
        <v>#REF!</v>
      </c>
      <c r="AH460" s="2" t="str">
        <f>IFERROR(__xludf.DUMMYFUNCTION("IMPORTRANGE(""https://docs.google.com/spreadsheets/d/""&amp;$A460&amp;""/edit#gid=156619080"",AH$3)"),"#REF!")</f>
        <v>#REF!</v>
      </c>
      <c r="AI460" s="2" t="str">
        <f>IFERROR(__xludf.DUMMYFUNCTION("IMPORTRANGE(""https://docs.google.com/spreadsheets/d/""&amp;$A460&amp;""/edit#gid=156619080"",AI$3)"),"#REF!")</f>
        <v>#REF!</v>
      </c>
      <c r="AJ460" s="2" t="str">
        <f>IFERROR(__xludf.DUMMYFUNCTION("IMPORTRANGE(""https://docs.google.com/spreadsheets/d/""&amp;$A460&amp;""/edit#gid=156619080"",AJ$3)"),"#REF!")</f>
        <v>#REF!</v>
      </c>
      <c r="AK460" s="2" t="str">
        <f>IFERROR(__xludf.DUMMYFUNCTION("IMPORTRANGE(""https://docs.google.com/spreadsheets/d/""&amp;$A460&amp;""/edit#gid=156619080"",AK$3)"),"#REF!")</f>
        <v>#REF!</v>
      </c>
      <c r="AL460" s="2" t="str">
        <f>IFERROR(__xludf.DUMMYFUNCTION("IMPORTRANGE(""https://docs.google.com/spreadsheets/d/""&amp;$A460&amp;""/edit#gid=156619080"",AL$3)"),"#REF!")</f>
        <v>#REF!</v>
      </c>
      <c r="AM460" s="2" t="str">
        <f>IFERROR(__xludf.DUMMYFUNCTION("IMPORTRANGE(""https://docs.google.com/spreadsheets/d/""&amp;$A460&amp;""/edit#gid=156619080"",AM$3)"),"#REF!")</f>
        <v>#REF!</v>
      </c>
      <c r="AN460" s="2" t="str">
        <f>IFERROR(__xludf.DUMMYFUNCTION("IMPORTRANGE(""https://docs.google.com/spreadsheets/d/""&amp;$A460&amp;""/edit#gid=156619080"",AN$3)"),"#REF!")</f>
        <v>#REF!</v>
      </c>
      <c r="AO460" s="2" t="str">
        <f>IFERROR(__xludf.DUMMYFUNCTION("IMPORTRANGE(""https://docs.google.com/spreadsheets/d/""&amp;$A460&amp;""/edit#gid=156619080"",AO$3)"),"#REF!")</f>
        <v>#REF!</v>
      </c>
      <c r="AP460" s="2" t="str">
        <f>IFERROR(__xludf.DUMMYFUNCTION("IMPORTRANGE(""https://docs.google.com/spreadsheets/d/""&amp;$A460&amp;""/edit#gid=156619080"",AP$3)"),"#REF!")</f>
        <v>#REF!</v>
      </c>
      <c r="AQ460" s="2" t="str">
        <f>IFERROR(__xludf.DUMMYFUNCTION("IMPORTRANGE(""https://docs.google.com/spreadsheets/d/""&amp;$A460&amp;""/edit#gid=156619080"",AQ$3)"),"#REF!")</f>
        <v>#REF!</v>
      </c>
      <c r="AR460" s="2" t="str">
        <f>IFERROR(__xludf.DUMMYFUNCTION("IMPORTRANGE(""https://docs.google.com/spreadsheets/d/""&amp;$A460&amp;""/edit#gid=156619080"",AR$3)"),"#REF!")</f>
        <v>#REF!</v>
      </c>
      <c r="AS460" s="19" t="str">
        <f>IFERROR(__xludf.DUMMYFUNCTION("IMPORTRANGE(""https://docs.google.com/spreadsheets/d/""&amp;$A460&amp;""/edit#gid=156619080"",AS$3)"),"#REF!")</f>
        <v>#REF!</v>
      </c>
      <c r="AT460" s="2" t="str">
        <f>IFERROR(__xludf.DUMMYFUNCTION("IMPORTRANGE(""https://docs.google.com/spreadsheets/d/""&amp;$A460&amp;""/edit#gid=156619080"",AT$3)"),"#REF!")</f>
        <v>#REF!</v>
      </c>
      <c r="AU460" s="3" t="str">
        <f>IFERROR(__xludf.DUMMYFUNCTION("IMPORTRANGE(""https://docs.google.com/spreadsheets/d/""&amp;$A460&amp;""/edit#gid=156619080"",AU$3)"),"#REF!")</f>
        <v>#REF!</v>
      </c>
      <c r="AV460" s="2" t="str">
        <f>IFERROR(__xludf.DUMMYFUNCTION("IMPORTRANGE(""https://docs.google.com/spreadsheets/d/""&amp;$A460&amp;""/edit#gid=156619080"",AV$3)"),"#REF!")</f>
        <v>#REF!</v>
      </c>
      <c r="AW460" s="19" t="str">
        <f>IFERROR(__xludf.DUMMYFUNCTION("IMPORTRANGE(""https://docs.google.com/spreadsheets/d/""&amp;$A460&amp;""/edit#gid=156619080"",AW$3)"),"#REF!")</f>
        <v>#REF!</v>
      </c>
      <c r="AX460" s="2" t="str">
        <f>IFERROR(__xludf.DUMMYFUNCTION("IMPORTRANGE(""https://docs.google.com/spreadsheets/d/""&amp;$A460&amp;""/edit#gid=156619080"",AX$3)"),"#REF!")</f>
        <v>#REF!</v>
      </c>
      <c r="AY460" s="2" t="str">
        <f>IFERROR(__xludf.DUMMYFUNCTION("IMPORTRANGE(""https://docs.google.com/spreadsheets/d/""&amp;$A460&amp;""/edit#gid=156619080"",AY$3)"),"#REF!")</f>
        <v>#REF!</v>
      </c>
      <c r="AZ460" s="2" t="str">
        <f>IFERROR(__xludf.DUMMYFUNCTION("IMPORTRANGE(""https://docs.google.com/spreadsheets/d/""&amp;$A460&amp;""/edit#gid=156619080"",AZ$3)"),"#REF!")</f>
        <v>#REF!</v>
      </c>
      <c r="BA460" s="2" t="str">
        <f>IFERROR(__xludf.DUMMYFUNCTION("IMPORTRANGE(""https://docs.google.com/spreadsheets/d/""&amp;$A460&amp;""/edit#gid=156619080"",BA$3)"),"#REF!")</f>
        <v>#REF!</v>
      </c>
      <c r="BB460" s="2" t="str">
        <f>IFERROR(__xludf.DUMMYFUNCTION("IMPORTRANGE(""https://docs.google.com/spreadsheets/d/""&amp;$A460&amp;""/edit#gid=156619080"",BB$3)"),"#REF!")</f>
        <v>#REF!</v>
      </c>
      <c r="BC460" s="2" t="str">
        <f>IFERROR(__xludf.DUMMYFUNCTION("IMPORTRANGE(""https://docs.google.com/spreadsheets/d/""&amp;$A460&amp;""/edit#gid=156619080"",BC$3)"),"#REF!")</f>
        <v>#REF!</v>
      </c>
    </row>
    <row r="461" ht="51.0" customHeight="1">
      <c r="A461" s="7" t="str">
        <f t="shared" si="5"/>
        <v>1Vy2CDg4X7ar2cwBB3teSElU8TInojtEaBhcP_YOacqg</v>
      </c>
      <c r="B461" s="1" t="s">
        <v>488</v>
      </c>
      <c r="C461" s="2" t="str">
        <f>IFERROR(__xludf.DUMMYFUNCTION("IMPORTRANGE(""https://docs.google.com/spreadsheets/d/""&amp;$A461&amp;""/edit#gid=156619080"",C$3)"),"#REF!")</f>
        <v>#REF!</v>
      </c>
      <c r="D461" s="2" t="str">
        <f>IFERROR(__xludf.DUMMYFUNCTION("IMPORTRANGE(""https://docs.google.com/spreadsheets/d/""&amp;$A461&amp;""/edit#gid=156619080"",D$3)"),"#REF!")</f>
        <v>#REF!</v>
      </c>
      <c r="E461" s="2" t="str">
        <f>IFERROR(__xludf.DUMMYFUNCTION("IMPORTRANGE(""https://docs.google.com/spreadsheets/d/""&amp;$A461&amp;""/edit#gid=156619080"",E$3)"),"#REF!")</f>
        <v>#REF!</v>
      </c>
      <c r="F461" s="2" t="str">
        <f>IFERROR(__xludf.DUMMYFUNCTION("IMPORTRANGE(""https://docs.google.com/spreadsheets/d/""&amp;$A461&amp;""/edit#gid=156619080"",F$3)"),"#REF!")</f>
        <v>#REF!</v>
      </c>
      <c r="G461" s="2" t="str">
        <f>IFERROR(__xludf.DUMMYFUNCTION("IMPORTRANGE(""https://docs.google.com/spreadsheets/d/""&amp;$A461&amp;""/edit#gid=156619080"",G$3)"),"#REF!")</f>
        <v>#REF!</v>
      </c>
      <c r="H461" s="2" t="str">
        <f>IFERROR(__xludf.DUMMYFUNCTION("IMPORTRANGE(""https://docs.google.com/spreadsheets/d/""&amp;$A461&amp;""/edit#gid=156619080"",H$3)"),"#REF!")</f>
        <v>#REF!</v>
      </c>
      <c r="I461" s="2" t="str">
        <f>IFERROR(__xludf.DUMMYFUNCTION("IMPORTRANGE(""https://docs.google.com/spreadsheets/d/""&amp;$A461&amp;""/edit#gid=156619080"",I$3)"),"#REF!")</f>
        <v>#REF!</v>
      </c>
      <c r="J461" s="2" t="str">
        <f>IFERROR(__xludf.DUMMYFUNCTION("IMPORTRANGE(""https://docs.google.com/spreadsheets/d/""&amp;$A461&amp;""/edit#gid=156619080"",J$3)"),"#REF!")</f>
        <v>#REF!</v>
      </c>
      <c r="K461" s="2" t="str">
        <f>IFERROR(__xludf.DUMMYFUNCTION("IMPORTRANGE(""https://docs.google.com/spreadsheets/d/""&amp;$A461&amp;""/edit#gid=156619080"",K$3)"),"#REF!")</f>
        <v>#REF!</v>
      </c>
      <c r="L461" s="2" t="str">
        <f>IFERROR(__xludf.DUMMYFUNCTION("IMPORTRANGE(""https://docs.google.com/spreadsheets/d/""&amp;$A461&amp;""/edit#gid=156619080"",L$3)"),"#REF!")</f>
        <v>#REF!</v>
      </c>
      <c r="M461" s="2" t="str">
        <f>IFERROR(__xludf.DUMMYFUNCTION("IMPORTRANGE(""https://docs.google.com/spreadsheets/d/""&amp;$A461&amp;""/edit#gid=156619080"",M$3)"),"#REF!")</f>
        <v>#REF!</v>
      </c>
      <c r="N461" s="2" t="str">
        <f>IFERROR(__xludf.DUMMYFUNCTION("IMPORTRANGE(""https://docs.google.com/spreadsheets/d/""&amp;$A461&amp;""/edit#gid=156619080"",N$3)"),"#REF!")</f>
        <v>#REF!</v>
      </c>
      <c r="O461" s="2" t="str">
        <f>IFERROR(__xludf.DUMMYFUNCTION("IMPORTRANGE(""https://docs.google.com/spreadsheets/d/""&amp;$A461&amp;""/edit#gid=156619080"",O$3)"),"#REF!")</f>
        <v>#REF!</v>
      </c>
      <c r="P461" s="2" t="str">
        <f>IFERROR(__xludf.DUMMYFUNCTION("IMPORTRANGE(""https://docs.google.com/spreadsheets/d/""&amp;$A461&amp;""/edit#gid=156619080"",P$3)"),"#REF!")</f>
        <v>#REF!</v>
      </c>
      <c r="Q461" s="2" t="str">
        <f>IFERROR(__xludf.DUMMYFUNCTION("IMPORTRANGE(""https://docs.google.com/spreadsheets/d/""&amp;$A461&amp;""/edit#gid=156619080"",Q$3)"),"#REF!")</f>
        <v>#REF!</v>
      </c>
      <c r="R461" s="2" t="str">
        <f>IFERROR(__xludf.DUMMYFUNCTION("IMPORTRANGE(""https://docs.google.com/spreadsheets/d/""&amp;$A461&amp;""/edit#gid=156619080"",R$3)"),"#REF!")</f>
        <v>#REF!</v>
      </c>
      <c r="S461" s="2" t="str">
        <f>IFERROR(__xludf.DUMMYFUNCTION("IMPORTRANGE(""https://docs.google.com/spreadsheets/d/""&amp;$A461&amp;""/edit#gid=156619080"",S$3)"),"#REF!")</f>
        <v>#REF!</v>
      </c>
      <c r="T461" s="2" t="str">
        <f>IFERROR(__xludf.DUMMYFUNCTION("IMPORTRANGE(""https://docs.google.com/spreadsheets/d/""&amp;$A461&amp;""/edit#gid=156619080"",T$3)"),"#REF!")</f>
        <v>#REF!</v>
      </c>
      <c r="U461" s="2" t="str">
        <f>IFERROR(__xludf.DUMMYFUNCTION("IMPORTRANGE(""https://docs.google.com/spreadsheets/d/""&amp;$A461&amp;""/edit#gid=156619080"",U$3)"),"#REF!")</f>
        <v>#REF!</v>
      </c>
      <c r="V461" s="2" t="str">
        <f>IFERROR(__xludf.DUMMYFUNCTION("IMPORTRANGE(""https://docs.google.com/spreadsheets/d/""&amp;$A461&amp;""/edit#gid=156619080"",V$3)"),"#REF!")</f>
        <v>#REF!</v>
      </c>
      <c r="W461" s="2" t="str">
        <f>IFERROR(__xludf.DUMMYFUNCTION("IMPORTRANGE(""https://docs.google.com/spreadsheets/d/""&amp;$A461&amp;""/edit#gid=156619080"",W$3)"),"#REF!")</f>
        <v>#REF!</v>
      </c>
      <c r="X461" s="2" t="str">
        <f>IFERROR(__xludf.DUMMYFUNCTION("IMPORTRANGE(""https://docs.google.com/spreadsheets/d/""&amp;$A461&amp;""/edit#gid=156619080"",X$3)"),"#REF!")</f>
        <v>#REF!</v>
      </c>
      <c r="Y461" s="2" t="str">
        <f>IFERROR(__xludf.DUMMYFUNCTION("IMPORTRANGE(""https://docs.google.com/spreadsheets/d/""&amp;$A461&amp;""/edit#gid=156619080"",Y$3)"),"#REF!")</f>
        <v>#REF!</v>
      </c>
      <c r="Z461" s="2" t="str">
        <f>IFERROR(__xludf.DUMMYFUNCTION("IMPORTRANGE(""https://docs.google.com/spreadsheets/d/""&amp;$A461&amp;""/edit#gid=156619080"",Z$3)"),"#REF!")</f>
        <v>#REF!</v>
      </c>
      <c r="AA461" s="2" t="str">
        <f>IFERROR(__xludf.DUMMYFUNCTION("IMPORTRANGE(""https://docs.google.com/spreadsheets/d/""&amp;$A461&amp;""/edit#gid=156619080"",AA$3)"),"#REF!")</f>
        <v>#REF!</v>
      </c>
      <c r="AB461" s="2" t="str">
        <f>IFERROR(__xludf.DUMMYFUNCTION("IMPORTRANGE(""https://docs.google.com/spreadsheets/d/""&amp;$A461&amp;""/edit#gid=156619080"",AB$3)"),"#REF!")</f>
        <v>#REF!</v>
      </c>
      <c r="AC461" s="2" t="str">
        <f>IFERROR(__xludf.DUMMYFUNCTION("IMPORTRANGE(""https://docs.google.com/spreadsheets/d/""&amp;$A461&amp;""/edit#gid=156619080"",AC$3)"),"#REF!")</f>
        <v>#REF!</v>
      </c>
      <c r="AD461" s="2" t="str">
        <f>IFERROR(__xludf.DUMMYFUNCTION("IMPORTRANGE(""https://docs.google.com/spreadsheets/d/""&amp;$A461&amp;""/edit#gid=156619080"",AD$3)"),"#REF!")</f>
        <v>#REF!</v>
      </c>
      <c r="AE461" s="2" t="str">
        <f>IFERROR(__xludf.DUMMYFUNCTION("IMPORTRANGE(""https://docs.google.com/spreadsheets/d/""&amp;$A461&amp;""/edit#gid=156619080"",AE$3)"),"#REF!")</f>
        <v>#REF!</v>
      </c>
      <c r="AF461" s="2" t="str">
        <f>IFERROR(__xludf.DUMMYFUNCTION("IMPORTRANGE(""https://docs.google.com/spreadsheets/d/""&amp;$A461&amp;""/edit#gid=156619080"",AF$3)"),"#REF!")</f>
        <v>#REF!</v>
      </c>
      <c r="AG461" s="2" t="str">
        <f>IFERROR(__xludf.DUMMYFUNCTION("IMPORTRANGE(""https://docs.google.com/spreadsheets/d/""&amp;$A461&amp;""/edit#gid=156619080"",AG$3)"),"#REF!")</f>
        <v>#REF!</v>
      </c>
      <c r="AH461" s="2" t="str">
        <f>IFERROR(__xludf.DUMMYFUNCTION("IMPORTRANGE(""https://docs.google.com/spreadsheets/d/""&amp;$A461&amp;""/edit#gid=156619080"",AH$3)"),"#REF!")</f>
        <v>#REF!</v>
      </c>
      <c r="AI461" s="2" t="str">
        <f>IFERROR(__xludf.DUMMYFUNCTION("IMPORTRANGE(""https://docs.google.com/spreadsheets/d/""&amp;$A461&amp;""/edit#gid=156619080"",AI$3)"),"#REF!")</f>
        <v>#REF!</v>
      </c>
      <c r="AJ461" s="2" t="str">
        <f>IFERROR(__xludf.DUMMYFUNCTION("IMPORTRANGE(""https://docs.google.com/spreadsheets/d/""&amp;$A461&amp;""/edit#gid=156619080"",AJ$3)"),"#REF!")</f>
        <v>#REF!</v>
      </c>
      <c r="AK461" s="2" t="str">
        <f>IFERROR(__xludf.DUMMYFUNCTION("IMPORTRANGE(""https://docs.google.com/spreadsheets/d/""&amp;$A461&amp;""/edit#gid=156619080"",AK$3)"),"#REF!")</f>
        <v>#REF!</v>
      </c>
      <c r="AL461" s="2" t="str">
        <f>IFERROR(__xludf.DUMMYFUNCTION("IMPORTRANGE(""https://docs.google.com/spreadsheets/d/""&amp;$A461&amp;""/edit#gid=156619080"",AL$3)"),"#REF!")</f>
        <v>#REF!</v>
      </c>
      <c r="AM461" s="2" t="str">
        <f>IFERROR(__xludf.DUMMYFUNCTION("IMPORTRANGE(""https://docs.google.com/spreadsheets/d/""&amp;$A461&amp;""/edit#gid=156619080"",AM$3)"),"#REF!")</f>
        <v>#REF!</v>
      </c>
      <c r="AN461" s="2" t="str">
        <f>IFERROR(__xludf.DUMMYFUNCTION("IMPORTRANGE(""https://docs.google.com/spreadsheets/d/""&amp;$A461&amp;""/edit#gid=156619080"",AN$3)"),"#REF!")</f>
        <v>#REF!</v>
      </c>
      <c r="AO461" s="2" t="str">
        <f>IFERROR(__xludf.DUMMYFUNCTION("IMPORTRANGE(""https://docs.google.com/spreadsheets/d/""&amp;$A461&amp;""/edit#gid=156619080"",AO$3)"),"#REF!")</f>
        <v>#REF!</v>
      </c>
      <c r="AP461" s="2" t="str">
        <f>IFERROR(__xludf.DUMMYFUNCTION("IMPORTRANGE(""https://docs.google.com/spreadsheets/d/""&amp;$A461&amp;""/edit#gid=156619080"",AP$3)"),"#REF!")</f>
        <v>#REF!</v>
      </c>
      <c r="AQ461" s="2" t="str">
        <f>IFERROR(__xludf.DUMMYFUNCTION("IMPORTRANGE(""https://docs.google.com/spreadsheets/d/""&amp;$A461&amp;""/edit#gid=156619080"",AQ$3)"),"#REF!")</f>
        <v>#REF!</v>
      </c>
      <c r="AR461" s="2" t="str">
        <f>IFERROR(__xludf.DUMMYFUNCTION("IMPORTRANGE(""https://docs.google.com/spreadsheets/d/""&amp;$A461&amp;""/edit#gid=156619080"",AR$3)"),"#REF!")</f>
        <v>#REF!</v>
      </c>
      <c r="AS461" s="19" t="str">
        <f>IFERROR(__xludf.DUMMYFUNCTION("IMPORTRANGE(""https://docs.google.com/spreadsheets/d/""&amp;$A461&amp;""/edit#gid=156619080"",AS$3)"),"#REF!")</f>
        <v>#REF!</v>
      </c>
      <c r="AT461" s="2" t="str">
        <f>IFERROR(__xludf.DUMMYFUNCTION("IMPORTRANGE(""https://docs.google.com/spreadsheets/d/""&amp;$A461&amp;""/edit#gid=156619080"",AT$3)"),"#REF!")</f>
        <v>#REF!</v>
      </c>
      <c r="AU461" s="3" t="str">
        <f>IFERROR(__xludf.DUMMYFUNCTION("IMPORTRANGE(""https://docs.google.com/spreadsheets/d/""&amp;$A461&amp;""/edit#gid=156619080"",AU$3)"),"#REF!")</f>
        <v>#REF!</v>
      </c>
      <c r="AV461" s="2" t="str">
        <f>IFERROR(__xludf.DUMMYFUNCTION("IMPORTRANGE(""https://docs.google.com/spreadsheets/d/""&amp;$A461&amp;""/edit#gid=156619080"",AV$3)"),"#REF!")</f>
        <v>#REF!</v>
      </c>
      <c r="AW461" s="19" t="str">
        <f>IFERROR(__xludf.DUMMYFUNCTION("IMPORTRANGE(""https://docs.google.com/spreadsheets/d/""&amp;$A461&amp;""/edit#gid=156619080"",AW$3)"),"#REF!")</f>
        <v>#REF!</v>
      </c>
      <c r="AX461" s="2" t="str">
        <f>IFERROR(__xludf.DUMMYFUNCTION("IMPORTRANGE(""https://docs.google.com/spreadsheets/d/""&amp;$A461&amp;""/edit#gid=156619080"",AX$3)"),"#REF!")</f>
        <v>#REF!</v>
      </c>
      <c r="AY461" s="2" t="str">
        <f>IFERROR(__xludf.DUMMYFUNCTION("IMPORTRANGE(""https://docs.google.com/spreadsheets/d/""&amp;$A461&amp;""/edit#gid=156619080"",AY$3)"),"#REF!")</f>
        <v>#REF!</v>
      </c>
      <c r="AZ461" s="2" t="str">
        <f>IFERROR(__xludf.DUMMYFUNCTION("IMPORTRANGE(""https://docs.google.com/spreadsheets/d/""&amp;$A461&amp;""/edit#gid=156619080"",AZ$3)"),"#REF!")</f>
        <v>#REF!</v>
      </c>
      <c r="BA461" s="2" t="str">
        <f>IFERROR(__xludf.DUMMYFUNCTION("IMPORTRANGE(""https://docs.google.com/spreadsheets/d/""&amp;$A461&amp;""/edit#gid=156619080"",BA$3)"),"#REF!")</f>
        <v>#REF!</v>
      </c>
      <c r="BB461" s="2" t="str">
        <f>IFERROR(__xludf.DUMMYFUNCTION("IMPORTRANGE(""https://docs.google.com/spreadsheets/d/""&amp;$A461&amp;""/edit#gid=156619080"",BB$3)"),"#REF!")</f>
        <v>#REF!</v>
      </c>
      <c r="BC461" s="2" t="str">
        <f>IFERROR(__xludf.DUMMYFUNCTION("IMPORTRANGE(""https://docs.google.com/spreadsheets/d/""&amp;$A461&amp;""/edit#gid=156619080"",BC$3)"),"#REF!")</f>
        <v>#REF!</v>
      </c>
    </row>
    <row r="462" ht="51.0" customHeight="1">
      <c r="A462" s="7" t="str">
        <f t="shared" si="5"/>
        <v>1hDMkNTrRpFY2Js61LtO7Zhig6KsFzSAaQPFE8n4iO70</v>
      </c>
      <c r="B462" s="1" t="s">
        <v>489</v>
      </c>
      <c r="C462" s="2" t="str">
        <f>IFERROR(__xludf.DUMMYFUNCTION("IMPORTRANGE(""https://docs.google.com/spreadsheets/d/""&amp;$A462&amp;""/edit#gid=156619080"",C$3)"),"#REF!")</f>
        <v>#REF!</v>
      </c>
      <c r="D462" s="2" t="str">
        <f>IFERROR(__xludf.DUMMYFUNCTION("IMPORTRANGE(""https://docs.google.com/spreadsheets/d/""&amp;$A462&amp;""/edit#gid=156619080"",D$3)"),"#REF!")</f>
        <v>#REF!</v>
      </c>
      <c r="E462" s="2" t="str">
        <f>IFERROR(__xludf.DUMMYFUNCTION("IMPORTRANGE(""https://docs.google.com/spreadsheets/d/""&amp;$A462&amp;""/edit#gid=156619080"",E$3)"),"#REF!")</f>
        <v>#REF!</v>
      </c>
      <c r="F462" s="2" t="str">
        <f>IFERROR(__xludf.DUMMYFUNCTION("IMPORTRANGE(""https://docs.google.com/spreadsheets/d/""&amp;$A462&amp;""/edit#gid=156619080"",F$3)"),"#REF!")</f>
        <v>#REF!</v>
      </c>
      <c r="G462" s="2" t="str">
        <f>IFERROR(__xludf.DUMMYFUNCTION("IMPORTRANGE(""https://docs.google.com/spreadsheets/d/""&amp;$A462&amp;""/edit#gid=156619080"",G$3)"),"#REF!")</f>
        <v>#REF!</v>
      </c>
      <c r="H462" s="2" t="str">
        <f>IFERROR(__xludf.DUMMYFUNCTION("IMPORTRANGE(""https://docs.google.com/spreadsheets/d/""&amp;$A462&amp;""/edit#gid=156619080"",H$3)"),"#REF!")</f>
        <v>#REF!</v>
      </c>
      <c r="I462" s="2" t="str">
        <f>IFERROR(__xludf.DUMMYFUNCTION("IMPORTRANGE(""https://docs.google.com/spreadsheets/d/""&amp;$A462&amp;""/edit#gid=156619080"",I$3)"),"#REF!")</f>
        <v>#REF!</v>
      </c>
      <c r="J462" s="2" t="str">
        <f>IFERROR(__xludf.DUMMYFUNCTION("IMPORTRANGE(""https://docs.google.com/spreadsheets/d/""&amp;$A462&amp;""/edit#gid=156619080"",J$3)"),"#REF!")</f>
        <v>#REF!</v>
      </c>
      <c r="K462" s="2" t="str">
        <f>IFERROR(__xludf.DUMMYFUNCTION("IMPORTRANGE(""https://docs.google.com/spreadsheets/d/""&amp;$A462&amp;""/edit#gid=156619080"",K$3)"),"#REF!")</f>
        <v>#REF!</v>
      </c>
      <c r="L462" s="2" t="str">
        <f>IFERROR(__xludf.DUMMYFUNCTION("IMPORTRANGE(""https://docs.google.com/spreadsheets/d/""&amp;$A462&amp;""/edit#gid=156619080"",L$3)"),"#REF!")</f>
        <v>#REF!</v>
      </c>
      <c r="M462" s="2" t="str">
        <f>IFERROR(__xludf.DUMMYFUNCTION("IMPORTRANGE(""https://docs.google.com/spreadsheets/d/""&amp;$A462&amp;""/edit#gid=156619080"",M$3)"),"#REF!")</f>
        <v>#REF!</v>
      </c>
      <c r="N462" s="2" t="str">
        <f>IFERROR(__xludf.DUMMYFUNCTION("IMPORTRANGE(""https://docs.google.com/spreadsheets/d/""&amp;$A462&amp;""/edit#gid=156619080"",N$3)"),"#REF!")</f>
        <v>#REF!</v>
      </c>
      <c r="O462" s="2" t="str">
        <f>IFERROR(__xludf.DUMMYFUNCTION("IMPORTRANGE(""https://docs.google.com/spreadsheets/d/""&amp;$A462&amp;""/edit#gid=156619080"",O$3)"),"#REF!")</f>
        <v>#REF!</v>
      </c>
      <c r="P462" s="2" t="str">
        <f>IFERROR(__xludf.DUMMYFUNCTION("IMPORTRANGE(""https://docs.google.com/spreadsheets/d/""&amp;$A462&amp;""/edit#gid=156619080"",P$3)"),"#REF!")</f>
        <v>#REF!</v>
      </c>
      <c r="Q462" s="2" t="str">
        <f>IFERROR(__xludf.DUMMYFUNCTION("IMPORTRANGE(""https://docs.google.com/spreadsheets/d/""&amp;$A462&amp;""/edit#gid=156619080"",Q$3)"),"#REF!")</f>
        <v>#REF!</v>
      </c>
      <c r="R462" s="2" t="str">
        <f>IFERROR(__xludf.DUMMYFUNCTION("IMPORTRANGE(""https://docs.google.com/spreadsheets/d/""&amp;$A462&amp;""/edit#gid=156619080"",R$3)"),"#REF!")</f>
        <v>#REF!</v>
      </c>
      <c r="S462" s="2" t="str">
        <f>IFERROR(__xludf.DUMMYFUNCTION("IMPORTRANGE(""https://docs.google.com/spreadsheets/d/""&amp;$A462&amp;""/edit#gid=156619080"",S$3)"),"#REF!")</f>
        <v>#REF!</v>
      </c>
      <c r="T462" s="2" t="str">
        <f>IFERROR(__xludf.DUMMYFUNCTION("IMPORTRANGE(""https://docs.google.com/spreadsheets/d/""&amp;$A462&amp;""/edit#gid=156619080"",T$3)"),"#REF!")</f>
        <v>#REF!</v>
      </c>
      <c r="U462" s="2" t="str">
        <f>IFERROR(__xludf.DUMMYFUNCTION("IMPORTRANGE(""https://docs.google.com/spreadsheets/d/""&amp;$A462&amp;""/edit#gid=156619080"",U$3)"),"#REF!")</f>
        <v>#REF!</v>
      </c>
      <c r="V462" s="2" t="str">
        <f>IFERROR(__xludf.DUMMYFUNCTION("IMPORTRANGE(""https://docs.google.com/spreadsheets/d/""&amp;$A462&amp;""/edit#gid=156619080"",V$3)"),"#REF!")</f>
        <v>#REF!</v>
      </c>
      <c r="W462" s="2" t="str">
        <f>IFERROR(__xludf.DUMMYFUNCTION("IMPORTRANGE(""https://docs.google.com/spreadsheets/d/""&amp;$A462&amp;""/edit#gid=156619080"",W$3)"),"#REF!")</f>
        <v>#REF!</v>
      </c>
      <c r="X462" s="2" t="str">
        <f>IFERROR(__xludf.DUMMYFUNCTION("IMPORTRANGE(""https://docs.google.com/spreadsheets/d/""&amp;$A462&amp;""/edit#gid=156619080"",X$3)"),"#REF!")</f>
        <v>#REF!</v>
      </c>
      <c r="Y462" s="2" t="str">
        <f>IFERROR(__xludf.DUMMYFUNCTION("IMPORTRANGE(""https://docs.google.com/spreadsheets/d/""&amp;$A462&amp;""/edit#gid=156619080"",Y$3)"),"#REF!")</f>
        <v>#REF!</v>
      </c>
      <c r="Z462" s="2" t="str">
        <f>IFERROR(__xludf.DUMMYFUNCTION("IMPORTRANGE(""https://docs.google.com/spreadsheets/d/""&amp;$A462&amp;""/edit#gid=156619080"",Z$3)"),"#REF!")</f>
        <v>#REF!</v>
      </c>
      <c r="AA462" s="2" t="str">
        <f>IFERROR(__xludf.DUMMYFUNCTION("IMPORTRANGE(""https://docs.google.com/spreadsheets/d/""&amp;$A462&amp;""/edit#gid=156619080"",AA$3)"),"#REF!")</f>
        <v>#REF!</v>
      </c>
      <c r="AB462" s="2" t="str">
        <f>IFERROR(__xludf.DUMMYFUNCTION("IMPORTRANGE(""https://docs.google.com/spreadsheets/d/""&amp;$A462&amp;""/edit#gid=156619080"",AB$3)"),"#REF!")</f>
        <v>#REF!</v>
      </c>
      <c r="AC462" s="2" t="str">
        <f>IFERROR(__xludf.DUMMYFUNCTION("IMPORTRANGE(""https://docs.google.com/spreadsheets/d/""&amp;$A462&amp;""/edit#gid=156619080"",AC$3)"),"#REF!")</f>
        <v>#REF!</v>
      </c>
      <c r="AD462" s="2" t="str">
        <f>IFERROR(__xludf.DUMMYFUNCTION("IMPORTRANGE(""https://docs.google.com/spreadsheets/d/""&amp;$A462&amp;""/edit#gid=156619080"",AD$3)"),"#REF!")</f>
        <v>#REF!</v>
      </c>
      <c r="AE462" s="2" t="str">
        <f>IFERROR(__xludf.DUMMYFUNCTION("IMPORTRANGE(""https://docs.google.com/spreadsheets/d/""&amp;$A462&amp;""/edit#gid=156619080"",AE$3)"),"#REF!")</f>
        <v>#REF!</v>
      </c>
      <c r="AF462" s="2" t="str">
        <f>IFERROR(__xludf.DUMMYFUNCTION("IMPORTRANGE(""https://docs.google.com/spreadsheets/d/""&amp;$A462&amp;""/edit#gid=156619080"",AF$3)"),"#REF!")</f>
        <v>#REF!</v>
      </c>
      <c r="AG462" s="2" t="str">
        <f>IFERROR(__xludf.DUMMYFUNCTION("IMPORTRANGE(""https://docs.google.com/spreadsheets/d/""&amp;$A462&amp;""/edit#gid=156619080"",AG$3)"),"#REF!")</f>
        <v>#REF!</v>
      </c>
      <c r="AH462" s="2" t="str">
        <f>IFERROR(__xludf.DUMMYFUNCTION("IMPORTRANGE(""https://docs.google.com/spreadsheets/d/""&amp;$A462&amp;""/edit#gid=156619080"",AH$3)"),"#REF!")</f>
        <v>#REF!</v>
      </c>
      <c r="AI462" s="2" t="str">
        <f>IFERROR(__xludf.DUMMYFUNCTION("IMPORTRANGE(""https://docs.google.com/spreadsheets/d/""&amp;$A462&amp;""/edit#gid=156619080"",AI$3)"),"#REF!")</f>
        <v>#REF!</v>
      </c>
      <c r="AJ462" s="2" t="str">
        <f>IFERROR(__xludf.DUMMYFUNCTION("IMPORTRANGE(""https://docs.google.com/spreadsheets/d/""&amp;$A462&amp;""/edit#gid=156619080"",AJ$3)"),"#REF!")</f>
        <v>#REF!</v>
      </c>
      <c r="AK462" s="2" t="str">
        <f>IFERROR(__xludf.DUMMYFUNCTION("IMPORTRANGE(""https://docs.google.com/spreadsheets/d/""&amp;$A462&amp;""/edit#gid=156619080"",AK$3)"),"#REF!")</f>
        <v>#REF!</v>
      </c>
      <c r="AL462" s="2" t="str">
        <f>IFERROR(__xludf.DUMMYFUNCTION("IMPORTRANGE(""https://docs.google.com/spreadsheets/d/""&amp;$A462&amp;""/edit#gid=156619080"",AL$3)"),"#REF!")</f>
        <v>#REF!</v>
      </c>
      <c r="AM462" s="2" t="str">
        <f>IFERROR(__xludf.DUMMYFUNCTION("IMPORTRANGE(""https://docs.google.com/spreadsheets/d/""&amp;$A462&amp;""/edit#gid=156619080"",AM$3)"),"#REF!")</f>
        <v>#REF!</v>
      </c>
      <c r="AN462" s="2" t="str">
        <f>IFERROR(__xludf.DUMMYFUNCTION("IMPORTRANGE(""https://docs.google.com/spreadsheets/d/""&amp;$A462&amp;""/edit#gid=156619080"",AN$3)"),"#REF!")</f>
        <v>#REF!</v>
      </c>
      <c r="AO462" s="2" t="str">
        <f>IFERROR(__xludf.DUMMYFUNCTION("IMPORTRANGE(""https://docs.google.com/spreadsheets/d/""&amp;$A462&amp;""/edit#gid=156619080"",AO$3)"),"#REF!")</f>
        <v>#REF!</v>
      </c>
      <c r="AP462" s="2" t="str">
        <f>IFERROR(__xludf.DUMMYFUNCTION("IMPORTRANGE(""https://docs.google.com/spreadsheets/d/""&amp;$A462&amp;""/edit#gid=156619080"",AP$3)"),"#REF!")</f>
        <v>#REF!</v>
      </c>
      <c r="AQ462" s="2" t="str">
        <f>IFERROR(__xludf.DUMMYFUNCTION("IMPORTRANGE(""https://docs.google.com/spreadsheets/d/""&amp;$A462&amp;""/edit#gid=156619080"",AQ$3)"),"#REF!")</f>
        <v>#REF!</v>
      </c>
      <c r="AR462" s="2" t="str">
        <f>IFERROR(__xludf.DUMMYFUNCTION("IMPORTRANGE(""https://docs.google.com/spreadsheets/d/""&amp;$A462&amp;""/edit#gid=156619080"",AR$3)"),"#REF!")</f>
        <v>#REF!</v>
      </c>
      <c r="AS462" s="19" t="str">
        <f>IFERROR(__xludf.DUMMYFUNCTION("IMPORTRANGE(""https://docs.google.com/spreadsheets/d/""&amp;$A462&amp;""/edit#gid=156619080"",AS$3)"),"#REF!")</f>
        <v>#REF!</v>
      </c>
      <c r="AT462" s="2" t="str">
        <f>IFERROR(__xludf.DUMMYFUNCTION("IMPORTRANGE(""https://docs.google.com/spreadsheets/d/""&amp;$A462&amp;""/edit#gid=156619080"",AT$3)"),"#REF!")</f>
        <v>#REF!</v>
      </c>
      <c r="AU462" s="3" t="str">
        <f>IFERROR(__xludf.DUMMYFUNCTION("IMPORTRANGE(""https://docs.google.com/spreadsheets/d/""&amp;$A462&amp;""/edit#gid=156619080"",AU$3)"),"#REF!")</f>
        <v>#REF!</v>
      </c>
      <c r="AV462" s="2" t="str">
        <f>IFERROR(__xludf.DUMMYFUNCTION("IMPORTRANGE(""https://docs.google.com/spreadsheets/d/""&amp;$A462&amp;""/edit#gid=156619080"",AV$3)"),"#REF!")</f>
        <v>#REF!</v>
      </c>
      <c r="AW462" s="19" t="str">
        <f>IFERROR(__xludf.DUMMYFUNCTION("IMPORTRANGE(""https://docs.google.com/spreadsheets/d/""&amp;$A462&amp;""/edit#gid=156619080"",AW$3)"),"#REF!")</f>
        <v>#REF!</v>
      </c>
      <c r="AX462" s="2" t="str">
        <f>IFERROR(__xludf.DUMMYFUNCTION("IMPORTRANGE(""https://docs.google.com/spreadsheets/d/""&amp;$A462&amp;""/edit#gid=156619080"",AX$3)"),"#REF!")</f>
        <v>#REF!</v>
      </c>
      <c r="AY462" s="2" t="str">
        <f>IFERROR(__xludf.DUMMYFUNCTION("IMPORTRANGE(""https://docs.google.com/spreadsheets/d/""&amp;$A462&amp;""/edit#gid=156619080"",AY$3)"),"#REF!")</f>
        <v>#REF!</v>
      </c>
      <c r="AZ462" s="2" t="str">
        <f>IFERROR(__xludf.DUMMYFUNCTION("IMPORTRANGE(""https://docs.google.com/spreadsheets/d/""&amp;$A462&amp;""/edit#gid=156619080"",AZ$3)"),"#REF!")</f>
        <v>#REF!</v>
      </c>
      <c r="BA462" s="2" t="str">
        <f>IFERROR(__xludf.DUMMYFUNCTION("IMPORTRANGE(""https://docs.google.com/spreadsheets/d/""&amp;$A462&amp;""/edit#gid=156619080"",BA$3)"),"#REF!")</f>
        <v>#REF!</v>
      </c>
      <c r="BB462" s="2" t="str">
        <f>IFERROR(__xludf.DUMMYFUNCTION("IMPORTRANGE(""https://docs.google.com/spreadsheets/d/""&amp;$A462&amp;""/edit#gid=156619080"",BB$3)"),"#REF!")</f>
        <v>#REF!</v>
      </c>
      <c r="BC462" s="2" t="str">
        <f>IFERROR(__xludf.DUMMYFUNCTION("IMPORTRANGE(""https://docs.google.com/spreadsheets/d/""&amp;$A462&amp;""/edit#gid=156619080"",BC$3)"),"#REF!")</f>
        <v>#REF!</v>
      </c>
    </row>
    <row r="463" ht="51.0" customHeight="1">
      <c r="A463" s="7" t="str">
        <f t="shared" si="5"/>
        <v>11fOLSe2QsanOsTc3OjzwuhAlOJmH4phhLwibtt_scgg</v>
      </c>
      <c r="B463" s="1" t="s">
        <v>490</v>
      </c>
      <c r="C463" s="2" t="str">
        <f>IFERROR(__xludf.DUMMYFUNCTION("IMPORTRANGE(""https://docs.google.com/spreadsheets/d/""&amp;$A463&amp;""/edit#gid=156619080"",C$3)"),"#REF!")</f>
        <v>#REF!</v>
      </c>
      <c r="D463" s="2" t="str">
        <f>IFERROR(__xludf.DUMMYFUNCTION("IMPORTRANGE(""https://docs.google.com/spreadsheets/d/""&amp;$A463&amp;""/edit#gid=156619080"",D$3)"),"#REF!")</f>
        <v>#REF!</v>
      </c>
      <c r="E463" s="2" t="str">
        <f>IFERROR(__xludf.DUMMYFUNCTION("IMPORTRANGE(""https://docs.google.com/spreadsheets/d/""&amp;$A463&amp;""/edit#gid=156619080"",E$3)"),"#REF!")</f>
        <v>#REF!</v>
      </c>
      <c r="F463" s="2" t="str">
        <f>IFERROR(__xludf.DUMMYFUNCTION("IMPORTRANGE(""https://docs.google.com/spreadsheets/d/""&amp;$A463&amp;""/edit#gid=156619080"",F$3)"),"#REF!")</f>
        <v>#REF!</v>
      </c>
      <c r="G463" s="2" t="str">
        <f>IFERROR(__xludf.DUMMYFUNCTION("IMPORTRANGE(""https://docs.google.com/spreadsheets/d/""&amp;$A463&amp;""/edit#gid=156619080"",G$3)"),"#REF!")</f>
        <v>#REF!</v>
      </c>
      <c r="H463" s="2" t="str">
        <f>IFERROR(__xludf.DUMMYFUNCTION("IMPORTRANGE(""https://docs.google.com/spreadsheets/d/""&amp;$A463&amp;""/edit#gid=156619080"",H$3)"),"#REF!")</f>
        <v>#REF!</v>
      </c>
      <c r="I463" s="2" t="str">
        <f>IFERROR(__xludf.DUMMYFUNCTION("IMPORTRANGE(""https://docs.google.com/spreadsheets/d/""&amp;$A463&amp;""/edit#gid=156619080"",I$3)"),"#REF!")</f>
        <v>#REF!</v>
      </c>
      <c r="J463" s="2" t="str">
        <f>IFERROR(__xludf.DUMMYFUNCTION("IMPORTRANGE(""https://docs.google.com/spreadsheets/d/""&amp;$A463&amp;""/edit#gid=156619080"",J$3)"),"#REF!")</f>
        <v>#REF!</v>
      </c>
      <c r="K463" s="2" t="str">
        <f>IFERROR(__xludf.DUMMYFUNCTION("IMPORTRANGE(""https://docs.google.com/spreadsheets/d/""&amp;$A463&amp;""/edit#gid=156619080"",K$3)"),"#REF!")</f>
        <v>#REF!</v>
      </c>
      <c r="L463" s="2" t="str">
        <f>IFERROR(__xludf.DUMMYFUNCTION("IMPORTRANGE(""https://docs.google.com/spreadsheets/d/""&amp;$A463&amp;""/edit#gid=156619080"",L$3)"),"#REF!")</f>
        <v>#REF!</v>
      </c>
      <c r="M463" s="2" t="str">
        <f>IFERROR(__xludf.DUMMYFUNCTION("IMPORTRANGE(""https://docs.google.com/spreadsheets/d/""&amp;$A463&amp;""/edit#gid=156619080"",M$3)"),"#REF!")</f>
        <v>#REF!</v>
      </c>
      <c r="N463" s="2" t="str">
        <f>IFERROR(__xludf.DUMMYFUNCTION("IMPORTRANGE(""https://docs.google.com/spreadsheets/d/""&amp;$A463&amp;""/edit#gid=156619080"",N$3)"),"#REF!")</f>
        <v>#REF!</v>
      </c>
      <c r="O463" s="2" t="str">
        <f>IFERROR(__xludf.DUMMYFUNCTION("IMPORTRANGE(""https://docs.google.com/spreadsheets/d/""&amp;$A463&amp;""/edit#gid=156619080"",O$3)"),"#REF!")</f>
        <v>#REF!</v>
      </c>
      <c r="P463" s="2" t="str">
        <f>IFERROR(__xludf.DUMMYFUNCTION("IMPORTRANGE(""https://docs.google.com/spreadsheets/d/""&amp;$A463&amp;""/edit#gid=156619080"",P$3)"),"#REF!")</f>
        <v>#REF!</v>
      </c>
      <c r="Q463" s="2" t="str">
        <f>IFERROR(__xludf.DUMMYFUNCTION("IMPORTRANGE(""https://docs.google.com/spreadsheets/d/""&amp;$A463&amp;""/edit#gid=156619080"",Q$3)"),"#REF!")</f>
        <v>#REF!</v>
      </c>
      <c r="R463" s="2" t="str">
        <f>IFERROR(__xludf.DUMMYFUNCTION("IMPORTRANGE(""https://docs.google.com/spreadsheets/d/""&amp;$A463&amp;""/edit#gid=156619080"",R$3)"),"#REF!")</f>
        <v>#REF!</v>
      </c>
      <c r="S463" s="2" t="str">
        <f>IFERROR(__xludf.DUMMYFUNCTION("IMPORTRANGE(""https://docs.google.com/spreadsheets/d/""&amp;$A463&amp;""/edit#gid=156619080"",S$3)"),"#REF!")</f>
        <v>#REF!</v>
      </c>
      <c r="T463" s="2" t="str">
        <f>IFERROR(__xludf.DUMMYFUNCTION("IMPORTRANGE(""https://docs.google.com/spreadsheets/d/""&amp;$A463&amp;""/edit#gid=156619080"",T$3)"),"#REF!")</f>
        <v>#REF!</v>
      </c>
      <c r="U463" s="2" t="str">
        <f>IFERROR(__xludf.DUMMYFUNCTION("IMPORTRANGE(""https://docs.google.com/spreadsheets/d/""&amp;$A463&amp;""/edit#gid=156619080"",U$3)"),"#REF!")</f>
        <v>#REF!</v>
      </c>
      <c r="V463" s="2" t="str">
        <f>IFERROR(__xludf.DUMMYFUNCTION("IMPORTRANGE(""https://docs.google.com/spreadsheets/d/""&amp;$A463&amp;""/edit#gid=156619080"",V$3)"),"#REF!")</f>
        <v>#REF!</v>
      </c>
      <c r="W463" s="2" t="str">
        <f>IFERROR(__xludf.DUMMYFUNCTION("IMPORTRANGE(""https://docs.google.com/spreadsheets/d/""&amp;$A463&amp;""/edit#gid=156619080"",W$3)"),"#REF!")</f>
        <v>#REF!</v>
      </c>
      <c r="X463" s="2" t="str">
        <f>IFERROR(__xludf.DUMMYFUNCTION("IMPORTRANGE(""https://docs.google.com/spreadsheets/d/""&amp;$A463&amp;""/edit#gid=156619080"",X$3)"),"#REF!")</f>
        <v>#REF!</v>
      </c>
      <c r="Y463" s="2" t="str">
        <f>IFERROR(__xludf.DUMMYFUNCTION("IMPORTRANGE(""https://docs.google.com/spreadsheets/d/""&amp;$A463&amp;""/edit#gid=156619080"",Y$3)"),"#REF!")</f>
        <v>#REF!</v>
      </c>
      <c r="Z463" s="2" t="str">
        <f>IFERROR(__xludf.DUMMYFUNCTION("IMPORTRANGE(""https://docs.google.com/spreadsheets/d/""&amp;$A463&amp;""/edit#gid=156619080"",Z$3)"),"#REF!")</f>
        <v>#REF!</v>
      </c>
      <c r="AA463" s="2" t="str">
        <f>IFERROR(__xludf.DUMMYFUNCTION("IMPORTRANGE(""https://docs.google.com/spreadsheets/d/""&amp;$A463&amp;""/edit#gid=156619080"",AA$3)"),"#REF!")</f>
        <v>#REF!</v>
      </c>
      <c r="AB463" s="2" t="str">
        <f>IFERROR(__xludf.DUMMYFUNCTION("IMPORTRANGE(""https://docs.google.com/spreadsheets/d/""&amp;$A463&amp;""/edit#gid=156619080"",AB$3)"),"#REF!")</f>
        <v>#REF!</v>
      </c>
      <c r="AC463" s="2" t="str">
        <f>IFERROR(__xludf.DUMMYFUNCTION("IMPORTRANGE(""https://docs.google.com/spreadsheets/d/""&amp;$A463&amp;""/edit#gid=156619080"",AC$3)"),"#REF!")</f>
        <v>#REF!</v>
      </c>
      <c r="AD463" s="2" t="str">
        <f>IFERROR(__xludf.DUMMYFUNCTION("IMPORTRANGE(""https://docs.google.com/spreadsheets/d/""&amp;$A463&amp;""/edit#gid=156619080"",AD$3)"),"#REF!")</f>
        <v>#REF!</v>
      </c>
      <c r="AE463" s="2" t="str">
        <f>IFERROR(__xludf.DUMMYFUNCTION("IMPORTRANGE(""https://docs.google.com/spreadsheets/d/""&amp;$A463&amp;""/edit#gid=156619080"",AE$3)"),"#REF!")</f>
        <v>#REF!</v>
      </c>
      <c r="AF463" s="2" t="str">
        <f>IFERROR(__xludf.DUMMYFUNCTION("IMPORTRANGE(""https://docs.google.com/spreadsheets/d/""&amp;$A463&amp;""/edit#gid=156619080"",AF$3)"),"#REF!")</f>
        <v>#REF!</v>
      </c>
      <c r="AG463" s="2" t="str">
        <f>IFERROR(__xludf.DUMMYFUNCTION("IMPORTRANGE(""https://docs.google.com/spreadsheets/d/""&amp;$A463&amp;""/edit#gid=156619080"",AG$3)"),"#REF!")</f>
        <v>#REF!</v>
      </c>
      <c r="AH463" s="2" t="str">
        <f>IFERROR(__xludf.DUMMYFUNCTION("IMPORTRANGE(""https://docs.google.com/spreadsheets/d/""&amp;$A463&amp;""/edit#gid=156619080"",AH$3)"),"#REF!")</f>
        <v>#REF!</v>
      </c>
      <c r="AI463" s="2" t="str">
        <f>IFERROR(__xludf.DUMMYFUNCTION("IMPORTRANGE(""https://docs.google.com/spreadsheets/d/""&amp;$A463&amp;""/edit#gid=156619080"",AI$3)"),"#REF!")</f>
        <v>#REF!</v>
      </c>
      <c r="AJ463" s="2" t="str">
        <f>IFERROR(__xludf.DUMMYFUNCTION("IMPORTRANGE(""https://docs.google.com/spreadsheets/d/""&amp;$A463&amp;""/edit#gid=156619080"",AJ$3)"),"#REF!")</f>
        <v>#REF!</v>
      </c>
      <c r="AK463" s="2" t="str">
        <f>IFERROR(__xludf.DUMMYFUNCTION("IMPORTRANGE(""https://docs.google.com/spreadsheets/d/""&amp;$A463&amp;""/edit#gid=156619080"",AK$3)"),"#REF!")</f>
        <v>#REF!</v>
      </c>
      <c r="AL463" s="2" t="str">
        <f>IFERROR(__xludf.DUMMYFUNCTION("IMPORTRANGE(""https://docs.google.com/spreadsheets/d/""&amp;$A463&amp;""/edit#gid=156619080"",AL$3)"),"#REF!")</f>
        <v>#REF!</v>
      </c>
      <c r="AM463" s="2" t="str">
        <f>IFERROR(__xludf.DUMMYFUNCTION("IMPORTRANGE(""https://docs.google.com/spreadsheets/d/""&amp;$A463&amp;""/edit#gid=156619080"",AM$3)"),"#REF!")</f>
        <v>#REF!</v>
      </c>
      <c r="AN463" s="2" t="str">
        <f>IFERROR(__xludf.DUMMYFUNCTION("IMPORTRANGE(""https://docs.google.com/spreadsheets/d/""&amp;$A463&amp;""/edit#gid=156619080"",AN$3)"),"#REF!")</f>
        <v>#REF!</v>
      </c>
      <c r="AO463" s="2" t="str">
        <f>IFERROR(__xludf.DUMMYFUNCTION("IMPORTRANGE(""https://docs.google.com/spreadsheets/d/""&amp;$A463&amp;""/edit#gid=156619080"",AO$3)"),"#REF!")</f>
        <v>#REF!</v>
      </c>
      <c r="AP463" s="2" t="str">
        <f>IFERROR(__xludf.DUMMYFUNCTION("IMPORTRANGE(""https://docs.google.com/spreadsheets/d/""&amp;$A463&amp;""/edit#gid=156619080"",AP$3)"),"#REF!")</f>
        <v>#REF!</v>
      </c>
      <c r="AQ463" s="2" t="str">
        <f>IFERROR(__xludf.DUMMYFUNCTION("IMPORTRANGE(""https://docs.google.com/spreadsheets/d/""&amp;$A463&amp;""/edit#gid=156619080"",AQ$3)"),"#REF!")</f>
        <v>#REF!</v>
      </c>
      <c r="AR463" s="2" t="str">
        <f>IFERROR(__xludf.DUMMYFUNCTION("IMPORTRANGE(""https://docs.google.com/spreadsheets/d/""&amp;$A463&amp;""/edit#gid=156619080"",AR$3)"),"#REF!")</f>
        <v>#REF!</v>
      </c>
      <c r="AS463" s="19" t="str">
        <f>IFERROR(__xludf.DUMMYFUNCTION("IMPORTRANGE(""https://docs.google.com/spreadsheets/d/""&amp;$A463&amp;""/edit#gid=156619080"",AS$3)"),"#REF!")</f>
        <v>#REF!</v>
      </c>
      <c r="AT463" s="2" t="str">
        <f>IFERROR(__xludf.DUMMYFUNCTION("IMPORTRANGE(""https://docs.google.com/spreadsheets/d/""&amp;$A463&amp;""/edit#gid=156619080"",AT$3)"),"#REF!")</f>
        <v>#REF!</v>
      </c>
      <c r="AU463" s="3" t="str">
        <f>IFERROR(__xludf.DUMMYFUNCTION("IMPORTRANGE(""https://docs.google.com/spreadsheets/d/""&amp;$A463&amp;""/edit#gid=156619080"",AU$3)"),"#REF!")</f>
        <v>#REF!</v>
      </c>
      <c r="AV463" s="2" t="str">
        <f>IFERROR(__xludf.DUMMYFUNCTION("IMPORTRANGE(""https://docs.google.com/spreadsheets/d/""&amp;$A463&amp;""/edit#gid=156619080"",AV$3)"),"#REF!")</f>
        <v>#REF!</v>
      </c>
      <c r="AW463" s="19" t="str">
        <f>IFERROR(__xludf.DUMMYFUNCTION("IMPORTRANGE(""https://docs.google.com/spreadsheets/d/""&amp;$A463&amp;""/edit#gid=156619080"",AW$3)"),"#REF!")</f>
        <v>#REF!</v>
      </c>
      <c r="AX463" s="2" t="str">
        <f>IFERROR(__xludf.DUMMYFUNCTION("IMPORTRANGE(""https://docs.google.com/spreadsheets/d/""&amp;$A463&amp;""/edit#gid=156619080"",AX$3)"),"#REF!")</f>
        <v>#REF!</v>
      </c>
      <c r="AY463" s="2" t="str">
        <f>IFERROR(__xludf.DUMMYFUNCTION("IMPORTRANGE(""https://docs.google.com/spreadsheets/d/""&amp;$A463&amp;""/edit#gid=156619080"",AY$3)"),"#REF!")</f>
        <v>#REF!</v>
      </c>
      <c r="AZ463" s="2" t="str">
        <f>IFERROR(__xludf.DUMMYFUNCTION("IMPORTRANGE(""https://docs.google.com/spreadsheets/d/""&amp;$A463&amp;""/edit#gid=156619080"",AZ$3)"),"#REF!")</f>
        <v>#REF!</v>
      </c>
      <c r="BA463" s="2" t="str">
        <f>IFERROR(__xludf.DUMMYFUNCTION("IMPORTRANGE(""https://docs.google.com/spreadsheets/d/""&amp;$A463&amp;""/edit#gid=156619080"",BA$3)"),"#REF!")</f>
        <v>#REF!</v>
      </c>
      <c r="BB463" s="2" t="str">
        <f>IFERROR(__xludf.DUMMYFUNCTION("IMPORTRANGE(""https://docs.google.com/spreadsheets/d/""&amp;$A463&amp;""/edit#gid=156619080"",BB$3)"),"#REF!")</f>
        <v>#REF!</v>
      </c>
      <c r="BC463" s="2" t="str">
        <f>IFERROR(__xludf.DUMMYFUNCTION("IMPORTRANGE(""https://docs.google.com/spreadsheets/d/""&amp;$A463&amp;""/edit#gid=156619080"",BC$3)"),"#REF!")</f>
        <v>#REF!</v>
      </c>
    </row>
    <row r="464" ht="51.0" customHeight="1">
      <c r="A464" s="7" t="str">
        <f t="shared" si="5"/>
        <v>1wA8wuKHKz-dNEjP4mGFyzUW3cz7S010KkQEj0Xbl7g4</v>
      </c>
      <c r="B464" s="1" t="s">
        <v>491</v>
      </c>
      <c r="C464" s="2" t="str">
        <f>IFERROR(__xludf.DUMMYFUNCTION("IMPORTRANGE(""https://docs.google.com/spreadsheets/d/""&amp;$A464&amp;""/edit#gid=156619080"",C$3)"),"#REF!")</f>
        <v>#REF!</v>
      </c>
      <c r="D464" s="2" t="str">
        <f>IFERROR(__xludf.DUMMYFUNCTION("IMPORTRANGE(""https://docs.google.com/spreadsheets/d/""&amp;$A464&amp;""/edit#gid=156619080"",D$3)"),"#REF!")</f>
        <v>#REF!</v>
      </c>
      <c r="E464" s="2" t="str">
        <f>IFERROR(__xludf.DUMMYFUNCTION("IMPORTRANGE(""https://docs.google.com/spreadsheets/d/""&amp;$A464&amp;""/edit#gid=156619080"",E$3)"),"#REF!")</f>
        <v>#REF!</v>
      </c>
      <c r="F464" s="2" t="str">
        <f>IFERROR(__xludf.DUMMYFUNCTION("IMPORTRANGE(""https://docs.google.com/spreadsheets/d/""&amp;$A464&amp;""/edit#gid=156619080"",F$3)"),"#REF!")</f>
        <v>#REF!</v>
      </c>
      <c r="G464" s="2" t="str">
        <f>IFERROR(__xludf.DUMMYFUNCTION("IMPORTRANGE(""https://docs.google.com/spreadsheets/d/""&amp;$A464&amp;""/edit#gid=156619080"",G$3)"),"#REF!")</f>
        <v>#REF!</v>
      </c>
      <c r="H464" s="2" t="str">
        <f>IFERROR(__xludf.DUMMYFUNCTION("IMPORTRANGE(""https://docs.google.com/spreadsheets/d/""&amp;$A464&amp;""/edit#gid=156619080"",H$3)"),"#REF!")</f>
        <v>#REF!</v>
      </c>
      <c r="I464" s="2" t="str">
        <f>IFERROR(__xludf.DUMMYFUNCTION("IMPORTRANGE(""https://docs.google.com/spreadsheets/d/""&amp;$A464&amp;""/edit#gid=156619080"",I$3)"),"#REF!")</f>
        <v>#REF!</v>
      </c>
      <c r="J464" s="2" t="str">
        <f>IFERROR(__xludf.DUMMYFUNCTION("IMPORTRANGE(""https://docs.google.com/spreadsheets/d/""&amp;$A464&amp;""/edit#gid=156619080"",J$3)"),"#REF!")</f>
        <v>#REF!</v>
      </c>
      <c r="K464" s="2" t="str">
        <f>IFERROR(__xludf.DUMMYFUNCTION("IMPORTRANGE(""https://docs.google.com/spreadsheets/d/""&amp;$A464&amp;""/edit#gid=156619080"",K$3)"),"#REF!")</f>
        <v>#REF!</v>
      </c>
      <c r="L464" s="2" t="str">
        <f>IFERROR(__xludf.DUMMYFUNCTION("IMPORTRANGE(""https://docs.google.com/spreadsheets/d/""&amp;$A464&amp;""/edit#gid=156619080"",L$3)"),"#REF!")</f>
        <v>#REF!</v>
      </c>
      <c r="M464" s="2" t="str">
        <f>IFERROR(__xludf.DUMMYFUNCTION("IMPORTRANGE(""https://docs.google.com/spreadsheets/d/""&amp;$A464&amp;""/edit#gid=156619080"",M$3)"),"#REF!")</f>
        <v>#REF!</v>
      </c>
      <c r="N464" s="2" t="str">
        <f>IFERROR(__xludf.DUMMYFUNCTION("IMPORTRANGE(""https://docs.google.com/spreadsheets/d/""&amp;$A464&amp;""/edit#gid=156619080"",N$3)"),"#REF!")</f>
        <v>#REF!</v>
      </c>
      <c r="O464" s="2" t="str">
        <f>IFERROR(__xludf.DUMMYFUNCTION("IMPORTRANGE(""https://docs.google.com/spreadsheets/d/""&amp;$A464&amp;""/edit#gid=156619080"",O$3)"),"#REF!")</f>
        <v>#REF!</v>
      </c>
      <c r="P464" s="2" t="str">
        <f>IFERROR(__xludf.DUMMYFUNCTION("IMPORTRANGE(""https://docs.google.com/spreadsheets/d/""&amp;$A464&amp;""/edit#gid=156619080"",P$3)"),"#REF!")</f>
        <v>#REF!</v>
      </c>
      <c r="Q464" s="2" t="str">
        <f>IFERROR(__xludf.DUMMYFUNCTION("IMPORTRANGE(""https://docs.google.com/spreadsheets/d/""&amp;$A464&amp;""/edit#gid=156619080"",Q$3)"),"#REF!")</f>
        <v>#REF!</v>
      </c>
      <c r="R464" s="2" t="str">
        <f>IFERROR(__xludf.DUMMYFUNCTION("IMPORTRANGE(""https://docs.google.com/spreadsheets/d/""&amp;$A464&amp;""/edit#gid=156619080"",R$3)"),"#REF!")</f>
        <v>#REF!</v>
      </c>
      <c r="S464" s="2" t="str">
        <f>IFERROR(__xludf.DUMMYFUNCTION("IMPORTRANGE(""https://docs.google.com/spreadsheets/d/""&amp;$A464&amp;""/edit#gid=156619080"",S$3)"),"#REF!")</f>
        <v>#REF!</v>
      </c>
      <c r="T464" s="2" t="str">
        <f>IFERROR(__xludf.DUMMYFUNCTION("IMPORTRANGE(""https://docs.google.com/spreadsheets/d/""&amp;$A464&amp;""/edit#gid=156619080"",T$3)"),"#REF!")</f>
        <v>#REF!</v>
      </c>
      <c r="U464" s="2" t="str">
        <f>IFERROR(__xludf.DUMMYFUNCTION("IMPORTRANGE(""https://docs.google.com/spreadsheets/d/""&amp;$A464&amp;""/edit#gid=156619080"",U$3)"),"#REF!")</f>
        <v>#REF!</v>
      </c>
      <c r="V464" s="2" t="str">
        <f>IFERROR(__xludf.DUMMYFUNCTION("IMPORTRANGE(""https://docs.google.com/spreadsheets/d/""&amp;$A464&amp;""/edit#gid=156619080"",V$3)"),"#REF!")</f>
        <v>#REF!</v>
      </c>
      <c r="W464" s="2" t="str">
        <f>IFERROR(__xludf.DUMMYFUNCTION("IMPORTRANGE(""https://docs.google.com/spreadsheets/d/""&amp;$A464&amp;""/edit#gid=156619080"",W$3)"),"#REF!")</f>
        <v>#REF!</v>
      </c>
      <c r="X464" s="2" t="str">
        <f>IFERROR(__xludf.DUMMYFUNCTION("IMPORTRANGE(""https://docs.google.com/spreadsheets/d/""&amp;$A464&amp;""/edit#gid=156619080"",X$3)"),"#REF!")</f>
        <v>#REF!</v>
      </c>
      <c r="Y464" s="2" t="str">
        <f>IFERROR(__xludf.DUMMYFUNCTION("IMPORTRANGE(""https://docs.google.com/spreadsheets/d/""&amp;$A464&amp;""/edit#gid=156619080"",Y$3)"),"#REF!")</f>
        <v>#REF!</v>
      </c>
      <c r="Z464" s="2" t="str">
        <f>IFERROR(__xludf.DUMMYFUNCTION("IMPORTRANGE(""https://docs.google.com/spreadsheets/d/""&amp;$A464&amp;""/edit#gid=156619080"",Z$3)"),"#REF!")</f>
        <v>#REF!</v>
      </c>
      <c r="AA464" s="2" t="str">
        <f>IFERROR(__xludf.DUMMYFUNCTION("IMPORTRANGE(""https://docs.google.com/spreadsheets/d/""&amp;$A464&amp;""/edit#gid=156619080"",AA$3)"),"#REF!")</f>
        <v>#REF!</v>
      </c>
      <c r="AB464" s="2" t="str">
        <f>IFERROR(__xludf.DUMMYFUNCTION("IMPORTRANGE(""https://docs.google.com/spreadsheets/d/""&amp;$A464&amp;""/edit#gid=156619080"",AB$3)"),"#REF!")</f>
        <v>#REF!</v>
      </c>
      <c r="AC464" s="2" t="str">
        <f>IFERROR(__xludf.DUMMYFUNCTION("IMPORTRANGE(""https://docs.google.com/spreadsheets/d/""&amp;$A464&amp;""/edit#gid=156619080"",AC$3)"),"#REF!")</f>
        <v>#REF!</v>
      </c>
      <c r="AD464" s="2" t="str">
        <f>IFERROR(__xludf.DUMMYFUNCTION("IMPORTRANGE(""https://docs.google.com/spreadsheets/d/""&amp;$A464&amp;""/edit#gid=156619080"",AD$3)"),"#REF!")</f>
        <v>#REF!</v>
      </c>
      <c r="AE464" s="2" t="str">
        <f>IFERROR(__xludf.DUMMYFUNCTION("IMPORTRANGE(""https://docs.google.com/spreadsheets/d/""&amp;$A464&amp;""/edit#gid=156619080"",AE$3)"),"#REF!")</f>
        <v>#REF!</v>
      </c>
      <c r="AF464" s="2" t="str">
        <f>IFERROR(__xludf.DUMMYFUNCTION("IMPORTRANGE(""https://docs.google.com/spreadsheets/d/""&amp;$A464&amp;""/edit#gid=156619080"",AF$3)"),"#REF!")</f>
        <v>#REF!</v>
      </c>
      <c r="AG464" s="2" t="str">
        <f>IFERROR(__xludf.DUMMYFUNCTION("IMPORTRANGE(""https://docs.google.com/spreadsheets/d/""&amp;$A464&amp;""/edit#gid=156619080"",AG$3)"),"#REF!")</f>
        <v>#REF!</v>
      </c>
      <c r="AH464" s="2" t="str">
        <f>IFERROR(__xludf.DUMMYFUNCTION("IMPORTRANGE(""https://docs.google.com/spreadsheets/d/""&amp;$A464&amp;""/edit#gid=156619080"",AH$3)"),"#REF!")</f>
        <v>#REF!</v>
      </c>
      <c r="AI464" s="2" t="str">
        <f>IFERROR(__xludf.DUMMYFUNCTION("IMPORTRANGE(""https://docs.google.com/spreadsheets/d/""&amp;$A464&amp;""/edit#gid=156619080"",AI$3)"),"#REF!")</f>
        <v>#REF!</v>
      </c>
      <c r="AJ464" s="2" t="str">
        <f>IFERROR(__xludf.DUMMYFUNCTION("IMPORTRANGE(""https://docs.google.com/spreadsheets/d/""&amp;$A464&amp;""/edit#gid=156619080"",AJ$3)"),"#REF!")</f>
        <v>#REF!</v>
      </c>
      <c r="AK464" s="2" t="str">
        <f>IFERROR(__xludf.DUMMYFUNCTION("IMPORTRANGE(""https://docs.google.com/spreadsheets/d/""&amp;$A464&amp;""/edit#gid=156619080"",AK$3)"),"#REF!")</f>
        <v>#REF!</v>
      </c>
      <c r="AL464" s="2" t="str">
        <f>IFERROR(__xludf.DUMMYFUNCTION("IMPORTRANGE(""https://docs.google.com/spreadsheets/d/""&amp;$A464&amp;""/edit#gid=156619080"",AL$3)"),"#REF!")</f>
        <v>#REF!</v>
      </c>
      <c r="AM464" s="2" t="str">
        <f>IFERROR(__xludf.DUMMYFUNCTION("IMPORTRANGE(""https://docs.google.com/spreadsheets/d/""&amp;$A464&amp;""/edit#gid=156619080"",AM$3)"),"#REF!")</f>
        <v>#REF!</v>
      </c>
      <c r="AN464" s="2" t="str">
        <f>IFERROR(__xludf.DUMMYFUNCTION("IMPORTRANGE(""https://docs.google.com/spreadsheets/d/""&amp;$A464&amp;""/edit#gid=156619080"",AN$3)"),"#REF!")</f>
        <v>#REF!</v>
      </c>
      <c r="AO464" s="2" t="str">
        <f>IFERROR(__xludf.DUMMYFUNCTION("IMPORTRANGE(""https://docs.google.com/spreadsheets/d/""&amp;$A464&amp;""/edit#gid=156619080"",AO$3)"),"#REF!")</f>
        <v>#REF!</v>
      </c>
      <c r="AP464" s="2" t="str">
        <f>IFERROR(__xludf.DUMMYFUNCTION("IMPORTRANGE(""https://docs.google.com/spreadsheets/d/""&amp;$A464&amp;""/edit#gid=156619080"",AP$3)"),"#REF!")</f>
        <v>#REF!</v>
      </c>
      <c r="AQ464" s="2" t="str">
        <f>IFERROR(__xludf.DUMMYFUNCTION("IMPORTRANGE(""https://docs.google.com/spreadsheets/d/""&amp;$A464&amp;""/edit#gid=156619080"",AQ$3)"),"#REF!")</f>
        <v>#REF!</v>
      </c>
      <c r="AR464" s="2" t="str">
        <f>IFERROR(__xludf.DUMMYFUNCTION("IMPORTRANGE(""https://docs.google.com/spreadsheets/d/""&amp;$A464&amp;""/edit#gid=156619080"",AR$3)"),"#REF!")</f>
        <v>#REF!</v>
      </c>
      <c r="AS464" s="19" t="str">
        <f>IFERROR(__xludf.DUMMYFUNCTION("IMPORTRANGE(""https://docs.google.com/spreadsheets/d/""&amp;$A464&amp;""/edit#gid=156619080"",AS$3)"),"#REF!")</f>
        <v>#REF!</v>
      </c>
      <c r="AT464" s="2" t="str">
        <f>IFERROR(__xludf.DUMMYFUNCTION("IMPORTRANGE(""https://docs.google.com/spreadsheets/d/""&amp;$A464&amp;""/edit#gid=156619080"",AT$3)"),"#REF!")</f>
        <v>#REF!</v>
      </c>
      <c r="AU464" s="3" t="str">
        <f>IFERROR(__xludf.DUMMYFUNCTION("IMPORTRANGE(""https://docs.google.com/spreadsheets/d/""&amp;$A464&amp;""/edit#gid=156619080"",AU$3)"),"#REF!")</f>
        <v>#REF!</v>
      </c>
      <c r="AV464" s="2" t="str">
        <f>IFERROR(__xludf.DUMMYFUNCTION("IMPORTRANGE(""https://docs.google.com/spreadsheets/d/""&amp;$A464&amp;""/edit#gid=156619080"",AV$3)"),"#REF!")</f>
        <v>#REF!</v>
      </c>
      <c r="AW464" s="19" t="str">
        <f>IFERROR(__xludf.DUMMYFUNCTION("IMPORTRANGE(""https://docs.google.com/spreadsheets/d/""&amp;$A464&amp;""/edit#gid=156619080"",AW$3)"),"#REF!")</f>
        <v>#REF!</v>
      </c>
      <c r="AX464" s="2" t="str">
        <f>IFERROR(__xludf.DUMMYFUNCTION("IMPORTRANGE(""https://docs.google.com/spreadsheets/d/""&amp;$A464&amp;""/edit#gid=156619080"",AX$3)"),"#REF!")</f>
        <v>#REF!</v>
      </c>
      <c r="AY464" s="2" t="str">
        <f>IFERROR(__xludf.DUMMYFUNCTION("IMPORTRANGE(""https://docs.google.com/spreadsheets/d/""&amp;$A464&amp;""/edit#gid=156619080"",AY$3)"),"#REF!")</f>
        <v>#REF!</v>
      </c>
      <c r="AZ464" s="2" t="str">
        <f>IFERROR(__xludf.DUMMYFUNCTION("IMPORTRANGE(""https://docs.google.com/spreadsheets/d/""&amp;$A464&amp;""/edit#gid=156619080"",AZ$3)"),"#REF!")</f>
        <v>#REF!</v>
      </c>
      <c r="BA464" s="2" t="str">
        <f>IFERROR(__xludf.DUMMYFUNCTION("IMPORTRANGE(""https://docs.google.com/spreadsheets/d/""&amp;$A464&amp;""/edit#gid=156619080"",BA$3)"),"#REF!")</f>
        <v>#REF!</v>
      </c>
      <c r="BB464" s="2" t="str">
        <f>IFERROR(__xludf.DUMMYFUNCTION("IMPORTRANGE(""https://docs.google.com/spreadsheets/d/""&amp;$A464&amp;""/edit#gid=156619080"",BB$3)"),"#REF!")</f>
        <v>#REF!</v>
      </c>
      <c r="BC464" s="2" t="str">
        <f>IFERROR(__xludf.DUMMYFUNCTION("IMPORTRANGE(""https://docs.google.com/spreadsheets/d/""&amp;$A464&amp;""/edit#gid=156619080"",BC$3)"),"#REF!")</f>
        <v>#REF!</v>
      </c>
    </row>
    <row r="465" ht="51.0" customHeight="1">
      <c r="A465" s="7" t="str">
        <f t="shared" si="5"/>
        <v>1X0YORW1cMVHZi0KbHL_zmPSiIknw7a5hUKbGFbhxXvo</v>
      </c>
      <c r="B465" s="1" t="s">
        <v>492</v>
      </c>
      <c r="C465" s="2" t="str">
        <f>IFERROR(__xludf.DUMMYFUNCTION("IMPORTRANGE(""https://docs.google.com/spreadsheets/d/""&amp;$A465&amp;""/edit#gid=156619080"",C$3)"),"#REF!")</f>
        <v>#REF!</v>
      </c>
      <c r="D465" s="2" t="str">
        <f>IFERROR(__xludf.DUMMYFUNCTION("IMPORTRANGE(""https://docs.google.com/spreadsheets/d/""&amp;$A465&amp;""/edit#gid=156619080"",D$3)"),"#REF!")</f>
        <v>#REF!</v>
      </c>
      <c r="E465" s="2" t="str">
        <f>IFERROR(__xludf.DUMMYFUNCTION("IMPORTRANGE(""https://docs.google.com/spreadsheets/d/""&amp;$A465&amp;""/edit#gid=156619080"",E$3)"),"#REF!")</f>
        <v>#REF!</v>
      </c>
      <c r="F465" s="2" t="str">
        <f>IFERROR(__xludf.DUMMYFUNCTION("IMPORTRANGE(""https://docs.google.com/spreadsheets/d/""&amp;$A465&amp;""/edit#gid=156619080"",F$3)"),"#REF!")</f>
        <v>#REF!</v>
      </c>
      <c r="G465" s="2" t="str">
        <f>IFERROR(__xludf.DUMMYFUNCTION("IMPORTRANGE(""https://docs.google.com/spreadsheets/d/""&amp;$A465&amp;""/edit#gid=156619080"",G$3)"),"#REF!")</f>
        <v>#REF!</v>
      </c>
      <c r="H465" s="2" t="str">
        <f>IFERROR(__xludf.DUMMYFUNCTION("IMPORTRANGE(""https://docs.google.com/spreadsheets/d/""&amp;$A465&amp;""/edit#gid=156619080"",H$3)"),"#REF!")</f>
        <v>#REF!</v>
      </c>
      <c r="I465" s="2" t="str">
        <f>IFERROR(__xludf.DUMMYFUNCTION("IMPORTRANGE(""https://docs.google.com/spreadsheets/d/""&amp;$A465&amp;""/edit#gid=156619080"",I$3)"),"#REF!")</f>
        <v>#REF!</v>
      </c>
      <c r="J465" s="2" t="str">
        <f>IFERROR(__xludf.DUMMYFUNCTION("IMPORTRANGE(""https://docs.google.com/spreadsheets/d/""&amp;$A465&amp;""/edit#gid=156619080"",J$3)"),"#REF!")</f>
        <v>#REF!</v>
      </c>
      <c r="K465" s="2" t="str">
        <f>IFERROR(__xludf.DUMMYFUNCTION("IMPORTRANGE(""https://docs.google.com/spreadsheets/d/""&amp;$A465&amp;""/edit#gid=156619080"",K$3)"),"#REF!")</f>
        <v>#REF!</v>
      </c>
      <c r="L465" s="2" t="str">
        <f>IFERROR(__xludf.DUMMYFUNCTION("IMPORTRANGE(""https://docs.google.com/spreadsheets/d/""&amp;$A465&amp;""/edit#gid=156619080"",L$3)"),"#REF!")</f>
        <v>#REF!</v>
      </c>
      <c r="M465" s="2" t="str">
        <f>IFERROR(__xludf.DUMMYFUNCTION("IMPORTRANGE(""https://docs.google.com/spreadsheets/d/""&amp;$A465&amp;""/edit#gid=156619080"",M$3)"),"#REF!")</f>
        <v>#REF!</v>
      </c>
      <c r="N465" s="2" t="str">
        <f>IFERROR(__xludf.DUMMYFUNCTION("IMPORTRANGE(""https://docs.google.com/spreadsheets/d/""&amp;$A465&amp;""/edit#gid=156619080"",N$3)"),"#REF!")</f>
        <v>#REF!</v>
      </c>
      <c r="O465" s="2" t="str">
        <f>IFERROR(__xludf.DUMMYFUNCTION("IMPORTRANGE(""https://docs.google.com/spreadsheets/d/""&amp;$A465&amp;""/edit#gid=156619080"",O$3)"),"#REF!")</f>
        <v>#REF!</v>
      </c>
      <c r="P465" s="2" t="str">
        <f>IFERROR(__xludf.DUMMYFUNCTION("IMPORTRANGE(""https://docs.google.com/spreadsheets/d/""&amp;$A465&amp;""/edit#gid=156619080"",P$3)"),"#REF!")</f>
        <v>#REF!</v>
      </c>
      <c r="Q465" s="2" t="str">
        <f>IFERROR(__xludf.DUMMYFUNCTION("IMPORTRANGE(""https://docs.google.com/spreadsheets/d/""&amp;$A465&amp;""/edit#gid=156619080"",Q$3)"),"#REF!")</f>
        <v>#REF!</v>
      </c>
      <c r="R465" s="2" t="str">
        <f>IFERROR(__xludf.DUMMYFUNCTION("IMPORTRANGE(""https://docs.google.com/spreadsheets/d/""&amp;$A465&amp;""/edit#gid=156619080"",R$3)"),"#REF!")</f>
        <v>#REF!</v>
      </c>
      <c r="S465" s="2" t="str">
        <f>IFERROR(__xludf.DUMMYFUNCTION("IMPORTRANGE(""https://docs.google.com/spreadsheets/d/""&amp;$A465&amp;""/edit#gid=156619080"",S$3)"),"#REF!")</f>
        <v>#REF!</v>
      </c>
      <c r="T465" s="2" t="str">
        <f>IFERROR(__xludf.DUMMYFUNCTION("IMPORTRANGE(""https://docs.google.com/spreadsheets/d/""&amp;$A465&amp;""/edit#gid=156619080"",T$3)"),"#REF!")</f>
        <v>#REF!</v>
      </c>
      <c r="U465" s="2" t="str">
        <f>IFERROR(__xludf.DUMMYFUNCTION("IMPORTRANGE(""https://docs.google.com/spreadsheets/d/""&amp;$A465&amp;""/edit#gid=156619080"",U$3)"),"#REF!")</f>
        <v>#REF!</v>
      </c>
      <c r="V465" s="2" t="str">
        <f>IFERROR(__xludf.DUMMYFUNCTION("IMPORTRANGE(""https://docs.google.com/spreadsheets/d/""&amp;$A465&amp;""/edit#gid=156619080"",V$3)"),"#REF!")</f>
        <v>#REF!</v>
      </c>
      <c r="W465" s="2" t="str">
        <f>IFERROR(__xludf.DUMMYFUNCTION("IMPORTRANGE(""https://docs.google.com/spreadsheets/d/""&amp;$A465&amp;""/edit#gid=156619080"",W$3)"),"#REF!")</f>
        <v>#REF!</v>
      </c>
      <c r="X465" s="2" t="str">
        <f>IFERROR(__xludf.DUMMYFUNCTION("IMPORTRANGE(""https://docs.google.com/spreadsheets/d/""&amp;$A465&amp;""/edit#gid=156619080"",X$3)"),"#REF!")</f>
        <v>#REF!</v>
      </c>
      <c r="Y465" s="2" t="str">
        <f>IFERROR(__xludf.DUMMYFUNCTION("IMPORTRANGE(""https://docs.google.com/spreadsheets/d/""&amp;$A465&amp;""/edit#gid=156619080"",Y$3)"),"#REF!")</f>
        <v>#REF!</v>
      </c>
      <c r="Z465" s="2" t="str">
        <f>IFERROR(__xludf.DUMMYFUNCTION("IMPORTRANGE(""https://docs.google.com/spreadsheets/d/""&amp;$A465&amp;""/edit#gid=156619080"",Z$3)"),"#REF!")</f>
        <v>#REF!</v>
      </c>
      <c r="AA465" s="2" t="str">
        <f>IFERROR(__xludf.DUMMYFUNCTION("IMPORTRANGE(""https://docs.google.com/spreadsheets/d/""&amp;$A465&amp;""/edit#gid=156619080"",AA$3)"),"#REF!")</f>
        <v>#REF!</v>
      </c>
      <c r="AB465" s="2" t="str">
        <f>IFERROR(__xludf.DUMMYFUNCTION("IMPORTRANGE(""https://docs.google.com/spreadsheets/d/""&amp;$A465&amp;""/edit#gid=156619080"",AB$3)"),"#REF!")</f>
        <v>#REF!</v>
      </c>
      <c r="AC465" s="2" t="str">
        <f>IFERROR(__xludf.DUMMYFUNCTION("IMPORTRANGE(""https://docs.google.com/spreadsheets/d/""&amp;$A465&amp;""/edit#gid=156619080"",AC$3)"),"#REF!")</f>
        <v>#REF!</v>
      </c>
      <c r="AD465" s="2" t="str">
        <f>IFERROR(__xludf.DUMMYFUNCTION("IMPORTRANGE(""https://docs.google.com/spreadsheets/d/""&amp;$A465&amp;""/edit#gid=156619080"",AD$3)"),"#REF!")</f>
        <v>#REF!</v>
      </c>
      <c r="AE465" s="2" t="str">
        <f>IFERROR(__xludf.DUMMYFUNCTION("IMPORTRANGE(""https://docs.google.com/spreadsheets/d/""&amp;$A465&amp;""/edit#gid=156619080"",AE$3)"),"#REF!")</f>
        <v>#REF!</v>
      </c>
      <c r="AF465" s="2" t="str">
        <f>IFERROR(__xludf.DUMMYFUNCTION("IMPORTRANGE(""https://docs.google.com/spreadsheets/d/""&amp;$A465&amp;""/edit#gid=156619080"",AF$3)"),"#REF!")</f>
        <v>#REF!</v>
      </c>
      <c r="AG465" s="2" t="str">
        <f>IFERROR(__xludf.DUMMYFUNCTION("IMPORTRANGE(""https://docs.google.com/spreadsheets/d/""&amp;$A465&amp;""/edit#gid=156619080"",AG$3)"),"#REF!")</f>
        <v>#REF!</v>
      </c>
      <c r="AH465" s="2" t="str">
        <f>IFERROR(__xludf.DUMMYFUNCTION("IMPORTRANGE(""https://docs.google.com/spreadsheets/d/""&amp;$A465&amp;""/edit#gid=156619080"",AH$3)"),"#REF!")</f>
        <v>#REF!</v>
      </c>
      <c r="AI465" s="2" t="str">
        <f>IFERROR(__xludf.DUMMYFUNCTION("IMPORTRANGE(""https://docs.google.com/spreadsheets/d/""&amp;$A465&amp;""/edit#gid=156619080"",AI$3)"),"#REF!")</f>
        <v>#REF!</v>
      </c>
      <c r="AJ465" s="2" t="str">
        <f>IFERROR(__xludf.DUMMYFUNCTION("IMPORTRANGE(""https://docs.google.com/spreadsheets/d/""&amp;$A465&amp;""/edit#gid=156619080"",AJ$3)"),"#REF!")</f>
        <v>#REF!</v>
      </c>
      <c r="AK465" s="2" t="str">
        <f>IFERROR(__xludf.DUMMYFUNCTION("IMPORTRANGE(""https://docs.google.com/spreadsheets/d/""&amp;$A465&amp;""/edit#gid=156619080"",AK$3)"),"#REF!")</f>
        <v>#REF!</v>
      </c>
      <c r="AL465" s="2" t="str">
        <f>IFERROR(__xludf.DUMMYFUNCTION("IMPORTRANGE(""https://docs.google.com/spreadsheets/d/""&amp;$A465&amp;""/edit#gid=156619080"",AL$3)"),"#REF!")</f>
        <v>#REF!</v>
      </c>
      <c r="AM465" s="2" t="str">
        <f>IFERROR(__xludf.DUMMYFUNCTION("IMPORTRANGE(""https://docs.google.com/spreadsheets/d/""&amp;$A465&amp;""/edit#gid=156619080"",AM$3)"),"#REF!")</f>
        <v>#REF!</v>
      </c>
      <c r="AN465" s="2" t="str">
        <f>IFERROR(__xludf.DUMMYFUNCTION("IMPORTRANGE(""https://docs.google.com/spreadsheets/d/""&amp;$A465&amp;""/edit#gid=156619080"",AN$3)"),"#REF!")</f>
        <v>#REF!</v>
      </c>
      <c r="AO465" s="2" t="str">
        <f>IFERROR(__xludf.DUMMYFUNCTION("IMPORTRANGE(""https://docs.google.com/spreadsheets/d/""&amp;$A465&amp;""/edit#gid=156619080"",AO$3)"),"#REF!")</f>
        <v>#REF!</v>
      </c>
      <c r="AP465" s="2" t="str">
        <f>IFERROR(__xludf.DUMMYFUNCTION("IMPORTRANGE(""https://docs.google.com/spreadsheets/d/""&amp;$A465&amp;""/edit#gid=156619080"",AP$3)"),"#REF!")</f>
        <v>#REF!</v>
      </c>
      <c r="AQ465" s="2" t="str">
        <f>IFERROR(__xludf.DUMMYFUNCTION("IMPORTRANGE(""https://docs.google.com/spreadsheets/d/""&amp;$A465&amp;""/edit#gid=156619080"",AQ$3)"),"#REF!")</f>
        <v>#REF!</v>
      </c>
      <c r="AR465" s="2" t="str">
        <f>IFERROR(__xludf.DUMMYFUNCTION("IMPORTRANGE(""https://docs.google.com/spreadsheets/d/""&amp;$A465&amp;""/edit#gid=156619080"",AR$3)"),"#REF!")</f>
        <v>#REF!</v>
      </c>
      <c r="AS465" s="19" t="str">
        <f>IFERROR(__xludf.DUMMYFUNCTION("IMPORTRANGE(""https://docs.google.com/spreadsheets/d/""&amp;$A465&amp;""/edit#gid=156619080"",AS$3)"),"#REF!")</f>
        <v>#REF!</v>
      </c>
      <c r="AT465" s="2" t="str">
        <f>IFERROR(__xludf.DUMMYFUNCTION("IMPORTRANGE(""https://docs.google.com/spreadsheets/d/""&amp;$A465&amp;""/edit#gid=156619080"",AT$3)"),"#REF!")</f>
        <v>#REF!</v>
      </c>
      <c r="AU465" s="3" t="str">
        <f>IFERROR(__xludf.DUMMYFUNCTION("IMPORTRANGE(""https://docs.google.com/spreadsheets/d/""&amp;$A465&amp;""/edit#gid=156619080"",AU$3)"),"#REF!")</f>
        <v>#REF!</v>
      </c>
      <c r="AV465" s="2" t="str">
        <f>IFERROR(__xludf.DUMMYFUNCTION("IMPORTRANGE(""https://docs.google.com/spreadsheets/d/""&amp;$A465&amp;""/edit#gid=156619080"",AV$3)"),"#REF!")</f>
        <v>#REF!</v>
      </c>
      <c r="AW465" s="19" t="str">
        <f>IFERROR(__xludf.DUMMYFUNCTION("IMPORTRANGE(""https://docs.google.com/spreadsheets/d/""&amp;$A465&amp;""/edit#gid=156619080"",AW$3)"),"#REF!")</f>
        <v>#REF!</v>
      </c>
      <c r="AX465" s="2" t="str">
        <f>IFERROR(__xludf.DUMMYFUNCTION("IMPORTRANGE(""https://docs.google.com/spreadsheets/d/""&amp;$A465&amp;""/edit#gid=156619080"",AX$3)"),"#REF!")</f>
        <v>#REF!</v>
      </c>
      <c r="AY465" s="2" t="str">
        <f>IFERROR(__xludf.DUMMYFUNCTION("IMPORTRANGE(""https://docs.google.com/spreadsheets/d/""&amp;$A465&amp;""/edit#gid=156619080"",AY$3)"),"#REF!")</f>
        <v>#REF!</v>
      </c>
      <c r="AZ465" s="2" t="str">
        <f>IFERROR(__xludf.DUMMYFUNCTION("IMPORTRANGE(""https://docs.google.com/spreadsheets/d/""&amp;$A465&amp;""/edit#gid=156619080"",AZ$3)"),"#REF!")</f>
        <v>#REF!</v>
      </c>
      <c r="BA465" s="2" t="str">
        <f>IFERROR(__xludf.DUMMYFUNCTION("IMPORTRANGE(""https://docs.google.com/spreadsheets/d/""&amp;$A465&amp;""/edit#gid=156619080"",BA$3)"),"#REF!")</f>
        <v>#REF!</v>
      </c>
      <c r="BB465" s="2" t="str">
        <f>IFERROR(__xludf.DUMMYFUNCTION("IMPORTRANGE(""https://docs.google.com/spreadsheets/d/""&amp;$A465&amp;""/edit#gid=156619080"",BB$3)"),"#REF!")</f>
        <v>#REF!</v>
      </c>
      <c r="BC465" s="2" t="str">
        <f>IFERROR(__xludf.DUMMYFUNCTION("IMPORTRANGE(""https://docs.google.com/spreadsheets/d/""&amp;$A465&amp;""/edit#gid=156619080"",BC$3)"),"#REF!")</f>
        <v>#REF!</v>
      </c>
    </row>
    <row r="466" ht="51.0" customHeight="1">
      <c r="A466" s="7" t="str">
        <f t="shared" si="5"/>
        <v>13n7PM45k2PZ1YMgrp0gKp0RoaQjXtRnCfjugTFlQEnM</v>
      </c>
      <c r="B466" s="1" t="s">
        <v>493</v>
      </c>
      <c r="C466" s="2" t="str">
        <f>IFERROR(__xludf.DUMMYFUNCTION("IMPORTRANGE(""https://docs.google.com/spreadsheets/d/""&amp;$A466&amp;""/edit#gid=156619080"",C$3)"),"#REF!")</f>
        <v>#REF!</v>
      </c>
      <c r="D466" s="2" t="str">
        <f>IFERROR(__xludf.DUMMYFUNCTION("IMPORTRANGE(""https://docs.google.com/spreadsheets/d/""&amp;$A466&amp;""/edit#gid=156619080"",D$3)"),"#REF!")</f>
        <v>#REF!</v>
      </c>
      <c r="E466" s="2" t="str">
        <f>IFERROR(__xludf.DUMMYFUNCTION("IMPORTRANGE(""https://docs.google.com/spreadsheets/d/""&amp;$A466&amp;""/edit#gid=156619080"",E$3)"),"#REF!")</f>
        <v>#REF!</v>
      </c>
      <c r="F466" s="2" t="str">
        <f>IFERROR(__xludf.DUMMYFUNCTION("IMPORTRANGE(""https://docs.google.com/spreadsheets/d/""&amp;$A466&amp;""/edit#gid=156619080"",F$3)"),"#REF!")</f>
        <v>#REF!</v>
      </c>
      <c r="G466" s="2" t="str">
        <f>IFERROR(__xludf.DUMMYFUNCTION("IMPORTRANGE(""https://docs.google.com/spreadsheets/d/""&amp;$A466&amp;""/edit#gid=156619080"",G$3)"),"#REF!")</f>
        <v>#REF!</v>
      </c>
      <c r="H466" s="2" t="str">
        <f>IFERROR(__xludf.DUMMYFUNCTION("IMPORTRANGE(""https://docs.google.com/spreadsheets/d/""&amp;$A466&amp;""/edit#gid=156619080"",H$3)"),"#REF!")</f>
        <v>#REF!</v>
      </c>
      <c r="I466" s="2" t="str">
        <f>IFERROR(__xludf.DUMMYFUNCTION("IMPORTRANGE(""https://docs.google.com/spreadsheets/d/""&amp;$A466&amp;""/edit#gid=156619080"",I$3)"),"#REF!")</f>
        <v>#REF!</v>
      </c>
      <c r="J466" s="2" t="str">
        <f>IFERROR(__xludf.DUMMYFUNCTION("IMPORTRANGE(""https://docs.google.com/spreadsheets/d/""&amp;$A466&amp;""/edit#gid=156619080"",J$3)"),"#REF!")</f>
        <v>#REF!</v>
      </c>
      <c r="K466" s="2" t="str">
        <f>IFERROR(__xludf.DUMMYFUNCTION("IMPORTRANGE(""https://docs.google.com/spreadsheets/d/""&amp;$A466&amp;""/edit#gid=156619080"",K$3)"),"#REF!")</f>
        <v>#REF!</v>
      </c>
      <c r="L466" s="2" t="str">
        <f>IFERROR(__xludf.DUMMYFUNCTION("IMPORTRANGE(""https://docs.google.com/spreadsheets/d/""&amp;$A466&amp;""/edit#gid=156619080"",L$3)"),"#REF!")</f>
        <v>#REF!</v>
      </c>
      <c r="M466" s="2" t="str">
        <f>IFERROR(__xludf.DUMMYFUNCTION("IMPORTRANGE(""https://docs.google.com/spreadsheets/d/""&amp;$A466&amp;""/edit#gid=156619080"",M$3)"),"#REF!")</f>
        <v>#REF!</v>
      </c>
      <c r="N466" s="2" t="str">
        <f>IFERROR(__xludf.DUMMYFUNCTION("IMPORTRANGE(""https://docs.google.com/spreadsheets/d/""&amp;$A466&amp;""/edit#gid=156619080"",N$3)"),"#REF!")</f>
        <v>#REF!</v>
      </c>
      <c r="O466" s="2" t="str">
        <f>IFERROR(__xludf.DUMMYFUNCTION("IMPORTRANGE(""https://docs.google.com/spreadsheets/d/""&amp;$A466&amp;""/edit#gid=156619080"",O$3)"),"#REF!")</f>
        <v>#REF!</v>
      </c>
      <c r="P466" s="2" t="str">
        <f>IFERROR(__xludf.DUMMYFUNCTION("IMPORTRANGE(""https://docs.google.com/spreadsheets/d/""&amp;$A466&amp;""/edit#gid=156619080"",P$3)"),"#REF!")</f>
        <v>#REF!</v>
      </c>
      <c r="Q466" s="2" t="str">
        <f>IFERROR(__xludf.DUMMYFUNCTION("IMPORTRANGE(""https://docs.google.com/spreadsheets/d/""&amp;$A466&amp;""/edit#gid=156619080"",Q$3)"),"#REF!")</f>
        <v>#REF!</v>
      </c>
      <c r="R466" s="2" t="str">
        <f>IFERROR(__xludf.DUMMYFUNCTION("IMPORTRANGE(""https://docs.google.com/spreadsheets/d/""&amp;$A466&amp;""/edit#gid=156619080"",R$3)"),"#REF!")</f>
        <v>#REF!</v>
      </c>
      <c r="S466" s="2" t="str">
        <f>IFERROR(__xludf.DUMMYFUNCTION("IMPORTRANGE(""https://docs.google.com/spreadsheets/d/""&amp;$A466&amp;""/edit#gid=156619080"",S$3)"),"#REF!")</f>
        <v>#REF!</v>
      </c>
      <c r="T466" s="2" t="str">
        <f>IFERROR(__xludf.DUMMYFUNCTION("IMPORTRANGE(""https://docs.google.com/spreadsheets/d/""&amp;$A466&amp;""/edit#gid=156619080"",T$3)"),"#REF!")</f>
        <v>#REF!</v>
      </c>
      <c r="U466" s="2" t="str">
        <f>IFERROR(__xludf.DUMMYFUNCTION("IMPORTRANGE(""https://docs.google.com/spreadsheets/d/""&amp;$A466&amp;""/edit#gid=156619080"",U$3)"),"#REF!")</f>
        <v>#REF!</v>
      </c>
      <c r="V466" s="2" t="str">
        <f>IFERROR(__xludf.DUMMYFUNCTION("IMPORTRANGE(""https://docs.google.com/spreadsheets/d/""&amp;$A466&amp;""/edit#gid=156619080"",V$3)"),"#REF!")</f>
        <v>#REF!</v>
      </c>
      <c r="W466" s="2" t="str">
        <f>IFERROR(__xludf.DUMMYFUNCTION("IMPORTRANGE(""https://docs.google.com/spreadsheets/d/""&amp;$A466&amp;""/edit#gid=156619080"",W$3)"),"#REF!")</f>
        <v>#REF!</v>
      </c>
      <c r="X466" s="2" t="str">
        <f>IFERROR(__xludf.DUMMYFUNCTION("IMPORTRANGE(""https://docs.google.com/spreadsheets/d/""&amp;$A466&amp;""/edit#gid=156619080"",X$3)"),"#REF!")</f>
        <v>#REF!</v>
      </c>
      <c r="Y466" s="2" t="str">
        <f>IFERROR(__xludf.DUMMYFUNCTION("IMPORTRANGE(""https://docs.google.com/spreadsheets/d/""&amp;$A466&amp;""/edit#gid=156619080"",Y$3)"),"#REF!")</f>
        <v>#REF!</v>
      </c>
      <c r="Z466" s="2" t="str">
        <f>IFERROR(__xludf.DUMMYFUNCTION("IMPORTRANGE(""https://docs.google.com/spreadsheets/d/""&amp;$A466&amp;""/edit#gid=156619080"",Z$3)"),"#REF!")</f>
        <v>#REF!</v>
      </c>
      <c r="AA466" s="2" t="str">
        <f>IFERROR(__xludf.DUMMYFUNCTION("IMPORTRANGE(""https://docs.google.com/spreadsheets/d/""&amp;$A466&amp;""/edit#gid=156619080"",AA$3)"),"#REF!")</f>
        <v>#REF!</v>
      </c>
      <c r="AB466" s="2" t="str">
        <f>IFERROR(__xludf.DUMMYFUNCTION("IMPORTRANGE(""https://docs.google.com/spreadsheets/d/""&amp;$A466&amp;""/edit#gid=156619080"",AB$3)"),"#REF!")</f>
        <v>#REF!</v>
      </c>
      <c r="AC466" s="2" t="str">
        <f>IFERROR(__xludf.DUMMYFUNCTION("IMPORTRANGE(""https://docs.google.com/spreadsheets/d/""&amp;$A466&amp;""/edit#gid=156619080"",AC$3)"),"#REF!")</f>
        <v>#REF!</v>
      </c>
      <c r="AD466" s="2" t="str">
        <f>IFERROR(__xludf.DUMMYFUNCTION("IMPORTRANGE(""https://docs.google.com/spreadsheets/d/""&amp;$A466&amp;""/edit#gid=156619080"",AD$3)"),"#REF!")</f>
        <v>#REF!</v>
      </c>
      <c r="AE466" s="2" t="str">
        <f>IFERROR(__xludf.DUMMYFUNCTION("IMPORTRANGE(""https://docs.google.com/spreadsheets/d/""&amp;$A466&amp;""/edit#gid=156619080"",AE$3)"),"#REF!")</f>
        <v>#REF!</v>
      </c>
      <c r="AF466" s="2" t="str">
        <f>IFERROR(__xludf.DUMMYFUNCTION("IMPORTRANGE(""https://docs.google.com/spreadsheets/d/""&amp;$A466&amp;""/edit#gid=156619080"",AF$3)"),"#REF!")</f>
        <v>#REF!</v>
      </c>
      <c r="AG466" s="2" t="str">
        <f>IFERROR(__xludf.DUMMYFUNCTION("IMPORTRANGE(""https://docs.google.com/spreadsheets/d/""&amp;$A466&amp;""/edit#gid=156619080"",AG$3)"),"#REF!")</f>
        <v>#REF!</v>
      </c>
      <c r="AH466" s="2" t="str">
        <f>IFERROR(__xludf.DUMMYFUNCTION("IMPORTRANGE(""https://docs.google.com/spreadsheets/d/""&amp;$A466&amp;""/edit#gid=156619080"",AH$3)"),"#REF!")</f>
        <v>#REF!</v>
      </c>
      <c r="AI466" s="2" t="str">
        <f>IFERROR(__xludf.DUMMYFUNCTION("IMPORTRANGE(""https://docs.google.com/spreadsheets/d/""&amp;$A466&amp;""/edit#gid=156619080"",AI$3)"),"#REF!")</f>
        <v>#REF!</v>
      </c>
      <c r="AJ466" s="2" t="str">
        <f>IFERROR(__xludf.DUMMYFUNCTION("IMPORTRANGE(""https://docs.google.com/spreadsheets/d/""&amp;$A466&amp;""/edit#gid=156619080"",AJ$3)"),"#REF!")</f>
        <v>#REF!</v>
      </c>
      <c r="AK466" s="2" t="str">
        <f>IFERROR(__xludf.DUMMYFUNCTION("IMPORTRANGE(""https://docs.google.com/spreadsheets/d/""&amp;$A466&amp;""/edit#gid=156619080"",AK$3)"),"#REF!")</f>
        <v>#REF!</v>
      </c>
      <c r="AL466" s="2" t="str">
        <f>IFERROR(__xludf.DUMMYFUNCTION("IMPORTRANGE(""https://docs.google.com/spreadsheets/d/""&amp;$A466&amp;""/edit#gid=156619080"",AL$3)"),"#REF!")</f>
        <v>#REF!</v>
      </c>
      <c r="AM466" s="2" t="str">
        <f>IFERROR(__xludf.DUMMYFUNCTION("IMPORTRANGE(""https://docs.google.com/spreadsheets/d/""&amp;$A466&amp;""/edit#gid=156619080"",AM$3)"),"#REF!")</f>
        <v>#REF!</v>
      </c>
      <c r="AN466" s="2" t="str">
        <f>IFERROR(__xludf.DUMMYFUNCTION("IMPORTRANGE(""https://docs.google.com/spreadsheets/d/""&amp;$A466&amp;""/edit#gid=156619080"",AN$3)"),"#REF!")</f>
        <v>#REF!</v>
      </c>
      <c r="AO466" s="2" t="str">
        <f>IFERROR(__xludf.DUMMYFUNCTION("IMPORTRANGE(""https://docs.google.com/spreadsheets/d/""&amp;$A466&amp;""/edit#gid=156619080"",AO$3)"),"#REF!")</f>
        <v>#REF!</v>
      </c>
      <c r="AP466" s="2" t="str">
        <f>IFERROR(__xludf.DUMMYFUNCTION("IMPORTRANGE(""https://docs.google.com/spreadsheets/d/""&amp;$A466&amp;""/edit#gid=156619080"",AP$3)"),"#REF!")</f>
        <v>#REF!</v>
      </c>
      <c r="AQ466" s="2" t="str">
        <f>IFERROR(__xludf.DUMMYFUNCTION("IMPORTRANGE(""https://docs.google.com/spreadsheets/d/""&amp;$A466&amp;""/edit#gid=156619080"",AQ$3)"),"#REF!")</f>
        <v>#REF!</v>
      </c>
      <c r="AR466" s="2" t="str">
        <f>IFERROR(__xludf.DUMMYFUNCTION("IMPORTRANGE(""https://docs.google.com/spreadsheets/d/""&amp;$A466&amp;""/edit#gid=156619080"",AR$3)"),"#REF!")</f>
        <v>#REF!</v>
      </c>
      <c r="AS466" s="19" t="str">
        <f>IFERROR(__xludf.DUMMYFUNCTION("IMPORTRANGE(""https://docs.google.com/spreadsheets/d/""&amp;$A466&amp;""/edit#gid=156619080"",AS$3)"),"#REF!")</f>
        <v>#REF!</v>
      </c>
      <c r="AT466" s="2" t="str">
        <f>IFERROR(__xludf.DUMMYFUNCTION("IMPORTRANGE(""https://docs.google.com/spreadsheets/d/""&amp;$A466&amp;""/edit#gid=156619080"",AT$3)"),"#REF!")</f>
        <v>#REF!</v>
      </c>
      <c r="AU466" s="3" t="str">
        <f>IFERROR(__xludf.DUMMYFUNCTION("IMPORTRANGE(""https://docs.google.com/spreadsheets/d/""&amp;$A466&amp;""/edit#gid=156619080"",AU$3)"),"#REF!")</f>
        <v>#REF!</v>
      </c>
      <c r="AV466" s="2" t="str">
        <f>IFERROR(__xludf.DUMMYFUNCTION("IMPORTRANGE(""https://docs.google.com/spreadsheets/d/""&amp;$A466&amp;""/edit#gid=156619080"",AV$3)"),"#REF!")</f>
        <v>#REF!</v>
      </c>
      <c r="AW466" s="19" t="str">
        <f>IFERROR(__xludf.DUMMYFUNCTION("IMPORTRANGE(""https://docs.google.com/spreadsheets/d/""&amp;$A466&amp;""/edit#gid=156619080"",AW$3)"),"#REF!")</f>
        <v>#REF!</v>
      </c>
      <c r="AX466" s="2" t="str">
        <f>IFERROR(__xludf.DUMMYFUNCTION("IMPORTRANGE(""https://docs.google.com/spreadsheets/d/""&amp;$A466&amp;""/edit#gid=156619080"",AX$3)"),"#REF!")</f>
        <v>#REF!</v>
      </c>
      <c r="AY466" s="2" t="str">
        <f>IFERROR(__xludf.DUMMYFUNCTION("IMPORTRANGE(""https://docs.google.com/spreadsheets/d/""&amp;$A466&amp;""/edit#gid=156619080"",AY$3)"),"#REF!")</f>
        <v>#REF!</v>
      </c>
      <c r="AZ466" s="2" t="str">
        <f>IFERROR(__xludf.DUMMYFUNCTION("IMPORTRANGE(""https://docs.google.com/spreadsheets/d/""&amp;$A466&amp;""/edit#gid=156619080"",AZ$3)"),"#REF!")</f>
        <v>#REF!</v>
      </c>
      <c r="BA466" s="2" t="str">
        <f>IFERROR(__xludf.DUMMYFUNCTION("IMPORTRANGE(""https://docs.google.com/spreadsheets/d/""&amp;$A466&amp;""/edit#gid=156619080"",BA$3)"),"#REF!")</f>
        <v>#REF!</v>
      </c>
      <c r="BB466" s="2" t="str">
        <f>IFERROR(__xludf.DUMMYFUNCTION("IMPORTRANGE(""https://docs.google.com/spreadsheets/d/""&amp;$A466&amp;""/edit#gid=156619080"",BB$3)"),"#REF!")</f>
        <v>#REF!</v>
      </c>
      <c r="BC466" s="2" t="str">
        <f>IFERROR(__xludf.DUMMYFUNCTION("IMPORTRANGE(""https://docs.google.com/spreadsheets/d/""&amp;$A466&amp;""/edit#gid=156619080"",BC$3)"),"#REF!")</f>
        <v>#REF!</v>
      </c>
    </row>
    <row r="467" ht="51.0" customHeight="1">
      <c r="A467" s="7" t="str">
        <f t="shared" si="5"/>
        <v>1uiSuSRwLG6M9Ed66VgPUVOoSFfDIQFxmQ33RSgIDe7E</v>
      </c>
      <c r="B467" s="1" t="s">
        <v>494</v>
      </c>
      <c r="C467" s="2" t="str">
        <f>IFERROR(__xludf.DUMMYFUNCTION("IMPORTRANGE(""https://docs.google.com/spreadsheets/d/""&amp;$A467&amp;""/edit#gid=156619080"",C$3)"),"#REF!")</f>
        <v>#REF!</v>
      </c>
      <c r="D467" s="2" t="str">
        <f>IFERROR(__xludf.DUMMYFUNCTION("IMPORTRANGE(""https://docs.google.com/spreadsheets/d/""&amp;$A467&amp;""/edit#gid=156619080"",D$3)"),"#REF!")</f>
        <v>#REF!</v>
      </c>
      <c r="E467" s="2" t="str">
        <f>IFERROR(__xludf.DUMMYFUNCTION("IMPORTRANGE(""https://docs.google.com/spreadsheets/d/""&amp;$A467&amp;""/edit#gid=156619080"",E$3)"),"#REF!")</f>
        <v>#REF!</v>
      </c>
      <c r="F467" s="2" t="str">
        <f>IFERROR(__xludf.DUMMYFUNCTION("IMPORTRANGE(""https://docs.google.com/spreadsheets/d/""&amp;$A467&amp;""/edit#gid=156619080"",F$3)"),"#REF!")</f>
        <v>#REF!</v>
      </c>
      <c r="G467" s="2" t="str">
        <f>IFERROR(__xludf.DUMMYFUNCTION("IMPORTRANGE(""https://docs.google.com/spreadsheets/d/""&amp;$A467&amp;""/edit#gid=156619080"",G$3)"),"#REF!")</f>
        <v>#REF!</v>
      </c>
      <c r="H467" s="2" t="str">
        <f>IFERROR(__xludf.DUMMYFUNCTION("IMPORTRANGE(""https://docs.google.com/spreadsheets/d/""&amp;$A467&amp;""/edit#gid=156619080"",H$3)"),"#REF!")</f>
        <v>#REF!</v>
      </c>
      <c r="I467" s="2" t="str">
        <f>IFERROR(__xludf.DUMMYFUNCTION("IMPORTRANGE(""https://docs.google.com/spreadsheets/d/""&amp;$A467&amp;""/edit#gid=156619080"",I$3)"),"#REF!")</f>
        <v>#REF!</v>
      </c>
      <c r="J467" s="2" t="str">
        <f>IFERROR(__xludf.DUMMYFUNCTION("IMPORTRANGE(""https://docs.google.com/spreadsheets/d/""&amp;$A467&amp;""/edit#gid=156619080"",J$3)"),"#REF!")</f>
        <v>#REF!</v>
      </c>
      <c r="K467" s="2" t="str">
        <f>IFERROR(__xludf.DUMMYFUNCTION("IMPORTRANGE(""https://docs.google.com/spreadsheets/d/""&amp;$A467&amp;""/edit#gid=156619080"",K$3)"),"#REF!")</f>
        <v>#REF!</v>
      </c>
      <c r="L467" s="2" t="str">
        <f>IFERROR(__xludf.DUMMYFUNCTION("IMPORTRANGE(""https://docs.google.com/spreadsheets/d/""&amp;$A467&amp;""/edit#gid=156619080"",L$3)"),"#REF!")</f>
        <v>#REF!</v>
      </c>
      <c r="M467" s="2" t="str">
        <f>IFERROR(__xludf.DUMMYFUNCTION("IMPORTRANGE(""https://docs.google.com/spreadsheets/d/""&amp;$A467&amp;""/edit#gid=156619080"",M$3)"),"#REF!")</f>
        <v>#REF!</v>
      </c>
      <c r="N467" s="2" t="str">
        <f>IFERROR(__xludf.DUMMYFUNCTION("IMPORTRANGE(""https://docs.google.com/spreadsheets/d/""&amp;$A467&amp;""/edit#gid=156619080"",N$3)"),"#REF!")</f>
        <v>#REF!</v>
      </c>
      <c r="O467" s="2" t="str">
        <f>IFERROR(__xludf.DUMMYFUNCTION("IMPORTRANGE(""https://docs.google.com/spreadsheets/d/""&amp;$A467&amp;""/edit#gid=156619080"",O$3)"),"#REF!")</f>
        <v>#REF!</v>
      </c>
      <c r="P467" s="2" t="str">
        <f>IFERROR(__xludf.DUMMYFUNCTION("IMPORTRANGE(""https://docs.google.com/spreadsheets/d/""&amp;$A467&amp;""/edit#gid=156619080"",P$3)"),"#REF!")</f>
        <v>#REF!</v>
      </c>
      <c r="Q467" s="2" t="str">
        <f>IFERROR(__xludf.DUMMYFUNCTION("IMPORTRANGE(""https://docs.google.com/spreadsheets/d/""&amp;$A467&amp;""/edit#gid=156619080"",Q$3)"),"#REF!")</f>
        <v>#REF!</v>
      </c>
      <c r="R467" s="2" t="str">
        <f>IFERROR(__xludf.DUMMYFUNCTION("IMPORTRANGE(""https://docs.google.com/spreadsheets/d/""&amp;$A467&amp;""/edit#gid=156619080"",R$3)"),"#REF!")</f>
        <v>#REF!</v>
      </c>
      <c r="S467" s="2" t="str">
        <f>IFERROR(__xludf.DUMMYFUNCTION("IMPORTRANGE(""https://docs.google.com/spreadsheets/d/""&amp;$A467&amp;""/edit#gid=156619080"",S$3)"),"#REF!")</f>
        <v>#REF!</v>
      </c>
      <c r="T467" s="2" t="str">
        <f>IFERROR(__xludf.DUMMYFUNCTION("IMPORTRANGE(""https://docs.google.com/spreadsheets/d/""&amp;$A467&amp;""/edit#gid=156619080"",T$3)"),"#REF!")</f>
        <v>#REF!</v>
      </c>
      <c r="U467" s="2" t="str">
        <f>IFERROR(__xludf.DUMMYFUNCTION("IMPORTRANGE(""https://docs.google.com/spreadsheets/d/""&amp;$A467&amp;""/edit#gid=156619080"",U$3)"),"#REF!")</f>
        <v>#REF!</v>
      </c>
      <c r="V467" s="2" t="str">
        <f>IFERROR(__xludf.DUMMYFUNCTION("IMPORTRANGE(""https://docs.google.com/spreadsheets/d/""&amp;$A467&amp;""/edit#gid=156619080"",V$3)"),"#REF!")</f>
        <v>#REF!</v>
      </c>
      <c r="W467" s="2" t="str">
        <f>IFERROR(__xludf.DUMMYFUNCTION("IMPORTRANGE(""https://docs.google.com/spreadsheets/d/""&amp;$A467&amp;""/edit#gid=156619080"",W$3)"),"#REF!")</f>
        <v>#REF!</v>
      </c>
      <c r="X467" s="2" t="str">
        <f>IFERROR(__xludf.DUMMYFUNCTION("IMPORTRANGE(""https://docs.google.com/spreadsheets/d/""&amp;$A467&amp;""/edit#gid=156619080"",X$3)"),"#REF!")</f>
        <v>#REF!</v>
      </c>
      <c r="Y467" s="2" t="str">
        <f>IFERROR(__xludf.DUMMYFUNCTION("IMPORTRANGE(""https://docs.google.com/spreadsheets/d/""&amp;$A467&amp;""/edit#gid=156619080"",Y$3)"),"#REF!")</f>
        <v>#REF!</v>
      </c>
      <c r="Z467" s="2" t="str">
        <f>IFERROR(__xludf.DUMMYFUNCTION("IMPORTRANGE(""https://docs.google.com/spreadsheets/d/""&amp;$A467&amp;""/edit#gid=156619080"",Z$3)"),"#REF!")</f>
        <v>#REF!</v>
      </c>
      <c r="AA467" s="2" t="str">
        <f>IFERROR(__xludf.DUMMYFUNCTION("IMPORTRANGE(""https://docs.google.com/spreadsheets/d/""&amp;$A467&amp;""/edit#gid=156619080"",AA$3)"),"#REF!")</f>
        <v>#REF!</v>
      </c>
      <c r="AB467" s="2" t="str">
        <f>IFERROR(__xludf.DUMMYFUNCTION("IMPORTRANGE(""https://docs.google.com/spreadsheets/d/""&amp;$A467&amp;""/edit#gid=156619080"",AB$3)"),"#REF!")</f>
        <v>#REF!</v>
      </c>
      <c r="AC467" s="2" t="str">
        <f>IFERROR(__xludf.DUMMYFUNCTION("IMPORTRANGE(""https://docs.google.com/spreadsheets/d/""&amp;$A467&amp;""/edit#gid=156619080"",AC$3)"),"#REF!")</f>
        <v>#REF!</v>
      </c>
      <c r="AD467" s="2" t="str">
        <f>IFERROR(__xludf.DUMMYFUNCTION("IMPORTRANGE(""https://docs.google.com/spreadsheets/d/""&amp;$A467&amp;""/edit#gid=156619080"",AD$3)"),"#REF!")</f>
        <v>#REF!</v>
      </c>
      <c r="AE467" s="2" t="str">
        <f>IFERROR(__xludf.DUMMYFUNCTION("IMPORTRANGE(""https://docs.google.com/spreadsheets/d/""&amp;$A467&amp;""/edit#gid=156619080"",AE$3)"),"#REF!")</f>
        <v>#REF!</v>
      </c>
      <c r="AF467" s="2" t="str">
        <f>IFERROR(__xludf.DUMMYFUNCTION("IMPORTRANGE(""https://docs.google.com/spreadsheets/d/""&amp;$A467&amp;""/edit#gid=156619080"",AF$3)"),"#REF!")</f>
        <v>#REF!</v>
      </c>
      <c r="AG467" s="2" t="str">
        <f>IFERROR(__xludf.DUMMYFUNCTION("IMPORTRANGE(""https://docs.google.com/spreadsheets/d/""&amp;$A467&amp;""/edit#gid=156619080"",AG$3)"),"#REF!")</f>
        <v>#REF!</v>
      </c>
      <c r="AH467" s="2" t="str">
        <f>IFERROR(__xludf.DUMMYFUNCTION("IMPORTRANGE(""https://docs.google.com/spreadsheets/d/""&amp;$A467&amp;""/edit#gid=156619080"",AH$3)"),"#REF!")</f>
        <v>#REF!</v>
      </c>
      <c r="AI467" s="2" t="str">
        <f>IFERROR(__xludf.DUMMYFUNCTION("IMPORTRANGE(""https://docs.google.com/spreadsheets/d/""&amp;$A467&amp;""/edit#gid=156619080"",AI$3)"),"#REF!")</f>
        <v>#REF!</v>
      </c>
      <c r="AJ467" s="2" t="str">
        <f>IFERROR(__xludf.DUMMYFUNCTION("IMPORTRANGE(""https://docs.google.com/spreadsheets/d/""&amp;$A467&amp;""/edit#gid=156619080"",AJ$3)"),"#REF!")</f>
        <v>#REF!</v>
      </c>
      <c r="AK467" s="2" t="str">
        <f>IFERROR(__xludf.DUMMYFUNCTION("IMPORTRANGE(""https://docs.google.com/spreadsheets/d/""&amp;$A467&amp;""/edit#gid=156619080"",AK$3)"),"#REF!")</f>
        <v>#REF!</v>
      </c>
      <c r="AL467" s="2" t="str">
        <f>IFERROR(__xludf.DUMMYFUNCTION("IMPORTRANGE(""https://docs.google.com/spreadsheets/d/""&amp;$A467&amp;""/edit#gid=156619080"",AL$3)"),"#REF!")</f>
        <v>#REF!</v>
      </c>
      <c r="AM467" s="2" t="str">
        <f>IFERROR(__xludf.DUMMYFUNCTION("IMPORTRANGE(""https://docs.google.com/spreadsheets/d/""&amp;$A467&amp;""/edit#gid=156619080"",AM$3)"),"#REF!")</f>
        <v>#REF!</v>
      </c>
      <c r="AN467" s="2" t="str">
        <f>IFERROR(__xludf.DUMMYFUNCTION("IMPORTRANGE(""https://docs.google.com/spreadsheets/d/""&amp;$A467&amp;""/edit#gid=156619080"",AN$3)"),"#REF!")</f>
        <v>#REF!</v>
      </c>
      <c r="AO467" s="2" t="str">
        <f>IFERROR(__xludf.DUMMYFUNCTION("IMPORTRANGE(""https://docs.google.com/spreadsheets/d/""&amp;$A467&amp;""/edit#gid=156619080"",AO$3)"),"#REF!")</f>
        <v>#REF!</v>
      </c>
      <c r="AP467" s="2" t="str">
        <f>IFERROR(__xludf.DUMMYFUNCTION("IMPORTRANGE(""https://docs.google.com/spreadsheets/d/""&amp;$A467&amp;""/edit#gid=156619080"",AP$3)"),"#REF!")</f>
        <v>#REF!</v>
      </c>
      <c r="AQ467" s="2" t="str">
        <f>IFERROR(__xludf.DUMMYFUNCTION("IMPORTRANGE(""https://docs.google.com/spreadsheets/d/""&amp;$A467&amp;""/edit#gid=156619080"",AQ$3)"),"#REF!")</f>
        <v>#REF!</v>
      </c>
      <c r="AR467" s="2" t="str">
        <f>IFERROR(__xludf.DUMMYFUNCTION("IMPORTRANGE(""https://docs.google.com/spreadsheets/d/""&amp;$A467&amp;""/edit#gid=156619080"",AR$3)"),"#REF!")</f>
        <v>#REF!</v>
      </c>
      <c r="AS467" s="19" t="str">
        <f>IFERROR(__xludf.DUMMYFUNCTION("IMPORTRANGE(""https://docs.google.com/spreadsheets/d/""&amp;$A467&amp;""/edit#gid=156619080"",AS$3)"),"#REF!")</f>
        <v>#REF!</v>
      </c>
      <c r="AT467" s="2" t="str">
        <f>IFERROR(__xludf.DUMMYFUNCTION("IMPORTRANGE(""https://docs.google.com/spreadsheets/d/""&amp;$A467&amp;""/edit#gid=156619080"",AT$3)"),"#REF!")</f>
        <v>#REF!</v>
      </c>
      <c r="AU467" s="3" t="str">
        <f>IFERROR(__xludf.DUMMYFUNCTION("IMPORTRANGE(""https://docs.google.com/spreadsheets/d/""&amp;$A467&amp;""/edit#gid=156619080"",AU$3)"),"#REF!")</f>
        <v>#REF!</v>
      </c>
      <c r="AV467" s="2" t="str">
        <f>IFERROR(__xludf.DUMMYFUNCTION("IMPORTRANGE(""https://docs.google.com/spreadsheets/d/""&amp;$A467&amp;""/edit#gid=156619080"",AV$3)"),"#REF!")</f>
        <v>#REF!</v>
      </c>
      <c r="AW467" s="19" t="str">
        <f>IFERROR(__xludf.DUMMYFUNCTION("IMPORTRANGE(""https://docs.google.com/spreadsheets/d/""&amp;$A467&amp;""/edit#gid=156619080"",AW$3)"),"#REF!")</f>
        <v>#REF!</v>
      </c>
      <c r="AX467" s="2" t="str">
        <f>IFERROR(__xludf.DUMMYFUNCTION("IMPORTRANGE(""https://docs.google.com/spreadsheets/d/""&amp;$A467&amp;""/edit#gid=156619080"",AX$3)"),"#REF!")</f>
        <v>#REF!</v>
      </c>
      <c r="AY467" s="2" t="str">
        <f>IFERROR(__xludf.DUMMYFUNCTION("IMPORTRANGE(""https://docs.google.com/spreadsheets/d/""&amp;$A467&amp;""/edit#gid=156619080"",AY$3)"),"#REF!")</f>
        <v>#REF!</v>
      </c>
      <c r="AZ467" s="2" t="str">
        <f>IFERROR(__xludf.DUMMYFUNCTION("IMPORTRANGE(""https://docs.google.com/spreadsheets/d/""&amp;$A467&amp;""/edit#gid=156619080"",AZ$3)"),"#REF!")</f>
        <v>#REF!</v>
      </c>
      <c r="BA467" s="2" t="str">
        <f>IFERROR(__xludf.DUMMYFUNCTION("IMPORTRANGE(""https://docs.google.com/spreadsheets/d/""&amp;$A467&amp;""/edit#gid=156619080"",BA$3)"),"#REF!")</f>
        <v>#REF!</v>
      </c>
      <c r="BB467" s="2" t="str">
        <f>IFERROR(__xludf.DUMMYFUNCTION("IMPORTRANGE(""https://docs.google.com/spreadsheets/d/""&amp;$A467&amp;""/edit#gid=156619080"",BB$3)"),"#REF!")</f>
        <v>#REF!</v>
      </c>
      <c r="BC467" s="2" t="str">
        <f>IFERROR(__xludf.DUMMYFUNCTION("IMPORTRANGE(""https://docs.google.com/spreadsheets/d/""&amp;$A467&amp;""/edit#gid=156619080"",BC$3)"),"#REF!")</f>
        <v>#REF!</v>
      </c>
    </row>
    <row r="468" ht="51.0" customHeight="1">
      <c r="A468" s="7" t="str">
        <f t="shared" si="5"/>
        <v>10XXhlrNsMzAAmjGFGtDgWGNyl7GJ1ox0oyZIeSQhPKM</v>
      </c>
      <c r="B468" s="1" t="s">
        <v>495</v>
      </c>
      <c r="C468" s="2" t="str">
        <f>IFERROR(__xludf.DUMMYFUNCTION("IMPORTRANGE(""https://docs.google.com/spreadsheets/d/""&amp;$A468&amp;""/edit#gid=156619080"",C$3)"),"#REF!")</f>
        <v>#REF!</v>
      </c>
      <c r="D468" s="2" t="str">
        <f>IFERROR(__xludf.DUMMYFUNCTION("IMPORTRANGE(""https://docs.google.com/spreadsheets/d/""&amp;$A468&amp;""/edit#gid=156619080"",D$3)"),"#REF!")</f>
        <v>#REF!</v>
      </c>
      <c r="E468" s="2" t="str">
        <f>IFERROR(__xludf.DUMMYFUNCTION("IMPORTRANGE(""https://docs.google.com/spreadsheets/d/""&amp;$A468&amp;""/edit#gid=156619080"",E$3)"),"#REF!")</f>
        <v>#REF!</v>
      </c>
      <c r="F468" s="2" t="str">
        <f>IFERROR(__xludf.DUMMYFUNCTION("IMPORTRANGE(""https://docs.google.com/spreadsheets/d/""&amp;$A468&amp;""/edit#gid=156619080"",F$3)"),"#REF!")</f>
        <v>#REF!</v>
      </c>
      <c r="G468" s="2" t="str">
        <f>IFERROR(__xludf.DUMMYFUNCTION("IMPORTRANGE(""https://docs.google.com/spreadsheets/d/""&amp;$A468&amp;""/edit#gid=156619080"",G$3)"),"#REF!")</f>
        <v>#REF!</v>
      </c>
      <c r="H468" s="2" t="str">
        <f>IFERROR(__xludf.DUMMYFUNCTION("IMPORTRANGE(""https://docs.google.com/spreadsheets/d/""&amp;$A468&amp;""/edit#gid=156619080"",H$3)"),"#REF!")</f>
        <v>#REF!</v>
      </c>
      <c r="I468" s="2" t="str">
        <f>IFERROR(__xludf.DUMMYFUNCTION("IMPORTRANGE(""https://docs.google.com/spreadsheets/d/""&amp;$A468&amp;""/edit#gid=156619080"",I$3)"),"#REF!")</f>
        <v>#REF!</v>
      </c>
      <c r="J468" s="2" t="str">
        <f>IFERROR(__xludf.DUMMYFUNCTION("IMPORTRANGE(""https://docs.google.com/spreadsheets/d/""&amp;$A468&amp;""/edit#gid=156619080"",J$3)"),"#REF!")</f>
        <v>#REF!</v>
      </c>
      <c r="K468" s="2" t="str">
        <f>IFERROR(__xludf.DUMMYFUNCTION("IMPORTRANGE(""https://docs.google.com/spreadsheets/d/""&amp;$A468&amp;""/edit#gid=156619080"",K$3)"),"#REF!")</f>
        <v>#REF!</v>
      </c>
      <c r="L468" s="2" t="str">
        <f>IFERROR(__xludf.DUMMYFUNCTION("IMPORTRANGE(""https://docs.google.com/spreadsheets/d/""&amp;$A468&amp;""/edit#gid=156619080"",L$3)"),"#REF!")</f>
        <v>#REF!</v>
      </c>
      <c r="M468" s="2" t="str">
        <f>IFERROR(__xludf.DUMMYFUNCTION("IMPORTRANGE(""https://docs.google.com/spreadsheets/d/""&amp;$A468&amp;""/edit#gid=156619080"",M$3)"),"#REF!")</f>
        <v>#REF!</v>
      </c>
      <c r="N468" s="2" t="str">
        <f>IFERROR(__xludf.DUMMYFUNCTION("IMPORTRANGE(""https://docs.google.com/spreadsheets/d/""&amp;$A468&amp;""/edit#gid=156619080"",N$3)"),"#REF!")</f>
        <v>#REF!</v>
      </c>
      <c r="O468" s="2" t="str">
        <f>IFERROR(__xludf.DUMMYFUNCTION("IMPORTRANGE(""https://docs.google.com/spreadsheets/d/""&amp;$A468&amp;""/edit#gid=156619080"",O$3)"),"#REF!")</f>
        <v>#REF!</v>
      </c>
      <c r="P468" s="2" t="str">
        <f>IFERROR(__xludf.DUMMYFUNCTION("IMPORTRANGE(""https://docs.google.com/spreadsheets/d/""&amp;$A468&amp;""/edit#gid=156619080"",P$3)"),"#REF!")</f>
        <v>#REF!</v>
      </c>
      <c r="Q468" s="2" t="str">
        <f>IFERROR(__xludf.DUMMYFUNCTION("IMPORTRANGE(""https://docs.google.com/spreadsheets/d/""&amp;$A468&amp;""/edit#gid=156619080"",Q$3)"),"#REF!")</f>
        <v>#REF!</v>
      </c>
      <c r="R468" s="2" t="str">
        <f>IFERROR(__xludf.DUMMYFUNCTION("IMPORTRANGE(""https://docs.google.com/spreadsheets/d/""&amp;$A468&amp;""/edit#gid=156619080"",R$3)"),"#REF!")</f>
        <v>#REF!</v>
      </c>
      <c r="S468" s="2" t="str">
        <f>IFERROR(__xludf.DUMMYFUNCTION("IMPORTRANGE(""https://docs.google.com/spreadsheets/d/""&amp;$A468&amp;""/edit#gid=156619080"",S$3)"),"#REF!")</f>
        <v>#REF!</v>
      </c>
      <c r="T468" s="2" t="str">
        <f>IFERROR(__xludf.DUMMYFUNCTION("IMPORTRANGE(""https://docs.google.com/spreadsheets/d/""&amp;$A468&amp;""/edit#gid=156619080"",T$3)"),"#REF!")</f>
        <v>#REF!</v>
      </c>
      <c r="U468" s="2" t="str">
        <f>IFERROR(__xludf.DUMMYFUNCTION("IMPORTRANGE(""https://docs.google.com/spreadsheets/d/""&amp;$A468&amp;""/edit#gid=156619080"",U$3)"),"#REF!")</f>
        <v>#REF!</v>
      </c>
      <c r="V468" s="2" t="str">
        <f>IFERROR(__xludf.DUMMYFUNCTION("IMPORTRANGE(""https://docs.google.com/spreadsheets/d/""&amp;$A468&amp;""/edit#gid=156619080"",V$3)"),"#REF!")</f>
        <v>#REF!</v>
      </c>
      <c r="W468" s="2" t="str">
        <f>IFERROR(__xludf.DUMMYFUNCTION("IMPORTRANGE(""https://docs.google.com/spreadsheets/d/""&amp;$A468&amp;""/edit#gid=156619080"",W$3)"),"#REF!")</f>
        <v>#REF!</v>
      </c>
      <c r="X468" s="2" t="str">
        <f>IFERROR(__xludf.DUMMYFUNCTION("IMPORTRANGE(""https://docs.google.com/spreadsheets/d/""&amp;$A468&amp;""/edit#gid=156619080"",X$3)"),"#REF!")</f>
        <v>#REF!</v>
      </c>
      <c r="Y468" s="2" t="str">
        <f>IFERROR(__xludf.DUMMYFUNCTION("IMPORTRANGE(""https://docs.google.com/spreadsheets/d/""&amp;$A468&amp;""/edit#gid=156619080"",Y$3)"),"#REF!")</f>
        <v>#REF!</v>
      </c>
      <c r="Z468" s="2" t="str">
        <f>IFERROR(__xludf.DUMMYFUNCTION("IMPORTRANGE(""https://docs.google.com/spreadsheets/d/""&amp;$A468&amp;""/edit#gid=156619080"",Z$3)"),"#REF!")</f>
        <v>#REF!</v>
      </c>
      <c r="AA468" s="2" t="str">
        <f>IFERROR(__xludf.DUMMYFUNCTION("IMPORTRANGE(""https://docs.google.com/spreadsheets/d/""&amp;$A468&amp;""/edit#gid=156619080"",AA$3)"),"#REF!")</f>
        <v>#REF!</v>
      </c>
      <c r="AB468" s="2" t="str">
        <f>IFERROR(__xludf.DUMMYFUNCTION("IMPORTRANGE(""https://docs.google.com/spreadsheets/d/""&amp;$A468&amp;""/edit#gid=156619080"",AB$3)"),"#REF!")</f>
        <v>#REF!</v>
      </c>
      <c r="AC468" s="2" t="str">
        <f>IFERROR(__xludf.DUMMYFUNCTION("IMPORTRANGE(""https://docs.google.com/spreadsheets/d/""&amp;$A468&amp;""/edit#gid=156619080"",AC$3)"),"#REF!")</f>
        <v>#REF!</v>
      </c>
      <c r="AD468" s="2" t="str">
        <f>IFERROR(__xludf.DUMMYFUNCTION("IMPORTRANGE(""https://docs.google.com/spreadsheets/d/""&amp;$A468&amp;""/edit#gid=156619080"",AD$3)"),"#REF!")</f>
        <v>#REF!</v>
      </c>
      <c r="AE468" s="2" t="str">
        <f>IFERROR(__xludf.DUMMYFUNCTION("IMPORTRANGE(""https://docs.google.com/spreadsheets/d/""&amp;$A468&amp;""/edit#gid=156619080"",AE$3)"),"#REF!")</f>
        <v>#REF!</v>
      </c>
      <c r="AF468" s="2" t="str">
        <f>IFERROR(__xludf.DUMMYFUNCTION("IMPORTRANGE(""https://docs.google.com/spreadsheets/d/""&amp;$A468&amp;""/edit#gid=156619080"",AF$3)"),"#REF!")</f>
        <v>#REF!</v>
      </c>
      <c r="AG468" s="2" t="str">
        <f>IFERROR(__xludf.DUMMYFUNCTION("IMPORTRANGE(""https://docs.google.com/spreadsheets/d/""&amp;$A468&amp;""/edit#gid=156619080"",AG$3)"),"#REF!")</f>
        <v>#REF!</v>
      </c>
      <c r="AH468" s="2" t="str">
        <f>IFERROR(__xludf.DUMMYFUNCTION("IMPORTRANGE(""https://docs.google.com/spreadsheets/d/""&amp;$A468&amp;""/edit#gid=156619080"",AH$3)"),"#REF!")</f>
        <v>#REF!</v>
      </c>
      <c r="AI468" s="2" t="str">
        <f>IFERROR(__xludf.DUMMYFUNCTION("IMPORTRANGE(""https://docs.google.com/spreadsheets/d/""&amp;$A468&amp;""/edit#gid=156619080"",AI$3)"),"#REF!")</f>
        <v>#REF!</v>
      </c>
      <c r="AJ468" s="2" t="str">
        <f>IFERROR(__xludf.DUMMYFUNCTION("IMPORTRANGE(""https://docs.google.com/spreadsheets/d/""&amp;$A468&amp;""/edit#gid=156619080"",AJ$3)"),"#REF!")</f>
        <v>#REF!</v>
      </c>
      <c r="AK468" s="2" t="str">
        <f>IFERROR(__xludf.DUMMYFUNCTION("IMPORTRANGE(""https://docs.google.com/spreadsheets/d/""&amp;$A468&amp;""/edit#gid=156619080"",AK$3)"),"#REF!")</f>
        <v>#REF!</v>
      </c>
      <c r="AL468" s="2" t="str">
        <f>IFERROR(__xludf.DUMMYFUNCTION("IMPORTRANGE(""https://docs.google.com/spreadsheets/d/""&amp;$A468&amp;""/edit#gid=156619080"",AL$3)"),"#REF!")</f>
        <v>#REF!</v>
      </c>
      <c r="AM468" s="2" t="str">
        <f>IFERROR(__xludf.DUMMYFUNCTION("IMPORTRANGE(""https://docs.google.com/spreadsheets/d/""&amp;$A468&amp;""/edit#gid=156619080"",AM$3)"),"#REF!")</f>
        <v>#REF!</v>
      </c>
      <c r="AN468" s="2" t="str">
        <f>IFERROR(__xludf.DUMMYFUNCTION("IMPORTRANGE(""https://docs.google.com/spreadsheets/d/""&amp;$A468&amp;""/edit#gid=156619080"",AN$3)"),"#REF!")</f>
        <v>#REF!</v>
      </c>
      <c r="AO468" s="2" t="str">
        <f>IFERROR(__xludf.DUMMYFUNCTION("IMPORTRANGE(""https://docs.google.com/spreadsheets/d/""&amp;$A468&amp;""/edit#gid=156619080"",AO$3)"),"#REF!")</f>
        <v>#REF!</v>
      </c>
      <c r="AP468" s="2" t="str">
        <f>IFERROR(__xludf.DUMMYFUNCTION("IMPORTRANGE(""https://docs.google.com/spreadsheets/d/""&amp;$A468&amp;""/edit#gid=156619080"",AP$3)"),"#REF!")</f>
        <v>#REF!</v>
      </c>
      <c r="AQ468" s="2" t="str">
        <f>IFERROR(__xludf.DUMMYFUNCTION("IMPORTRANGE(""https://docs.google.com/spreadsheets/d/""&amp;$A468&amp;""/edit#gid=156619080"",AQ$3)"),"#REF!")</f>
        <v>#REF!</v>
      </c>
      <c r="AR468" s="2" t="str">
        <f>IFERROR(__xludf.DUMMYFUNCTION("IMPORTRANGE(""https://docs.google.com/spreadsheets/d/""&amp;$A468&amp;""/edit#gid=156619080"",AR$3)"),"#REF!")</f>
        <v>#REF!</v>
      </c>
      <c r="AS468" s="19" t="str">
        <f>IFERROR(__xludf.DUMMYFUNCTION("IMPORTRANGE(""https://docs.google.com/spreadsheets/d/""&amp;$A468&amp;""/edit#gid=156619080"",AS$3)"),"#REF!")</f>
        <v>#REF!</v>
      </c>
      <c r="AT468" s="2" t="str">
        <f>IFERROR(__xludf.DUMMYFUNCTION("IMPORTRANGE(""https://docs.google.com/spreadsheets/d/""&amp;$A468&amp;""/edit#gid=156619080"",AT$3)"),"#REF!")</f>
        <v>#REF!</v>
      </c>
      <c r="AU468" s="3" t="str">
        <f>IFERROR(__xludf.DUMMYFUNCTION("IMPORTRANGE(""https://docs.google.com/spreadsheets/d/""&amp;$A468&amp;""/edit#gid=156619080"",AU$3)"),"#REF!")</f>
        <v>#REF!</v>
      </c>
      <c r="AV468" s="2" t="str">
        <f>IFERROR(__xludf.DUMMYFUNCTION("IMPORTRANGE(""https://docs.google.com/spreadsheets/d/""&amp;$A468&amp;""/edit#gid=156619080"",AV$3)"),"#REF!")</f>
        <v>#REF!</v>
      </c>
      <c r="AW468" s="19" t="str">
        <f>IFERROR(__xludf.DUMMYFUNCTION("IMPORTRANGE(""https://docs.google.com/spreadsheets/d/""&amp;$A468&amp;""/edit#gid=156619080"",AW$3)"),"#REF!")</f>
        <v>#REF!</v>
      </c>
      <c r="AX468" s="2" t="str">
        <f>IFERROR(__xludf.DUMMYFUNCTION("IMPORTRANGE(""https://docs.google.com/spreadsheets/d/""&amp;$A468&amp;""/edit#gid=156619080"",AX$3)"),"#REF!")</f>
        <v>#REF!</v>
      </c>
      <c r="AY468" s="2" t="str">
        <f>IFERROR(__xludf.DUMMYFUNCTION("IMPORTRANGE(""https://docs.google.com/spreadsheets/d/""&amp;$A468&amp;""/edit#gid=156619080"",AY$3)"),"#REF!")</f>
        <v>#REF!</v>
      </c>
      <c r="AZ468" s="2" t="str">
        <f>IFERROR(__xludf.DUMMYFUNCTION("IMPORTRANGE(""https://docs.google.com/spreadsheets/d/""&amp;$A468&amp;""/edit#gid=156619080"",AZ$3)"),"#REF!")</f>
        <v>#REF!</v>
      </c>
      <c r="BA468" s="2" t="str">
        <f>IFERROR(__xludf.DUMMYFUNCTION("IMPORTRANGE(""https://docs.google.com/spreadsheets/d/""&amp;$A468&amp;""/edit#gid=156619080"",BA$3)"),"#REF!")</f>
        <v>#REF!</v>
      </c>
      <c r="BB468" s="2" t="str">
        <f>IFERROR(__xludf.DUMMYFUNCTION("IMPORTRANGE(""https://docs.google.com/spreadsheets/d/""&amp;$A468&amp;""/edit#gid=156619080"",BB$3)"),"#REF!")</f>
        <v>#REF!</v>
      </c>
      <c r="BC468" s="2" t="str">
        <f>IFERROR(__xludf.DUMMYFUNCTION("IMPORTRANGE(""https://docs.google.com/spreadsheets/d/""&amp;$A468&amp;""/edit#gid=156619080"",BC$3)"),"#REF!")</f>
        <v>#REF!</v>
      </c>
    </row>
    <row r="469" ht="51.0" customHeight="1">
      <c r="A469" s="7" t="str">
        <f t="shared" si="5"/>
        <v>1eYm55rZblmHzxw1GuNpCih2owXe99h9C8Bl5hOSd0N8</v>
      </c>
      <c r="B469" s="1" t="s">
        <v>496</v>
      </c>
      <c r="C469" s="2" t="str">
        <f>IFERROR(__xludf.DUMMYFUNCTION("IMPORTRANGE(""https://docs.google.com/spreadsheets/d/""&amp;$A469&amp;""/edit#gid=156619080"",C$3)"),"#REF!")</f>
        <v>#REF!</v>
      </c>
      <c r="D469" s="2" t="str">
        <f>IFERROR(__xludf.DUMMYFUNCTION("IMPORTRANGE(""https://docs.google.com/spreadsheets/d/""&amp;$A469&amp;""/edit#gid=156619080"",D$3)"),"#REF!")</f>
        <v>#REF!</v>
      </c>
      <c r="E469" s="2" t="str">
        <f>IFERROR(__xludf.DUMMYFUNCTION("IMPORTRANGE(""https://docs.google.com/spreadsheets/d/""&amp;$A469&amp;""/edit#gid=156619080"",E$3)"),"#REF!")</f>
        <v>#REF!</v>
      </c>
      <c r="F469" s="2" t="str">
        <f>IFERROR(__xludf.DUMMYFUNCTION("IMPORTRANGE(""https://docs.google.com/spreadsheets/d/""&amp;$A469&amp;""/edit#gid=156619080"",F$3)"),"#REF!")</f>
        <v>#REF!</v>
      </c>
      <c r="G469" s="2" t="str">
        <f>IFERROR(__xludf.DUMMYFUNCTION("IMPORTRANGE(""https://docs.google.com/spreadsheets/d/""&amp;$A469&amp;""/edit#gid=156619080"",G$3)"),"#REF!")</f>
        <v>#REF!</v>
      </c>
      <c r="H469" s="2" t="str">
        <f>IFERROR(__xludf.DUMMYFUNCTION("IMPORTRANGE(""https://docs.google.com/spreadsheets/d/""&amp;$A469&amp;""/edit#gid=156619080"",H$3)"),"#REF!")</f>
        <v>#REF!</v>
      </c>
      <c r="I469" s="2" t="str">
        <f>IFERROR(__xludf.DUMMYFUNCTION("IMPORTRANGE(""https://docs.google.com/spreadsheets/d/""&amp;$A469&amp;""/edit#gid=156619080"",I$3)"),"#REF!")</f>
        <v>#REF!</v>
      </c>
      <c r="J469" s="2" t="str">
        <f>IFERROR(__xludf.DUMMYFUNCTION("IMPORTRANGE(""https://docs.google.com/spreadsheets/d/""&amp;$A469&amp;""/edit#gid=156619080"",J$3)"),"#REF!")</f>
        <v>#REF!</v>
      </c>
      <c r="K469" s="2" t="str">
        <f>IFERROR(__xludf.DUMMYFUNCTION("IMPORTRANGE(""https://docs.google.com/spreadsheets/d/""&amp;$A469&amp;""/edit#gid=156619080"",K$3)"),"#REF!")</f>
        <v>#REF!</v>
      </c>
      <c r="L469" s="2" t="str">
        <f>IFERROR(__xludf.DUMMYFUNCTION("IMPORTRANGE(""https://docs.google.com/spreadsheets/d/""&amp;$A469&amp;""/edit#gid=156619080"",L$3)"),"#REF!")</f>
        <v>#REF!</v>
      </c>
      <c r="M469" s="2" t="str">
        <f>IFERROR(__xludf.DUMMYFUNCTION("IMPORTRANGE(""https://docs.google.com/spreadsheets/d/""&amp;$A469&amp;""/edit#gid=156619080"",M$3)"),"#REF!")</f>
        <v>#REF!</v>
      </c>
      <c r="N469" s="2" t="str">
        <f>IFERROR(__xludf.DUMMYFUNCTION("IMPORTRANGE(""https://docs.google.com/spreadsheets/d/""&amp;$A469&amp;""/edit#gid=156619080"",N$3)"),"#REF!")</f>
        <v>#REF!</v>
      </c>
      <c r="O469" s="2" t="str">
        <f>IFERROR(__xludf.DUMMYFUNCTION("IMPORTRANGE(""https://docs.google.com/spreadsheets/d/""&amp;$A469&amp;""/edit#gid=156619080"",O$3)"),"#REF!")</f>
        <v>#REF!</v>
      </c>
      <c r="P469" s="2" t="str">
        <f>IFERROR(__xludf.DUMMYFUNCTION("IMPORTRANGE(""https://docs.google.com/spreadsheets/d/""&amp;$A469&amp;""/edit#gid=156619080"",P$3)"),"#REF!")</f>
        <v>#REF!</v>
      </c>
      <c r="Q469" s="2" t="str">
        <f>IFERROR(__xludf.DUMMYFUNCTION("IMPORTRANGE(""https://docs.google.com/spreadsheets/d/""&amp;$A469&amp;""/edit#gid=156619080"",Q$3)"),"#REF!")</f>
        <v>#REF!</v>
      </c>
      <c r="R469" s="2" t="str">
        <f>IFERROR(__xludf.DUMMYFUNCTION("IMPORTRANGE(""https://docs.google.com/spreadsheets/d/""&amp;$A469&amp;""/edit#gid=156619080"",R$3)"),"#REF!")</f>
        <v>#REF!</v>
      </c>
      <c r="S469" s="2" t="str">
        <f>IFERROR(__xludf.DUMMYFUNCTION("IMPORTRANGE(""https://docs.google.com/spreadsheets/d/""&amp;$A469&amp;""/edit#gid=156619080"",S$3)"),"#REF!")</f>
        <v>#REF!</v>
      </c>
      <c r="T469" s="2" t="str">
        <f>IFERROR(__xludf.DUMMYFUNCTION("IMPORTRANGE(""https://docs.google.com/spreadsheets/d/""&amp;$A469&amp;""/edit#gid=156619080"",T$3)"),"#REF!")</f>
        <v>#REF!</v>
      </c>
      <c r="U469" s="2" t="str">
        <f>IFERROR(__xludf.DUMMYFUNCTION("IMPORTRANGE(""https://docs.google.com/spreadsheets/d/""&amp;$A469&amp;""/edit#gid=156619080"",U$3)"),"#REF!")</f>
        <v>#REF!</v>
      </c>
      <c r="V469" s="2" t="str">
        <f>IFERROR(__xludf.DUMMYFUNCTION("IMPORTRANGE(""https://docs.google.com/spreadsheets/d/""&amp;$A469&amp;""/edit#gid=156619080"",V$3)"),"#REF!")</f>
        <v>#REF!</v>
      </c>
      <c r="W469" s="2" t="str">
        <f>IFERROR(__xludf.DUMMYFUNCTION("IMPORTRANGE(""https://docs.google.com/spreadsheets/d/""&amp;$A469&amp;""/edit#gid=156619080"",W$3)"),"#REF!")</f>
        <v>#REF!</v>
      </c>
      <c r="X469" s="2" t="str">
        <f>IFERROR(__xludf.DUMMYFUNCTION("IMPORTRANGE(""https://docs.google.com/spreadsheets/d/""&amp;$A469&amp;""/edit#gid=156619080"",X$3)"),"#REF!")</f>
        <v>#REF!</v>
      </c>
      <c r="Y469" s="2" t="str">
        <f>IFERROR(__xludf.DUMMYFUNCTION("IMPORTRANGE(""https://docs.google.com/spreadsheets/d/""&amp;$A469&amp;""/edit#gid=156619080"",Y$3)"),"#REF!")</f>
        <v>#REF!</v>
      </c>
      <c r="Z469" s="2" t="str">
        <f>IFERROR(__xludf.DUMMYFUNCTION("IMPORTRANGE(""https://docs.google.com/spreadsheets/d/""&amp;$A469&amp;""/edit#gid=156619080"",Z$3)"),"#REF!")</f>
        <v>#REF!</v>
      </c>
      <c r="AA469" s="2" t="str">
        <f>IFERROR(__xludf.DUMMYFUNCTION("IMPORTRANGE(""https://docs.google.com/spreadsheets/d/""&amp;$A469&amp;""/edit#gid=156619080"",AA$3)"),"#REF!")</f>
        <v>#REF!</v>
      </c>
      <c r="AB469" s="2" t="str">
        <f>IFERROR(__xludf.DUMMYFUNCTION("IMPORTRANGE(""https://docs.google.com/spreadsheets/d/""&amp;$A469&amp;""/edit#gid=156619080"",AB$3)"),"#REF!")</f>
        <v>#REF!</v>
      </c>
      <c r="AC469" s="2" t="str">
        <f>IFERROR(__xludf.DUMMYFUNCTION("IMPORTRANGE(""https://docs.google.com/spreadsheets/d/""&amp;$A469&amp;""/edit#gid=156619080"",AC$3)"),"#REF!")</f>
        <v>#REF!</v>
      </c>
      <c r="AD469" s="2" t="str">
        <f>IFERROR(__xludf.DUMMYFUNCTION("IMPORTRANGE(""https://docs.google.com/spreadsheets/d/""&amp;$A469&amp;""/edit#gid=156619080"",AD$3)"),"#REF!")</f>
        <v>#REF!</v>
      </c>
      <c r="AE469" s="2" t="str">
        <f>IFERROR(__xludf.DUMMYFUNCTION("IMPORTRANGE(""https://docs.google.com/spreadsheets/d/""&amp;$A469&amp;""/edit#gid=156619080"",AE$3)"),"#REF!")</f>
        <v>#REF!</v>
      </c>
      <c r="AF469" s="2" t="str">
        <f>IFERROR(__xludf.DUMMYFUNCTION("IMPORTRANGE(""https://docs.google.com/spreadsheets/d/""&amp;$A469&amp;""/edit#gid=156619080"",AF$3)"),"#REF!")</f>
        <v>#REF!</v>
      </c>
      <c r="AG469" s="2" t="str">
        <f>IFERROR(__xludf.DUMMYFUNCTION("IMPORTRANGE(""https://docs.google.com/spreadsheets/d/""&amp;$A469&amp;""/edit#gid=156619080"",AG$3)"),"#REF!")</f>
        <v>#REF!</v>
      </c>
      <c r="AH469" s="2" t="str">
        <f>IFERROR(__xludf.DUMMYFUNCTION("IMPORTRANGE(""https://docs.google.com/spreadsheets/d/""&amp;$A469&amp;""/edit#gid=156619080"",AH$3)"),"#REF!")</f>
        <v>#REF!</v>
      </c>
      <c r="AI469" s="2" t="str">
        <f>IFERROR(__xludf.DUMMYFUNCTION("IMPORTRANGE(""https://docs.google.com/spreadsheets/d/""&amp;$A469&amp;""/edit#gid=156619080"",AI$3)"),"#REF!")</f>
        <v>#REF!</v>
      </c>
      <c r="AJ469" s="2" t="str">
        <f>IFERROR(__xludf.DUMMYFUNCTION("IMPORTRANGE(""https://docs.google.com/spreadsheets/d/""&amp;$A469&amp;""/edit#gid=156619080"",AJ$3)"),"#REF!")</f>
        <v>#REF!</v>
      </c>
      <c r="AK469" s="2" t="str">
        <f>IFERROR(__xludf.DUMMYFUNCTION("IMPORTRANGE(""https://docs.google.com/spreadsheets/d/""&amp;$A469&amp;""/edit#gid=156619080"",AK$3)"),"#REF!")</f>
        <v>#REF!</v>
      </c>
      <c r="AL469" s="2" t="str">
        <f>IFERROR(__xludf.DUMMYFUNCTION("IMPORTRANGE(""https://docs.google.com/spreadsheets/d/""&amp;$A469&amp;""/edit#gid=156619080"",AL$3)"),"#REF!")</f>
        <v>#REF!</v>
      </c>
      <c r="AM469" s="2" t="str">
        <f>IFERROR(__xludf.DUMMYFUNCTION("IMPORTRANGE(""https://docs.google.com/spreadsheets/d/""&amp;$A469&amp;""/edit#gid=156619080"",AM$3)"),"#REF!")</f>
        <v>#REF!</v>
      </c>
      <c r="AN469" s="2" t="str">
        <f>IFERROR(__xludf.DUMMYFUNCTION("IMPORTRANGE(""https://docs.google.com/spreadsheets/d/""&amp;$A469&amp;""/edit#gid=156619080"",AN$3)"),"#REF!")</f>
        <v>#REF!</v>
      </c>
      <c r="AO469" s="2" t="str">
        <f>IFERROR(__xludf.DUMMYFUNCTION("IMPORTRANGE(""https://docs.google.com/spreadsheets/d/""&amp;$A469&amp;""/edit#gid=156619080"",AO$3)"),"#REF!")</f>
        <v>#REF!</v>
      </c>
      <c r="AP469" s="2" t="str">
        <f>IFERROR(__xludf.DUMMYFUNCTION("IMPORTRANGE(""https://docs.google.com/spreadsheets/d/""&amp;$A469&amp;""/edit#gid=156619080"",AP$3)"),"#REF!")</f>
        <v>#REF!</v>
      </c>
      <c r="AQ469" s="2" t="str">
        <f>IFERROR(__xludf.DUMMYFUNCTION("IMPORTRANGE(""https://docs.google.com/spreadsheets/d/""&amp;$A469&amp;""/edit#gid=156619080"",AQ$3)"),"#REF!")</f>
        <v>#REF!</v>
      </c>
      <c r="AR469" s="2" t="str">
        <f>IFERROR(__xludf.DUMMYFUNCTION("IMPORTRANGE(""https://docs.google.com/spreadsheets/d/""&amp;$A469&amp;""/edit#gid=156619080"",AR$3)"),"#REF!")</f>
        <v>#REF!</v>
      </c>
      <c r="AS469" s="19" t="str">
        <f>IFERROR(__xludf.DUMMYFUNCTION("IMPORTRANGE(""https://docs.google.com/spreadsheets/d/""&amp;$A469&amp;""/edit#gid=156619080"",AS$3)"),"#REF!")</f>
        <v>#REF!</v>
      </c>
      <c r="AT469" s="2" t="str">
        <f>IFERROR(__xludf.DUMMYFUNCTION("IMPORTRANGE(""https://docs.google.com/spreadsheets/d/""&amp;$A469&amp;""/edit#gid=156619080"",AT$3)"),"#REF!")</f>
        <v>#REF!</v>
      </c>
      <c r="AU469" s="3" t="str">
        <f>IFERROR(__xludf.DUMMYFUNCTION("IMPORTRANGE(""https://docs.google.com/spreadsheets/d/""&amp;$A469&amp;""/edit#gid=156619080"",AU$3)"),"#REF!")</f>
        <v>#REF!</v>
      </c>
      <c r="AV469" s="2" t="str">
        <f>IFERROR(__xludf.DUMMYFUNCTION("IMPORTRANGE(""https://docs.google.com/spreadsheets/d/""&amp;$A469&amp;""/edit#gid=156619080"",AV$3)"),"#REF!")</f>
        <v>#REF!</v>
      </c>
      <c r="AW469" s="19" t="str">
        <f>IFERROR(__xludf.DUMMYFUNCTION("IMPORTRANGE(""https://docs.google.com/spreadsheets/d/""&amp;$A469&amp;""/edit#gid=156619080"",AW$3)"),"#REF!")</f>
        <v>#REF!</v>
      </c>
      <c r="AX469" s="2" t="str">
        <f>IFERROR(__xludf.DUMMYFUNCTION("IMPORTRANGE(""https://docs.google.com/spreadsheets/d/""&amp;$A469&amp;""/edit#gid=156619080"",AX$3)"),"#REF!")</f>
        <v>#REF!</v>
      </c>
      <c r="AY469" s="2" t="str">
        <f>IFERROR(__xludf.DUMMYFUNCTION("IMPORTRANGE(""https://docs.google.com/spreadsheets/d/""&amp;$A469&amp;""/edit#gid=156619080"",AY$3)"),"#REF!")</f>
        <v>#REF!</v>
      </c>
      <c r="AZ469" s="2" t="str">
        <f>IFERROR(__xludf.DUMMYFUNCTION("IMPORTRANGE(""https://docs.google.com/spreadsheets/d/""&amp;$A469&amp;""/edit#gid=156619080"",AZ$3)"),"#REF!")</f>
        <v>#REF!</v>
      </c>
      <c r="BA469" s="2" t="str">
        <f>IFERROR(__xludf.DUMMYFUNCTION("IMPORTRANGE(""https://docs.google.com/spreadsheets/d/""&amp;$A469&amp;""/edit#gid=156619080"",BA$3)"),"#REF!")</f>
        <v>#REF!</v>
      </c>
      <c r="BB469" s="2" t="str">
        <f>IFERROR(__xludf.DUMMYFUNCTION("IMPORTRANGE(""https://docs.google.com/spreadsheets/d/""&amp;$A469&amp;""/edit#gid=156619080"",BB$3)"),"#REF!")</f>
        <v>#REF!</v>
      </c>
      <c r="BC469" s="2" t="str">
        <f>IFERROR(__xludf.DUMMYFUNCTION("IMPORTRANGE(""https://docs.google.com/spreadsheets/d/""&amp;$A469&amp;""/edit#gid=156619080"",BC$3)"),"#REF!")</f>
        <v>#REF!</v>
      </c>
    </row>
    <row r="470" ht="51.0" customHeight="1">
      <c r="A470" s="7" t="str">
        <f t="shared" si="5"/>
        <v>1yF8aRa1qGrG_hHdRmQoKV5p3MnwYtdBtg-aJwXvgXpQ</v>
      </c>
      <c r="B470" s="1" t="s">
        <v>497</v>
      </c>
      <c r="C470" s="2" t="str">
        <f>IFERROR(__xludf.DUMMYFUNCTION("IMPORTRANGE(""https://docs.google.com/spreadsheets/d/""&amp;$A470&amp;""/edit#gid=156619080"",C$3)"),"#REF!")</f>
        <v>#REF!</v>
      </c>
      <c r="D470" s="2" t="str">
        <f>IFERROR(__xludf.DUMMYFUNCTION("IMPORTRANGE(""https://docs.google.com/spreadsheets/d/""&amp;$A470&amp;""/edit#gid=156619080"",D$3)"),"#REF!")</f>
        <v>#REF!</v>
      </c>
      <c r="E470" s="2" t="str">
        <f>IFERROR(__xludf.DUMMYFUNCTION("IMPORTRANGE(""https://docs.google.com/spreadsheets/d/""&amp;$A470&amp;""/edit#gid=156619080"",E$3)"),"#REF!")</f>
        <v>#REF!</v>
      </c>
      <c r="F470" s="2" t="str">
        <f>IFERROR(__xludf.DUMMYFUNCTION("IMPORTRANGE(""https://docs.google.com/spreadsheets/d/""&amp;$A470&amp;""/edit#gid=156619080"",F$3)"),"#REF!")</f>
        <v>#REF!</v>
      </c>
      <c r="G470" s="2" t="str">
        <f>IFERROR(__xludf.DUMMYFUNCTION("IMPORTRANGE(""https://docs.google.com/spreadsheets/d/""&amp;$A470&amp;""/edit#gid=156619080"",G$3)"),"#REF!")</f>
        <v>#REF!</v>
      </c>
      <c r="H470" s="2" t="str">
        <f>IFERROR(__xludf.DUMMYFUNCTION("IMPORTRANGE(""https://docs.google.com/spreadsheets/d/""&amp;$A470&amp;""/edit#gid=156619080"",H$3)"),"#REF!")</f>
        <v>#REF!</v>
      </c>
      <c r="I470" s="2" t="str">
        <f>IFERROR(__xludf.DUMMYFUNCTION("IMPORTRANGE(""https://docs.google.com/spreadsheets/d/""&amp;$A470&amp;""/edit#gid=156619080"",I$3)"),"#REF!")</f>
        <v>#REF!</v>
      </c>
      <c r="J470" s="2" t="str">
        <f>IFERROR(__xludf.DUMMYFUNCTION("IMPORTRANGE(""https://docs.google.com/spreadsheets/d/""&amp;$A470&amp;""/edit#gid=156619080"",J$3)"),"#REF!")</f>
        <v>#REF!</v>
      </c>
      <c r="K470" s="2" t="str">
        <f>IFERROR(__xludf.DUMMYFUNCTION("IMPORTRANGE(""https://docs.google.com/spreadsheets/d/""&amp;$A470&amp;""/edit#gid=156619080"",K$3)"),"#REF!")</f>
        <v>#REF!</v>
      </c>
      <c r="L470" s="2" t="str">
        <f>IFERROR(__xludf.DUMMYFUNCTION("IMPORTRANGE(""https://docs.google.com/spreadsheets/d/""&amp;$A470&amp;""/edit#gid=156619080"",L$3)"),"#REF!")</f>
        <v>#REF!</v>
      </c>
      <c r="M470" s="2" t="str">
        <f>IFERROR(__xludf.DUMMYFUNCTION("IMPORTRANGE(""https://docs.google.com/spreadsheets/d/""&amp;$A470&amp;""/edit#gid=156619080"",M$3)"),"#REF!")</f>
        <v>#REF!</v>
      </c>
      <c r="N470" s="2" t="str">
        <f>IFERROR(__xludf.DUMMYFUNCTION("IMPORTRANGE(""https://docs.google.com/spreadsheets/d/""&amp;$A470&amp;""/edit#gid=156619080"",N$3)"),"#REF!")</f>
        <v>#REF!</v>
      </c>
      <c r="O470" s="2" t="str">
        <f>IFERROR(__xludf.DUMMYFUNCTION("IMPORTRANGE(""https://docs.google.com/spreadsheets/d/""&amp;$A470&amp;""/edit#gid=156619080"",O$3)"),"#REF!")</f>
        <v>#REF!</v>
      </c>
      <c r="P470" s="2" t="str">
        <f>IFERROR(__xludf.DUMMYFUNCTION("IMPORTRANGE(""https://docs.google.com/spreadsheets/d/""&amp;$A470&amp;""/edit#gid=156619080"",P$3)"),"#REF!")</f>
        <v>#REF!</v>
      </c>
      <c r="Q470" s="2" t="str">
        <f>IFERROR(__xludf.DUMMYFUNCTION("IMPORTRANGE(""https://docs.google.com/spreadsheets/d/""&amp;$A470&amp;""/edit#gid=156619080"",Q$3)"),"#REF!")</f>
        <v>#REF!</v>
      </c>
      <c r="R470" s="2" t="str">
        <f>IFERROR(__xludf.DUMMYFUNCTION("IMPORTRANGE(""https://docs.google.com/spreadsheets/d/""&amp;$A470&amp;""/edit#gid=156619080"",R$3)"),"#REF!")</f>
        <v>#REF!</v>
      </c>
      <c r="S470" s="2" t="str">
        <f>IFERROR(__xludf.DUMMYFUNCTION("IMPORTRANGE(""https://docs.google.com/spreadsheets/d/""&amp;$A470&amp;""/edit#gid=156619080"",S$3)"),"#REF!")</f>
        <v>#REF!</v>
      </c>
      <c r="T470" s="2" t="str">
        <f>IFERROR(__xludf.DUMMYFUNCTION("IMPORTRANGE(""https://docs.google.com/spreadsheets/d/""&amp;$A470&amp;""/edit#gid=156619080"",T$3)"),"#REF!")</f>
        <v>#REF!</v>
      </c>
      <c r="U470" s="2" t="str">
        <f>IFERROR(__xludf.DUMMYFUNCTION("IMPORTRANGE(""https://docs.google.com/spreadsheets/d/""&amp;$A470&amp;""/edit#gid=156619080"",U$3)"),"#REF!")</f>
        <v>#REF!</v>
      </c>
      <c r="V470" s="2" t="str">
        <f>IFERROR(__xludf.DUMMYFUNCTION("IMPORTRANGE(""https://docs.google.com/spreadsheets/d/""&amp;$A470&amp;""/edit#gid=156619080"",V$3)"),"#REF!")</f>
        <v>#REF!</v>
      </c>
      <c r="W470" s="2" t="str">
        <f>IFERROR(__xludf.DUMMYFUNCTION("IMPORTRANGE(""https://docs.google.com/spreadsheets/d/""&amp;$A470&amp;""/edit#gid=156619080"",W$3)"),"#REF!")</f>
        <v>#REF!</v>
      </c>
      <c r="X470" s="2" t="str">
        <f>IFERROR(__xludf.DUMMYFUNCTION("IMPORTRANGE(""https://docs.google.com/spreadsheets/d/""&amp;$A470&amp;""/edit#gid=156619080"",X$3)"),"#REF!")</f>
        <v>#REF!</v>
      </c>
      <c r="Y470" s="2" t="str">
        <f>IFERROR(__xludf.DUMMYFUNCTION("IMPORTRANGE(""https://docs.google.com/spreadsheets/d/""&amp;$A470&amp;""/edit#gid=156619080"",Y$3)"),"#REF!")</f>
        <v>#REF!</v>
      </c>
      <c r="Z470" s="2" t="str">
        <f>IFERROR(__xludf.DUMMYFUNCTION("IMPORTRANGE(""https://docs.google.com/spreadsheets/d/""&amp;$A470&amp;""/edit#gid=156619080"",Z$3)"),"#REF!")</f>
        <v>#REF!</v>
      </c>
      <c r="AA470" s="2" t="str">
        <f>IFERROR(__xludf.DUMMYFUNCTION("IMPORTRANGE(""https://docs.google.com/spreadsheets/d/""&amp;$A470&amp;""/edit#gid=156619080"",AA$3)"),"#REF!")</f>
        <v>#REF!</v>
      </c>
      <c r="AB470" s="2" t="str">
        <f>IFERROR(__xludf.DUMMYFUNCTION("IMPORTRANGE(""https://docs.google.com/spreadsheets/d/""&amp;$A470&amp;""/edit#gid=156619080"",AB$3)"),"#REF!")</f>
        <v>#REF!</v>
      </c>
      <c r="AC470" s="2" t="str">
        <f>IFERROR(__xludf.DUMMYFUNCTION("IMPORTRANGE(""https://docs.google.com/spreadsheets/d/""&amp;$A470&amp;""/edit#gid=156619080"",AC$3)"),"#REF!")</f>
        <v>#REF!</v>
      </c>
      <c r="AD470" s="2" t="str">
        <f>IFERROR(__xludf.DUMMYFUNCTION("IMPORTRANGE(""https://docs.google.com/spreadsheets/d/""&amp;$A470&amp;""/edit#gid=156619080"",AD$3)"),"#REF!")</f>
        <v>#REF!</v>
      </c>
      <c r="AE470" s="2" t="str">
        <f>IFERROR(__xludf.DUMMYFUNCTION("IMPORTRANGE(""https://docs.google.com/spreadsheets/d/""&amp;$A470&amp;""/edit#gid=156619080"",AE$3)"),"#REF!")</f>
        <v>#REF!</v>
      </c>
      <c r="AF470" s="2" t="str">
        <f>IFERROR(__xludf.DUMMYFUNCTION("IMPORTRANGE(""https://docs.google.com/spreadsheets/d/""&amp;$A470&amp;""/edit#gid=156619080"",AF$3)"),"#REF!")</f>
        <v>#REF!</v>
      </c>
      <c r="AG470" s="2" t="str">
        <f>IFERROR(__xludf.DUMMYFUNCTION("IMPORTRANGE(""https://docs.google.com/spreadsheets/d/""&amp;$A470&amp;""/edit#gid=156619080"",AG$3)"),"#REF!")</f>
        <v>#REF!</v>
      </c>
      <c r="AH470" s="2" t="str">
        <f>IFERROR(__xludf.DUMMYFUNCTION("IMPORTRANGE(""https://docs.google.com/spreadsheets/d/""&amp;$A470&amp;""/edit#gid=156619080"",AH$3)"),"#REF!")</f>
        <v>#REF!</v>
      </c>
      <c r="AI470" s="2" t="str">
        <f>IFERROR(__xludf.DUMMYFUNCTION("IMPORTRANGE(""https://docs.google.com/spreadsheets/d/""&amp;$A470&amp;""/edit#gid=156619080"",AI$3)"),"#REF!")</f>
        <v>#REF!</v>
      </c>
      <c r="AJ470" s="2" t="str">
        <f>IFERROR(__xludf.DUMMYFUNCTION("IMPORTRANGE(""https://docs.google.com/spreadsheets/d/""&amp;$A470&amp;""/edit#gid=156619080"",AJ$3)"),"#REF!")</f>
        <v>#REF!</v>
      </c>
      <c r="AK470" s="2" t="str">
        <f>IFERROR(__xludf.DUMMYFUNCTION("IMPORTRANGE(""https://docs.google.com/spreadsheets/d/""&amp;$A470&amp;""/edit#gid=156619080"",AK$3)"),"#REF!")</f>
        <v>#REF!</v>
      </c>
      <c r="AL470" s="2" t="str">
        <f>IFERROR(__xludf.DUMMYFUNCTION("IMPORTRANGE(""https://docs.google.com/spreadsheets/d/""&amp;$A470&amp;""/edit#gid=156619080"",AL$3)"),"#REF!")</f>
        <v>#REF!</v>
      </c>
      <c r="AM470" s="2" t="str">
        <f>IFERROR(__xludf.DUMMYFUNCTION("IMPORTRANGE(""https://docs.google.com/spreadsheets/d/""&amp;$A470&amp;""/edit#gid=156619080"",AM$3)"),"#REF!")</f>
        <v>#REF!</v>
      </c>
      <c r="AN470" s="2" t="str">
        <f>IFERROR(__xludf.DUMMYFUNCTION("IMPORTRANGE(""https://docs.google.com/spreadsheets/d/""&amp;$A470&amp;""/edit#gid=156619080"",AN$3)"),"#REF!")</f>
        <v>#REF!</v>
      </c>
      <c r="AO470" s="2" t="str">
        <f>IFERROR(__xludf.DUMMYFUNCTION("IMPORTRANGE(""https://docs.google.com/spreadsheets/d/""&amp;$A470&amp;""/edit#gid=156619080"",AO$3)"),"#REF!")</f>
        <v>#REF!</v>
      </c>
      <c r="AP470" s="2" t="str">
        <f>IFERROR(__xludf.DUMMYFUNCTION("IMPORTRANGE(""https://docs.google.com/spreadsheets/d/""&amp;$A470&amp;""/edit#gid=156619080"",AP$3)"),"#REF!")</f>
        <v>#REF!</v>
      </c>
      <c r="AQ470" s="2" t="str">
        <f>IFERROR(__xludf.DUMMYFUNCTION("IMPORTRANGE(""https://docs.google.com/spreadsheets/d/""&amp;$A470&amp;""/edit#gid=156619080"",AQ$3)"),"#REF!")</f>
        <v>#REF!</v>
      </c>
      <c r="AR470" s="2" t="str">
        <f>IFERROR(__xludf.DUMMYFUNCTION("IMPORTRANGE(""https://docs.google.com/spreadsheets/d/""&amp;$A470&amp;""/edit#gid=156619080"",AR$3)"),"#REF!")</f>
        <v>#REF!</v>
      </c>
      <c r="AS470" s="19" t="str">
        <f>IFERROR(__xludf.DUMMYFUNCTION("IMPORTRANGE(""https://docs.google.com/spreadsheets/d/""&amp;$A470&amp;""/edit#gid=156619080"",AS$3)"),"#REF!")</f>
        <v>#REF!</v>
      </c>
      <c r="AT470" s="2" t="str">
        <f>IFERROR(__xludf.DUMMYFUNCTION("IMPORTRANGE(""https://docs.google.com/spreadsheets/d/""&amp;$A470&amp;""/edit#gid=156619080"",AT$3)"),"#REF!")</f>
        <v>#REF!</v>
      </c>
      <c r="AU470" s="3" t="str">
        <f>IFERROR(__xludf.DUMMYFUNCTION("IMPORTRANGE(""https://docs.google.com/spreadsheets/d/""&amp;$A470&amp;""/edit#gid=156619080"",AU$3)"),"#REF!")</f>
        <v>#REF!</v>
      </c>
      <c r="AV470" s="2" t="str">
        <f>IFERROR(__xludf.DUMMYFUNCTION("IMPORTRANGE(""https://docs.google.com/spreadsheets/d/""&amp;$A470&amp;""/edit#gid=156619080"",AV$3)"),"#REF!")</f>
        <v>#REF!</v>
      </c>
      <c r="AW470" s="19" t="str">
        <f>IFERROR(__xludf.DUMMYFUNCTION("IMPORTRANGE(""https://docs.google.com/spreadsheets/d/""&amp;$A470&amp;""/edit#gid=156619080"",AW$3)"),"#REF!")</f>
        <v>#REF!</v>
      </c>
      <c r="AX470" s="2" t="str">
        <f>IFERROR(__xludf.DUMMYFUNCTION("IMPORTRANGE(""https://docs.google.com/spreadsheets/d/""&amp;$A470&amp;""/edit#gid=156619080"",AX$3)"),"#REF!")</f>
        <v>#REF!</v>
      </c>
      <c r="AY470" s="2" t="str">
        <f>IFERROR(__xludf.DUMMYFUNCTION("IMPORTRANGE(""https://docs.google.com/spreadsheets/d/""&amp;$A470&amp;""/edit#gid=156619080"",AY$3)"),"#REF!")</f>
        <v>#REF!</v>
      </c>
      <c r="AZ470" s="2" t="str">
        <f>IFERROR(__xludf.DUMMYFUNCTION("IMPORTRANGE(""https://docs.google.com/spreadsheets/d/""&amp;$A470&amp;""/edit#gid=156619080"",AZ$3)"),"#REF!")</f>
        <v>#REF!</v>
      </c>
      <c r="BA470" s="2" t="str">
        <f>IFERROR(__xludf.DUMMYFUNCTION("IMPORTRANGE(""https://docs.google.com/spreadsheets/d/""&amp;$A470&amp;""/edit#gid=156619080"",BA$3)"),"#REF!")</f>
        <v>#REF!</v>
      </c>
      <c r="BB470" s="2" t="str">
        <f>IFERROR(__xludf.DUMMYFUNCTION("IMPORTRANGE(""https://docs.google.com/spreadsheets/d/""&amp;$A470&amp;""/edit#gid=156619080"",BB$3)"),"#REF!")</f>
        <v>#REF!</v>
      </c>
      <c r="BC470" s="2" t="str">
        <f>IFERROR(__xludf.DUMMYFUNCTION("IMPORTRANGE(""https://docs.google.com/spreadsheets/d/""&amp;$A470&amp;""/edit#gid=156619080"",BC$3)"),"#REF!")</f>
        <v>#REF!</v>
      </c>
    </row>
    <row r="471" ht="51.0" customHeight="1">
      <c r="A471" s="7" t="str">
        <f t="shared" si="5"/>
        <v>1VplklLKXPFWBWA9W8UgSxrbvd3RsYuN1PE9lZdKuIE8</v>
      </c>
      <c r="B471" s="1" t="s">
        <v>498</v>
      </c>
      <c r="C471" s="2" t="str">
        <f>IFERROR(__xludf.DUMMYFUNCTION("IMPORTRANGE(""https://docs.google.com/spreadsheets/d/""&amp;$A471&amp;""/edit#gid=156619080"",C$3)"),"#REF!")</f>
        <v>#REF!</v>
      </c>
      <c r="D471" s="2" t="str">
        <f>IFERROR(__xludf.DUMMYFUNCTION("IMPORTRANGE(""https://docs.google.com/spreadsheets/d/""&amp;$A471&amp;""/edit#gid=156619080"",D$3)"),"#REF!")</f>
        <v>#REF!</v>
      </c>
      <c r="E471" s="2" t="str">
        <f>IFERROR(__xludf.DUMMYFUNCTION("IMPORTRANGE(""https://docs.google.com/spreadsheets/d/""&amp;$A471&amp;""/edit#gid=156619080"",E$3)"),"#REF!")</f>
        <v>#REF!</v>
      </c>
      <c r="F471" s="2" t="str">
        <f>IFERROR(__xludf.DUMMYFUNCTION("IMPORTRANGE(""https://docs.google.com/spreadsheets/d/""&amp;$A471&amp;""/edit#gid=156619080"",F$3)"),"#REF!")</f>
        <v>#REF!</v>
      </c>
      <c r="G471" s="2" t="str">
        <f>IFERROR(__xludf.DUMMYFUNCTION("IMPORTRANGE(""https://docs.google.com/spreadsheets/d/""&amp;$A471&amp;""/edit#gid=156619080"",G$3)"),"#REF!")</f>
        <v>#REF!</v>
      </c>
      <c r="H471" s="2" t="str">
        <f>IFERROR(__xludf.DUMMYFUNCTION("IMPORTRANGE(""https://docs.google.com/spreadsheets/d/""&amp;$A471&amp;""/edit#gid=156619080"",H$3)"),"#REF!")</f>
        <v>#REF!</v>
      </c>
      <c r="I471" s="2" t="str">
        <f>IFERROR(__xludf.DUMMYFUNCTION("IMPORTRANGE(""https://docs.google.com/spreadsheets/d/""&amp;$A471&amp;""/edit#gid=156619080"",I$3)"),"#REF!")</f>
        <v>#REF!</v>
      </c>
      <c r="J471" s="2" t="str">
        <f>IFERROR(__xludf.DUMMYFUNCTION("IMPORTRANGE(""https://docs.google.com/spreadsheets/d/""&amp;$A471&amp;""/edit#gid=156619080"",J$3)"),"#REF!")</f>
        <v>#REF!</v>
      </c>
      <c r="K471" s="2" t="str">
        <f>IFERROR(__xludf.DUMMYFUNCTION("IMPORTRANGE(""https://docs.google.com/spreadsheets/d/""&amp;$A471&amp;""/edit#gid=156619080"",K$3)"),"#REF!")</f>
        <v>#REF!</v>
      </c>
      <c r="L471" s="2" t="str">
        <f>IFERROR(__xludf.DUMMYFUNCTION("IMPORTRANGE(""https://docs.google.com/spreadsheets/d/""&amp;$A471&amp;""/edit#gid=156619080"",L$3)"),"#REF!")</f>
        <v>#REF!</v>
      </c>
      <c r="M471" s="2" t="str">
        <f>IFERROR(__xludf.DUMMYFUNCTION("IMPORTRANGE(""https://docs.google.com/spreadsheets/d/""&amp;$A471&amp;""/edit#gid=156619080"",M$3)"),"#REF!")</f>
        <v>#REF!</v>
      </c>
      <c r="N471" s="2" t="str">
        <f>IFERROR(__xludf.DUMMYFUNCTION("IMPORTRANGE(""https://docs.google.com/spreadsheets/d/""&amp;$A471&amp;""/edit#gid=156619080"",N$3)"),"#REF!")</f>
        <v>#REF!</v>
      </c>
      <c r="O471" s="2" t="str">
        <f>IFERROR(__xludf.DUMMYFUNCTION("IMPORTRANGE(""https://docs.google.com/spreadsheets/d/""&amp;$A471&amp;""/edit#gid=156619080"",O$3)"),"#REF!")</f>
        <v>#REF!</v>
      </c>
      <c r="P471" s="2" t="str">
        <f>IFERROR(__xludf.DUMMYFUNCTION("IMPORTRANGE(""https://docs.google.com/spreadsheets/d/""&amp;$A471&amp;""/edit#gid=156619080"",P$3)"),"#REF!")</f>
        <v>#REF!</v>
      </c>
      <c r="Q471" s="2" t="str">
        <f>IFERROR(__xludf.DUMMYFUNCTION("IMPORTRANGE(""https://docs.google.com/spreadsheets/d/""&amp;$A471&amp;""/edit#gid=156619080"",Q$3)"),"#REF!")</f>
        <v>#REF!</v>
      </c>
      <c r="R471" s="2" t="str">
        <f>IFERROR(__xludf.DUMMYFUNCTION("IMPORTRANGE(""https://docs.google.com/spreadsheets/d/""&amp;$A471&amp;""/edit#gid=156619080"",R$3)"),"#REF!")</f>
        <v>#REF!</v>
      </c>
      <c r="S471" s="2" t="str">
        <f>IFERROR(__xludf.DUMMYFUNCTION("IMPORTRANGE(""https://docs.google.com/spreadsheets/d/""&amp;$A471&amp;""/edit#gid=156619080"",S$3)"),"#REF!")</f>
        <v>#REF!</v>
      </c>
      <c r="T471" s="2" t="str">
        <f>IFERROR(__xludf.DUMMYFUNCTION("IMPORTRANGE(""https://docs.google.com/spreadsheets/d/""&amp;$A471&amp;""/edit#gid=156619080"",T$3)"),"#REF!")</f>
        <v>#REF!</v>
      </c>
      <c r="U471" s="2" t="str">
        <f>IFERROR(__xludf.DUMMYFUNCTION("IMPORTRANGE(""https://docs.google.com/spreadsheets/d/""&amp;$A471&amp;""/edit#gid=156619080"",U$3)"),"#REF!")</f>
        <v>#REF!</v>
      </c>
      <c r="V471" s="2" t="str">
        <f>IFERROR(__xludf.DUMMYFUNCTION("IMPORTRANGE(""https://docs.google.com/spreadsheets/d/""&amp;$A471&amp;""/edit#gid=156619080"",V$3)"),"#REF!")</f>
        <v>#REF!</v>
      </c>
      <c r="W471" s="2" t="str">
        <f>IFERROR(__xludf.DUMMYFUNCTION("IMPORTRANGE(""https://docs.google.com/spreadsheets/d/""&amp;$A471&amp;""/edit#gid=156619080"",W$3)"),"#REF!")</f>
        <v>#REF!</v>
      </c>
      <c r="X471" s="2" t="str">
        <f>IFERROR(__xludf.DUMMYFUNCTION("IMPORTRANGE(""https://docs.google.com/spreadsheets/d/""&amp;$A471&amp;""/edit#gid=156619080"",X$3)"),"#REF!")</f>
        <v>#REF!</v>
      </c>
      <c r="Y471" s="2" t="str">
        <f>IFERROR(__xludf.DUMMYFUNCTION("IMPORTRANGE(""https://docs.google.com/spreadsheets/d/""&amp;$A471&amp;""/edit#gid=156619080"",Y$3)"),"#REF!")</f>
        <v>#REF!</v>
      </c>
      <c r="Z471" s="2" t="str">
        <f>IFERROR(__xludf.DUMMYFUNCTION("IMPORTRANGE(""https://docs.google.com/spreadsheets/d/""&amp;$A471&amp;""/edit#gid=156619080"",Z$3)"),"#REF!")</f>
        <v>#REF!</v>
      </c>
      <c r="AA471" s="2" t="str">
        <f>IFERROR(__xludf.DUMMYFUNCTION("IMPORTRANGE(""https://docs.google.com/spreadsheets/d/""&amp;$A471&amp;""/edit#gid=156619080"",AA$3)"),"#REF!")</f>
        <v>#REF!</v>
      </c>
      <c r="AB471" s="2" t="str">
        <f>IFERROR(__xludf.DUMMYFUNCTION("IMPORTRANGE(""https://docs.google.com/spreadsheets/d/""&amp;$A471&amp;""/edit#gid=156619080"",AB$3)"),"#REF!")</f>
        <v>#REF!</v>
      </c>
      <c r="AC471" s="2" t="str">
        <f>IFERROR(__xludf.DUMMYFUNCTION("IMPORTRANGE(""https://docs.google.com/spreadsheets/d/""&amp;$A471&amp;""/edit#gid=156619080"",AC$3)"),"#REF!")</f>
        <v>#REF!</v>
      </c>
      <c r="AD471" s="2" t="str">
        <f>IFERROR(__xludf.DUMMYFUNCTION("IMPORTRANGE(""https://docs.google.com/spreadsheets/d/""&amp;$A471&amp;""/edit#gid=156619080"",AD$3)"),"#REF!")</f>
        <v>#REF!</v>
      </c>
      <c r="AE471" s="2" t="str">
        <f>IFERROR(__xludf.DUMMYFUNCTION("IMPORTRANGE(""https://docs.google.com/spreadsheets/d/""&amp;$A471&amp;""/edit#gid=156619080"",AE$3)"),"#REF!")</f>
        <v>#REF!</v>
      </c>
      <c r="AF471" s="2" t="str">
        <f>IFERROR(__xludf.DUMMYFUNCTION("IMPORTRANGE(""https://docs.google.com/spreadsheets/d/""&amp;$A471&amp;""/edit#gid=156619080"",AF$3)"),"#REF!")</f>
        <v>#REF!</v>
      </c>
      <c r="AG471" s="2" t="str">
        <f>IFERROR(__xludf.DUMMYFUNCTION("IMPORTRANGE(""https://docs.google.com/spreadsheets/d/""&amp;$A471&amp;""/edit#gid=156619080"",AG$3)"),"#REF!")</f>
        <v>#REF!</v>
      </c>
      <c r="AH471" s="2" t="str">
        <f>IFERROR(__xludf.DUMMYFUNCTION("IMPORTRANGE(""https://docs.google.com/spreadsheets/d/""&amp;$A471&amp;""/edit#gid=156619080"",AH$3)"),"#REF!")</f>
        <v>#REF!</v>
      </c>
      <c r="AI471" s="2" t="str">
        <f>IFERROR(__xludf.DUMMYFUNCTION("IMPORTRANGE(""https://docs.google.com/spreadsheets/d/""&amp;$A471&amp;""/edit#gid=156619080"",AI$3)"),"#REF!")</f>
        <v>#REF!</v>
      </c>
      <c r="AJ471" s="2" t="str">
        <f>IFERROR(__xludf.DUMMYFUNCTION("IMPORTRANGE(""https://docs.google.com/spreadsheets/d/""&amp;$A471&amp;""/edit#gid=156619080"",AJ$3)"),"#REF!")</f>
        <v>#REF!</v>
      </c>
      <c r="AK471" s="2" t="str">
        <f>IFERROR(__xludf.DUMMYFUNCTION("IMPORTRANGE(""https://docs.google.com/spreadsheets/d/""&amp;$A471&amp;""/edit#gid=156619080"",AK$3)"),"#REF!")</f>
        <v>#REF!</v>
      </c>
      <c r="AL471" s="2" t="str">
        <f>IFERROR(__xludf.DUMMYFUNCTION("IMPORTRANGE(""https://docs.google.com/spreadsheets/d/""&amp;$A471&amp;""/edit#gid=156619080"",AL$3)"),"#REF!")</f>
        <v>#REF!</v>
      </c>
      <c r="AM471" s="2" t="str">
        <f>IFERROR(__xludf.DUMMYFUNCTION("IMPORTRANGE(""https://docs.google.com/spreadsheets/d/""&amp;$A471&amp;""/edit#gid=156619080"",AM$3)"),"#REF!")</f>
        <v>#REF!</v>
      </c>
      <c r="AN471" s="2" t="str">
        <f>IFERROR(__xludf.DUMMYFUNCTION("IMPORTRANGE(""https://docs.google.com/spreadsheets/d/""&amp;$A471&amp;""/edit#gid=156619080"",AN$3)"),"#REF!")</f>
        <v>#REF!</v>
      </c>
      <c r="AO471" s="2" t="str">
        <f>IFERROR(__xludf.DUMMYFUNCTION("IMPORTRANGE(""https://docs.google.com/spreadsheets/d/""&amp;$A471&amp;""/edit#gid=156619080"",AO$3)"),"#REF!")</f>
        <v>#REF!</v>
      </c>
      <c r="AP471" s="2" t="str">
        <f>IFERROR(__xludf.DUMMYFUNCTION("IMPORTRANGE(""https://docs.google.com/spreadsheets/d/""&amp;$A471&amp;""/edit#gid=156619080"",AP$3)"),"#REF!")</f>
        <v>#REF!</v>
      </c>
      <c r="AQ471" s="2" t="str">
        <f>IFERROR(__xludf.DUMMYFUNCTION("IMPORTRANGE(""https://docs.google.com/spreadsheets/d/""&amp;$A471&amp;""/edit#gid=156619080"",AQ$3)"),"#REF!")</f>
        <v>#REF!</v>
      </c>
      <c r="AR471" s="2" t="str">
        <f>IFERROR(__xludf.DUMMYFUNCTION("IMPORTRANGE(""https://docs.google.com/spreadsheets/d/""&amp;$A471&amp;""/edit#gid=156619080"",AR$3)"),"#REF!")</f>
        <v>#REF!</v>
      </c>
      <c r="AS471" s="19" t="str">
        <f>IFERROR(__xludf.DUMMYFUNCTION("IMPORTRANGE(""https://docs.google.com/spreadsheets/d/""&amp;$A471&amp;""/edit#gid=156619080"",AS$3)"),"#REF!")</f>
        <v>#REF!</v>
      </c>
      <c r="AT471" s="2" t="str">
        <f>IFERROR(__xludf.DUMMYFUNCTION("IMPORTRANGE(""https://docs.google.com/spreadsheets/d/""&amp;$A471&amp;""/edit#gid=156619080"",AT$3)"),"#REF!")</f>
        <v>#REF!</v>
      </c>
      <c r="AU471" s="3" t="str">
        <f>IFERROR(__xludf.DUMMYFUNCTION("IMPORTRANGE(""https://docs.google.com/spreadsheets/d/""&amp;$A471&amp;""/edit#gid=156619080"",AU$3)"),"#REF!")</f>
        <v>#REF!</v>
      </c>
      <c r="AV471" s="2" t="str">
        <f>IFERROR(__xludf.DUMMYFUNCTION("IMPORTRANGE(""https://docs.google.com/spreadsheets/d/""&amp;$A471&amp;""/edit#gid=156619080"",AV$3)"),"#REF!")</f>
        <v>#REF!</v>
      </c>
      <c r="AW471" s="19" t="str">
        <f>IFERROR(__xludf.DUMMYFUNCTION("IMPORTRANGE(""https://docs.google.com/spreadsheets/d/""&amp;$A471&amp;""/edit#gid=156619080"",AW$3)"),"#REF!")</f>
        <v>#REF!</v>
      </c>
      <c r="AX471" s="2" t="str">
        <f>IFERROR(__xludf.DUMMYFUNCTION("IMPORTRANGE(""https://docs.google.com/spreadsheets/d/""&amp;$A471&amp;""/edit#gid=156619080"",AX$3)"),"#REF!")</f>
        <v>#REF!</v>
      </c>
      <c r="AY471" s="2" t="str">
        <f>IFERROR(__xludf.DUMMYFUNCTION("IMPORTRANGE(""https://docs.google.com/spreadsheets/d/""&amp;$A471&amp;""/edit#gid=156619080"",AY$3)"),"#REF!")</f>
        <v>#REF!</v>
      </c>
      <c r="AZ471" s="2" t="str">
        <f>IFERROR(__xludf.DUMMYFUNCTION("IMPORTRANGE(""https://docs.google.com/spreadsheets/d/""&amp;$A471&amp;""/edit#gid=156619080"",AZ$3)"),"#REF!")</f>
        <v>#REF!</v>
      </c>
      <c r="BA471" s="2" t="str">
        <f>IFERROR(__xludf.DUMMYFUNCTION("IMPORTRANGE(""https://docs.google.com/spreadsheets/d/""&amp;$A471&amp;""/edit#gid=156619080"",BA$3)"),"#REF!")</f>
        <v>#REF!</v>
      </c>
      <c r="BB471" s="2" t="str">
        <f>IFERROR(__xludf.DUMMYFUNCTION("IMPORTRANGE(""https://docs.google.com/spreadsheets/d/""&amp;$A471&amp;""/edit#gid=156619080"",BB$3)"),"#REF!")</f>
        <v>#REF!</v>
      </c>
      <c r="BC471" s="2" t="str">
        <f>IFERROR(__xludf.DUMMYFUNCTION("IMPORTRANGE(""https://docs.google.com/spreadsheets/d/""&amp;$A471&amp;""/edit#gid=156619080"",BC$3)"),"#REF!")</f>
        <v>#REF!</v>
      </c>
    </row>
    <row r="472" ht="51.0" customHeight="1">
      <c r="A472" s="7" t="str">
        <f t="shared" si="5"/>
        <v>1Rzohs-s0xJwvcuy8JdXuYQYRo8lzFg-BAYXl3TTfKGk</v>
      </c>
      <c r="B472" s="1" t="s">
        <v>499</v>
      </c>
      <c r="C472" s="2" t="str">
        <f>IFERROR(__xludf.DUMMYFUNCTION("IMPORTRANGE(""https://docs.google.com/spreadsheets/d/""&amp;$A472&amp;""/edit#gid=156619080"",C$3)"),"#REF!")</f>
        <v>#REF!</v>
      </c>
      <c r="D472" s="2" t="str">
        <f>IFERROR(__xludf.DUMMYFUNCTION("IMPORTRANGE(""https://docs.google.com/spreadsheets/d/""&amp;$A472&amp;""/edit#gid=156619080"",D$3)"),"#REF!")</f>
        <v>#REF!</v>
      </c>
      <c r="E472" s="2" t="str">
        <f>IFERROR(__xludf.DUMMYFUNCTION("IMPORTRANGE(""https://docs.google.com/spreadsheets/d/""&amp;$A472&amp;""/edit#gid=156619080"",E$3)"),"#REF!")</f>
        <v>#REF!</v>
      </c>
      <c r="F472" s="2" t="str">
        <f>IFERROR(__xludf.DUMMYFUNCTION("IMPORTRANGE(""https://docs.google.com/spreadsheets/d/""&amp;$A472&amp;""/edit#gid=156619080"",F$3)"),"#REF!")</f>
        <v>#REF!</v>
      </c>
      <c r="G472" s="2" t="str">
        <f>IFERROR(__xludf.DUMMYFUNCTION("IMPORTRANGE(""https://docs.google.com/spreadsheets/d/""&amp;$A472&amp;""/edit#gid=156619080"",G$3)"),"#REF!")</f>
        <v>#REF!</v>
      </c>
      <c r="H472" s="2" t="str">
        <f>IFERROR(__xludf.DUMMYFUNCTION("IMPORTRANGE(""https://docs.google.com/spreadsheets/d/""&amp;$A472&amp;""/edit#gid=156619080"",H$3)"),"#REF!")</f>
        <v>#REF!</v>
      </c>
      <c r="I472" s="2" t="str">
        <f>IFERROR(__xludf.DUMMYFUNCTION("IMPORTRANGE(""https://docs.google.com/spreadsheets/d/""&amp;$A472&amp;""/edit#gid=156619080"",I$3)"),"#REF!")</f>
        <v>#REF!</v>
      </c>
      <c r="J472" s="2" t="str">
        <f>IFERROR(__xludf.DUMMYFUNCTION("IMPORTRANGE(""https://docs.google.com/spreadsheets/d/""&amp;$A472&amp;""/edit#gid=156619080"",J$3)"),"#REF!")</f>
        <v>#REF!</v>
      </c>
      <c r="K472" s="2" t="str">
        <f>IFERROR(__xludf.DUMMYFUNCTION("IMPORTRANGE(""https://docs.google.com/spreadsheets/d/""&amp;$A472&amp;""/edit#gid=156619080"",K$3)"),"#REF!")</f>
        <v>#REF!</v>
      </c>
      <c r="L472" s="2" t="str">
        <f>IFERROR(__xludf.DUMMYFUNCTION("IMPORTRANGE(""https://docs.google.com/spreadsheets/d/""&amp;$A472&amp;""/edit#gid=156619080"",L$3)"),"#REF!")</f>
        <v>#REF!</v>
      </c>
      <c r="M472" s="2" t="str">
        <f>IFERROR(__xludf.DUMMYFUNCTION("IMPORTRANGE(""https://docs.google.com/spreadsheets/d/""&amp;$A472&amp;""/edit#gid=156619080"",M$3)"),"#REF!")</f>
        <v>#REF!</v>
      </c>
      <c r="N472" s="2" t="str">
        <f>IFERROR(__xludf.DUMMYFUNCTION("IMPORTRANGE(""https://docs.google.com/spreadsheets/d/""&amp;$A472&amp;""/edit#gid=156619080"",N$3)"),"#REF!")</f>
        <v>#REF!</v>
      </c>
      <c r="O472" s="2" t="str">
        <f>IFERROR(__xludf.DUMMYFUNCTION("IMPORTRANGE(""https://docs.google.com/spreadsheets/d/""&amp;$A472&amp;""/edit#gid=156619080"",O$3)"),"#REF!")</f>
        <v>#REF!</v>
      </c>
      <c r="P472" s="2" t="str">
        <f>IFERROR(__xludf.DUMMYFUNCTION("IMPORTRANGE(""https://docs.google.com/spreadsheets/d/""&amp;$A472&amp;""/edit#gid=156619080"",P$3)"),"#REF!")</f>
        <v>#REF!</v>
      </c>
      <c r="Q472" s="2" t="str">
        <f>IFERROR(__xludf.DUMMYFUNCTION("IMPORTRANGE(""https://docs.google.com/spreadsheets/d/""&amp;$A472&amp;""/edit#gid=156619080"",Q$3)"),"#REF!")</f>
        <v>#REF!</v>
      </c>
      <c r="R472" s="2" t="str">
        <f>IFERROR(__xludf.DUMMYFUNCTION("IMPORTRANGE(""https://docs.google.com/spreadsheets/d/""&amp;$A472&amp;""/edit#gid=156619080"",R$3)"),"#REF!")</f>
        <v>#REF!</v>
      </c>
      <c r="S472" s="2" t="str">
        <f>IFERROR(__xludf.DUMMYFUNCTION("IMPORTRANGE(""https://docs.google.com/spreadsheets/d/""&amp;$A472&amp;""/edit#gid=156619080"",S$3)"),"#REF!")</f>
        <v>#REF!</v>
      </c>
      <c r="T472" s="2" t="str">
        <f>IFERROR(__xludf.DUMMYFUNCTION("IMPORTRANGE(""https://docs.google.com/spreadsheets/d/""&amp;$A472&amp;""/edit#gid=156619080"",T$3)"),"#REF!")</f>
        <v>#REF!</v>
      </c>
      <c r="U472" s="2" t="str">
        <f>IFERROR(__xludf.DUMMYFUNCTION("IMPORTRANGE(""https://docs.google.com/spreadsheets/d/""&amp;$A472&amp;""/edit#gid=156619080"",U$3)"),"#REF!")</f>
        <v>#REF!</v>
      </c>
      <c r="V472" s="2" t="str">
        <f>IFERROR(__xludf.DUMMYFUNCTION("IMPORTRANGE(""https://docs.google.com/spreadsheets/d/""&amp;$A472&amp;""/edit#gid=156619080"",V$3)"),"#REF!")</f>
        <v>#REF!</v>
      </c>
      <c r="W472" s="2" t="str">
        <f>IFERROR(__xludf.DUMMYFUNCTION("IMPORTRANGE(""https://docs.google.com/spreadsheets/d/""&amp;$A472&amp;""/edit#gid=156619080"",W$3)"),"#REF!")</f>
        <v>#REF!</v>
      </c>
      <c r="X472" s="2" t="str">
        <f>IFERROR(__xludf.DUMMYFUNCTION("IMPORTRANGE(""https://docs.google.com/spreadsheets/d/""&amp;$A472&amp;""/edit#gid=156619080"",X$3)"),"#REF!")</f>
        <v>#REF!</v>
      </c>
      <c r="Y472" s="2" t="str">
        <f>IFERROR(__xludf.DUMMYFUNCTION("IMPORTRANGE(""https://docs.google.com/spreadsheets/d/""&amp;$A472&amp;""/edit#gid=156619080"",Y$3)"),"#REF!")</f>
        <v>#REF!</v>
      </c>
      <c r="Z472" s="2" t="str">
        <f>IFERROR(__xludf.DUMMYFUNCTION("IMPORTRANGE(""https://docs.google.com/spreadsheets/d/""&amp;$A472&amp;""/edit#gid=156619080"",Z$3)"),"#REF!")</f>
        <v>#REF!</v>
      </c>
      <c r="AA472" s="2" t="str">
        <f>IFERROR(__xludf.DUMMYFUNCTION("IMPORTRANGE(""https://docs.google.com/spreadsheets/d/""&amp;$A472&amp;""/edit#gid=156619080"",AA$3)"),"#REF!")</f>
        <v>#REF!</v>
      </c>
      <c r="AB472" s="2" t="str">
        <f>IFERROR(__xludf.DUMMYFUNCTION("IMPORTRANGE(""https://docs.google.com/spreadsheets/d/""&amp;$A472&amp;""/edit#gid=156619080"",AB$3)"),"#REF!")</f>
        <v>#REF!</v>
      </c>
      <c r="AC472" s="2" t="str">
        <f>IFERROR(__xludf.DUMMYFUNCTION("IMPORTRANGE(""https://docs.google.com/spreadsheets/d/""&amp;$A472&amp;""/edit#gid=156619080"",AC$3)"),"#REF!")</f>
        <v>#REF!</v>
      </c>
      <c r="AD472" s="2" t="str">
        <f>IFERROR(__xludf.DUMMYFUNCTION("IMPORTRANGE(""https://docs.google.com/spreadsheets/d/""&amp;$A472&amp;""/edit#gid=156619080"",AD$3)"),"#REF!")</f>
        <v>#REF!</v>
      </c>
      <c r="AE472" s="2" t="str">
        <f>IFERROR(__xludf.DUMMYFUNCTION("IMPORTRANGE(""https://docs.google.com/spreadsheets/d/""&amp;$A472&amp;""/edit#gid=156619080"",AE$3)"),"#REF!")</f>
        <v>#REF!</v>
      </c>
      <c r="AF472" s="2" t="str">
        <f>IFERROR(__xludf.DUMMYFUNCTION("IMPORTRANGE(""https://docs.google.com/spreadsheets/d/""&amp;$A472&amp;""/edit#gid=156619080"",AF$3)"),"#REF!")</f>
        <v>#REF!</v>
      </c>
      <c r="AG472" s="2" t="str">
        <f>IFERROR(__xludf.DUMMYFUNCTION("IMPORTRANGE(""https://docs.google.com/spreadsheets/d/""&amp;$A472&amp;""/edit#gid=156619080"",AG$3)"),"#REF!")</f>
        <v>#REF!</v>
      </c>
      <c r="AH472" s="2" t="str">
        <f>IFERROR(__xludf.DUMMYFUNCTION("IMPORTRANGE(""https://docs.google.com/spreadsheets/d/""&amp;$A472&amp;""/edit#gid=156619080"",AH$3)"),"#REF!")</f>
        <v>#REF!</v>
      </c>
      <c r="AI472" s="2" t="str">
        <f>IFERROR(__xludf.DUMMYFUNCTION("IMPORTRANGE(""https://docs.google.com/spreadsheets/d/""&amp;$A472&amp;""/edit#gid=156619080"",AI$3)"),"#REF!")</f>
        <v>#REF!</v>
      </c>
      <c r="AJ472" s="2" t="str">
        <f>IFERROR(__xludf.DUMMYFUNCTION("IMPORTRANGE(""https://docs.google.com/spreadsheets/d/""&amp;$A472&amp;""/edit#gid=156619080"",AJ$3)"),"#REF!")</f>
        <v>#REF!</v>
      </c>
      <c r="AK472" s="2" t="str">
        <f>IFERROR(__xludf.DUMMYFUNCTION("IMPORTRANGE(""https://docs.google.com/spreadsheets/d/""&amp;$A472&amp;""/edit#gid=156619080"",AK$3)"),"#REF!")</f>
        <v>#REF!</v>
      </c>
      <c r="AL472" s="2" t="str">
        <f>IFERROR(__xludf.DUMMYFUNCTION("IMPORTRANGE(""https://docs.google.com/spreadsheets/d/""&amp;$A472&amp;""/edit#gid=156619080"",AL$3)"),"#REF!")</f>
        <v>#REF!</v>
      </c>
      <c r="AM472" s="2" t="str">
        <f>IFERROR(__xludf.DUMMYFUNCTION("IMPORTRANGE(""https://docs.google.com/spreadsheets/d/""&amp;$A472&amp;""/edit#gid=156619080"",AM$3)"),"#REF!")</f>
        <v>#REF!</v>
      </c>
      <c r="AN472" s="2" t="str">
        <f>IFERROR(__xludf.DUMMYFUNCTION("IMPORTRANGE(""https://docs.google.com/spreadsheets/d/""&amp;$A472&amp;""/edit#gid=156619080"",AN$3)"),"#REF!")</f>
        <v>#REF!</v>
      </c>
      <c r="AO472" s="2" t="str">
        <f>IFERROR(__xludf.DUMMYFUNCTION("IMPORTRANGE(""https://docs.google.com/spreadsheets/d/""&amp;$A472&amp;""/edit#gid=156619080"",AO$3)"),"#REF!")</f>
        <v>#REF!</v>
      </c>
      <c r="AP472" s="2" t="str">
        <f>IFERROR(__xludf.DUMMYFUNCTION("IMPORTRANGE(""https://docs.google.com/spreadsheets/d/""&amp;$A472&amp;""/edit#gid=156619080"",AP$3)"),"#REF!")</f>
        <v>#REF!</v>
      </c>
      <c r="AQ472" s="2" t="str">
        <f>IFERROR(__xludf.DUMMYFUNCTION("IMPORTRANGE(""https://docs.google.com/spreadsheets/d/""&amp;$A472&amp;""/edit#gid=156619080"",AQ$3)"),"#REF!")</f>
        <v>#REF!</v>
      </c>
      <c r="AR472" s="2" t="str">
        <f>IFERROR(__xludf.DUMMYFUNCTION("IMPORTRANGE(""https://docs.google.com/spreadsheets/d/""&amp;$A472&amp;""/edit#gid=156619080"",AR$3)"),"#REF!")</f>
        <v>#REF!</v>
      </c>
      <c r="AS472" s="19" t="str">
        <f>IFERROR(__xludf.DUMMYFUNCTION("IMPORTRANGE(""https://docs.google.com/spreadsheets/d/""&amp;$A472&amp;""/edit#gid=156619080"",AS$3)"),"#REF!")</f>
        <v>#REF!</v>
      </c>
      <c r="AT472" s="2" t="str">
        <f>IFERROR(__xludf.DUMMYFUNCTION("IMPORTRANGE(""https://docs.google.com/spreadsheets/d/""&amp;$A472&amp;""/edit#gid=156619080"",AT$3)"),"#REF!")</f>
        <v>#REF!</v>
      </c>
      <c r="AU472" s="3" t="str">
        <f>IFERROR(__xludf.DUMMYFUNCTION("IMPORTRANGE(""https://docs.google.com/spreadsheets/d/""&amp;$A472&amp;""/edit#gid=156619080"",AU$3)"),"#REF!")</f>
        <v>#REF!</v>
      </c>
      <c r="AV472" s="2" t="str">
        <f>IFERROR(__xludf.DUMMYFUNCTION("IMPORTRANGE(""https://docs.google.com/spreadsheets/d/""&amp;$A472&amp;""/edit#gid=156619080"",AV$3)"),"#REF!")</f>
        <v>#REF!</v>
      </c>
      <c r="AW472" s="19" t="str">
        <f>IFERROR(__xludf.DUMMYFUNCTION("IMPORTRANGE(""https://docs.google.com/spreadsheets/d/""&amp;$A472&amp;""/edit#gid=156619080"",AW$3)"),"#REF!")</f>
        <v>#REF!</v>
      </c>
      <c r="AX472" s="2" t="str">
        <f>IFERROR(__xludf.DUMMYFUNCTION("IMPORTRANGE(""https://docs.google.com/spreadsheets/d/""&amp;$A472&amp;""/edit#gid=156619080"",AX$3)"),"#REF!")</f>
        <v>#REF!</v>
      </c>
      <c r="AY472" s="2" t="str">
        <f>IFERROR(__xludf.DUMMYFUNCTION("IMPORTRANGE(""https://docs.google.com/spreadsheets/d/""&amp;$A472&amp;""/edit#gid=156619080"",AY$3)"),"#REF!")</f>
        <v>#REF!</v>
      </c>
      <c r="AZ472" s="2" t="str">
        <f>IFERROR(__xludf.DUMMYFUNCTION("IMPORTRANGE(""https://docs.google.com/spreadsheets/d/""&amp;$A472&amp;""/edit#gid=156619080"",AZ$3)"),"#REF!")</f>
        <v>#REF!</v>
      </c>
      <c r="BA472" s="2" t="str">
        <f>IFERROR(__xludf.DUMMYFUNCTION("IMPORTRANGE(""https://docs.google.com/spreadsheets/d/""&amp;$A472&amp;""/edit#gid=156619080"",BA$3)"),"#REF!")</f>
        <v>#REF!</v>
      </c>
      <c r="BB472" s="2" t="str">
        <f>IFERROR(__xludf.DUMMYFUNCTION("IMPORTRANGE(""https://docs.google.com/spreadsheets/d/""&amp;$A472&amp;""/edit#gid=156619080"",BB$3)"),"#REF!")</f>
        <v>#REF!</v>
      </c>
      <c r="BC472" s="2" t="str">
        <f>IFERROR(__xludf.DUMMYFUNCTION("IMPORTRANGE(""https://docs.google.com/spreadsheets/d/""&amp;$A472&amp;""/edit#gid=156619080"",BC$3)"),"#REF!")</f>
        <v>#REF!</v>
      </c>
    </row>
    <row r="473" ht="51.0" customHeight="1">
      <c r="A473" s="7" t="str">
        <f t="shared" si="5"/>
        <v>1L7lmLHuv-CUX2FkQ82r-p6TNXLHnReIWUHAK8cj6S7k</v>
      </c>
      <c r="B473" s="1" t="s">
        <v>500</v>
      </c>
      <c r="C473" s="2" t="str">
        <f>IFERROR(__xludf.DUMMYFUNCTION("IMPORTRANGE(""https://docs.google.com/spreadsheets/d/""&amp;$A473&amp;""/edit#gid=156619080"",C$3)"),"#REF!")</f>
        <v>#REF!</v>
      </c>
      <c r="D473" s="2" t="str">
        <f>IFERROR(__xludf.DUMMYFUNCTION("IMPORTRANGE(""https://docs.google.com/spreadsheets/d/""&amp;$A473&amp;""/edit#gid=156619080"",D$3)"),"#REF!")</f>
        <v>#REF!</v>
      </c>
      <c r="E473" s="2" t="str">
        <f>IFERROR(__xludf.DUMMYFUNCTION("IMPORTRANGE(""https://docs.google.com/spreadsheets/d/""&amp;$A473&amp;""/edit#gid=156619080"",E$3)"),"#REF!")</f>
        <v>#REF!</v>
      </c>
      <c r="F473" s="2" t="str">
        <f>IFERROR(__xludf.DUMMYFUNCTION("IMPORTRANGE(""https://docs.google.com/spreadsheets/d/""&amp;$A473&amp;""/edit#gid=156619080"",F$3)"),"#REF!")</f>
        <v>#REF!</v>
      </c>
      <c r="G473" s="2" t="str">
        <f>IFERROR(__xludf.DUMMYFUNCTION("IMPORTRANGE(""https://docs.google.com/spreadsheets/d/""&amp;$A473&amp;""/edit#gid=156619080"",G$3)"),"#REF!")</f>
        <v>#REF!</v>
      </c>
      <c r="H473" s="2" t="str">
        <f>IFERROR(__xludf.DUMMYFUNCTION("IMPORTRANGE(""https://docs.google.com/spreadsheets/d/""&amp;$A473&amp;""/edit#gid=156619080"",H$3)"),"#REF!")</f>
        <v>#REF!</v>
      </c>
      <c r="I473" s="2" t="str">
        <f>IFERROR(__xludf.DUMMYFUNCTION("IMPORTRANGE(""https://docs.google.com/spreadsheets/d/""&amp;$A473&amp;""/edit#gid=156619080"",I$3)"),"#REF!")</f>
        <v>#REF!</v>
      </c>
      <c r="J473" s="2" t="str">
        <f>IFERROR(__xludf.DUMMYFUNCTION("IMPORTRANGE(""https://docs.google.com/spreadsheets/d/""&amp;$A473&amp;""/edit#gid=156619080"",J$3)"),"#REF!")</f>
        <v>#REF!</v>
      </c>
      <c r="K473" s="2" t="str">
        <f>IFERROR(__xludf.DUMMYFUNCTION("IMPORTRANGE(""https://docs.google.com/spreadsheets/d/""&amp;$A473&amp;""/edit#gid=156619080"",K$3)"),"#REF!")</f>
        <v>#REF!</v>
      </c>
      <c r="L473" s="2" t="str">
        <f>IFERROR(__xludf.DUMMYFUNCTION("IMPORTRANGE(""https://docs.google.com/spreadsheets/d/""&amp;$A473&amp;""/edit#gid=156619080"",L$3)"),"#REF!")</f>
        <v>#REF!</v>
      </c>
      <c r="M473" s="2" t="str">
        <f>IFERROR(__xludf.DUMMYFUNCTION("IMPORTRANGE(""https://docs.google.com/spreadsheets/d/""&amp;$A473&amp;""/edit#gid=156619080"",M$3)"),"#REF!")</f>
        <v>#REF!</v>
      </c>
      <c r="N473" s="2" t="str">
        <f>IFERROR(__xludf.DUMMYFUNCTION("IMPORTRANGE(""https://docs.google.com/spreadsheets/d/""&amp;$A473&amp;""/edit#gid=156619080"",N$3)"),"#REF!")</f>
        <v>#REF!</v>
      </c>
      <c r="O473" s="2" t="str">
        <f>IFERROR(__xludf.DUMMYFUNCTION("IMPORTRANGE(""https://docs.google.com/spreadsheets/d/""&amp;$A473&amp;""/edit#gid=156619080"",O$3)"),"#REF!")</f>
        <v>#REF!</v>
      </c>
      <c r="P473" s="2" t="str">
        <f>IFERROR(__xludf.DUMMYFUNCTION("IMPORTRANGE(""https://docs.google.com/spreadsheets/d/""&amp;$A473&amp;""/edit#gid=156619080"",P$3)"),"#REF!")</f>
        <v>#REF!</v>
      </c>
      <c r="Q473" s="2" t="str">
        <f>IFERROR(__xludf.DUMMYFUNCTION("IMPORTRANGE(""https://docs.google.com/spreadsheets/d/""&amp;$A473&amp;""/edit#gid=156619080"",Q$3)"),"#REF!")</f>
        <v>#REF!</v>
      </c>
      <c r="R473" s="2" t="str">
        <f>IFERROR(__xludf.DUMMYFUNCTION("IMPORTRANGE(""https://docs.google.com/spreadsheets/d/""&amp;$A473&amp;""/edit#gid=156619080"",R$3)"),"#REF!")</f>
        <v>#REF!</v>
      </c>
      <c r="S473" s="2" t="str">
        <f>IFERROR(__xludf.DUMMYFUNCTION("IMPORTRANGE(""https://docs.google.com/spreadsheets/d/""&amp;$A473&amp;""/edit#gid=156619080"",S$3)"),"#REF!")</f>
        <v>#REF!</v>
      </c>
      <c r="T473" s="2" t="str">
        <f>IFERROR(__xludf.DUMMYFUNCTION("IMPORTRANGE(""https://docs.google.com/spreadsheets/d/""&amp;$A473&amp;""/edit#gid=156619080"",T$3)"),"#REF!")</f>
        <v>#REF!</v>
      </c>
      <c r="U473" s="2" t="str">
        <f>IFERROR(__xludf.DUMMYFUNCTION("IMPORTRANGE(""https://docs.google.com/spreadsheets/d/""&amp;$A473&amp;""/edit#gid=156619080"",U$3)"),"#REF!")</f>
        <v>#REF!</v>
      </c>
      <c r="V473" s="2" t="str">
        <f>IFERROR(__xludf.DUMMYFUNCTION("IMPORTRANGE(""https://docs.google.com/spreadsheets/d/""&amp;$A473&amp;""/edit#gid=156619080"",V$3)"),"#REF!")</f>
        <v>#REF!</v>
      </c>
      <c r="W473" s="2" t="str">
        <f>IFERROR(__xludf.DUMMYFUNCTION("IMPORTRANGE(""https://docs.google.com/spreadsheets/d/""&amp;$A473&amp;""/edit#gid=156619080"",W$3)"),"#REF!")</f>
        <v>#REF!</v>
      </c>
      <c r="X473" s="2" t="str">
        <f>IFERROR(__xludf.DUMMYFUNCTION("IMPORTRANGE(""https://docs.google.com/spreadsheets/d/""&amp;$A473&amp;""/edit#gid=156619080"",X$3)"),"#REF!")</f>
        <v>#REF!</v>
      </c>
      <c r="Y473" s="2" t="str">
        <f>IFERROR(__xludf.DUMMYFUNCTION("IMPORTRANGE(""https://docs.google.com/spreadsheets/d/""&amp;$A473&amp;""/edit#gid=156619080"",Y$3)"),"#REF!")</f>
        <v>#REF!</v>
      </c>
      <c r="Z473" s="2" t="str">
        <f>IFERROR(__xludf.DUMMYFUNCTION("IMPORTRANGE(""https://docs.google.com/spreadsheets/d/""&amp;$A473&amp;""/edit#gid=156619080"",Z$3)"),"#REF!")</f>
        <v>#REF!</v>
      </c>
      <c r="AA473" s="2" t="str">
        <f>IFERROR(__xludf.DUMMYFUNCTION("IMPORTRANGE(""https://docs.google.com/spreadsheets/d/""&amp;$A473&amp;""/edit#gid=156619080"",AA$3)"),"#REF!")</f>
        <v>#REF!</v>
      </c>
      <c r="AB473" s="2" t="str">
        <f>IFERROR(__xludf.DUMMYFUNCTION("IMPORTRANGE(""https://docs.google.com/spreadsheets/d/""&amp;$A473&amp;""/edit#gid=156619080"",AB$3)"),"#REF!")</f>
        <v>#REF!</v>
      </c>
      <c r="AC473" s="2" t="str">
        <f>IFERROR(__xludf.DUMMYFUNCTION("IMPORTRANGE(""https://docs.google.com/spreadsheets/d/""&amp;$A473&amp;""/edit#gid=156619080"",AC$3)"),"#REF!")</f>
        <v>#REF!</v>
      </c>
      <c r="AD473" s="2" t="str">
        <f>IFERROR(__xludf.DUMMYFUNCTION("IMPORTRANGE(""https://docs.google.com/spreadsheets/d/""&amp;$A473&amp;""/edit#gid=156619080"",AD$3)"),"#REF!")</f>
        <v>#REF!</v>
      </c>
      <c r="AE473" s="2" t="str">
        <f>IFERROR(__xludf.DUMMYFUNCTION("IMPORTRANGE(""https://docs.google.com/spreadsheets/d/""&amp;$A473&amp;""/edit#gid=156619080"",AE$3)"),"#REF!")</f>
        <v>#REF!</v>
      </c>
      <c r="AF473" s="2" t="str">
        <f>IFERROR(__xludf.DUMMYFUNCTION("IMPORTRANGE(""https://docs.google.com/spreadsheets/d/""&amp;$A473&amp;""/edit#gid=156619080"",AF$3)"),"#REF!")</f>
        <v>#REF!</v>
      </c>
      <c r="AG473" s="2" t="str">
        <f>IFERROR(__xludf.DUMMYFUNCTION("IMPORTRANGE(""https://docs.google.com/spreadsheets/d/""&amp;$A473&amp;""/edit#gid=156619080"",AG$3)"),"#REF!")</f>
        <v>#REF!</v>
      </c>
      <c r="AH473" s="2" t="str">
        <f>IFERROR(__xludf.DUMMYFUNCTION("IMPORTRANGE(""https://docs.google.com/spreadsheets/d/""&amp;$A473&amp;""/edit#gid=156619080"",AH$3)"),"#REF!")</f>
        <v>#REF!</v>
      </c>
      <c r="AI473" s="2" t="str">
        <f>IFERROR(__xludf.DUMMYFUNCTION("IMPORTRANGE(""https://docs.google.com/spreadsheets/d/""&amp;$A473&amp;""/edit#gid=156619080"",AI$3)"),"#REF!")</f>
        <v>#REF!</v>
      </c>
      <c r="AJ473" s="2" t="str">
        <f>IFERROR(__xludf.DUMMYFUNCTION("IMPORTRANGE(""https://docs.google.com/spreadsheets/d/""&amp;$A473&amp;""/edit#gid=156619080"",AJ$3)"),"#REF!")</f>
        <v>#REF!</v>
      </c>
      <c r="AK473" s="2" t="str">
        <f>IFERROR(__xludf.DUMMYFUNCTION("IMPORTRANGE(""https://docs.google.com/spreadsheets/d/""&amp;$A473&amp;""/edit#gid=156619080"",AK$3)"),"#REF!")</f>
        <v>#REF!</v>
      </c>
      <c r="AL473" s="2" t="str">
        <f>IFERROR(__xludf.DUMMYFUNCTION("IMPORTRANGE(""https://docs.google.com/spreadsheets/d/""&amp;$A473&amp;""/edit#gid=156619080"",AL$3)"),"#REF!")</f>
        <v>#REF!</v>
      </c>
      <c r="AM473" s="2" t="str">
        <f>IFERROR(__xludf.DUMMYFUNCTION("IMPORTRANGE(""https://docs.google.com/spreadsheets/d/""&amp;$A473&amp;""/edit#gid=156619080"",AM$3)"),"#REF!")</f>
        <v>#REF!</v>
      </c>
      <c r="AN473" s="2" t="str">
        <f>IFERROR(__xludf.DUMMYFUNCTION("IMPORTRANGE(""https://docs.google.com/spreadsheets/d/""&amp;$A473&amp;""/edit#gid=156619080"",AN$3)"),"#REF!")</f>
        <v>#REF!</v>
      </c>
      <c r="AO473" s="2" t="str">
        <f>IFERROR(__xludf.DUMMYFUNCTION("IMPORTRANGE(""https://docs.google.com/spreadsheets/d/""&amp;$A473&amp;""/edit#gid=156619080"",AO$3)"),"#REF!")</f>
        <v>#REF!</v>
      </c>
      <c r="AP473" s="2" t="str">
        <f>IFERROR(__xludf.DUMMYFUNCTION("IMPORTRANGE(""https://docs.google.com/spreadsheets/d/""&amp;$A473&amp;""/edit#gid=156619080"",AP$3)"),"#REF!")</f>
        <v>#REF!</v>
      </c>
      <c r="AQ473" s="2" t="str">
        <f>IFERROR(__xludf.DUMMYFUNCTION("IMPORTRANGE(""https://docs.google.com/spreadsheets/d/""&amp;$A473&amp;""/edit#gid=156619080"",AQ$3)"),"#REF!")</f>
        <v>#REF!</v>
      </c>
      <c r="AR473" s="2" t="str">
        <f>IFERROR(__xludf.DUMMYFUNCTION("IMPORTRANGE(""https://docs.google.com/spreadsheets/d/""&amp;$A473&amp;""/edit#gid=156619080"",AR$3)"),"#REF!")</f>
        <v>#REF!</v>
      </c>
      <c r="AS473" s="19" t="str">
        <f>IFERROR(__xludf.DUMMYFUNCTION("IMPORTRANGE(""https://docs.google.com/spreadsheets/d/""&amp;$A473&amp;""/edit#gid=156619080"",AS$3)"),"#REF!")</f>
        <v>#REF!</v>
      </c>
      <c r="AT473" s="2" t="str">
        <f>IFERROR(__xludf.DUMMYFUNCTION("IMPORTRANGE(""https://docs.google.com/spreadsheets/d/""&amp;$A473&amp;""/edit#gid=156619080"",AT$3)"),"#REF!")</f>
        <v>#REF!</v>
      </c>
      <c r="AU473" s="3" t="str">
        <f>IFERROR(__xludf.DUMMYFUNCTION("IMPORTRANGE(""https://docs.google.com/spreadsheets/d/""&amp;$A473&amp;""/edit#gid=156619080"",AU$3)"),"#REF!")</f>
        <v>#REF!</v>
      </c>
      <c r="AV473" s="2" t="str">
        <f>IFERROR(__xludf.DUMMYFUNCTION("IMPORTRANGE(""https://docs.google.com/spreadsheets/d/""&amp;$A473&amp;""/edit#gid=156619080"",AV$3)"),"#REF!")</f>
        <v>#REF!</v>
      </c>
      <c r="AW473" s="19" t="str">
        <f>IFERROR(__xludf.DUMMYFUNCTION("IMPORTRANGE(""https://docs.google.com/spreadsheets/d/""&amp;$A473&amp;""/edit#gid=156619080"",AW$3)"),"#REF!")</f>
        <v>#REF!</v>
      </c>
      <c r="AX473" s="2" t="str">
        <f>IFERROR(__xludf.DUMMYFUNCTION("IMPORTRANGE(""https://docs.google.com/spreadsheets/d/""&amp;$A473&amp;""/edit#gid=156619080"",AX$3)"),"#REF!")</f>
        <v>#REF!</v>
      </c>
      <c r="AY473" s="2" t="str">
        <f>IFERROR(__xludf.DUMMYFUNCTION("IMPORTRANGE(""https://docs.google.com/spreadsheets/d/""&amp;$A473&amp;""/edit#gid=156619080"",AY$3)"),"#REF!")</f>
        <v>#REF!</v>
      </c>
      <c r="AZ473" s="2" t="str">
        <f>IFERROR(__xludf.DUMMYFUNCTION("IMPORTRANGE(""https://docs.google.com/spreadsheets/d/""&amp;$A473&amp;""/edit#gid=156619080"",AZ$3)"),"#REF!")</f>
        <v>#REF!</v>
      </c>
      <c r="BA473" s="2" t="str">
        <f>IFERROR(__xludf.DUMMYFUNCTION("IMPORTRANGE(""https://docs.google.com/spreadsheets/d/""&amp;$A473&amp;""/edit#gid=156619080"",BA$3)"),"#REF!")</f>
        <v>#REF!</v>
      </c>
      <c r="BB473" s="2" t="str">
        <f>IFERROR(__xludf.DUMMYFUNCTION("IMPORTRANGE(""https://docs.google.com/spreadsheets/d/""&amp;$A473&amp;""/edit#gid=156619080"",BB$3)"),"#REF!")</f>
        <v>#REF!</v>
      </c>
      <c r="BC473" s="2" t="str">
        <f>IFERROR(__xludf.DUMMYFUNCTION("IMPORTRANGE(""https://docs.google.com/spreadsheets/d/""&amp;$A473&amp;""/edit#gid=156619080"",BC$3)"),"#REF!")</f>
        <v>#REF!</v>
      </c>
    </row>
    <row r="474" ht="51.0" customHeight="1">
      <c r="A474" s="7" t="str">
        <f t="shared" si="5"/>
        <v>1kosF-isp9r-0aH93BpFtmSHLeFjvu9fikrXC8fBEiA0</v>
      </c>
      <c r="B474" s="1" t="s">
        <v>501</v>
      </c>
      <c r="C474" s="2" t="str">
        <f>IFERROR(__xludf.DUMMYFUNCTION("IMPORTRANGE(""https://docs.google.com/spreadsheets/d/""&amp;$A474&amp;""/edit#gid=156619080"",C$3)"),"#REF!")</f>
        <v>#REF!</v>
      </c>
      <c r="D474" s="2" t="str">
        <f>IFERROR(__xludf.DUMMYFUNCTION("IMPORTRANGE(""https://docs.google.com/spreadsheets/d/""&amp;$A474&amp;""/edit#gid=156619080"",D$3)"),"#REF!")</f>
        <v>#REF!</v>
      </c>
      <c r="E474" s="2" t="str">
        <f>IFERROR(__xludf.DUMMYFUNCTION("IMPORTRANGE(""https://docs.google.com/spreadsheets/d/""&amp;$A474&amp;""/edit#gid=156619080"",E$3)"),"#REF!")</f>
        <v>#REF!</v>
      </c>
      <c r="F474" s="2" t="str">
        <f>IFERROR(__xludf.DUMMYFUNCTION("IMPORTRANGE(""https://docs.google.com/spreadsheets/d/""&amp;$A474&amp;""/edit#gid=156619080"",F$3)"),"#REF!")</f>
        <v>#REF!</v>
      </c>
      <c r="G474" s="2" t="str">
        <f>IFERROR(__xludf.DUMMYFUNCTION("IMPORTRANGE(""https://docs.google.com/spreadsheets/d/""&amp;$A474&amp;""/edit#gid=156619080"",G$3)"),"#REF!")</f>
        <v>#REF!</v>
      </c>
      <c r="H474" s="2" t="str">
        <f>IFERROR(__xludf.DUMMYFUNCTION("IMPORTRANGE(""https://docs.google.com/spreadsheets/d/""&amp;$A474&amp;""/edit#gid=156619080"",H$3)"),"#REF!")</f>
        <v>#REF!</v>
      </c>
      <c r="I474" s="2" t="str">
        <f>IFERROR(__xludf.DUMMYFUNCTION("IMPORTRANGE(""https://docs.google.com/spreadsheets/d/""&amp;$A474&amp;""/edit#gid=156619080"",I$3)"),"#REF!")</f>
        <v>#REF!</v>
      </c>
      <c r="J474" s="2" t="str">
        <f>IFERROR(__xludf.DUMMYFUNCTION("IMPORTRANGE(""https://docs.google.com/spreadsheets/d/""&amp;$A474&amp;""/edit#gid=156619080"",J$3)"),"#REF!")</f>
        <v>#REF!</v>
      </c>
      <c r="K474" s="2" t="str">
        <f>IFERROR(__xludf.DUMMYFUNCTION("IMPORTRANGE(""https://docs.google.com/spreadsheets/d/""&amp;$A474&amp;""/edit#gid=156619080"",K$3)"),"#REF!")</f>
        <v>#REF!</v>
      </c>
      <c r="L474" s="2" t="str">
        <f>IFERROR(__xludf.DUMMYFUNCTION("IMPORTRANGE(""https://docs.google.com/spreadsheets/d/""&amp;$A474&amp;""/edit#gid=156619080"",L$3)"),"#REF!")</f>
        <v>#REF!</v>
      </c>
      <c r="M474" s="2" t="str">
        <f>IFERROR(__xludf.DUMMYFUNCTION("IMPORTRANGE(""https://docs.google.com/spreadsheets/d/""&amp;$A474&amp;""/edit#gid=156619080"",M$3)"),"#REF!")</f>
        <v>#REF!</v>
      </c>
      <c r="N474" s="2" t="str">
        <f>IFERROR(__xludf.DUMMYFUNCTION("IMPORTRANGE(""https://docs.google.com/spreadsheets/d/""&amp;$A474&amp;""/edit#gid=156619080"",N$3)"),"#REF!")</f>
        <v>#REF!</v>
      </c>
      <c r="O474" s="2" t="str">
        <f>IFERROR(__xludf.DUMMYFUNCTION("IMPORTRANGE(""https://docs.google.com/spreadsheets/d/""&amp;$A474&amp;""/edit#gid=156619080"",O$3)"),"#REF!")</f>
        <v>#REF!</v>
      </c>
      <c r="P474" s="2" t="str">
        <f>IFERROR(__xludf.DUMMYFUNCTION("IMPORTRANGE(""https://docs.google.com/spreadsheets/d/""&amp;$A474&amp;""/edit#gid=156619080"",P$3)"),"#REF!")</f>
        <v>#REF!</v>
      </c>
      <c r="Q474" s="2" t="str">
        <f>IFERROR(__xludf.DUMMYFUNCTION("IMPORTRANGE(""https://docs.google.com/spreadsheets/d/""&amp;$A474&amp;""/edit#gid=156619080"",Q$3)"),"#REF!")</f>
        <v>#REF!</v>
      </c>
      <c r="R474" s="2" t="str">
        <f>IFERROR(__xludf.DUMMYFUNCTION("IMPORTRANGE(""https://docs.google.com/spreadsheets/d/""&amp;$A474&amp;""/edit#gid=156619080"",R$3)"),"#REF!")</f>
        <v>#REF!</v>
      </c>
      <c r="S474" s="2" t="str">
        <f>IFERROR(__xludf.DUMMYFUNCTION("IMPORTRANGE(""https://docs.google.com/spreadsheets/d/""&amp;$A474&amp;""/edit#gid=156619080"",S$3)"),"#REF!")</f>
        <v>#REF!</v>
      </c>
      <c r="T474" s="2" t="str">
        <f>IFERROR(__xludf.DUMMYFUNCTION("IMPORTRANGE(""https://docs.google.com/spreadsheets/d/""&amp;$A474&amp;""/edit#gid=156619080"",T$3)"),"#REF!")</f>
        <v>#REF!</v>
      </c>
      <c r="U474" s="2" t="str">
        <f>IFERROR(__xludf.DUMMYFUNCTION("IMPORTRANGE(""https://docs.google.com/spreadsheets/d/""&amp;$A474&amp;""/edit#gid=156619080"",U$3)"),"#REF!")</f>
        <v>#REF!</v>
      </c>
      <c r="V474" s="2" t="str">
        <f>IFERROR(__xludf.DUMMYFUNCTION("IMPORTRANGE(""https://docs.google.com/spreadsheets/d/""&amp;$A474&amp;""/edit#gid=156619080"",V$3)"),"#REF!")</f>
        <v>#REF!</v>
      </c>
      <c r="W474" s="2" t="str">
        <f>IFERROR(__xludf.DUMMYFUNCTION("IMPORTRANGE(""https://docs.google.com/spreadsheets/d/""&amp;$A474&amp;""/edit#gid=156619080"",W$3)"),"#REF!")</f>
        <v>#REF!</v>
      </c>
      <c r="X474" s="2" t="str">
        <f>IFERROR(__xludf.DUMMYFUNCTION("IMPORTRANGE(""https://docs.google.com/spreadsheets/d/""&amp;$A474&amp;""/edit#gid=156619080"",X$3)"),"#REF!")</f>
        <v>#REF!</v>
      </c>
      <c r="Y474" s="2" t="str">
        <f>IFERROR(__xludf.DUMMYFUNCTION("IMPORTRANGE(""https://docs.google.com/spreadsheets/d/""&amp;$A474&amp;""/edit#gid=156619080"",Y$3)"),"#REF!")</f>
        <v>#REF!</v>
      </c>
      <c r="Z474" s="2" t="str">
        <f>IFERROR(__xludf.DUMMYFUNCTION("IMPORTRANGE(""https://docs.google.com/spreadsheets/d/""&amp;$A474&amp;""/edit#gid=156619080"",Z$3)"),"#REF!")</f>
        <v>#REF!</v>
      </c>
      <c r="AA474" s="2" t="str">
        <f>IFERROR(__xludf.DUMMYFUNCTION("IMPORTRANGE(""https://docs.google.com/spreadsheets/d/""&amp;$A474&amp;""/edit#gid=156619080"",AA$3)"),"#REF!")</f>
        <v>#REF!</v>
      </c>
      <c r="AB474" s="2" t="str">
        <f>IFERROR(__xludf.DUMMYFUNCTION("IMPORTRANGE(""https://docs.google.com/spreadsheets/d/""&amp;$A474&amp;""/edit#gid=156619080"",AB$3)"),"#REF!")</f>
        <v>#REF!</v>
      </c>
      <c r="AC474" s="2" t="str">
        <f>IFERROR(__xludf.DUMMYFUNCTION("IMPORTRANGE(""https://docs.google.com/spreadsheets/d/""&amp;$A474&amp;""/edit#gid=156619080"",AC$3)"),"#REF!")</f>
        <v>#REF!</v>
      </c>
      <c r="AD474" s="2" t="str">
        <f>IFERROR(__xludf.DUMMYFUNCTION("IMPORTRANGE(""https://docs.google.com/spreadsheets/d/""&amp;$A474&amp;""/edit#gid=156619080"",AD$3)"),"#REF!")</f>
        <v>#REF!</v>
      </c>
      <c r="AE474" s="2" t="str">
        <f>IFERROR(__xludf.DUMMYFUNCTION("IMPORTRANGE(""https://docs.google.com/spreadsheets/d/""&amp;$A474&amp;""/edit#gid=156619080"",AE$3)"),"#REF!")</f>
        <v>#REF!</v>
      </c>
      <c r="AF474" s="2" t="str">
        <f>IFERROR(__xludf.DUMMYFUNCTION("IMPORTRANGE(""https://docs.google.com/spreadsheets/d/""&amp;$A474&amp;""/edit#gid=156619080"",AF$3)"),"#REF!")</f>
        <v>#REF!</v>
      </c>
      <c r="AG474" s="2" t="str">
        <f>IFERROR(__xludf.DUMMYFUNCTION("IMPORTRANGE(""https://docs.google.com/spreadsheets/d/""&amp;$A474&amp;""/edit#gid=156619080"",AG$3)"),"#REF!")</f>
        <v>#REF!</v>
      </c>
      <c r="AH474" s="2" t="str">
        <f>IFERROR(__xludf.DUMMYFUNCTION("IMPORTRANGE(""https://docs.google.com/spreadsheets/d/""&amp;$A474&amp;""/edit#gid=156619080"",AH$3)"),"#REF!")</f>
        <v>#REF!</v>
      </c>
      <c r="AI474" s="2" t="str">
        <f>IFERROR(__xludf.DUMMYFUNCTION("IMPORTRANGE(""https://docs.google.com/spreadsheets/d/""&amp;$A474&amp;""/edit#gid=156619080"",AI$3)"),"#REF!")</f>
        <v>#REF!</v>
      </c>
      <c r="AJ474" s="2" t="str">
        <f>IFERROR(__xludf.DUMMYFUNCTION("IMPORTRANGE(""https://docs.google.com/spreadsheets/d/""&amp;$A474&amp;""/edit#gid=156619080"",AJ$3)"),"#REF!")</f>
        <v>#REF!</v>
      </c>
      <c r="AK474" s="2" t="str">
        <f>IFERROR(__xludf.DUMMYFUNCTION("IMPORTRANGE(""https://docs.google.com/spreadsheets/d/""&amp;$A474&amp;""/edit#gid=156619080"",AK$3)"),"#REF!")</f>
        <v>#REF!</v>
      </c>
      <c r="AL474" s="2" t="str">
        <f>IFERROR(__xludf.DUMMYFUNCTION("IMPORTRANGE(""https://docs.google.com/spreadsheets/d/""&amp;$A474&amp;""/edit#gid=156619080"",AL$3)"),"#REF!")</f>
        <v>#REF!</v>
      </c>
      <c r="AM474" s="2" t="str">
        <f>IFERROR(__xludf.DUMMYFUNCTION("IMPORTRANGE(""https://docs.google.com/spreadsheets/d/""&amp;$A474&amp;""/edit#gid=156619080"",AM$3)"),"#REF!")</f>
        <v>#REF!</v>
      </c>
      <c r="AN474" s="2" t="str">
        <f>IFERROR(__xludf.DUMMYFUNCTION("IMPORTRANGE(""https://docs.google.com/spreadsheets/d/""&amp;$A474&amp;""/edit#gid=156619080"",AN$3)"),"#REF!")</f>
        <v>#REF!</v>
      </c>
      <c r="AO474" s="2" t="str">
        <f>IFERROR(__xludf.DUMMYFUNCTION("IMPORTRANGE(""https://docs.google.com/spreadsheets/d/""&amp;$A474&amp;""/edit#gid=156619080"",AO$3)"),"#REF!")</f>
        <v>#REF!</v>
      </c>
      <c r="AP474" s="2" t="str">
        <f>IFERROR(__xludf.DUMMYFUNCTION("IMPORTRANGE(""https://docs.google.com/spreadsheets/d/""&amp;$A474&amp;""/edit#gid=156619080"",AP$3)"),"#REF!")</f>
        <v>#REF!</v>
      </c>
      <c r="AQ474" s="2" t="str">
        <f>IFERROR(__xludf.DUMMYFUNCTION("IMPORTRANGE(""https://docs.google.com/spreadsheets/d/""&amp;$A474&amp;""/edit#gid=156619080"",AQ$3)"),"#REF!")</f>
        <v>#REF!</v>
      </c>
      <c r="AR474" s="2" t="str">
        <f>IFERROR(__xludf.DUMMYFUNCTION("IMPORTRANGE(""https://docs.google.com/spreadsheets/d/""&amp;$A474&amp;""/edit#gid=156619080"",AR$3)"),"#REF!")</f>
        <v>#REF!</v>
      </c>
      <c r="AS474" s="19" t="str">
        <f>IFERROR(__xludf.DUMMYFUNCTION("IMPORTRANGE(""https://docs.google.com/spreadsheets/d/""&amp;$A474&amp;""/edit#gid=156619080"",AS$3)"),"#REF!")</f>
        <v>#REF!</v>
      </c>
      <c r="AT474" s="2" t="str">
        <f>IFERROR(__xludf.DUMMYFUNCTION("IMPORTRANGE(""https://docs.google.com/spreadsheets/d/""&amp;$A474&amp;""/edit#gid=156619080"",AT$3)"),"#REF!")</f>
        <v>#REF!</v>
      </c>
      <c r="AU474" s="3" t="str">
        <f>IFERROR(__xludf.DUMMYFUNCTION("IMPORTRANGE(""https://docs.google.com/spreadsheets/d/""&amp;$A474&amp;""/edit#gid=156619080"",AU$3)"),"#REF!")</f>
        <v>#REF!</v>
      </c>
      <c r="AV474" s="2" t="str">
        <f>IFERROR(__xludf.DUMMYFUNCTION("IMPORTRANGE(""https://docs.google.com/spreadsheets/d/""&amp;$A474&amp;""/edit#gid=156619080"",AV$3)"),"#REF!")</f>
        <v>#REF!</v>
      </c>
      <c r="AW474" s="19" t="str">
        <f>IFERROR(__xludf.DUMMYFUNCTION("IMPORTRANGE(""https://docs.google.com/spreadsheets/d/""&amp;$A474&amp;""/edit#gid=156619080"",AW$3)"),"#REF!")</f>
        <v>#REF!</v>
      </c>
      <c r="AX474" s="2" t="str">
        <f>IFERROR(__xludf.DUMMYFUNCTION("IMPORTRANGE(""https://docs.google.com/spreadsheets/d/""&amp;$A474&amp;""/edit#gid=156619080"",AX$3)"),"#REF!")</f>
        <v>#REF!</v>
      </c>
      <c r="AY474" s="2" t="str">
        <f>IFERROR(__xludf.DUMMYFUNCTION("IMPORTRANGE(""https://docs.google.com/spreadsheets/d/""&amp;$A474&amp;""/edit#gid=156619080"",AY$3)"),"#REF!")</f>
        <v>#REF!</v>
      </c>
      <c r="AZ474" s="2" t="str">
        <f>IFERROR(__xludf.DUMMYFUNCTION("IMPORTRANGE(""https://docs.google.com/spreadsheets/d/""&amp;$A474&amp;""/edit#gid=156619080"",AZ$3)"),"#REF!")</f>
        <v>#REF!</v>
      </c>
      <c r="BA474" s="2" t="str">
        <f>IFERROR(__xludf.DUMMYFUNCTION("IMPORTRANGE(""https://docs.google.com/spreadsheets/d/""&amp;$A474&amp;""/edit#gid=156619080"",BA$3)"),"#REF!")</f>
        <v>#REF!</v>
      </c>
      <c r="BB474" s="2" t="str">
        <f>IFERROR(__xludf.DUMMYFUNCTION("IMPORTRANGE(""https://docs.google.com/spreadsheets/d/""&amp;$A474&amp;""/edit#gid=156619080"",BB$3)"),"#REF!")</f>
        <v>#REF!</v>
      </c>
      <c r="BC474" s="2" t="str">
        <f>IFERROR(__xludf.DUMMYFUNCTION("IMPORTRANGE(""https://docs.google.com/spreadsheets/d/""&amp;$A474&amp;""/edit#gid=156619080"",BC$3)"),"#REF!")</f>
        <v>#REF!</v>
      </c>
    </row>
    <row r="475" ht="51.0" customHeight="1">
      <c r="A475" s="7" t="str">
        <f t="shared" si="5"/>
        <v>1aXFx4NW_rVLr94IsGYD1KgMedgD9qu-t9t1EmlzNDb4</v>
      </c>
      <c r="B475" s="1" t="s">
        <v>502</v>
      </c>
      <c r="C475" s="2" t="str">
        <f>IFERROR(__xludf.DUMMYFUNCTION("IMPORTRANGE(""https://docs.google.com/spreadsheets/d/""&amp;$A475&amp;""/edit#gid=156619080"",C$3)"),"#REF!")</f>
        <v>#REF!</v>
      </c>
      <c r="D475" s="2" t="str">
        <f>IFERROR(__xludf.DUMMYFUNCTION("IMPORTRANGE(""https://docs.google.com/spreadsheets/d/""&amp;$A475&amp;""/edit#gid=156619080"",D$3)"),"#REF!")</f>
        <v>#REF!</v>
      </c>
      <c r="E475" s="2" t="str">
        <f>IFERROR(__xludf.DUMMYFUNCTION("IMPORTRANGE(""https://docs.google.com/spreadsheets/d/""&amp;$A475&amp;""/edit#gid=156619080"",E$3)"),"#REF!")</f>
        <v>#REF!</v>
      </c>
      <c r="F475" s="2" t="str">
        <f>IFERROR(__xludf.DUMMYFUNCTION("IMPORTRANGE(""https://docs.google.com/spreadsheets/d/""&amp;$A475&amp;""/edit#gid=156619080"",F$3)"),"#REF!")</f>
        <v>#REF!</v>
      </c>
      <c r="G475" s="2" t="str">
        <f>IFERROR(__xludf.DUMMYFUNCTION("IMPORTRANGE(""https://docs.google.com/spreadsheets/d/""&amp;$A475&amp;""/edit#gid=156619080"",G$3)"),"#REF!")</f>
        <v>#REF!</v>
      </c>
      <c r="H475" s="2" t="str">
        <f>IFERROR(__xludf.DUMMYFUNCTION("IMPORTRANGE(""https://docs.google.com/spreadsheets/d/""&amp;$A475&amp;""/edit#gid=156619080"",H$3)"),"#REF!")</f>
        <v>#REF!</v>
      </c>
      <c r="I475" s="2" t="str">
        <f>IFERROR(__xludf.DUMMYFUNCTION("IMPORTRANGE(""https://docs.google.com/spreadsheets/d/""&amp;$A475&amp;""/edit#gid=156619080"",I$3)"),"#REF!")</f>
        <v>#REF!</v>
      </c>
      <c r="J475" s="2" t="str">
        <f>IFERROR(__xludf.DUMMYFUNCTION("IMPORTRANGE(""https://docs.google.com/spreadsheets/d/""&amp;$A475&amp;""/edit#gid=156619080"",J$3)"),"#REF!")</f>
        <v>#REF!</v>
      </c>
      <c r="K475" s="2" t="str">
        <f>IFERROR(__xludf.DUMMYFUNCTION("IMPORTRANGE(""https://docs.google.com/spreadsheets/d/""&amp;$A475&amp;""/edit#gid=156619080"",K$3)"),"#REF!")</f>
        <v>#REF!</v>
      </c>
      <c r="L475" s="2" t="str">
        <f>IFERROR(__xludf.DUMMYFUNCTION("IMPORTRANGE(""https://docs.google.com/spreadsheets/d/""&amp;$A475&amp;""/edit#gid=156619080"",L$3)"),"#REF!")</f>
        <v>#REF!</v>
      </c>
      <c r="M475" s="2" t="str">
        <f>IFERROR(__xludf.DUMMYFUNCTION("IMPORTRANGE(""https://docs.google.com/spreadsheets/d/""&amp;$A475&amp;""/edit#gid=156619080"",M$3)"),"#REF!")</f>
        <v>#REF!</v>
      </c>
      <c r="N475" s="2" t="str">
        <f>IFERROR(__xludf.DUMMYFUNCTION("IMPORTRANGE(""https://docs.google.com/spreadsheets/d/""&amp;$A475&amp;""/edit#gid=156619080"",N$3)"),"#REF!")</f>
        <v>#REF!</v>
      </c>
      <c r="O475" s="2" t="str">
        <f>IFERROR(__xludf.DUMMYFUNCTION("IMPORTRANGE(""https://docs.google.com/spreadsheets/d/""&amp;$A475&amp;""/edit#gid=156619080"",O$3)"),"#REF!")</f>
        <v>#REF!</v>
      </c>
      <c r="P475" s="2" t="str">
        <f>IFERROR(__xludf.DUMMYFUNCTION("IMPORTRANGE(""https://docs.google.com/spreadsheets/d/""&amp;$A475&amp;""/edit#gid=156619080"",P$3)"),"#REF!")</f>
        <v>#REF!</v>
      </c>
      <c r="Q475" s="2" t="str">
        <f>IFERROR(__xludf.DUMMYFUNCTION("IMPORTRANGE(""https://docs.google.com/spreadsheets/d/""&amp;$A475&amp;""/edit#gid=156619080"",Q$3)"),"#REF!")</f>
        <v>#REF!</v>
      </c>
      <c r="R475" s="2" t="str">
        <f>IFERROR(__xludf.DUMMYFUNCTION("IMPORTRANGE(""https://docs.google.com/spreadsheets/d/""&amp;$A475&amp;""/edit#gid=156619080"",R$3)"),"#REF!")</f>
        <v>#REF!</v>
      </c>
      <c r="S475" s="2" t="str">
        <f>IFERROR(__xludf.DUMMYFUNCTION("IMPORTRANGE(""https://docs.google.com/spreadsheets/d/""&amp;$A475&amp;""/edit#gid=156619080"",S$3)"),"#REF!")</f>
        <v>#REF!</v>
      </c>
      <c r="T475" s="2" t="str">
        <f>IFERROR(__xludf.DUMMYFUNCTION("IMPORTRANGE(""https://docs.google.com/spreadsheets/d/""&amp;$A475&amp;""/edit#gid=156619080"",T$3)"),"#REF!")</f>
        <v>#REF!</v>
      </c>
      <c r="U475" s="2" t="str">
        <f>IFERROR(__xludf.DUMMYFUNCTION("IMPORTRANGE(""https://docs.google.com/spreadsheets/d/""&amp;$A475&amp;""/edit#gid=156619080"",U$3)"),"#REF!")</f>
        <v>#REF!</v>
      </c>
      <c r="V475" s="2" t="str">
        <f>IFERROR(__xludf.DUMMYFUNCTION("IMPORTRANGE(""https://docs.google.com/spreadsheets/d/""&amp;$A475&amp;""/edit#gid=156619080"",V$3)"),"#REF!")</f>
        <v>#REF!</v>
      </c>
      <c r="W475" s="2" t="str">
        <f>IFERROR(__xludf.DUMMYFUNCTION("IMPORTRANGE(""https://docs.google.com/spreadsheets/d/""&amp;$A475&amp;""/edit#gid=156619080"",W$3)"),"#REF!")</f>
        <v>#REF!</v>
      </c>
      <c r="X475" s="2" t="str">
        <f>IFERROR(__xludf.DUMMYFUNCTION("IMPORTRANGE(""https://docs.google.com/spreadsheets/d/""&amp;$A475&amp;""/edit#gid=156619080"",X$3)"),"#REF!")</f>
        <v>#REF!</v>
      </c>
      <c r="Y475" s="2" t="str">
        <f>IFERROR(__xludf.DUMMYFUNCTION("IMPORTRANGE(""https://docs.google.com/spreadsheets/d/""&amp;$A475&amp;""/edit#gid=156619080"",Y$3)"),"#REF!")</f>
        <v>#REF!</v>
      </c>
      <c r="Z475" s="2" t="str">
        <f>IFERROR(__xludf.DUMMYFUNCTION("IMPORTRANGE(""https://docs.google.com/spreadsheets/d/""&amp;$A475&amp;""/edit#gid=156619080"",Z$3)"),"#REF!")</f>
        <v>#REF!</v>
      </c>
      <c r="AA475" s="2" t="str">
        <f>IFERROR(__xludf.DUMMYFUNCTION("IMPORTRANGE(""https://docs.google.com/spreadsheets/d/""&amp;$A475&amp;""/edit#gid=156619080"",AA$3)"),"#REF!")</f>
        <v>#REF!</v>
      </c>
      <c r="AB475" s="2" t="str">
        <f>IFERROR(__xludf.DUMMYFUNCTION("IMPORTRANGE(""https://docs.google.com/spreadsheets/d/""&amp;$A475&amp;""/edit#gid=156619080"",AB$3)"),"#REF!")</f>
        <v>#REF!</v>
      </c>
      <c r="AC475" s="2" t="str">
        <f>IFERROR(__xludf.DUMMYFUNCTION("IMPORTRANGE(""https://docs.google.com/spreadsheets/d/""&amp;$A475&amp;""/edit#gid=156619080"",AC$3)"),"#REF!")</f>
        <v>#REF!</v>
      </c>
      <c r="AD475" s="2" t="str">
        <f>IFERROR(__xludf.DUMMYFUNCTION("IMPORTRANGE(""https://docs.google.com/spreadsheets/d/""&amp;$A475&amp;""/edit#gid=156619080"",AD$3)"),"#REF!")</f>
        <v>#REF!</v>
      </c>
      <c r="AE475" s="2" t="str">
        <f>IFERROR(__xludf.DUMMYFUNCTION("IMPORTRANGE(""https://docs.google.com/spreadsheets/d/""&amp;$A475&amp;""/edit#gid=156619080"",AE$3)"),"#REF!")</f>
        <v>#REF!</v>
      </c>
      <c r="AF475" s="2" t="str">
        <f>IFERROR(__xludf.DUMMYFUNCTION("IMPORTRANGE(""https://docs.google.com/spreadsheets/d/""&amp;$A475&amp;""/edit#gid=156619080"",AF$3)"),"#REF!")</f>
        <v>#REF!</v>
      </c>
      <c r="AG475" s="2" t="str">
        <f>IFERROR(__xludf.DUMMYFUNCTION("IMPORTRANGE(""https://docs.google.com/spreadsheets/d/""&amp;$A475&amp;""/edit#gid=156619080"",AG$3)"),"#REF!")</f>
        <v>#REF!</v>
      </c>
      <c r="AH475" s="2" t="str">
        <f>IFERROR(__xludf.DUMMYFUNCTION("IMPORTRANGE(""https://docs.google.com/spreadsheets/d/""&amp;$A475&amp;""/edit#gid=156619080"",AH$3)"),"#REF!")</f>
        <v>#REF!</v>
      </c>
      <c r="AI475" s="2" t="str">
        <f>IFERROR(__xludf.DUMMYFUNCTION("IMPORTRANGE(""https://docs.google.com/spreadsheets/d/""&amp;$A475&amp;""/edit#gid=156619080"",AI$3)"),"#REF!")</f>
        <v>#REF!</v>
      </c>
      <c r="AJ475" s="2" t="str">
        <f>IFERROR(__xludf.DUMMYFUNCTION("IMPORTRANGE(""https://docs.google.com/spreadsheets/d/""&amp;$A475&amp;""/edit#gid=156619080"",AJ$3)"),"#REF!")</f>
        <v>#REF!</v>
      </c>
      <c r="AK475" s="2" t="str">
        <f>IFERROR(__xludf.DUMMYFUNCTION("IMPORTRANGE(""https://docs.google.com/spreadsheets/d/""&amp;$A475&amp;""/edit#gid=156619080"",AK$3)"),"#REF!")</f>
        <v>#REF!</v>
      </c>
      <c r="AL475" s="2" t="str">
        <f>IFERROR(__xludf.DUMMYFUNCTION("IMPORTRANGE(""https://docs.google.com/spreadsheets/d/""&amp;$A475&amp;""/edit#gid=156619080"",AL$3)"),"#REF!")</f>
        <v>#REF!</v>
      </c>
      <c r="AM475" s="2" t="str">
        <f>IFERROR(__xludf.DUMMYFUNCTION("IMPORTRANGE(""https://docs.google.com/spreadsheets/d/""&amp;$A475&amp;""/edit#gid=156619080"",AM$3)"),"#REF!")</f>
        <v>#REF!</v>
      </c>
      <c r="AN475" s="2" t="str">
        <f>IFERROR(__xludf.DUMMYFUNCTION("IMPORTRANGE(""https://docs.google.com/spreadsheets/d/""&amp;$A475&amp;""/edit#gid=156619080"",AN$3)"),"#REF!")</f>
        <v>#REF!</v>
      </c>
      <c r="AO475" s="2" t="str">
        <f>IFERROR(__xludf.DUMMYFUNCTION("IMPORTRANGE(""https://docs.google.com/spreadsheets/d/""&amp;$A475&amp;""/edit#gid=156619080"",AO$3)"),"#REF!")</f>
        <v>#REF!</v>
      </c>
      <c r="AP475" s="2" t="str">
        <f>IFERROR(__xludf.DUMMYFUNCTION("IMPORTRANGE(""https://docs.google.com/spreadsheets/d/""&amp;$A475&amp;""/edit#gid=156619080"",AP$3)"),"#REF!")</f>
        <v>#REF!</v>
      </c>
      <c r="AQ475" s="2" t="str">
        <f>IFERROR(__xludf.DUMMYFUNCTION("IMPORTRANGE(""https://docs.google.com/spreadsheets/d/""&amp;$A475&amp;""/edit#gid=156619080"",AQ$3)"),"#REF!")</f>
        <v>#REF!</v>
      </c>
      <c r="AR475" s="2" t="str">
        <f>IFERROR(__xludf.DUMMYFUNCTION("IMPORTRANGE(""https://docs.google.com/spreadsheets/d/""&amp;$A475&amp;""/edit#gid=156619080"",AR$3)"),"#REF!")</f>
        <v>#REF!</v>
      </c>
      <c r="AS475" s="19" t="str">
        <f>IFERROR(__xludf.DUMMYFUNCTION("IMPORTRANGE(""https://docs.google.com/spreadsheets/d/""&amp;$A475&amp;""/edit#gid=156619080"",AS$3)"),"#REF!")</f>
        <v>#REF!</v>
      </c>
      <c r="AT475" s="2" t="str">
        <f>IFERROR(__xludf.DUMMYFUNCTION("IMPORTRANGE(""https://docs.google.com/spreadsheets/d/""&amp;$A475&amp;""/edit#gid=156619080"",AT$3)"),"#REF!")</f>
        <v>#REF!</v>
      </c>
      <c r="AU475" s="3" t="str">
        <f>IFERROR(__xludf.DUMMYFUNCTION("IMPORTRANGE(""https://docs.google.com/spreadsheets/d/""&amp;$A475&amp;""/edit#gid=156619080"",AU$3)"),"#REF!")</f>
        <v>#REF!</v>
      </c>
      <c r="AV475" s="2" t="str">
        <f>IFERROR(__xludf.DUMMYFUNCTION("IMPORTRANGE(""https://docs.google.com/spreadsheets/d/""&amp;$A475&amp;""/edit#gid=156619080"",AV$3)"),"#REF!")</f>
        <v>#REF!</v>
      </c>
      <c r="AW475" s="19" t="str">
        <f>IFERROR(__xludf.DUMMYFUNCTION("IMPORTRANGE(""https://docs.google.com/spreadsheets/d/""&amp;$A475&amp;""/edit#gid=156619080"",AW$3)"),"#REF!")</f>
        <v>#REF!</v>
      </c>
      <c r="AX475" s="2" t="str">
        <f>IFERROR(__xludf.DUMMYFUNCTION("IMPORTRANGE(""https://docs.google.com/spreadsheets/d/""&amp;$A475&amp;""/edit#gid=156619080"",AX$3)"),"#REF!")</f>
        <v>#REF!</v>
      </c>
      <c r="AY475" s="2" t="str">
        <f>IFERROR(__xludf.DUMMYFUNCTION("IMPORTRANGE(""https://docs.google.com/spreadsheets/d/""&amp;$A475&amp;""/edit#gid=156619080"",AY$3)"),"#REF!")</f>
        <v>#REF!</v>
      </c>
      <c r="AZ475" s="2" t="str">
        <f>IFERROR(__xludf.DUMMYFUNCTION("IMPORTRANGE(""https://docs.google.com/spreadsheets/d/""&amp;$A475&amp;""/edit#gid=156619080"",AZ$3)"),"#REF!")</f>
        <v>#REF!</v>
      </c>
      <c r="BA475" s="2" t="str">
        <f>IFERROR(__xludf.DUMMYFUNCTION("IMPORTRANGE(""https://docs.google.com/spreadsheets/d/""&amp;$A475&amp;""/edit#gid=156619080"",BA$3)"),"#REF!")</f>
        <v>#REF!</v>
      </c>
      <c r="BB475" s="2" t="str">
        <f>IFERROR(__xludf.DUMMYFUNCTION("IMPORTRANGE(""https://docs.google.com/spreadsheets/d/""&amp;$A475&amp;""/edit#gid=156619080"",BB$3)"),"#REF!")</f>
        <v>#REF!</v>
      </c>
      <c r="BC475" s="2" t="str">
        <f>IFERROR(__xludf.DUMMYFUNCTION("IMPORTRANGE(""https://docs.google.com/spreadsheets/d/""&amp;$A475&amp;""/edit#gid=156619080"",BC$3)"),"#REF!")</f>
        <v>#REF!</v>
      </c>
    </row>
    <row r="476" ht="51.0" customHeight="1">
      <c r="A476" s="7" t="str">
        <f t="shared" si="5"/>
        <v>15qAONOMYUHBsHhfU5nfTMz5f_OJjvMrxEfsG0zDLzBU</v>
      </c>
      <c r="B476" s="1" t="s">
        <v>503</v>
      </c>
      <c r="C476" s="2" t="str">
        <f>IFERROR(__xludf.DUMMYFUNCTION("IMPORTRANGE(""https://docs.google.com/spreadsheets/d/""&amp;$A476&amp;""/edit#gid=156619080"",C$3)"),"#REF!")</f>
        <v>#REF!</v>
      </c>
      <c r="D476" s="2" t="str">
        <f>IFERROR(__xludf.DUMMYFUNCTION("IMPORTRANGE(""https://docs.google.com/spreadsheets/d/""&amp;$A476&amp;""/edit#gid=156619080"",D$3)"),"#REF!")</f>
        <v>#REF!</v>
      </c>
      <c r="E476" s="2" t="str">
        <f>IFERROR(__xludf.DUMMYFUNCTION("IMPORTRANGE(""https://docs.google.com/spreadsheets/d/""&amp;$A476&amp;""/edit#gid=156619080"",E$3)"),"#REF!")</f>
        <v>#REF!</v>
      </c>
      <c r="F476" s="2" t="str">
        <f>IFERROR(__xludf.DUMMYFUNCTION("IMPORTRANGE(""https://docs.google.com/spreadsheets/d/""&amp;$A476&amp;""/edit#gid=156619080"",F$3)"),"#REF!")</f>
        <v>#REF!</v>
      </c>
      <c r="G476" s="2" t="str">
        <f>IFERROR(__xludf.DUMMYFUNCTION("IMPORTRANGE(""https://docs.google.com/spreadsheets/d/""&amp;$A476&amp;""/edit#gid=156619080"",G$3)"),"#REF!")</f>
        <v>#REF!</v>
      </c>
      <c r="H476" s="2" t="str">
        <f>IFERROR(__xludf.DUMMYFUNCTION("IMPORTRANGE(""https://docs.google.com/spreadsheets/d/""&amp;$A476&amp;""/edit#gid=156619080"",H$3)"),"#REF!")</f>
        <v>#REF!</v>
      </c>
      <c r="I476" s="2" t="str">
        <f>IFERROR(__xludf.DUMMYFUNCTION("IMPORTRANGE(""https://docs.google.com/spreadsheets/d/""&amp;$A476&amp;""/edit#gid=156619080"",I$3)"),"#REF!")</f>
        <v>#REF!</v>
      </c>
      <c r="J476" s="2" t="str">
        <f>IFERROR(__xludf.DUMMYFUNCTION("IMPORTRANGE(""https://docs.google.com/spreadsheets/d/""&amp;$A476&amp;""/edit#gid=156619080"",J$3)"),"#REF!")</f>
        <v>#REF!</v>
      </c>
      <c r="K476" s="2" t="str">
        <f>IFERROR(__xludf.DUMMYFUNCTION("IMPORTRANGE(""https://docs.google.com/spreadsheets/d/""&amp;$A476&amp;""/edit#gid=156619080"",K$3)"),"#REF!")</f>
        <v>#REF!</v>
      </c>
      <c r="L476" s="2" t="str">
        <f>IFERROR(__xludf.DUMMYFUNCTION("IMPORTRANGE(""https://docs.google.com/spreadsheets/d/""&amp;$A476&amp;""/edit#gid=156619080"",L$3)"),"#REF!")</f>
        <v>#REF!</v>
      </c>
      <c r="M476" s="2" t="str">
        <f>IFERROR(__xludf.DUMMYFUNCTION("IMPORTRANGE(""https://docs.google.com/spreadsheets/d/""&amp;$A476&amp;""/edit#gid=156619080"",M$3)"),"#REF!")</f>
        <v>#REF!</v>
      </c>
      <c r="N476" s="2" t="str">
        <f>IFERROR(__xludf.DUMMYFUNCTION("IMPORTRANGE(""https://docs.google.com/spreadsheets/d/""&amp;$A476&amp;""/edit#gid=156619080"",N$3)"),"#REF!")</f>
        <v>#REF!</v>
      </c>
      <c r="O476" s="2" t="str">
        <f>IFERROR(__xludf.DUMMYFUNCTION("IMPORTRANGE(""https://docs.google.com/spreadsheets/d/""&amp;$A476&amp;""/edit#gid=156619080"",O$3)"),"#REF!")</f>
        <v>#REF!</v>
      </c>
      <c r="P476" s="2" t="str">
        <f>IFERROR(__xludf.DUMMYFUNCTION("IMPORTRANGE(""https://docs.google.com/spreadsheets/d/""&amp;$A476&amp;""/edit#gid=156619080"",P$3)"),"#REF!")</f>
        <v>#REF!</v>
      </c>
      <c r="Q476" s="2" t="str">
        <f>IFERROR(__xludf.DUMMYFUNCTION("IMPORTRANGE(""https://docs.google.com/spreadsheets/d/""&amp;$A476&amp;""/edit#gid=156619080"",Q$3)"),"#REF!")</f>
        <v>#REF!</v>
      </c>
      <c r="R476" s="2" t="str">
        <f>IFERROR(__xludf.DUMMYFUNCTION("IMPORTRANGE(""https://docs.google.com/spreadsheets/d/""&amp;$A476&amp;""/edit#gid=156619080"",R$3)"),"#REF!")</f>
        <v>#REF!</v>
      </c>
      <c r="S476" s="2" t="str">
        <f>IFERROR(__xludf.DUMMYFUNCTION("IMPORTRANGE(""https://docs.google.com/spreadsheets/d/""&amp;$A476&amp;""/edit#gid=156619080"",S$3)"),"#REF!")</f>
        <v>#REF!</v>
      </c>
      <c r="T476" s="2" t="str">
        <f>IFERROR(__xludf.DUMMYFUNCTION("IMPORTRANGE(""https://docs.google.com/spreadsheets/d/""&amp;$A476&amp;""/edit#gid=156619080"",T$3)"),"#REF!")</f>
        <v>#REF!</v>
      </c>
      <c r="U476" s="2" t="str">
        <f>IFERROR(__xludf.DUMMYFUNCTION("IMPORTRANGE(""https://docs.google.com/spreadsheets/d/""&amp;$A476&amp;""/edit#gid=156619080"",U$3)"),"#REF!")</f>
        <v>#REF!</v>
      </c>
      <c r="V476" s="2" t="str">
        <f>IFERROR(__xludf.DUMMYFUNCTION("IMPORTRANGE(""https://docs.google.com/spreadsheets/d/""&amp;$A476&amp;""/edit#gid=156619080"",V$3)"),"#REF!")</f>
        <v>#REF!</v>
      </c>
      <c r="W476" s="2" t="str">
        <f>IFERROR(__xludf.DUMMYFUNCTION("IMPORTRANGE(""https://docs.google.com/spreadsheets/d/""&amp;$A476&amp;""/edit#gid=156619080"",W$3)"),"#REF!")</f>
        <v>#REF!</v>
      </c>
      <c r="X476" s="2" t="str">
        <f>IFERROR(__xludf.DUMMYFUNCTION("IMPORTRANGE(""https://docs.google.com/spreadsheets/d/""&amp;$A476&amp;""/edit#gid=156619080"",X$3)"),"#REF!")</f>
        <v>#REF!</v>
      </c>
      <c r="Y476" s="2" t="str">
        <f>IFERROR(__xludf.DUMMYFUNCTION("IMPORTRANGE(""https://docs.google.com/spreadsheets/d/""&amp;$A476&amp;""/edit#gid=156619080"",Y$3)"),"#REF!")</f>
        <v>#REF!</v>
      </c>
      <c r="Z476" s="2" t="str">
        <f>IFERROR(__xludf.DUMMYFUNCTION("IMPORTRANGE(""https://docs.google.com/spreadsheets/d/""&amp;$A476&amp;""/edit#gid=156619080"",Z$3)"),"#REF!")</f>
        <v>#REF!</v>
      </c>
      <c r="AA476" s="2" t="str">
        <f>IFERROR(__xludf.DUMMYFUNCTION("IMPORTRANGE(""https://docs.google.com/spreadsheets/d/""&amp;$A476&amp;""/edit#gid=156619080"",AA$3)"),"#REF!")</f>
        <v>#REF!</v>
      </c>
      <c r="AB476" s="2" t="str">
        <f>IFERROR(__xludf.DUMMYFUNCTION("IMPORTRANGE(""https://docs.google.com/spreadsheets/d/""&amp;$A476&amp;""/edit#gid=156619080"",AB$3)"),"#REF!")</f>
        <v>#REF!</v>
      </c>
      <c r="AC476" s="2" t="str">
        <f>IFERROR(__xludf.DUMMYFUNCTION("IMPORTRANGE(""https://docs.google.com/spreadsheets/d/""&amp;$A476&amp;""/edit#gid=156619080"",AC$3)"),"#REF!")</f>
        <v>#REF!</v>
      </c>
      <c r="AD476" s="2" t="str">
        <f>IFERROR(__xludf.DUMMYFUNCTION("IMPORTRANGE(""https://docs.google.com/spreadsheets/d/""&amp;$A476&amp;""/edit#gid=156619080"",AD$3)"),"#REF!")</f>
        <v>#REF!</v>
      </c>
      <c r="AE476" s="2" t="str">
        <f>IFERROR(__xludf.DUMMYFUNCTION("IMPORTRANGE(""https://docs.google.com/spreadsheets/d/""&amp;$A476&amp;""/edit#gid=156619080"",AE$3)"),"#REF!")</f>
        <v>#REF!</v>
      </c>
      <c r="AF476" s="2" t="str">
        <f>IFERROR(__xludf.DUMMYFUNCTION("IMPORTRANGE(""https://docs.google.com/spreadsheets/d/""&amp;$A476&amp;""/edit#gid=156619080"",AF$3)"),"#REF!")</f>
        <v>#REF!</v>
      </c>
      <c r="AG476" s="2" t="str">
        <f>IFERROR(__xludf.DUMMYFUNCTION("IMPORTRANGE(""https://docs.google.com/spreadsheets/d/""&amp;$A476&amp;""/edit#gid=156619080"",AG$3)"),"#REF!")</f>
        <v>#REF!</v>
      </c>
      <c r="AH476" s="2" t="str">
        <f>IFERROR(__xludf.DUMMYFUNCTION("IMPORTRANGE(""https://docs.google.com/spreadsheets/d/""&amp;$A476&amp;""/edit#gid=156619080"",AH$3)"),"#REF!")</f>
        <v>#REF!</v>
      </c>
      <c r="AI476" s="2" t="str">
        <f>IFERROR(__xludf.DUMMYFUNCTION("IMPORTRANGE(""https://docs.google.com/spreadsheets/d/""&amp;$A476&amp;""/edit#gid=156619080"",AI$3)"),"#REF!")</f>
        <v>#REF!</v>
      </c>
      <c r="AJ476" s="2" t="str">
        <f>IFERROR(__xludf.DUMMYFUNCTION("IMPORTRANGE(""https://docs.google.com/spreadsheets/d/""&amp;$A476&amp;""/edit#gid=156619080"",AJ$3)"),"#REF!")</f>
        <v>#REF!</v>
      </c>
      <c r="AK476" s="2" t="str">
        <f>IFERROR(__xludf.DUMMYFUNCTION("IMPORTRANGE(""https://docs.google.com/spreadsheets/d/""&amp;$A476&amp;""/edit#gid=156619080"",AK$3)"),"#REF!")</f>
        <v>#REF!</v>
      </c>
      <c r="AL476" s="2" t="str">
        <f>IFERROR(__xludf.DUMMYFUNCTION("IMPORTRANGE(""https://docs.google.com/spreadsheets/d/""&amp;$A476&amp;""/edit#gid=156619080"",AL$3)"),"#REF!")</f>
        <v>#REF!</v>
      </c>
      <c r="AM476" s="2" t="str">
        <f>IFERROR(__xludf.DUMMYFUNCTION("IMPORTRANGE(""https://docs.google.com/spreadsheets/d/""&amp;$A476&amp;""/edit#gid=156619080"",AM$3)"),"#REF!")</f>
        <v>#REF!</v>
      </c>
      <c r="AN476" s="2" t="str">
        <f>IFERROR(__xludf.DUMMYFUNCTION("IMPORTRANGE(""https://docs.google.com/spreadsheets/d/""&amp;$A476&amp;""/edit#gid=156619080"",AN$3)"),"#REF!")</f>
        <v>#REF!</v>
      </c>
      <c r="AO476" s="2" t="str">
        <f>IFERROR(__xludf.DUMMYFUNCTION("IMPORTRANGE(""https://docs.google.com/spreadsheets/d/""&amp;$A476&amp;""/edit#gid=156619080"",AO$3)"),"#REF!")</f>
        <v>#REF!</v>
      </c>
      <c r="AP476" s="2" t="str">
        <f>IFERROR(__xludf.DUMMYFUNCTION("IMPORTRANGE(""https://docs.google.com/spreadsheets/d/""&amp;$A476&amp;""/edit#gid=156619080"",AP$3)"),"#REF!")</f>
        <v>#REF!</v>
      </c>
      <c r="AQ476" s="2" t="str">
        <f>IFERROR(__xludf.DUMMYFUNCTION("IMPORTRANGE(""https://docs.google.com/spreadsheets/d/""&amp;$A476&amp;""/edit#gid=156619080"",AQ$3)"),"#REF!")</f>
        <v>#REF!</v>
      </c>
      <c r="AR476" s="2" t="str">
        <f>IFERROR(__xludf.DUMMYFUNCTION("IMPORTRANGE(""https://docs.google.com/spreadsheets/d/""&amp;$A476&amp;""/edit#gid=156619080"",AR$3)"),"#REF!")</f>
        <v>#REF!</v>
      </c>
      <c r="AS476" s="19" t="str">
        <f>IFERROR(__xludf.DUMMYFUNCTION("IMPORTRANGE(""https://docs.google.com/spreadsheets/d/""&amp;$A476&amp;""/edit#gid=156619080"",AS$3)"),"#REF!")</f>
        <v>#REF!</v>
      </c>
      <c r="AT476" s="2" t="str">
        <f>IFERROR(__xludf.DUMMYFUNCTION("IMPORTRANGE(""https://docs.google.com/spreadsheets/d/""&amp;$A476&amp;""/edit#gid=156619080"",AT$3)"),"#REF!")</f>
        <v>#REF!</v>
      </c>
      <c r="AU476" s="3" t="str">
        <f>IFERROR(__xludf.DUMMYFUNCTION("IMPORTRANGE(""https://docs.google.com/spreadsheets/d/""&amp;$A476&amp;""/edit#gid=156619080"",AU$3)"),"#REF!")</f>
        <v>#REF!</v>
      </c>
      <c r="AV476" s="2" t="str">
        <f>IFERROR(__xludf.DUMMYFUNCTION("IMPORTRANGE(""https://docs.google.com/spreadsheets/d/""&amp;$A476&amp;""/edit#gid=156619080"",AV$3)"),"#REF!")</f>
        <v>#REF!</v>
      </c>
      <c r="AW476" s="19" t="str">
        <f>IFERROR(__xludf.DUMMYFUNCTION("IMPORTRANGE(""https://docs.google.com/spreadsheets/d/""&amp;$A476&amp;""/edit#gid=156619080"",AW$3)"),"#REF!")</f>
        <v>#REF!</v>
      </c>
      <c r="AX476" s="2" t="str">
        <f>IFERROR(__xludf.DUMMYFUNCTION("IMPORTRANGE(""https://docs.google.com/spreadsheets/d/""&amp;$A476&amp;""/edit#gid=156619080"",AX$3)"),"#REF!")</f>
        <v>#REF!</v>
      </c>
      <c r="AY476" s="2" t="str">
        <f>IFERROR(__xludf.DUMMYFUNCTION("IMPORTRANGE(""https://docs.google.com/spreadsheets/d/""&amp;$A476&amp;""/edit#gid=156619080"",AY$3)"),"#REF!")</f>
        <v>#REF!</v>
      </c>
      <c r="AZ476" s="2" t="str">
        <f>IFERROR(__xludf.DUMMYFUNCTION("IMPORTRANGE(""https://docs.google.com/spreadsheets/d/""&amp;$A476&amp;""/edit#gid=156619080"",AZ$3)"),"#REF!")</f>
        <v>#REF!</v>
      </c>
      <c r="BA476" s="2" t="str">
        <f>IFERROR(__xludf.DUMMYFUNCTION("IMPORTRANGE(""https://docs.google.com/spreadsheets/d/""&amp;$A476&amp;""/edit#gid=156619080"",BA$3)"),"#REF!")</f>
        <v>#REF!</v>
      </c>
      <c r="BB476" s="2" t="str">
        <f>IFERROR(__xludf.DUMMYFUNCTION("IMPORTRANGE(""https://docs.google.com/spreadsheets/d/""&amp;$A476&amp;""/edit#gid=156619080"",BB$3)"),"#REF!")</f>
        <v>#REF!</v>
      </c>
      <c r="BC476" s="2" t="str">
        <f>IFERROR(__xludf.DUMMYFUNCTION("IMPORTRANGE(""https://docs.google.com/spreadsheets/d/""&amp;$A476&amp;""/edit#gid=156619080"",BC$3)"),"#REF!")</f>
        <v>#REF!</v>
      </c>
    </row>
    <row r="477" ht="51.0" customHeight="1">
      <c r="A477" s="7" t="str">
        <f t="shared" si="5"/>
        <v>1BG1_mOnWm734DFqoVP4xUDHUcoeEtuMFE8P3yzrpBsY</v>
      </c>
      <c r="B477" s="1" t="s">
        <v>504</v>
      </c>
      <c r="C477" s="2" t="str">
        <f>IFERROR(__xludf.DUMMYFUNCTION("IMPORTRANGE(""https://docs.google.com/spreadsheets/d/""&amp;$A477&amp;""/edit#gid=156619080"",C$3)"),"#REF!")</f>
        <v>#REF!</v>
      </c>
      <c r="D477" s="2" t="str">
        <f>IFERROR(__xludf.DUMMYFUNCTION("IMPORTRANGE(""https://docs.google.com/spreadsheets/d/""&amp;$A477&amp;""/edit#gid=156619080"",D$3)"),"#REF!")</f>
        <v>#REF!</v>
      </c>
      <c r="E477" s="2" t="str">
        <f>IFERROR(__xludf.DUMMYFUNCTION("IMPORTRANGE(""https://docs.google.com/spreadsheets/d/""&amp;$A477&amp;""/edit#gid=156619080"",E$3)"),"#REF!")</f>
        <v>#REF!</v>
      </c>
      <c r="F477" s="2" t="str">
        <f>IFERROR(__xludf.DUMMYFUNCTION("IMPORTRANGE(""https://docs.google.com/spreadsheets/d/""&amp;$A477&amp;""/edit#gid=156619080"",F$3)"),"#REF!")</f>
        <v>#REF!</v>
      </c>
      <c r="G477" s="2" t="str">
        <f>IFERROR(__xludf.DUMMYFUNCTION("IMPORTRANGE(""https://docs.google.com/spreadsheets/d/""&amp;$A477&amp;""/edit#gid=156619080"",G$3)"),"#REF!")</f>
        <v>#REF!</v>
      </c>
      <c r="H477" s="2" t="str">
        <f>IFERROR(__xludf.DUMMYFUNCTION("IMPORTRANGE(""https://docs.google.com/spreadsheets/d/""&amp;$A477&amp;""/edit#gid=156619080"",H$3)"),"#REF!")</f>
        <v>#REF!</v>
      </c>
      <c r="I477" s="2" t="str">
        <f>IFERROR(__xludf.DUMMYFUNCTION("IMPORTRANGE(""https://docs.google.com/spreadsheets/d/""&amp;$A477&amp;""/edit#gid=156619080"",I$3)"),"#REF!")</f>
        <v>#REF!</v>
      </c>
      <c r="J477" s="2" t="str">
        <f>IFERROR(__xludf.DUMMYFUNCTION("IMPORTRANGE(""https://docs.google.com/spreadsheets/d/""&amp;$A477&amp;""/edit#gid=156619080"",J$3)"),"#REF!")</f>
        <v>#REF!</v>
      </c>
      <c r="K477" s="2" t="str">
        <f>IFERROR(__xludf.DUMMYFUNCTION("IMPORTRANGE(""https://docs.google.com/spreadsheets/d/""&amp;$A477&amp;""/edit#gid=156619080"",K$3)"),"#REF!")</f>
        <v>#REF!</v>
      </c>
      <c r="L477" s="2" t="str">
        <f>IFERROR(__xludf.DUMMYFUNCTION("IMPORTRANGE(""https://docs.google.com/spreadsheets/d/""&amp;$A477&amp;""/edit#gid=156619080"",L$3)"),"#REF!")</f>
        <v>#REF!</v>
      </c>
      <c r="M477" s="2" t="str">
        <f>IFERROR(__xludf.DUMMYFUNCTION("IMPORTRANGE(""https://docs.google.com/spreadsheets/d/""&amp;$A477&amp;""/edit#gid=156619080"",M$3)"),"#REF!")</f>
        <v>#REF!</v>
      </c>
      <c r="N477" s="2" t="str">
        <f>IFERROR(__xludf.DUMMYFUNCTION("IMPORTRANGE(""https://docs.google.com/spreadsheets/d/""&amp;$A477&amp;""/edit#gid=156619080"",N$3)"),"#REF!")</f>
        <v>#REF!</v>
      </c>
      <c r="O477" s="2" t="str">
        <f>IFERROR(__xludf.DUMMYFUNCTION("IMPORTRANGE(""https://docs.google.com/spreadsheets/d/""&amp;$A477&amp;""/edit#gid=156619080"",O$3)"),"#REF!")</f>
        <v>#REF!</v>
      </c>
      <c r="P477" s="2" t="str">
        <f>IFERROR(__xludf.DUMMYFUNCTION("IMPORTRANGE(""https://docs.google.com/spreadsheets/d/""&amp;$A477&amp;""/edit#gid=156619080"",P$3)"),"#REF!")</f>
        <v>#REF!</v>
      </c>
      <c r="Q477" s="2" t="str">
        <f>IFERROR(__xludf.DUMMYFUNCTION("IMPORTRANGE(""https://docs.google.com/spreadsheets/d/""&amp;$A477&amp;""/edit#gid=156619080"",Q$3)"),"#REF!")</f>
        <v>#REF!</v>
      </c>
      <c r="R477" s="2" t="str">
        <f>IFERROR(__xludf.DUMMYFUNCTION("IMPORTRANGE(""https://docs.google.com/spreadsheets/d/""&amp;$A477&amp;""/edit#gid=156619080"",R$3)"),"#REF!")</f>
        <v>#REF!</v>
      </c>
      <c r="S477" s="2" t="str">
        <f>IFERROR(__xludf.DUMMYFUNCTION("IMPORTRANGE(""https://docs.google.com/spreadsheets/d/""&amp;$A477&amp;""/edit#gid=156619080"",S$3)"),"#REF!")</f>
        <v>#REF!</v>
      </c>
      <c r="T477" s="2" t="str">
        <f>IFERROR(__xludf.DUMMYFUNCTION("IMPORTRANGE(""https://docs.google.com/spreadsheets/d/""&amp;$A477&amp;""/edit#gid=156619080"",T$3)"),"#REF!")</f>
        <v>#REF!</v>
      </c>
      <c r="U477" s="2" t="str">
        <f>IFERROR(__xludf.DUMMYFUNCTION("IMPORTRANGE(""https://docs.google.com/spreadsheets/d/""&amp;$A477&amp;""/edit#gid=156619080"",U$3)"),"#REF!")</f>
        <v>#REF!</v>
      </c>
      <c r="V477" s="2" t="str">
        <f>IFERROR(__xludf.DUMMYFUNCTION("IMPORTRANGE(""https://docs.google.com/spreadsheets/d/""&amp;$A477&amp;""/edit#gid=156619080"",V$3)"),"#REF!")</f>
        <v>#REF!</v>
      </c>
      <c r="W477" s="2" t="str">
        <f>IFERROR(__xludf.DUMMYFUNCTION("IMPORTRANGE(""https://docs.google.com/spreadsheets/d/""&amp;$A477&amp;""/edit#gid=156619080"",W$3)"),"#REF!")</f>
        <v>#REF!</v>
      </c>
      <c r="X477" s="2" t="str">
        <f>IFERROR(__xludf.DUMMYFUNCTION("IMPORTRANGE(""https://docs.google.com/spreadsheets/d/""&amp;$A477&amp;""/edit#gid=156619080"",X$3)"),"#REF!")</f>
        <v>#REF!</v>
      </c>
      <c r="Y477" s="2" t="str">
        <f>IFERROR(__xludf.DUMMYFUNCTION("IMPORTRANGE(""https://docs.google.com/spreadsheets/d/""&amp;$A477&amp;""/edit#gid=156619080"",Y$3)"),"#REF!")</f>
        <v>#REF!</v>
      </c>
      <c r="Z477" s="2" t="str">
        <f>IFERROR(__xludf.DUMMYFUNCTION("IMPORTRANGE(""https://docs.google.com/spreadsheets/d/""&amp;$A477&amp;""/edit#gid=156619080"",Z$3)"),"#REF!")</f>
        <v>#REF!</v>
      </c>
      <c r="AA477" s="2" t="str">
        <f>IFERROR(__xludf.DUMMYFUNCTION("IMPORTRANGE(""https://docs.google.com/spreadsheets/d/""&amp;$A477&amp;""/edit#gid=156619080"",AA$3)"),"#REF!")</f>
        <v>#REF!</v>
      </c>
      <c r="AB477" s="2" t="str">
        <f>IFERROR(__xludf.DUMMYFUNCTION("IMPORTRANGE(""https://docs.google.com/spreadsheets/d/""&amp;$A477&amp;""/edit#gid=156619080"",AB$3)"),"#REF!")</f>
        <v>#REF!</v>
      </c>
      <c r="AC477" s="2" t="str">
        <f>IFERROR(__xludf.DUMMYFUNCTION("IMPORTRANGE(""https://docs.google.com/spreadsheets/d/""&amp;$A477&amp;""/edit#gid=156619080"",AC$3)"),"#REF!")</f>
        <v>#REF!</v>
      </c>
      <c r="AD477" s="2" t="str">
        <f>IFERROR(__xludf.DUMMYFUNCTION("IMPORTRANGE(""https://docs.google.com/spreadsheets/d/""&amp;$A477&amp;""/edit#gid=156619080"",AD$3)"),"#REF!")</f>
        <v>#REF!</v>
      </c>
      <c r="AE477" s="2" t="str">
        <f>IFERROR(__xludf.DUMMYFUNCTION("IMPORTRANGE(""https://docs.google.com/spreadsheets/d/""&amp;$A477&amp;""/edit#gid=156619080"",AE$3)"),"#REF!")</f>
        <v>#REF!</v>
      </c>
      <c r="AF477" s="2" t="str">
        <f>IFERROR(__xludf.DUMMYFUNCTION("IMPORTRANGE(""https://docs.google.com/spreadsheets/d/""&amp;$A477&amp;""/edit#gid=156619080"",AF$3)"),"#REF!")</f>
        <v>#REF!</v>
      </c>
      <c r="AG477" s="2" t="str">
        <f>IFERROR(__xludf.DUMMYFUNCTION("IMPORTRANGE(""https://docs.google.com/spreadsheets/d/""&amp;$A477&amp;""/edit#gid=156619080"",AG$3)"),"#REF!")</f>
        <v>#REF!</v>
      </c>
      <c r="AH477" s="2" t="str">
        <f>IFERROR(__xludf.DUMMYFUNCTION("IMPORTRANGE(""https://docs.google.com/spreadsheets/d/""&amp;$A477&amp;""/edit#gid=156619080"",AH$3)"),"#REF!")</f>
        <v>#REF!</v>
      </c>
      <c r="AI477" s="2" t="str">
        <f>IFERROR(__xludf.DUMMYFUNCTION("IMPORTRANGE(""https://docs.google.com/spreadsheets/d/""&amp;$A477&amp;""/edit#gid=156619080"",AI$3)"),"#REF!")</f>
        <v>#REF!</v>
      </c>
      <c r="AJ477" s="2" t="str">
        <f>IFERROR(__xludf.DUMMYFUNCTION("IMPORTRANGE(""https://docs.google.com/spreadsheets/d/""&amp;$A477&amp;""/edit#gid=156619080"",AJ$3)"),"#REF!")</f>
        <v>#REF!</v>
      </c>
      <c r="AK477" s="2" t="str">
        <f>IFERROR(__xludf.DUMMYFUNCTION("IMPORTRANGE(""https://docs.google.com/spreadsheets/d/""&amp;$A477&amp;""/edit#gid=156619080"",AK$3)"),"#REF!")</f>
        <v>#REF!</v>
      </c>
      <c r="AL477" s="2" t="str">
        <f>IFERROR(__xludf.DUMMYFUNCTION("IMPORTRANGE(""https://docs.google.com/spreadsheets/d/""&amp;$A477&amp;""/edit#gid=156619080"",AL$3)"),"#REF!")</f>
        <v>#REF!</v>
      </c>
      <c r="AM477" s="2" t="str">
        <f>IFERROR(__xludf.DUMMYFUNCTION("IMPORTRANGE(""https://docs.google.com/spreadsheets/d/""&amp;$A477&amp;""/edit#gid=156619080"",AM$3)"),"#REF!")</f>
        <v>#REF!</v>
      </c>
      <c r="AN477" s="2" t="str">
        <f>IFERROR(__xludf.DUMMYFUNCTION("IMPORTRANGE(""https://docs.google.com/spreadsheets/d/""&amp;$A477&amp;""/edit#gid=156619080"",AN$3)"),"#REF!")</f>
        <v>#REF!</v>
      </c>
      <c r="AO477" s="2" t="str">
        <f>IFERROR(__xludf.DUMMYFUNCTION("IMPORTRANGE(""https://docs.google.com/spreadsheets/d/""&amp;$A477&amp;""/edit#gid=156619080"",AO$3)"),"#REF!")</f>
        <v>#REF!</v>
      </c>
      <c r="AP477" s="2" t="str">
        <f>IFERROR(__xludf.DUMMYFUNCTION("IMPORTRANGE(""https://docs.google.com/spreadsheets/d/""&amp;$A477&amp;""/edit#gid=156619080"",AP$3)"),"#REF!")</f>
        <v>#REF!</v>
      </c>
      <c r="AQ477" s="2" t="str">
        <f>IFERROR(__xludf.DUMMYFUNCTION("IMPORTRANGE(""https://docs.google.com/spreadsheets/d/""&amp;$A477&amp;""/edit#gid=156619080"",AQ$3)"),"#REF!")</f>
        <v>#REF!</v>
      </c>
      <c r="AR477" s="2" t="str">
        <f>IFERROR(__xludf.DUMMYFUNCTION("IMPORTRANGE(""https://docs.google.com/spreadsheets/d/""&amp;$A477&amp;""/edit#gid=156619080"",AR$3)"),"#REF!")</f>
        <v>#REF!</v>
      </c>
      <c r="AS477" s="19" t="str">
        <f>IFERROR(__xludf.DUMMYFUNCTION("IMPORTRANGE(""https://docs.google.com/spreadsheets/d/""&amp;$A477&amp;""/edit#gid=156619080"",AS$3)"),"#REF!")</f>
        <v>#REF!</v>
      </c>
      <c r="AT477" s="2" t="str">
        <f>IFERROR(__xludf.DUMMYFUNCTION("IMPORTRANGE(""https://docs.google.com/spreadsheets/d/""&amp;$A477&amp;""/edit#gid=156619080"",AT$3)"),"#REF!")</f>
        <v>#REF!</v>
      </c>
      <c r="AU477" s="3" t="str">
        <f>IFERROR(__xludf.DUMMYFUNCTION("IMPORTRANGE(""https://docs.google.com/spreadsheets/d/""&amp;$A477&amp;""/edit#gid=156619080"",AU$3)"),"#REF!")</f>
        <v>#REF!</v>
      </c>
      <c r="AV477" s="2" t="str">
        <f>IFERROR(__xludf.DUMMYFUNCTION("IMPORTRANGE(""https://docs.google.com/spreadsheets/d/""&amp;$A477&amp;""/edit#gid=156619080"",AV$3)"),"#REF!")</f>
        <v>#REF!</v>
      </c>
      <c r="AW477" s="19" t="str">
        <f>IFERROR(__xludf.DUMMYFUNCTION("IMPORTRANGE(""https://docs.google.com/spreadsheets/d/""&amp;$A477&amp;""/edit#gid=156619080"",AW$3)"),"#REF!")</f>
        <v>#REF!</v>
      </c>
      <c r="AX477" s="2" t="str">
        <f>IFERROR(__xludf.DUMMYFUNCTION("IMPORTRANGE(""https://docs.google.com/spreadsheets/d/""&amp;$A477&amp;""/edit#gid=156619080"",AX$3)"),"#REF!")</f>
        <v>#REF!</v>
      </c>
      <c r="AY477" s="2" t="str">
        <f>IFERROR(__xludf.DUMMYFUNCTION("IMPORTRANGE(""https://docs.google.com/spreadsheets/d/""&amp;$A477&amp;""/edit#gid=156619080"",AY$3)"),"#REF!")</f>
        <v>#REF!</v>
      </c>
      <c r="AZ477" s="2" t="str">
        <f>IFERROR(__xludf.DUMMYFUNCTION("IMPORTRANGE(""https://docs.google.com/spreadsheets/d/""&amp;$A477&amp;""/edit#gid=156619080"",AZ$3)"),"#REF!")</f>
        <v>#REF!</v>
      </c>
      <c r="BA477" s="2" t="str">
        <f>IFERROR(__xludf.DUMMYFUNCTION("IMPORTRANGE(""https://docs.google.com/spreadsheets/d/""&amp;$A477&amp;""/edit#gid=156619080"",BA$3)"),"#REF!")</f>
        <v>#REF!</v>
      </c>
      <c r="BB477" s="2" t="str">
        <f>IFERROR(__xludf.DUMMYFUNCTION("IMPORTRANGE(""https://docs.google.com/spreadsheets/d/""&amp;$A477&amp;""/edit#gid=156619080"",BB$3)"),"#REF!")</f>
        <v>#REF!</v>
      </c>
      <c r="BC477" s="2" t="str">
        <f>IFERROR(__xludf.DUMMYFUNCTION("IMPORTRANGE(""https://docs.google.com/spreadsheets/d/""&amp;$A477&amp;""/edit#gid=156619080"",BC$3)"),"#REF!")</f>
        <v>#REF!</v>
      </c>
    </row>
    <row r="478" ht="51.0" customHeight="1">
      <c r="A478" s="7" t="str">
        <f t="shared" si="5"/>
        <v>1BpFjnlWDWRokbwU4z-DVFOGPDtsuuLFyGE9nCT7o97o</v>
      </c>
      <c r="B478" s="1" t="s">
        <v>505</v>
      </c>
      <c r="C478" s="2" t="str">
        <f>IFERROR(__xludf.DUMMYFUNCTION("IMPORTRANGE(""https://docs.google.com/spreadsheets/d/""&amp;$A478&amp;""/edit#gid=156619080"",C$3)"),"#REF!")</f>
        <v>#REF!</v>
      </c>
      <c r="D478" s="2" t="str">
        <f>IFERROR(__xludf.DUMMYFUNCTION("IMPORTRANGE(""https://docs.google.com/spreadsheets/d/""&amp;$A478&amp;""/edit#gid=156619080"",D$3)"),"#REF!")</f>
        <v>#REF!</v>
      </c>
      <c r="E478" s="2" t="str">
        <f>IFERROR(__xludf.DUMMYFUNCTION("IMPORTRANGE(""https://docs.google.com/spreadsheets/d/""&amp;$A478&amp;""/edit#gid=156619080"",E$3)"),"#REF!")</f>
        <v>#REF!</v>
      </c>
      <c r="F478" s="2" t="str">
        <f>IFERROR(__xludf.DUMMYFUNCTION("IMPORTRANGE(""https://docs.google.com/spreadsheets/d/""&amp;$A478&amp;""/edit#gid=156619080"",F$3)"),"#REF!")</f>
        <v>#REF!</v>
      </c>
      <c r="G478" s="2" t="str">
        <f>IFERROR(__xludf.DUMMYFUNCTION("IMPORTRANGE(""https://docs.google.com/spreadsheets/d/""&amp;$A478&amp;""/edit#gid=156619080"",G$3)"),"#REF!")</f>
        <v>#REF!</v>
      </c>
      <c r="H478" s="2" t="str">
        <f>IFERROR(__xludf.DUMMYFUNCTION("IMPORTRANGE(""https://docs.google.com/spreadsheets/d/""&amp;$A478&amp;""/edit#gid=156619080"",H$3)"),"#REF!")</f>
        <v>#REF!</v>
      </c>
      <c r="I478" s="2" t="str">
        <f>IFERROR(__xludf.DUMMYFUNCTION("IMPORTRANGE(""https://docs.google.com/spreadsheets/d/""&amp;$A478&amp;""/edit#gid=156619080"",I$3)"),"#REF!")</f>
        <v>#REF!</v>
      </c>
      <c r="J478" s="2" t="str">
        <f>IFERROR(__xludf.DUMMYFUNCTION("IMPORTRANGE(""https://docs.google.com/spreadsheets/d/""&amp;$A478&amp;""/edit#gid=156619080"",J$3)"),"#REF!")</f>
        <v>#REF!</v>
      </c>
      <c r="K478" s="2" t="str">
        <f>IFERROR(__xludf.DUMMYFUNCTION("IMPORTRANGE(""https://docs.google.com/spreadsheets/d/""&amp;$A478&amp;""/edit#gid=156619080"",K$3)"),"#REF!")</f>
        <v>#REF!</v>
      </c>
      <c r="L478" s="2" t="str">
        <f>IFERROR(__xludf.DUMMYFUNCTION("IMPORTRANGE(""https://docs.google.com/spreadsheets/d/""&amp;$A478&amp;""/edit#gid=156619080"",L$3)"),"#REF!")</f>
        <v>#REF!</v>
      </c>
      <c r="M478" s="2" t="str">
        <f>IFERROR(__xludf.DUMMYFUNCTION("IMPORTRANGE(""https://docs.google.com/spreadsheets/d/""&amp;$A478&amp;""/edit#gid=156619080"",M$3)"),"#REF!")</f>
        <v>#REF!</v>
      </c>
      <c r="N478" s="2" t="str">
        <f>IFERROR(__xludf.DUMMYFUNCTION("IMPORTRANGE(""https://docs.google.com/spreadsheets/d/""&amp;$A478&amp;""/edit#gid=156619080"",N$3)"),"#REF!")</f>
        <v>#REF!</v>
      </c>
      <c r="O478" s="2" t="str">
        <f>IFERROR(__xludf.DUMMYFUNCTION("IMPORTRANGE(""https://docs.google.com/spreadsheets/d/""&amp;$A478&amp;""/edit#gid=156619080"",O$3)"),"#REF!")</f>
        <v>#REF!</v>
      </c>
      <c r="P478" s="2" t="str">
        <f>IFERROR(__xludf.DUMMYFUNCTION("IMPORTRANGE(""https://docs.google.com/spreadsheets/d/""&amp;$A478&amp;""/edit#gid=156619080"",P$3)"),"#REF!")</f>
        <v>#REF!</v>
      </c>
      <c r="Q478" s="2" t="str">
        <f>IFERROR(__xludf.DUMMYFUNCTION("IMPORTRANGE(""https://docs.google.com/spreadsheets/d/""&amp;$A478&amp;""/edit#gid=156619080"",Q$3)"),"#REF!")</f>
        <v>#REF!</v>
      </c>
      <c r="R478" s="2" t="str">
        <f>IFERROR(__xludf.DUMMYFUNCTION("IMPORTRANGE(""https://docs.google.com/spreadsheets/d/""&amp;$A478&amp;""/edit#gid=156619080"",R$3)"),"#REF!")</f>
        <v>#REF!</v>
      </c>
      <c r="S478" s="2" t="str">
        <f>IFERROR(__xludf.DUMMYFUNCTION("IMPORTRANGE(""https://docs.google.com/spreadsheets/d/""&amp;$A478&amp;""/edit#gid=156619080"",S$3)"),"#REF!")</f>
        <v>#REF!</v>
      </c>
      <c r="T478" s="2" t="str">
        <f>IFERROR(__xludf.DUMMYFUNCTION("IMPORTRANGE(""https://docs.google.com/spreadsheets/d/""&amp;$A478&amp;""/edit#gid=156619080"",T$3)"),"#REF!")</f>
        <v>#REF!</v>
      </c>
      <c r="U478" s="2" t="str">
        <f>IFERROR(__xludf.DUMMYFUNCTION("IMPORTRANGE(""https://docs.google.com/spreadsheets/d/""&amp;$A478&amp;""/edit#gid=156619080"",U$3)"),"#REF!")</f>
        <v>#REF!</v>
      </c>
      <c r="V478" s="2" t="str">
        <f>IFERROR(__xludf.DUMMYFUNCTION("IMPORTRANGE(""https://docs.google.com/spreadsheets/d/""&amp;$A478&amp;""/edit#gid=156619080"",V$3)"),"#REF!")</f>
        <v>#REF!</v>
      </c>
      <c r="W478" s="2" t="str">
        <f>IFERROR(__xludf.DUMMYFUNCTION("IMPORTRANGE(""https://docs.google.com/spreadsheets/d/""&amp;$A478&amp;""/edit#gid=156619080"",W$3)"),"#REF!")</f>
        <v>#REF!</v>
      </c>
      <c r="X478" s="2" t="str">
        <f>IFERROR(__xludf.DUMMYFUNCTION("IMPORTRANGE(""https://docs.google.com/spreadsheets/d/""&amp;$A478&amp;""/edit#gid=156619080"",X$3)"),"#REF!")</f>
        <v>#REF!</v>
      </c>
      <c r="Y478" s="2" t="str">
        <f>IFERROR(__xludf.DUMMYFUNCTION("IMPORTRANGE(""https://docs.google.com/spreadsheets/d/""&amp;$A478&amp;""/edit#gid=156619080"",Y$3)"),"#REF!")</f>
        <v>#REF!</v>
      </c>
      <c r="Z478" s="2" t="str">
        <f>IFERROR(__xludf.DUMMYFUNCTION("IMPORTRANGE(""https://docs.google.com/spreadsheets/d/""&amp;$A478&amp;""/edit#gid=156619080"",Z$3)"),"#REF!")</f>
        <v>#REF!</v>
      </c>
      <c r="AA478" s="2" t="str">
        <f>IFERROR(__xludf.DUMMYFUNCTION("IMPORTRANGE(""https://docs.google.com/spreadsheets/d/""&amp;$A478&amp;""/edit#gid=156619080"",AA$3)"),"#REF!")</f>
        <v>#REF!</v>
      </c>
      <c r="AB478" s="2" t="str">
        <f>IFERROR(__xludf.DUMMYFUNCTION("IMPORTRANGE(""https://docs.google.com/spreadsheets/d/""&amp;$A478&amp;""/edit#gid=156619080"",AB$3)"),"#REF!")</f>
        <v>#REF!</v>
      </c>
      <c r="AC478" s="2" t="str">
        <f>IFERROR(__xludf.DUMMYFUNCTION("IMPORTRANGE(""https://docs.google.com/spreadsheets/d/""&amp;$A478&amp;""/edit#gid=156619080"",AC$3)"),"#REF!")</f>
        <v>#REF!</v>
      </c>
      <c r="AD478" s="2" t="str">
        <f>IFERROR(__xludf.DUMMYFUNCTION("IMPORTRANGE(""https://docs.google.com/spreadsheets/d/""&amp;$A478&amp;""/edit#gid=156619080"",AD$3)"),"#REF!")</f>
        <v>#REF!</v>
      </c>
      <c r="AE478" s="2" t="str">
        <f>IFERROR(__xludf.DUMMYFUNCTION("IMPORTRANGE(""https://docs.google.com/spreadsheets/d/""&amp;$A478&amp;""/edit#gid=156619080"",AE$3)"),"#REF!")</f>
        <v>#REF!</v>
      </c>
      <c r="AF478" s="2" t="str">
        <f>IFERROR(__xludf.DUMMYFUNCTION("IMPORTRANGE(""https://docs.google.com/spreadsheets/d/""&amp;$A478&amp;""/edit#gid=156619080"",AF$3)"),"#REF!")</f>
        <v>#REF!</v>
      </c>
      <c r="AG478" s="2" t="str">
        <f>IFERROR(__xludf.DUMMYFUNCTION("IMPORTRANGE(""https://docs.google.com/spreadsheets/d/""&amp;$A478&amp;""/edit#gid=156619080"",AG$3)"),"#REF!")</f>
        <v>#REF!</v>
      </c>
      <c r="AH478" s="2" t="str">
        <f>IFERROR(__xludf.DUMMYFUNCTION("IMPORTRANGE(""https://docs.google.com/spreadsheets/d/""&amp;$A478&amp;""/edit#gid=156619080"",AH$3)"),"#REF!")</f>
        <v>#REF!</v>
      </c>
      <c r="AI478" s="2" t="str">
        <f>IFERROR(__xludf.DUMMYFUNCTION("IMPORTRANGE(""https://docs.google.com/spreadsheets/d/""&amp;$A478&amp;""/edit#gid=156619080"",AI$3)"),"#REF!")</f>
        <v>#REF!</v>
      </c>
      <c r="AJ478" s="2" t="str">
        <f>IFERROR(__xludf.DUMMYFUNCTION("IMPORTRANGE(""https://docs.google.com/spreadsheets/d/""&amp;$A478&amp;""/edit#gid=156619080"",AJ$3)"),"#REF!")</f>
        <v>#REF!</v>
      </c>
      <c r="AK478" s="2" t="str">
        <f>IFERROR(__xludf.DUMMYFUNCTION("IMPORTRANGE(""https://docs.google.com/spreadsheets/d/""&amp;$A478&amp;""/edit#gid=156619080"",AK$3)"),"#REF!")</f>
        <v>#REF!</v>
      </c>
      <c r="AL478" s="2" t="str">
        <f>IFERROR(__xludf.DUMMYFUNCTION("IMPORTRANGE(""https://docs.google.com/spreadsheets/d/""&amp;$A478&amp;""/edit#gid=156619080"",AL$3)"),"#REF!")</f>
        <v>#REF!</v>
      </c>
      <c r="AM478" s="2" t="str">
        <f>IFERROR(__xludf.DUMMYFUNCTION("IMPORTRANGE(""https://docs.google.com/spreadsheets/d/""&amp;$A478&amp;""/edit#gid=156619080"",AM$3)"),"#REF!")</f>
        <v>#REF!</v>
      </c>
      <c r="AN478" s="2" t="str">
        <f>IFERROR(__xludf.DUMMYFUNCTION("IMPORTRANGE(""https://docs.google.com/spreadsheets/d/""&amp;$A478&amp;""/edit#gid=156619080"",AN$3)"),"#REF!")</f>
        <v>#REF!</v>
      </c>
      <c r="AO478" s="2" t="str">
        <f>IFERROR(__xludf.DUMMYFUNCTION("IMPORTRANGE(""https://docs.google.com/spreadsheets/d/""&amp;$A478&amp;""/edit#gid=156619080"",AO$3)"),"#REF!")</f>
        <v>#REF!</v>
      </c>
      <c r="AP478" s="2" t="str">
        <f>IFERROR(__xludf.DUMMYFUNCTION("IMPORTRANGE(""https://docs.google.com/spreadsheets/d/""&amp;$A478&amp;""/edit#gid=156619080"",AP$3)"),"#REF!")</f>
        <v>#REF!</v>
      </c>
      <c r="AQ478" s="2" t="str">
        <f>IFERROR(__xludf.DUMMYFUNCTION("IMPORTRANGE(""https://docs.google.com/spreadsheets/d/""&amp;$A478&amp;""/edit#gid=156619080"",AQ$3)"),"#REF!")</f>
        <v>#REF!</v>
      </c>
      <c r="AR478" s="2" t="str">
        <f>IFERROR(__xludf.DUMMYFUNCTION("IMPORTRANGE(""https://docs.google.com/spreadsheets/d/""&amp;$A478&amp;""/edit#gid=156619080"",AR$3)"),"#REF!")</f>
        <v>#REF!</v>
      </c>
      <c r="AS478" s="19" t="str">
        <f>IFERROR(__xludf.DUMMYFUNCTION("IMPORTRANGE(""https://docs.google.com/spreadsheets/d/""&amp;$A478&amp;""/edit#gid=156619080"",AS$3)"),"#REF!")</f>
        <v>#REF!</v>
      </c>
      <c r="AT478" s="2" t="str">
        <f>IFERROR(__xludf.DUMMYFUNCTION("IMPORTRANGE(""https://docs.google.com/spreadsheets/d/""&amp;$A478&amp;""/edit#gid=156619080"",AT$3)"),"#REF!")</f>
        <v>#REF!</v>
      </c>
      <c r="AU478" s="3" t="str">
        <f>IFERROR(__xludf.DUMMYFUNCTION("IMPORTRANGE(""https://docs.google.com/spreadsheets/d/""&amp;$A478&amp;""/edit#gid=156619080"",AU$3)"),"#REF!")</f>
        <v>#REF!</v>
      </c>
      <c r="AV478" s="2" t="str">
        <f>IFERROR(__xludf.DUMMYFUNCTION("IMPORTRANGE(""https://docs.google.com/spreadsheets/d/""&amp;$A478&amp;""/edit#gid=156619080"",AV$3)"),"#REF!")</f>
        <v>#REF!</v>
      </c>
      <c r="AW478" s="19" t="str">
        <f>IFERROR(__xludf.DUMMYFUNCTION("IMPORTRANGE(""https://docs.google.com/spreadsheets/d/""&amp;$A478&amp;""/edit#gid=156619080"",AW$3)"),"#REF!")</f>
        <v>#REF!</v>
      </c>
      <c r="AX478" s="2" t="str">
        <f>IFERROR(__xludf.DUMMYFUNCTION("IMPORTRANGE(""https://docs.google.com/spreadsheets/d/""&amp;$A478&amp;""/edit#gid=156619080"",AX$3)"),"#REF!")</f>
        <v>#REF!</v>
      </c>
      <c r="AY478" s="2" t="str">
        <f>IFERROR(__xludf.DUMMYFUNCTION("IMPORTRANGE(""https://docs.google.com/spreadsheets/d/""&amp;$A478&amp;""/edit#gid=156619080"",AY$3)"),"#REF!")</f>
        <v>#REF!</v>
      </c>
      <c r="AZ478" s="2" t="str">
        <f>IFERROR(__xludf.DUMMYFUNCTION("IMPORTRANGE(""https://docs.google.com/spreadsheets/d/""&amp;$A478&amp;""/edit#gid=156619080"",AZ$3)"),"#REF!")</f>
        <v>#REF!</v>
      </c>
      <c r="BA478" s="2" t="str">
        <f>IFERROR(__xludf.DUMMYFUNCTION("IMPORTRANGE(""https://docs.google.com/spreadsheets/d/""&amp;$A478&amp;""/edit#gid=156619080"",BA$3)"),"#REF!")</f>
        <v>#REF!</v>
      </c>
      <c r="BB478" s="2" t="str">
        <f>IFERROR(__xludf.DUMMYFUNCTION("IMPORTRANGE(""https://docs.google.com/spreadsheets/d/""&amp;$A478&amp;""/edit#gid=156619080"",BB$3)"),"#REF!")</f>
        <v>#REF!</v>
      </c>
      <c r="BC478" s="2" t="str">
        <f>IFERROR(__xludf.DUMMYFUNCTION("IMPORTRANGE(""https://docs.google.com/spreadsheets/d/""&amp;$A478&amp;""/edit#gid=156619080"",BC$3)"),"#REF!")</f>
        <v>#REF!</v>
      </c>
    </row>
    <row r="479" ht="51.0" customHeight="1">
      <c r="A479" s="7" t="str">
        <f t="shared" si="5"/>
        <v>1UNhmUUxZ4qKLweJZfIQdqFEemCrC1z9cb92zzn1NmRs</v>
      </c>
      <c r="B479" s="1" t="s">
        <v>506</v>
      </c>
      <c r="C479" s="2" t="str">
        <f>IFERROR(__xludf.DUMMYFUNCTION("IMPORTRANGE(""https://docs.google.com/spreadsheets/d/""&amp;$A479&amp;""/edit#gid=156619080"",C$3)"),"#REF!")</f>
        <v>#REF!</v>
      </c>
      <c r="D479" s="2" t="str">
        <f>IFERROR(__xludf.DUMMYFUNCTION("IMPORTRANGE(""https://docs.google.com/spreadsheets/d/""&amp;$A479&amp;""/edit#gid=156619080"",D$3)"),"#REF!")</f>
        <v>#REF!</v>
      </c>
      <c r="E479" s="2" t="str">
        <f>IFERROR(__xludf.DUMMYFUNCTION("IMPORTRANGE(""https://docs.google.com/spreadsheets/d/""&amp;$A479&amp;""/edit#gid=156619080"",E$3)"),"#REF!")</f>
        <v>#REF!</v>
      </c>
      <c r="F479" s="2" t="str">
        <f>IFERROR(__xludf.DUMMYFUNCTION("IMPORTRANGE(""https://docs.google.com/spreadsheets/d/""&amp;$A479&amp;""/edit#gid=156619080"",F$3)"),"#REF!")</f>
        <v>#REF!</v>
      </c>
      <c r="G479" s="2" t="str">
        <f>IFERROR(__xludf.DUMMYFUNCTION("IMPORTRANGE(""https://docs.google.com/spreadsheets/d/""&amp;$A479&amp;""/edit#gid=156619080"",G$3)"),"#REF!")</f>
        <v>#REF!</v>
      </c>
      <c r="H479" s="2" t="str">
        <f>IFERROR(__xludf.DUMMYFUNCTION("IMPORTRANGE(""https://docs.google.com/spreadsheets/d/""&amp;$A479&amp;""/edit#gid=156619080"",H$3)"),"#REF!")</f>
        <v>#REF!</v>
      </c>
      <c r="I479" s="2" t="str">
        <f>IFERROR(__xludf.DUMMYFUNCTION("IMPORTRANGE(""https://docs.google.com/spreadsheets/d/""&amp;$A479&amp;""/edit#gid=156619080"",I$3)"),"#REF!")</f>
        <v>#REF!</v>
      </c>
      <c r="J479" s="2" t="str">
        <f>IFERROR(__xludf.DUMMYFUNCTION("IMPORTRANGE(""https://docs.google.com/spreadsheets/d/""&amp;$A479&amp;""/edit#gid=156619080"",J$3)"),"#REF!")</f>
        <v>#REF!</v>
      </c>
      <c r="K479" s="2" t="str">
        <f>IFERROR(__xludf.DUMMYFUNCTION("IMPORTRANGE(""https://docs.google.com/spreadsheets/d/""&amp;$A479&amp;""/edit#gid=156619080"",K$3)"),"#REF!")</f>
        <v>#REF!</v>
      </c>
      <c r="L479" s="2" t="str">
        <f>IFERROR(__xludf.DUMMYFUNCTION("IMPORTRANGE(""https://docs.google.com/spreadsheets/d/""&amp;$A479&amp;""/edit#gid=156619080"",L$3)"),"#REF!")</f>
        <v>#REF!</v>
      </c>
      <c r="M479" s="2" t="str">
        <f>IFERROR(__xludf.DUMMYFUNCTION("IMPORTRANGE(""https://docs.google.com/spreadsheets/d/""&amp;$A479&amp;""/edit#gid=156619080"",M$3)"),"#REF!")</f>
        <v>#REF!</v>
      </c>
      <c r="N479" s="2" t="str">
        <f>IFERROR(__xludf.DUMMYFUNCTION("IMPORTRANGE(""https://docs.google.com/spreadsheets/d/""&amp;$A479&amp;""/edit#gid=156619080"",N$3)"),"#REF!")</f>
        <v>#REF!</v>
      </c>
      <c r="O479" s="2" t="str">
        <f>IFERROR(__xludf.DUMMYFUNCTION("IMPORTRANGE(""https://docs.google.com/spreadsheets/d/""&amp;$A479&amp;""/edit#gid=156619080"",O$3)"),"#REF!")</f>
        <v>#REF!</v>
      </c>
      <c r="P479" s="2" t="str">
        <f>IFERROR(__xludf.DUMMYFUNCTION("IMPORTRANGE(""https://docs.google.com/spreadsheets/d/""&amp;$A479&amp;""/edit#gid=156619080"",P$3)"),"#REF!")</f>
        <v>#REF!</v>
      </c>
      <c r="Q479" s="2" t="str">
        <f>IFERROR(__xludf.DUMMYFUNCTION("IMPORTRANGE(""https://docs.google.com/spreadsheets/d/""&amp;$A479&amp;""/edit#gid=156619080"",Q$3)"),"#REF!")</f>
        <v>#REF!</v>
      </c>
      <c r="R479" s="2" t="str">
        <f>IFERROR(__xludf.DUMMYFUNCTION("IMPORTRANGE(""https://docs.google.com/spreadsheets/d/""&amp;$A479&amp;""/edit#gid=156619080"",R$3)"),"#REF!")</f>
        <v>#REF!</v>
      </c>
      <c r="S479" s="2" t="str">
        <f>IFERROR(__xludf.DUMMYFUNCTION("IMPORTRANGE(""https://docs.google.com/spreadsheets/d/""&amp;$A479&amp;""/edit#gid=156619080"",S$3)"),"#REF!")</f>
        <v>#REF!</v>
      </c>
      <c r="T479" s="2" t="str">
        <f>IFERROR(__xludf.DUMMYFUNCTION("IMPORTRANGE(""https://docs.google.com/spreadsheets/d/""&amp;$A479&amp;""/edit#gid=156619080"",T$3)"),"#REF!")</f>
        <v>#REF!</v>
      </c>
      <c r="U479" s="2" t="str">
        <f>IFERROR(__xludf.DUMMYFUNCTION("IMPORTRANGE(""https://docs.google.com/spreadsheets/d/""&amp;$A479&amp;""/edit#gid=156619080"",U$3)"),"#REF!")</f>
        <v>#REF!</v>
      </c>
      <c r="V479" s="2" t="str">
        <f>IFERROR(__xludf.DUMMYFUNCTION("IMPORTRANGE(""https://docs.google.com/spreadsheets/d/""&amp;$A479&amp;""/edit#gid=156619080"",V$3)"),"#REF!")</f>
        <v>#REF!</v>
      </c>
      <c r="W479" s="2" t="str">
        <f>IFERROR(__xludf.DUMMYFUNCTION("IMPORTRANGE(""https://docs.google.com/spreadsheets/d/""&amp;$A479&amp;""/edit#gid=156619080"",W$3)"),"#REF!")</f>
        <v>#REF!</v>
      </c>
      <c r="X479" s="2" t="str">
        <f>IFERROR(__xludf.DUMMYFUNCTION("IMPORTRANGE(""https://docs.google.com/spreadsheets/d/""&amp;$A479&amp;""/edit#gid=156619080"",X$3)"),"#REF!")</f>
        <v>#REF!</v>
      </c>
      <c r="Y479" s="2" t="str">
        <f>IFERROR(__xludf.DUMMYFUNCTION("IMPORTRANGE(""https://docs.google.com/spreadsheets/d/""&amp;$A479&amp;""/edit#gid=156619080"",Y$3)"),"#REF!")</f>
        <v>#REF!</v>
      </c>
      <c r="Z479" s="2" t="str">
        <f>IFERROR(__xludf.DUMMYFUNCTION("IMPORTRANGE(""https://docs.google.com/spreadsheets/d/""&amp;$A479&amp;""/edit#gid=156619080"",Z$3)"),"#REF!")</f>
        <v>#REF!</v>
      </c>
      <c r="AA479" s="2" t="str">
        <f>IFERROR(__xludf.DUMMYFUNCTION("IMPORTRANGE(""https://docs.google.com/spreadsheets/d/""&amp;$A479&amp;""/edit#gid=156619080"",AA$3)"),"#REF!")</f>
        <v>#REF!</v>
      </c>
      <c r="AB479" s="2" t="str">
        <f>IFERROR(__xludf.DUMMYFUNCTION("IMPORTRANGE(""https://docs.google.com/spreadsheets/d/""&amp;$A479&amp;""/edit#gid=156619080"",AB$3)"),"#REF!")</f>
        <v>#REF!</v>
      </c>
      <c r="AC479" s="2" t="str">
        <f>IFERROR(__xludf.DUMMYFUNCTION("IMPORTRANGE(""https://docs.google.com/spreadsheets/d/""&amp;$A479&amp;""/edit#gid=156619080"",AC$3)"),"#REF!")</f>
        <v>#REF!</v>
      </c>
      <c r="AD479" s="2" t="str">
        <f>IFERROR(__xludf.DUMMYFUNCTION("IMPORTRANGE(""https://docs.google.com/spreadsheets/d/""&amp;$A479&amp;""/edit#gid=156619080"",AD$3)"),"#REF!")</f>
        <v>#REF!</v>
      </c>
      <c r="AE479" s="2" t="str">
        <f>IFERROR(__xludf.DUMMYFUNCTION("IMPORTRANGE(""https://docs.google.com/spreadsheets/d/""&amp;$A479&amp;""/edit#gid=156619080"",AE$3)"),"#REF!")</f>
        <v>#REF!</v>
      </c>
      <c r="AF479" s="2" t="str">
        <f>IFERROR(__xludf.DUMMYFUNCTION("IMPORTRANGE(""https://docs.google.com/spreadsheets/d/""&amp;$A479&amp;""/edit#gid=156619080"",AF$3)"),"#REF!")</f>
        <v>#REF!</v>
      </c>
      <c r="AG479" s="2" t="str">
        <f>IFERROR(__xludf.DUMMYFUNCTION("IMPORTRANGE(""https://docs.google.com/spreadsheets/d/""&amp;$A479&amp;""/edit#gid=156619080"",AG$3)"),"#REF!")</f>
        <v>#REF!</v>
      </c>
      <c r="AH479" s="2" t="str">
        <f>IFERROR(__xludf.DUMMYFUNCTION("IMPORTRANGE(""https://docs.google.com/spreadsheets/d/""&amp;$A479&amp;""/edit#gid=156619080"",AH$3)"),"#REF!")</f>
        <v>#REF!</v>
      </c>
      <c r="AI479" s="2" t="str">
        <f>IFERROR(__xludf.DUMMYFUNCTION("IMPORTRANGE(""https://docs.google.com/spreadsheets/d/""&amp;$A479&amp;""/edit#gid=156619080"",AI$3)"),"#REF!")</f>
        <v>#REF!</v>
      </c>
      <c r="AJ479" s="2" t="str">
        <f>IFERROR(__xludf.DUMMYFUNCTION("IMPORTRANGE(""https://docs.google.com/spreadsheets/d/""&amp;$A479&amp;""/edit#gid=156619080"",AJ$3)"),"#REF!")</f>
        <v>#REF!</v>
      </c>
      <c r="AK479" s="2" t="str">
        <f>IFERROR(__xludf.DUMMYFUNCTION("IMPORTRANGE(""https://docs.google.com/spreadsheets/d/""&amp;$A479&amp;""/edit#gid=156619080"",AK$3)"),"#REF!")</f>
        <v>#REF!</v>
      </c>
      <c r="AL479" s="2" t="str">
        <f>IFERROR(__xludf.DUMMYFUNCTION("IMPORTRANGE(""https://docs.google.com/spreadsheets/d/""&amp;$A479&amp;""/edit#gid=156619080"",AL$3)"),"#REF!")</f>
        <v>#REF!</v>
      </c>
      <c r="AM479" s="2" t="str">
        <f>IFERROR(__xludf.DUMMYFUNCTION("IMPORTRANGE(""https://docs.google.com/spreadsheets/d/""&amp;$A479&amp;""/edit#gid=156619080"",AM$3)"),"#REF!")</f>
        <v>#REF!</v>
      </c>
      <c r="AN479" s="2" t="str">
        <f>IFERROR(__xludf.DUMMYFUNCTION("IMPORTRANGE(""https://docs.google.com/spreadsheets/d/""&amp;$A479&amp;""/edit#gid=156619080"",AN$3)"),"#REF!")</f>
        <v>#REF!</v>
      </c>
      <c r="AO479" s="2" t="str">
        <f>IFERROR(__xludf.DUMMYFUNCTION("IMPORTRANGE(""https://docs.google.com/spreadsheets/d/""&amp;$A479&amp;""/edit#gid=156619080"",AO$3)"),"#REF!")</f>
        <v>#REF!</v>
      </c>
      <c r="AP479" s="2" t="str">
        <f>IFERROR(__xludf.DUMMYFUNCTION("IMPORTRANGE(""https://docs.google.com/spreadsheets/d/""&amp;$A479&amp;""/edit#gid=156619080"",AP$3)"),"#REF!")</f>
        <v>#REF!</v>
      </c>
      <c r="AQ479" s="2" t="str">
        <f>IFERROR(__xludf.DUMMYFUNCTION("IMPORTRANGE(""https://docs.google.com/spreadsheets/d/""&amp;$A479&amp;""/edit#gid=156619080"",AQ$3)"),"#REF!")</f>
        <v>#REF!</v>
      </c>
      <c r="AR479" s="2" t="str">
        <f>IFERROR(__xludf.DUMMYFUNCTION("IMPORTRANGE(""https://docs.google.com/spreadsheets/d/""&amp;$A479&amp;""/edit#gid=156619080"",AR$3)"),"#REF!")</f>
        <v>#REF!</v>
      </c>
      <c r="AS479" s="19" t="str">
        <f>IFERROR(__xludf.DUMMYFUNCTION("IMPORTRANGE(""https://docs.google.com/spreadsheets/d/""&amp;$A479&amp;""/edit#gid=156619080"",AS$3)"),"#REF!")</f>
        <v>#REF!</v>
      </c>
      <c r="AT479" s="2" t="str">
        <f>IFERROR(__xludf.DUMMYFUNCTION("IMPORTRANGE(""https://docs.google.com/spreadsheets/d/""&amp;$A479&amp;""/edit#gid=156619080"",AT$3)"),"#REF!")</f>
        <v>#REF!</v>
      </c>
      <c r="AU479" s="3" t="str">
        <f>IFERROR(__xludf.DUMMYFUNCTION("IMPORTRANGE(""https://docs.google.com/spreadsheets/d/""&amp;$A479&amp;""/edit#gid=156619080"",AU$3)"),"#REF!")</f>
        <v>#REF!</v>
      </c>
      <c r="AV479" s="2" t="str">
        <f>IFERROR(__xludf.DUMMYFUNCTION("IMPORTRANGE(""https://docs.google.com/spreadsheets/d/""&amp;$A479&amp;""/edit#gid=156619080"",AV$3)"),"#REF!")</f>
        <v>#REF!</v>
      </c>
      <c r="AW479" s="19" t="str">
        <f>IFERROR(__xludf.DUMMYFUNCTION("IMPORTRANGE(""https://docs.google.com/spreadsheets/d/""&amp;$A479&amp;""/edit#gid=156619080"",AW$3)"),"#REF!")</f>
        <v>#REF!</v>
      </c>
      <c r="AX479" s="2" t="str">
        <f>IFERROR(__xludf.DUMMYFUNCTION("IMPORTRANGE(""https://docs.google.com/spreadsheets/d/""&amp;$A479&amp;""/edit#gid=156619080"",AX$3)"),"#REF!")</f>
        <v>#REF!</v>
      </c>
      <c r="AY479" s="2" t="str">
        <f>IFERROR(__xludf.DUMMYFUNCTION("IMPORTRANGE(""https://docs.google.com/spreadsheets/d/""&amp;$A479&amp;""/edit#gid=156619080"",AY$3)"),"#REF!")</f>
        <v>#REF!</v>
      </c>
      <c r="AZ479" s="2" t="str">
        <f>IFERROR(__xludf.DUMMYFUNCTION("IMPORTRANGE(""https://docs.google.com/spreadsheets/d/""&amp;$A479&amp;""/edit#gid=156619080"",AZ$3)"),"#REF!")</f>
        <v>#REF!</v>
      </c>
      <c r="BA479" s="2" t="str">
        <f>IFERROR(__xludf.DUMMYFUNCTION("IMPORTRANGE(""https://docs.google.com/spreadsheets/d/""&amp;$A479&amp;""/edit#gid=156619080"",BA$3)"),"#REF!")</f>
        <v>#REF!</v>
      </c>
      <c r="BB479" s="2" t="str">
        <f>IFERROR(__xludf.DUMMYFUNCTION("IMPORTRANGE(""https://docs.google.com/spreadsheets/d/""&amp;$A479&amp;""/edit#gid=156619080"",BB$3)"),"#REF!")</f>
        <v>#REF!</v>
      </c>
      <c r="BC479" s="2" t="str">
        <f>IFERROR(__xludf.DUMMYFUNCTION("IMPORTRANGE(""https://docs.google.com/spreadsheets/d/""&amp;$A479&amp;""/edit#gid=156619080"",BC$3)"),"#REF!")</f>
        <v>#REF!</v>
      </c>
    </row>
    <row r="480" ht="51.0" customHeight="1">
      <c r="A480" s="7" t="str">
        <f t="shared" si="5"/>
        <v>1BekvdveRZJasNUGCPYt_burNeuw38bbEKMhQpWX2q_Q</v>
      </c>
      <c r="B480" s="1" t="s">
        <v>507</v>
      </c>
      <c r="C480" s="2" t="str">
        <f>IFERROR(__xludf.DUMMYFUNCTION("IMPORTRANGE(""https://docs.google.com/spreadsheets/d/""&amp;$A480&amp;""/edit#gid=156619080"",C$3)"),"#REF!")</f>
        <v>#REF!</v>
      </c>
      <c r="D480" s="2" t="str">
        <f>IFERROR(__xludf.DUMMYFUNCTION("IMPORTRANGE(""https://docs.google.com/spreadsheets/d/""&amp;$A480&amp;""/edit#gid=156619080"",D$3)"),"#REF!")</f>
        <v>#REF!</v>
      </c>
      <c r="E480" s="2" t="str">
        <f>IFERROR(__xludf.DUMMYFUNCTION("IMPORTRANGE(""https://docs.google.com/spreadsheets/d/""&amp;$A480&amp;""/edit#gid=156619080"",E$3)"),"#REF!")</f>
        <v>#REF!</v>
      </c>
      <c r="F480" s="2" t="str">
        <f>IFERROR(__xludf.DUMMYFUNCTION("IMPORTRANGE(""https://docs.google.com/spreadsheets/d/""&amp;$A480&amp;""/edit#gid=156619080"",F$3)"),"#REF!")</f>
        <v>#REF!</v>
      </c>
      <c r="G480" s="2" t="str">
        <f>IFERROR(__xludf.DUMMYFUNCTION("IMPORTRANGE(""https://docs.google.com/spreadsheets/d/""&amp;$A480&amp;""/edit#gid=156619080"",G$3)"),"#REF!")</f>
        <v>#REF!</v>
      </c>
      <c r="H480" s="2" t="str">
        <f>IFERROR(__xludf.DUMMYFUNCTION("IMPORTRANGE(""https://docs.google.com/spreadsheets/d/""&amp;$A480&amp;""/edit#gid=156619080"",H$3)"),"#REF!")</f>
        <v>#REF!</v>
      </c>
      <c r="I480" s="2" t="str">
        <f>IFERROR(__xludf.DUMMYFUNCTION("IMPORTRANGE(""https://docs.google.com/spreadsheets/d/""&amp;$A480&amp;""/edit#gid=156619080"",I$3)"),"#REF!")</f>
        <v>#REF!</v>
      </c>
      <c r="J480" s="2" t="str">
        <f>IFERROR(__xludf.DUMMYFUNCTION("IMPORTRANGE(""https://docs.google.com/spreadsheets/d/""&amp;$A480&amp;""/edit#gid=156619080"",J$3)"),"#REF!")</f>
        <v>#REF!</v>
      </c>
      <c r="K480" s="2" t="str">
        <f>IFERROR(__xludf.DUMMYFUNCTION("IMPORTRANGE(""https://docs.google.com/spreadsheets/d/""&amp;$A480&amp;""/edit#gid=156619080"",K$3)"),"#REF!")</f>
        <v>#REF!</v>
      </c>
      <c r="L480" s="2" t="str">
        <f>IFERROR(__xludf.DUMMYFUNCTION("IMPORTRANGE(""https://docs.google.com/spreadsheets/d/""&amp;$A480&amp;""/edit#gid=156619080"",L$3)"),"#REF!")</f>
        <v>#REF!</v>
      </c>
      <c r="M480" s="2" t="str">
        <f>IFERROR(__xludf.DUMMYFUNCTION("IMPORTRANGE(""https://docs.google.com/spreadsheets/d/""&amp;$A480&amp;""/edit#gid=156619080"",M$3)"),"#REF!")</f>
        <v>#REF!</v>
      </c>
      <c r="N480" s="2" t="str">
        <f>IFERROR(__xludf.DUMMYFUNCTION("IMPORTRANGE(""https://docs.google.com/spreadsheets/d/""&amp;$A480&amp;""/edit#gid=156619080"",N$3)"),"#REF!")</f>
        <v>#REF!</v>
      </c>
      <c r="O480" s="2" t="str">
        <f>IFERROR(__xludf.DUMMYFUNCTION("IMPORTRANGE(""https://docs.google.com/spreadsheets/d/""&amp;$A480&amp;""/edit#gid=156619080"",O$3)"),"#REF!")</f>
        <v>#REF!</v>
      </c>
      <c r="P480" s="2" t="str">
        <f>IFERROR(__xludf.DUMMYFUNCTION("IMPORTRANGE(""https://docs.google.com/spreadsheets/d/""&amp;$A480&amp;""/edit#gid=156619080"",P$3)"),"#REF!")</f>
        <v>#REF!</v>
      </c>
      <c r="Q480" s="2" t="str">
        <f>IFERROR(__xludf.DUMMYFUNCTION("IMPORTRANGE(""https://docs.google.com/spreadsheets/d/""&amp;$A480&amp;""/edit#gid=156619080"",Q$3)"),"#REF!")</f>
        <v>#REF!</v>
      </c>
      <c r="R480" s="2" t="str">
        <f>IFERROR(__xludf.DUMMYFUNCTION("IMPORTRANGE(""https://docs.google.com/spreadsheets/d/""&amp;$A480&amp;""/edit#gid=156619080"",R$3)"),"#REF!")</f>
        <v>#REF!</v>
      </c>
      <c r="S480" s="2" t="str">
        <f>IFERROR(__xludf.DUMMYFUNCTION("IMPORTRANGE(""https://docs.google.com/spreadsheets/d/""&amp;$A480&amp;""/edit#gid=156619080"",S$3)"),"#REF!")</f>
        <v>#REF!</v>
      </c>
      <c r="T480" s="2" t="str">
        <f>IFERROR(__xludf.DUMMYFUNCTION("IMPORTRANGE(""https://docs.google.com/spreadsheets/d/""&amp;$A480&amp;""/edit#gid=156619080"",T$3)"),"#REF!")</f>
        <v>#REF!</v>
      </c>
      <c r="U480" s="2" t="str">
        <f>IFERROR(__xludf.DUMMYFUNCTION("IMPORTRANGE(""https://docs.google.com/spreadsheets/d/""&amp;$A480&amp;""/edit#gid=156619080"",U$3)"),"#REF!")</f>
        <v>#REF!</v>
      </c>
      <c r="V480" s="2" t="str">
        <f>IFERROR(__xludf.DUMMYFUNCTION("IMPORTRANGE(""https://docs.google.com/spreadsheets/d/""&amp;$A480&amp;""/edit#gid=156619080"",V$3)"),"#REF!")</f>
        <v>#REF!</v>
      </c>
      <c r="W480" s="2" t="str">
        <f>IFERROR(__xludf.DUMMYFUNCTION("IMPORTRANGE(""https://docs.google.com/spreadsheets/d/""&amp;$A480&amp;""/edit#gid=156619080"",W$3)"),"#REF!")</f>
        <v>#REF!</v>
      </c>
      <c r="X480" s="2" t="str">
        <f>IFERROR(__xludf.DUMMYFUNCTION("IMPORTRANGE(""https://docs.google.com/spreadsheets/d/""&amp;$A480&amp;""/edit#gid=156619080"",X$3)"),"#REF!")</f>
        <v>#REF!</v>
      </c>
      <c r="Y480" s="2" t="str">
        <f>IFERROR(__xludf.DUMMYFUNCTION("IMPORTRANGE(""https://docs.google.com/spreadsheets/d/""&amp;$A480&amp;""/edit#gid=156619080"",Y$3)"),"#REF!")</f>
        <v>#REF!</v>
      </c>
      <c r="Z480" s="2" t="str">
        <f>IFERROR(__xludf.DUMMYFUNCTION("IMPORTRANGE(""https://docs.google.com/spreadsheets/d/""&amp;$A480&amp;""/edit#gid=156619080"",Z$3)"),"#REF!")</f>
        <v>#REF!</v>
      </c>
      <c r="AA480" s="2" t="str">
        <f>IFERROR(__xludf.DUMMYFUNCTION("IMPORTRANGE(""https://docs.google.com/spreadsheets/d/""&amp;$A480&amp;""/edit#gid=156619080"",AA$3)"),"#REF!")</f>
        <v>#REF!</v>
      </c>
      <c r="AB480" s="2" t="str">
        <f>IFERROR(__xludf.DUMMYFUNCTION("IMPORTRANGE(""https://docs.google.com/spreadsheets/d/""&amp;$A480&amp;""/edit#gid=156619080"",AB$3)"),"#REF!")</f>
        <v>#REF!</v>
      </c>
      <c r="AC480" s="2" t="str">
        <f>IFERROR(__xludf.DUMMYFUNCTION("IMPORTRANGE(""https://docs.google.com/spreadsheets/d/""&amp;$A480&amp;""/edit#gid=156619080"",AC$3)"),"#REF!")</f>
        <v>#REF!</v>
      </c>
      <c r="AD480" s="2" t="str">
        <f>IFERROR(__xludf.DUMMYFUNCTION("IMPORTRANGE(""https://docs.google.com/spreadsheets/d/""&amp;$A480&amp;""/edit#gid=156619080"",AD$3)"),"#REF!")</f>
        <v>#REF!</v>
      </c>
      <c r="AE480" s="2" t="str">
        <f>IFERROR(__xludf.DUMMYFUNCTION("IMPORTRANGE(""https://docs.google.com/spreadsheets/d/""&amp;$A480&amp;""/edit#gid=156619080"",AE$3)"),"#REF!")</f>
        <v>#REF!</v>
      </c>
      <c r="AF480" s="2" t="str">
        <f>IFERROR(__xludf.DUMMYFUNCTION("IMPORTRANGE(""https://docs.google.com/spreadsheets/d/""&amp;$A480&amp;""/edit#gid=156619080"",AF$3)"),"#REF!")</f>
        <v>#REF!</v>
      </c>
      <c r="AG480" s="2" t="str">
        <f>IFERROR(__xludf.DUMMYFUNCTION("IMPORTRANGE(""https://docs.google.com/spreadsheets/d/""&amp;$A480&amp;""/edit#gid=156619080"",AG$3)"),"#REF!")</f>
        <v>#REF!</v>
      </c>
      <c r="AH480" s="2" t="str">
        <f>IFERROR(__xludf.DUMMYFUNCTION("IMPORTRANGE(""https://docs.google.com/spreadsheets/d/""&amp;$A480&amp;""/edit#gid=156619080"",AH$3)"),"#REF!")</f>
        <v>#REF!</v>
      </c>
      <c r="AI480" s="2" t="str">
        <f>IFERROR(__xludf.DUMMYFUNCTION("IMPORTRANGE(""https://docs.google.com/spreadsheets/d/""&amp;$A480&amp;""/edit#gid=156619080"",AI$3)"),"#REF!")</f>
        <v>#REF!</v>
      </c>
      <c r="AJ480" s="2" t="str">
        <f>IFERROR(__xludf.DUMMYFUNCTION("IMPORTRANGE(""https://docs.google.com/spreadsheets/d/""&amp;$A480&amp;""/edit#gid=156619080"",AJ$3)"),"#REF!")</f>
        <v>#REF!</v>
      </c>
      <c r="AK480" s="2" t="str">
        <f>IFERROR(__xludf.DUMMYFUNCTION("IMPORTRANGE(""https://docs.google.com/spreadsheets/d/""&amp;$A480&amp;""/edit#gid=156619080"",AK$3)"),"#REF!")</f>
        <v>#REF!</v>
      </c>
      <c r="AL480" s="2" t="str">
        <f>IFERROR(__xludf.DUMMYFUNCTION("IMPORTRANGE(""https://docs.google.com/spreadsheets/d/""&amp;$A480&amp;""/edit#gid=156619080"",AL$3)"),"#REF!")</f>
        <v>#REF!</v>
      </c>
      <c r="AM480" s="2" t="str">
        <f>IFERROR(__xludf.DUMMYFUNCTION("IMPORTRANGE(""https://docs.google.com/spreadsheets/d/""&amp;$A480&amp;""/edit#gid=156619080"",AM$3)"),"#REF!")</f>
        <v>#REF!</v>
      </c>
      <c r="AN480" s="2" t="str">
        <f>IFERROR(__xludf.DUMMYFUNCTION("IMPORTRANGE(""https://docs.google.com/spreadsheets/d/""&amp;$A480&amp;""/edit#gid=156619080"",AN$3)"),"#REF!")</f>
        <v>#REF!</v>
      </c>
      <c r="AO480" s="2" t="str">
        <f>IFERROR(__xludf.DUMMYFUNCTION("IMPORTRANGE(""https://docs.google.com/spreadsheets/d/""&amp;$A480&amp;""/edit#gid=156619080"",AO$3)"),"#REF!")</f>
        <v>#REF!</v>
      </c>
      <c r="AP480" s="2" t="str">
        <f>IFERROR(__xludf.DUMMYFUNCTION("IMPORTRANGE(""https://docs.google.com/spreadsheets/d/""&amp;$A480&amp;""/edit#gid=156619080"",AP$3)"),"#REF!")</f>
        <v>#REF!</v>
      </c>
      <c r="AQ480" s="2" t="str">
        <f>IFERROR(__xludf.DUMMYFUNCTION("IMPORTRANGE(""https://docs.google.com/spreadsheets/d/""&amp;$A480&amp;""/edit#gid=156619080"",AQ$3)"),"#REF!")</f>
        <v>#REF!</v>
      </c>
      <c r="AR480" s="2" t="str">
        <f>IFERROR(__xludf.DUMMYFUNCTION("IMPORTRANGE(""https://docs.google.com/spreadsheets/d/""&amp;$A480&amp;""/edit#gid=156619080"",AR$3)"),"#REF!")</f>
        <v>#REF!</v>
      </c>
      <c r="AS480" s="19" t="str">
        <f>IFERROR(__xludf.DUMMYFUNCTION("IMPORTRANGE(""https://docs.google.com/spreadsheets/d/""&amp;$A480&amp;""/edit#gid=156619080"",AS$3)"),"#REF!")</f>
        <v>#REF!</v>
      </c>
      <c r="AT480" s="2" t="str">
        <f>IFERROR(__xludf.DUMMYFUNCTION("IMPORTRANGE(""https://docs.google.com/spreadsheets/d/""&amp;$A480&amp;""/edit#gid=156619080"",AT$3)"),"#REF!")</f>
        <v>#REF!</v>
      </c>
      <c r="AU480" s="3" t="str">
        <f>IFERROR(__xludf.DUMMYFUNCTION("IMPORTRANGE(""https://docs.google.com/spreadsheets/d/""&amp;$A480&amp;""/edit#gid=156619080"",AU$3)"),"#REF!")</f>
        <v>#REF!</v>
      </c>
      <c r="AV480" s="2" t="str">
        <f>IFERROR(__xludf.DUMMYFUNCTION("IMPORTRANGE(""https://docs.google.com/spreadsheets/d/""&amp;$A480&amp;""/edit#gid=156619080"",AV$3)"),"#REF!")</f>
        <v>#REF!</v>
      </c>
      <c r="AW480" s="19" t="str">
        <f>IFERROR(__xludf.DUMMYFUNCTION("IMPORTRANGE(""https://docs.google.com/spreadsheets/d/""&amp;$A480&amp;""/edit#gid=156619080"",AW$3)"),"#REF!")</f>
        <v>#REF!</v>
      </c>
      <c r="AX480" s="2" t="str">
        <f>IFERROR(__xludf.DUMMYFUNCTION("IMPORTRANGE(""https://docs.google.com/spreadsheets/d/""&amp;$A480&amp;""/edit#gid=156619080"",AX$3)"),"#REF!")</f>
        <v>#REF!</v>
      </c>
      <c r="AY480" s="2" t="str">
        <f>IFERROR(__xludf.DUMMYFUNCTION("IMPORTRANGE(""https://docs.google.com/spreadsheets/d/""&amp;$A480&amp;""/edit#gid=156619080"",AY$3)"),"#REF!")</f>
        <v>#REF!</v>
      </c>
      <c r="AZ480" s="2" t="str">
        <f>IFERROR(__xludf.DUMMYFUNCTION("IMPORTRANGE(""https://docs.google.com/spreadsheets/d/""&amp;$A480&amp;""/edit#gid=156619080"",AZ$3)"),"#REF!")</f>
        <v>#REF!</v>
      </c>
      <c r="BA480" s="2" t="str">
        <f>IFERROR(__xludf.DUMMYFUNCTION("IMPORTRANGE(""https://docs.google.com/spreadsheets/d/""&amp;$A480&amp;""/edit#gid=156619080"",BA$3)"),"#REF!")</f>
        <v>#REF!</v>
      </c>
      <c r="BB480" s="2" t="str">
        <f>IFERROR(__xludf.DUMMYFUNCTION("IMPORTRANGE(""https://docs.google.com/spreadsheets/d/""&amp;$A480&amp;""/edit#gid=156619080"",BB$3)"),"#REF!")</f>
        <v>#REF!</v>
      </c>
      <c r="BC480" s="2" t="str">
        <f>IFERROR(__xludf.DUMMYFUNCTION("IMPORTRANGE(""https://docs.google.com/spreadsheets/d/""&amp;$A480&amp;""/edit#gid=156619080"",BC$3)"),"#REF!")</f>
        <v>#REF!</v>
      </c>
    </row>
    <row r="481" ht="51.0" customHeight="1">
      <c r="A481" s="7" t="str">
        <f t="shared" si="5"/>
        <v>1YidKoT1fhd6kgAiIYIrhCloFx72uplQSO7h2hkyDpKY</v>
      </c>
      <c r="B481" s="1" t="s">
        <v>508</v>
      </c>
      <c r="C481" s="2" t="str">
        <f>IFERROR(__xludf.DUMMYFUNCTION("IMPORTRANGE(""https://docs.google.com/spreadsheets/d/""&amp;$A481&amp;""/edit#gid=156619080"",C$3)"),"#REF!")</f>
        <v>#REF!</v>
      </c>
      <c r="D481" s="2" t="str">
        <f>IFERROR(__xludf.DUMMYFUNCTION("IMPORTRANGE(""https://docs.google.com/spreadsheets/d/""&amp;$A481&amp;""/edit#gid=156619080"",D$3)"),"#REF!")</f>
        <v>#REF!</v>
      </c>
      <c r="E481" s="2" t="str">
        <f>IFERROR(__xludf.DUMMYFUNCTION("IMPORTRANGE(""https://docs.google.com/spreadsheets/d/""&amp;$A481&amp;""/edit#gid=156619080"",E$3)"),"#REF!")</f>
        <v>#REF!</v>
      </c>
      <c r="F481" s="2" t="str">
        <f>IFERROR(__xludf.DUMMYFUNCTION("IMPORTRANGE(""https://docs.google.com/spreadsheets/d/""&amp;$A481&amp;""/edit#gid=156619080"",F$3)"),"#REF!")</f>
        <v>#REF!</v>
      </c>
      <c r="G481" s="2" t="str">
        <f>IFERROR(__xludf.DUMMYFUNCTION("IMPORTRANGE(""https://docs.google.com/spreadsheets/d/""&amp;$A481&amp;""/edit#gid=156619080"",G$3)"),"#REF!")</f>
        <v>#REF!</v>
      </c>
      <c r="H481" s="2" t="str">
        <f>IFERROR(__xludf.DUMMYFUNCTION("IMPORTRANGE(""https://docs.google.com/spreadsheets/d/""&amp;$A481&amp;""/edit#gid=156619080"",H$3)"),"#REF!")</f>
        <v>#REF!</v>
      </c>
      <c r="I481" s="2" t="str">
        <f>IFERROR(__xludf.DUMMYFUNCTION("IMPORTRANGE(""https://docs.google.com/spreadsheets/d/""&amp;$A481&amp;""/edit#gid=156619080"",I$3)"),"#REF!")</f>
        <v>#REF!</v>
      </c>
      <c r="J481" s="2" t="str">
        <f>IFERROR(__xludf.DUMMYFUNCTION("IMPORTRANGE(""https://docs.google.com/spreadsheets/d/""&amp;$A481&amp;""/edit#gid=156619080"",J$3)"),"#REF!")</f>
        <v>#REF!</v>
      </c>
      <c r="K481" s="2" t="str">
        <f>IFERROR(__xludf.DUMMYFUNCTION("IMPORTRANGE(""https://docs.google.com/spreadsheets/d/""&amp;$A481&amp;""/edit#gid=156619080"",K$3)"),"#REF!")</f>
        <v>#REF!</v>
      </c>
      <c r="L481" s="2" t="str">
        <f>IFERROR(__xludf.DUMMYFUNCTION("IMPORTRANGE(""https://docs.google.com/spreadsheets/d/""&amp;$A481&amp;""/edit#gid=156619080"",L$3)"),"#REF!")</f>
        <v>#REF!</v>
      </c>
      <c r="M481" s="2" t="str">
        <f>IFERROR(__xludf.DUMMYFUNCTION("IMPORTRANGE(""https://docs.google.com/spreadsheets/d/""&amp;$A481&amp;""/edit#gid=156619080"",M$3)"),"#REF!")</f>
        <v>#REF!</v>
      </c>
      <c r="N481" s="2" t="str">
        <f>IFERROR(__xludf.DUMMYFUNCTION("IMPORTRANGE(""https://docs.google.com/spreadsheets/d/""&amp;$A481&amp;""/edit#gid=156619080"",N$3)"),"#REF!")</f>
        <v>#REF!</v>
      </c>
      <c r="O481" s="2" t="str">
        <f>IFERROR(__xludf.DUMMYFUNCTION("IMPORTRANGE(""https://docs.google.com/spreadsheets/d/""&amp;$A481&amp;""/edit#gid=156619080"",O$3)"),"#REF!")</f>
        <v>#REF!</v>
      </c>
      <c r="P481" s="2" t="str">
        <f>IFERROR(__xludf.DUMMYFUNCTION("IMPORTRANGE(""https://docs.google.com/spreadsheets/d/""&amp;$A481&amp;""/edit#gid=156619080"",P$3)"),"#REF!")</f>
        <v>#REF!</v>
      </c>
      <c r="Q481" s="2" t="str">
        <f>IFERROR(__xludf.DUMMYFUNCTION("IMPORTRANGE(""https://docs.google.com/spreadsheets/d/""&amp;$A481&amp;""/edit#gid=156619080"",Q$3)"),"#REF!")</f>
        <v>#REF!</v>
      </c>
      <c r="R481" s="2" t="str">
        <f>IFERROR(__xludf.DUMMYFUNCTION("IMPORTRANGE(""https://docs.google.com/spreadsheets/d/""&amp;$A481&amp;""/edit#gid=156619080"",R$3)"),"#REF!")</f>
        <v>#REF!</v>
      </c>
      <c r="S481" s="2" t="str">
        <f>IFERROR(__xludf.DUMMYFUNCTION("IMPORTRANGE(""https://docs.google.com/spreadsheets/d/""&amp;$A481&amp;""/edit#gid=156619080"",S$3)"),"#REF!")</f>
        <v>#REF!</v>
      </c>
      <c r="T481" s="2" t="str">
        <f>IFERROR(__xludf.DUMMYFUNCTION("IMPORTRANGE(""https://docs.google.com/spreadsheets/d/""&amp;$A481&amp;""/edit#gid=156619080"",T$3)"),"#REF!")</f>
        <v>#REF!</v>
      </c>
      <c r="U481" s="2" t="str">
        <f>IFERROR(__xludf.DUMMYFUNCTION("IMPORTRANGE(""https://docs.google.com/spreadsheets/d/""&amp;$A481&amp;""/edit#gid=156619080"",U$3)"),"#REF!")</f>
        <v>#REF!</v>
      </c>
      <c r="V481" s="2" t="str">
        <f>IFERROR(__xludf.DUMMYFUNCTION("IMPORTRANGE(""https://docs.google.com/spreadsheets/d/""&amp;$A481&amp;""/edit#gid=156619080"",V$3)"),"#REF!")</f>
        <v>#REF!</v>
      </c>
      <c r="W481" s="2" t="str">
        <f>IFERROR(__xludf.DUMMYFUNCTION("IMPORTRANGE(""https://docs.google.com/spreadsheets/d/""&amp;$A481&amp;""/edit#gid=156619080"",W$3)"),"#REF!")</f>
        <v>#REF!</v>
      </c>
      <c r="X481" s="2" t="str">
        <f>IFERROR(__xludf.DUMMYFUNCTION("IMPORTRANGE(""https://docs.google.com/spreadsheets/d/""&amp;$A481&amp;""/edit#gid=156619080"",X$3)"),"#REF!")</f>
        <v>#REF!</v>
      </c>
      <c r="Y481" s="2" t="str">
        <f>IFERROR(__xludf.DUMMYFUNCTION("IMPORTRANGE(""https://docs.google.com/spreadsheets/d/""&amp;$A481&amp;""/edit#gid=156619080"",Y$3)"),"#REF!")</f>
        <v>#REF!</v>
      </c>
      <c r="Z481" s="2" t="str">
        <f>IFERROR(__xludf.DUMMYFUNCTION("IMPORTRANGE(""https://docs.google.com/spreadsheets/d/""&amp;$A481&amp;""/edit#gid=156619080"",Z$3)"),"#REF!")</f>
        <v>#REF!</v>
      </c>
      <c r="AA481" s="2" t="str">
        <f>IFERROR(__xludf.DUMMYFUNCTION("IMPORTRANGE(""https://docs.google.com/spreadsheets/d/""&amp;$A481&amp;""/edit#gid=156619080"",AA$3)"),"#REF!")</f>
        <v>#REF!</v>
      </c>
      <c r="AB481" s="2" t="str">
        <f>IFERROR(__xludf.DUMMYFUNCTION("IMPORTRANGE(""https://docs.google.com/spreadsheets/d/""&amp;$A481&amp;""/edit#gid=156619080"",AB$3)"),"#REF!")</f>
        <v>#REF!</v>
      </c>
      <c r="AC481" s="2" t="str">
        <f>IFERROR(__xludf.DUMMYFUNCTION("IMPORTRANGE(""https://docs.google.com/spreadsheets/d/""&amp;$A481&amp;""/edit#gid=156619080"",AC$3)"),"#REF!")</f>
        <v>#REF!</v>
      </c>
      <c r="AD481" s="2" t="str">
        <f>IFERROR(__xludf.DUMMYFUNCTION("IMPORTRANGE(""https://docs.google.com/spreadsheets/d/""&amp;$A481&amp;""/edit#gid=156619080"",AD$3)"),"#REF!")</f>
        <v>#REF!</v>
      </c>
      <c r="AE481" s="2" t="str">
        <f>IFERROR(__xludf.DUMMYFUNCTION("IMPORTRANGE(""https://docs.google.com/spreadsheets/d/""&amp;$A481&amp;""/edit#gid=156619080"",AE$3)"),"#REF!")</f>
        <v>#REF!</v>
      </c>
      <c r="AF481" s="2" t="str">
        <f>IFERROR(__xludf.DUMMYFUNCTION("IMPORTRANGE(""https://docs.google.com/spreadsheets/d/""&amp;$A481&amp;""/edit#gid=156619080"",AF$3)"),"#REF!")</f>
        <v>#REF!</v>
      </c>
      <c r="AG481" s="2" t="str">
        <f>IFERROR(__xludf.DUMMYFUNCTION("IMPORTRANGE(""https://docs.google.com/spreadsheets/d/""&amp;$A481&amp;""/edit#gid=156619080"",AG$3)"),"#REF!")</f>
        <v>#REF!</v>
      </c>
      <c r="AH481" s="2" t="str">
        <f>IFERROR(__xludf.DUMMYFUNCTION("IMPORTRANGE(""https://docs.google.com/spreadsheets/d/""&amp;$A481&amp;""/edit#gid=156619080"",AH$3)"),"#REF!")</f>
        <v>#REF!</v>
      </c>
      <c r="AI481" s="2" t="str">
        <f>IFERROR(__xludf.DUMMYFUNCTION("IMPORTRANGE(""https://docs.google.com/spreadsheets/d/""&amp;$A481&amp;""/edit#gid=156619080"",AI$3)"),"#REF!")</f>
        <v>#REF!</v>
      </c>
      <c r="AJ481" s="2" t="str">
        <f>IFERROR(__xludf.DUMMYFUNCTION("IMPORTRANGE(""https://docs.google.com/spreadsheets/d/""&amp;$A481&amp;""/edit#gid=156619080"",AJ$3)"),"#REF!")</f>
        <v>#REF!</v>
      </c>
      <c r="AK481" s="2" t="str">
        <f>IFERROR(__xludf.DUMMYFUNCTION("IMPORTRANGE(""https://docs.google.com/spreadsheets/d/""&amp;$A481&amp;""/edit#gid=156619080"",AK$3)"),"#REF!")</f>
        <v>#REF!</v>
      </c>
      <c r="AL481" s="2" t="str">
        <f>IFERROR(__xludf.DUMMYFUNCTION("IMPORTRANGE(""https://docs.google.com/spreadsheets/d/""&amp;$A481&amp;""/edit#gid=156619080"",AL$3)"),"#REF!")</f>
        <v>#REF!</v>
      </c>
      <c r="AM481" s="2" t="str">
        <f>IFERROR(__xludf.DUMMYFUNCTION("IMPORTRANGE(""https://docs.google.com/spreadsheets/d/""&amp;$A481&amp;""/edit#gid=156619080"",AM$3)"),"#REF!")</f>
        <v>#REF!</v>
      </c>
      <c r="AN481" s="2" t="str">
        <f>IFERROR(__xludf.DUMMYFUNCTION("IMPORTRANGE(""https://docs.google.com/spreadsheets/d/""&amp;$A481&amp;""/edit#gid=156619080"",AN$3)"),"#REF!")</f>
        <v>#REF!</v>
      </c>
      <c r="AO481" s="2" t="str">
        <f>IFERROR(__xludf.DUMMYFUNCTION("IMPORTRANGE(""https://docs.google.com/spreadsheets/d/""&amp;$A481&amp;""/edit#gid=156619080"",AO$3)"),"#REF!")</f>
        <v>#REF!</v>
      </c>
      <c r="AP481" s="2" t="str">
        <f>IFERROR(__xludf.DUMMYFUNCTION("IMPORTRANGE(""https://docs.google.com/spreadsheets/d/""&amp;$A481&amp;""/edit#gid=156619080"",AP$3)"),"#REF!")</f>
        <v>#REF!</v>
      </c>
      <c r="AQ481" s="2" t="str">
        <f>IFERROR(__xludf.DUMMYFUNCTION("IMPORTRANGE(""https://docs.google.com/spreadsheets/d/""&amp;$A481&amp;""/edit#gid=156619080"",AQ$3)"),"#REF!")</f>
        <v>#REF!</v>
      </c>
      <c r="AR481" s="2" t="str">
        <f>IFERROR(__xludf.DUMMYFUNCTION("IMPORTRANGE(""https://docs.google.com/spreadsheets/d/""&amp;$A481&amp;""/edit#gid=156619080"",AR$3)"),"#REF!")</f>
        <v>#REF!</v>
      </c>
      <c r="AS481" s="19" t="str">
        <f>IFERROR(__xludf.DUMMYFUNCTION("IMPORTRANGE(""https://docs.google.com/spreadsheets/d/""&amp;$A481&amp;""/edit#gid=156619080"",AS$3)"),"#REF!")</f>
        <v>#REF!</v>
      </c>
      <c r="AT481" s="2" t="str">
        <f>IFERROR(__xludf.DUMMYFUNCTION("IMPORTRANGE(""https://docs.google.com/spreadsheets/d/""&amp;$A481&amp;""/edit#gid=156619080"",AT$3)"),"#REF!")</f>
        <v>#REF!</v>
      </c>
      <c r="AU481" s="3" t="str">
        <f>IFERROR(__xludf.DUMMYFUNCTION("IMPORTRANGE(""https://docs.google.com/spreadsheets/d/""&amp;$A481&amp;""/edit#gid=156619080"",AU$3)"),"#REF!")</f>
        <v>#REF!</v>
      </c>
      <c r="AV481" s="2" t="str">
        <f>IFERROR(__xludf.DUMMYFUNCTION("IMPORTRANGE(""https://docs.google.com/spreadsheets/d/""&amp;$A481&amp;""/edit#gid=156619080"",AV$3)"),"#REF!")</f>
        <v>#REF!</v>
      </c>
      <c r="AW481" s="19" t="str">
        <f>IFERROR(__xludf.DUMMYFUNCTION("IMPORTRANGE(""https://docs.google.com/spreadsheets/d/""&amp;$A481&amp;""/edit#gid=156619080"",AW$3)"),"#REF!")</f>
        <v>#REF!</v>
      </c>
      <c r="AX481" s="2" t="str">
        <f>IFERROR(__xludf.DUMMYFUNCTION("IMPORTRANGE(""https://docs.google.com/spreadsheets/d/""&amp;$A481&amp;""/edit#gid=156619080"",AX$3)"),"#REF!")</f>
        <v>#REF!</v>
      </c>
      <c r="AY481" s="2" t="str">
        <f>IFERROR(__xludf.DUMMYFUNCTION("IMPORTRANGE(""https://docs.google.com/spreadsheets/d/""&amp;$A481&amp;""/edit#gid=156619080"",AY$3)"),"#REF!")</f>
        <v>#REF!</v>
      </c>
      <c r="AZ481" s="2" t="str">
        <f>IFERROR(__xludf.DUMMYFUNCTION("IMPORTRANGE(""https://docs.google.com/spreadsheets/d/""&amp;$A481&amp;""/edit#gid=156619080"",AZ$3)"),"#REF!")</f>
        <v>#REF!</v>
      </c>
      <c r="BA481" s="2" t="str">
        <f>IFERROR(__xludf.DUMMYFUNCTION("IMPORTRANGE(""https://docs.google.com/spreadsheets/d/""&amp;$A481&amp;""/edit#gid=156619080"",BA$3)"),"#REF!")</f>
        <v>#REF!</v>
      </c>
      <c r="BB481" s="2" t="str">
        <f>IFERROR(__xludf.DUMMYFUNCTION("IMPORTRANGE(""https://docs.google.com/spreadsheets/d/""&amp;$A481&amp;""/edit#gid=156619080"",BB$3)"),"#REF!")</f>
        <v>#REF!</v>
      </c>
      <c r="BC481" s="2" t="str">
        <f>IFERROR(__xludf.DUMMYFUNCTION("IMPORTRANGE(""https://docs.google.com/spreadsheets/d/""&amp;$A481&amp;""/edit#gid=156619080"",BC$3)"),"#REF!")</f>
        <v>#REF!</v>
      </c>
    </row>
    <row r="482" ht="51.0" customHeight="1">
      <c r="A482" s="7" t="str">
        <f t="shared" si="5"/>
        <v>1C-wSnkrOLejUHGCpQz4TEeEo9_MEWQ4VpVzX0KGMVIY</v>
      </c>
      <c r="B482" s="1" t="s">
        <v>509</v>
      </c>
      <c r="C482" s="2" t="str">
        <f>IFERROR(__xludf.DUMMYFUNCTION("IMPORTRANGE(""https://docs.google.com/spreadsheets/d/""&amp;$A482&amp;""/edit#gid=156619080"",C$3)"),"#REF!")</f>
        <v>#REF!</v>
      </c>
      <c r="D482" s="2" t="str">
        <f>IFERROR(__xludf.DUMMYFUNCTION("IMPORTRANGE(""https://docs.google.com/spreadsheets/d/""&amp;$A482&amp;""/edit#gid=156619080"",D$3)"),"#REF!")</f>
        <v>#REF!</v>
      </c>
      <c r="E482" s="2" t="str">
        <f>IFERROR(__xludf.DUMMYFUNCTION("IMPORTRANGE(""https://docs.google.com/spreadsheets/d/""&amp;$A482&amp;""/edit#gid=156619080"",E$3)"),"#REF!")</f>
        <v>#REF!</v>
      </c>
      <c r="F482" s="2" t="str">
        <f>IFERROR(__xludf.DUMMYFUNCTION("IMPORTRANGE(""https://docs.google.com/spreadsheets/d/""&amp;$A482&amp;""/edit#gid=156619080"",F$3)"),"#REF!")</f>
        <v>#REF!</v>
      </c>
      <c r="G482" s="2" t="str">
        <f>IFERROR(__xludf.DUMMYFUNCTION("IMPORTRANGE(""https://docs.google.com/spreadsheets/d/""&amp;$A482&amp;""/edit#gid=156619080"",G$3)"),"#REF!")</f>
        <v>#REF!</v>
      </c>
      <c r="H482" s="2" t="str">
        <f>IFERROR(__xludf.DUMMYFUNCTION("IMPORTRANGE(""https://docs.google.com/spreadsheets/d/""&amp;$A482&amp;""/edit#gid=156619080"",H$3)"),"#REF!")</f>
        <v>#REF!</v>
      </c>
      <c r="I482" s="2" t="str">
        <f>IFERROR(__xludf.DUMMYFUNCTION("IMPORTRANGE(""https://docs.google.com/spreadsheets/d/""&amp;$A482&amp;""/edit#gid=156619080"",I$3)"),"#REF!")</f>
        <v>#REF!</v>
      </c>
      <c r="J482" s="2" t="str">
        <f>IFERROR(__xludf.DUMMYFUNCTION("IMPORTRANGE(""https://docs.google.com/spreadsheets/d/""&amp;$A482&amp;""/edit#gid=156619080"",J$3)"),"#REF!")</f>
        <v>#REF!</v>
      </c>
      <c r="K482" s="2" t="str">
        <f>IFERROR(__xludf.DUMMYFUNCTION("IMPORTRANGE(""https://docs.google.com/spreadsheets/d/""&amp;$A482&amp;""/edit#gid=156619080"",K$3)"),"#REF!")</f>
        <v>#REF!</v>
      </c>
      <c r="L482" s="2" t="str">
        <f>IFERROR(__xludf.DUMMYFUNCTION("IMPORTRANGE(""https://docs.google.com/spreadsheets/d/""&amp;$A482&amp;""/edit#gid=156619080"",L$3)"),"#REF!")</f>
        <v>#REF!</v>
      </c>
      <c r="M482" s="2" t="str">
        <f>IFERROR(__xludf.DUMMYFUNCTION("IMPORTRANGE(""https://docs.google.com/spreadsheets/d/""&amp;$A482&amp;""/edit#gid=156619080"",M$3)"),"#REF!")</f>
        <v>#REF!</v>
      </c>
      <c r="N482" s="2" t="str">
        <f>IFERROR(__xludf.DUMMYFUNCTION("IMPORTRANGE(""https://docs.google.com/spreadsheets/d/""&amp;$A482&amp;""/edit#gid=156619080"",N$3)"),"#REF!")</f>
        <v>#REF!</v>
      </c>
      <c r="O482" s="2" t="str">
        <f>IFERROR(__xludf.DUMMYFUNCTION("IMPORTRANGE(""https://docs.google.com/spreadsheets/d/""&amp;$A482&amp;""/edit#gid=156619080"",O$3)"),"#REF!")</f>
        <v>#REF!</v>
      </c>
      <c r="P482" s="2" t="str">
        <f>IFERROR(__xludf.DUMMYFUNCTION("IMPORTRANGE(""https://docs.google.com/spreadsheets/d/""&amp;$A482&amp;""/edit#gid=156619080"",P$3)"),"#REF!")</f>
        <v>#REF!</v>
      </c>
      <c r="Q482" s="2" t="str">
        <f>IFERROR(__xludf.DUMMYFUNCTION("IMPORTRANGE(""https://docs.google.com/spreadsheets/d/""&amp;$A482&amp;""/edit#gid=156619080"",Q$3)"),"#REF!")</f>
        <v>#REF!</v>
      </c>
      <c r="R482" s="2" t="str">
        <f>IFERROR(__xludf.DUMMYFUNCTION("IMPORTRANGE(""https://docs.google.com/spreadsheets/d/""&amp;$A482&amp;""/edit#gid=156619080"",R$3)"),"#REF!")</f>
        <v>#REF!</v>
      </c>
      <c r="S482" s="2" t="str">
        <f>IFERROR(__xludf.DUMMYFUNCTION("IMPORTRANGE(""https://docs.google.com/spreadsheets/d/""&amp;$A482&amp;""/edit#gid=156619080"",S$3)"),"#REF!")</f>
        <v>#REF!</v>
      </c>
      <c r="T482" s="2" t="str">
        <f>IFERROR(__xludf.DUMMYFUNCTION("IMPORTRANGE(""https://docs.google.com/spreadsheets/d/""&amp;$A482&amp;""/edit#gid=156619080"",T$3)"),"#REF!")</f>
        <v>#REF!</v>
      </c>
      <c r="U482" s="2" t="str">
        <f>IFERROR(__xludf.DUMMYFUNCTION("IMPORTRANGE(""https://docs.google.com/spreadsheets/d/""&amp;$A482&amp;""/edit#gid=156619080"",U$3)"),"#REF!")</f>
        <v>#REF!</v>
      </c>
      <c r="V482" s="2" t="str">
        <f>IFERROR(__xludf.DUMMYFUNCTION("IMPORTRANGE(""https://docs.google.com/spreadsheets/d/""&amp;$A482&amp;""/edit#gid=156619080"",V$3)"),"#REF!")</f>
        <v>#REF!</v>
      </c>
      <c r="W482" s="2" t="str">
        <f>IFERROR(__xludf.DUMMYFUNCTION("IMPORTRANGE(""https://docs.google.com/spreadsheets/d/""&amp;$A482&amp;""/edit#gid=156619080"",W$3)"),"#REF!")</f>
        <v>#REF!</v>
      </c>
      <c r="X482" s="2" t="str">
        <f>IFERROR(__xludf.DUMMYFUNCTION("IMPORTRANGE(""https://docs.google.com/spreadsheets/d/""&amp;$A482&amp;""/edit#gid=156619080"",X$3)"),"#REF!")</f>
        <v>#REF!</v>
      </c>
      <c r="Y482" s="2" t="str">
        <f>IFERROR(__xludf.DUMMYFUNCTION("IMPORTRANGE(""https://docs.google.com/spreadsheets/d/""&amp;$A482&amp;""/edit#gid=156619080"",Y$3)"),"#REF!")</f>
        <v>#REF!</v>
      </c>
      <c r="Z482" s="2" t="str">
        <f>IFERROR(__xludf.DUMMYFUNCTION("IMPORTRANGE(""https://docs.google.com/spreadsheets/d/""&amp;$A482&amp;""/edit#gid=156619080"",Z$3)"),"#REF!")</f>
        <v>#REF!</v>
      </c>
      <c r="AA482" s="2" t="str">
        <f>IFERROR(__xludf.DUMMYFUNCTION("IMPORTRANGE(""https://docs.google.com/spreadsheets/d/""&amp;$A482&amp;""/edit#gid=156619080"",AA$3)"),"#REF!")</f>
        <v>#REF!</v>
      </c>
      <c r="AB482" s="2" t="str">
        <f>IFERROR(__xludf.DUMMYFUNCTION("IMPORTRANGE(""https://docs.google.com/spreadsheets/d/""&amp;$A482&amp;""/edit#gid=156619080"",AB$3)"),"#REF!")</f>
        <v>#REF!</v>
      </c>
      <c r="AC482" s="2" t="str">
        <f>IFERROR(__xludf.DUMMYFUNCTION("IMPORTRANGE(""https://docs.google.com/spreadsheets/d/""&amp;$A482&amp;""/edit#gid=156619080"",AC$3)"),"#REF!")</f>
        <v>#REF!</v>
      </c>
      <c r="AD482" s="2" t="str">
        <f>IFERROR(__xludf.DUMMYFUNCTION("IMPORTRANGE(""https://docs.google.com/spreadsheets/d/""&amp;$A482&amp;""/edit#gid=156619080"",AD$3)"),"#REF!")</f>
        <v>#REF!</v>
      </c>
      <c r="AE482" s="2" t="str">
        <f>IFERROR(__xludf.DUMMYFUNCTION("IMPORTRANGE(""https://docs.google.com/spreadsheets/d/""&amp;$A482&amp;""/edit#gid=156619080"",AE$3)"),"#REF!")</f>
        <v>#REF!</v>
      </c>
      <c r="AF482" s="2" t="str">
        <f>IFERROR(__xludf.DUMMYFUNCTION("IMPORTRANGE(""https://docs.google.com/spreadsheets/d/""&amp;$A482&amp;""/edit#gid=156619080"",AF$3)"),"#REF!")</f>
        <v>#REF!</v>
      </c>
      <c r="AG482" s="2" t="str">
        <f>IFERROR(__xludf.DUMMYFUNCTION("IMPORTRANGE(""https://docs.google.com/spreadsheets/d/""&amp;$A482&amp;""/edit#gid=156619080"",AG$3)"),"#REF!")</f>
        <v>#REF!</v>
      </c>
      <c r="AH482" s="2" t="str">
        <f>IFERROR(__xludf.DUMMYFUNCTION("IMPORTRANGE(""https://docs.google.com/spreadsheets/d/""&amp;$A482&amp;""/edit#gid=156619080"",AH$3)"),"#REF!")</f>
        <v>#REF!</v>
      </c>
      <c r="AI482" s="2" t="str">
        <f>IFERROR(__xludf.DUMMYFUNCTION("IMPORTRANGE(""https://docs.google.com/spreadsheets/d/""&amp;$A482&amp;""/edit#gid=156619080"",AI$3)"),"#REF!")</f>
        <v>#REF!</v>
      </c>
      <c r="AJ482" s="2" t="str">
        <f>IFERROR(__xludf.DUMMYFUNCTION("IMPORTRANGE(""https://docs.google.com/spreadsheets/d/""&amp;$A482&amp;""/edit#gid=156619080"",AJ$3)"),"#REF!")</f>
        <v>#REF!</v>
      </c>
      <c r="AK482" s="2" t="str">
        <f>IFERROR(__xludf.DUMMYFUNCTION("IMPORTRANGE(""https://docs.google.com/spreadsheets/d/""&amp;$A482&amp;""/edit#gid=156619080"",AK$3)"),"#REF!")</f>
        <v>#REF!</v>
      </c>
      <c r="AL482" s="2" t="str">
        <f>IFERROR(__xludf.DUMMYFUNCTION("IMPORTRANGE(""https://docs.google.com/spreadsheets/d/""&amp;$A482&amp;""/edit#gid=156619080"",AL$3)"),"#REF!")</f>
        <v>#REF!</v>
      </c>
      <c r="AM482" s="2" t="str">
        <f>IFERROR(__xludf.DUMMYFUNCTION("IMPORTRANGE(""https://docs.google.com/spreadsheets/d/""&amp;$A482&amp;""/edit#gid=156619080"",AM$3)"),"#REF!")</f>
        <v>#REF!</v>
      </c>
      <c r="AN482" s="2" t="str">
        <f>IFERROR(__xludf.DUMMYFUNCTION("IMPORTRANGE(""https://docs.google.com/spreadsheets/d/""&amp;$A482&amp;""/edit#gid=156619080"",AN$3)"),"#REF!")</f>
        <v>#REF!</v>
      </c>
      <c r="AO482" s="2" t="str">
        <f>IFERROR(__xludf.DUMMYFUNCTION("IMPORTRANGE(""https://docs.google.com/spreadsheets/d/""&amp;$A482&amp;""/edit#gid=156619080"",AO$3)"),"#REF!")</f>
        <v>#REF!</v>
      </c>
      <c r="AP482" s="2" t="str">
        <f>IFERROR(__xludf.DUMMYFUNCTION("IMPORTRANGE(""https://docs.google.com/spreadsheets/d/""&amp;$A482&amp;""/edit#gid=156619080"",AP$3)"),"#REF!")</f>
        <v>#REF!</v>
      </c>
      <c r="AQ482" s="2" t="str">
        <f>IFERROR(__xludf.DUMMYFUNCTION("IMPORTRANGE(""https://docs.google.com/spreadsheets/d/""&amp;$A482&amp;""/edit#gid=156619080"",AQ$3)"),"#REF!")</f>
        <v>#REF!</v>
      </c>
      <c r="AR482" s="2" t="str">
        <f>IFERROR(__xludf.DUMMYFUNCTION("IMPORTRANGE(""https://docs.google.com/spreadsheets/d/""&amp;$A482&amp;""/edit#gid=156619080"",AR$3)"),"#REF!")</f>
        <v>#REF!</v>
      </c>
      <c r="AS482" s="19" t="str">
        <f>IFERROR(__xludf.DUMMYFUNCTION("IMPORTRANGE(""https://docs.google.com/spreadsheets/d/""&amp;$A482&amp;""/edit#gid=156619080"",AS$3)"),"#REF!")</f>
        <v>#REF!</v>
      </c>
      <c r="AT482" s="2" t="str">
        <f>IFERROR(__xludf.DUMMYFUNCTION("IMPORTRANGE(""https://docs.google.com/spreadsheets/d/""&amp;$A482&amp;""/edit#gid=156619080"",AT$3)"),"#REF!")</f>
        <v>#REF!</v>
      </c>
      <c r="AU482" s="3" t="str">
        <f>IFERROR(__xludf.DUMMYFUNCTION("IMPORTRANGE(""https://docs.google.com/spreadsheets/d/""&amp;$A482&amp;""/edit#gid=156619080"",AU$3)"),"#REF!")</f>
        <v>#REF!</v>
      </c>
      <c r="AV482" s="2" t="str">
        <f>IFERROR(__xludf.DUMMYFUNCTION("IMPORTRANGE(""https://docs.google.com/spreadsheets/d/""&amp;$A482&amp;""/edit#gid=156619080"",AV$3)"),"#REF!")</f>
        <v>#REF!</v>
      </c>
      <c r="AW482" s="19" t="str">
        <f>IFERROR(__xludf.DUMMYFUNCTION("IMPORTRANGE(""https://docs.google.com/spreadsheets/d/""&amp;$A482&amp;""/edit#gid=156619080"",AW$3)"),"#REF!")</f>
        <v>#REF!</v>
      </c>
      <c r="AX482" s="2" t="str">
        <f>IFERROR(__xludf.DUMMYFUNCTION("IMPORTRANGE(""https://docs.google.com/spreadsheets/d/""&amp;$A482&amp;""/edit#gid=156619080"",AX$3)"),"#REF!")</f>
        <v>#REF!</v>
      </c>
      <c r="AY482" s="2" t="str">
        <f>IFERROR(__xludf.DUMMYFUNCTION("IMPORTRANGE(""https://docs.google.com/spreadsheets/d/""&amp;$A482&amp;""/edit#gid=156619080"",AY$3)"),"#REF!")</f>
        <v>#REF!</v>
      </c>
      <c r="AZ482" s="2" t="str">
        <f>IFERROR(__xludf.DUMMYFUNCTION("IMPORTRANGE(""https://docs.google.com/spreadsheets/d/""&amp;$A482&amp;""/edit#gid=156619080"",AZ$3)"),"#REF!")</f>
        <v>#REF!</v>
      </c>
      <c r="BA482" s="2" t="str">
        <f>IFERROR(__xludf.DUMMYFUNCTION("IMPORTRANGE(""https://docs.google.com/spreadsheets/d/""&amp;$A482&amp;""/edit#gid=156619080"",BA$3)"),"#REF!")</f>
        <v>#REF!</v>
      </c>
      <c r="BB482" s="2" t="str">
        <f>IFERROR(__xludf.DUMMYFUNCTION("IMPORTRANGE(""https://docs.google.com/spreadsheets/d/""&amp;$A482&amp;""/edit#gid=156619080"",BB$3)"),"#REF!")</f>
        <v>#REF!</v>
      </c>
      <c r="BC482" s="2" t="str">
        <f>IFERROR(__xludf.DUMMYFUNCTION("IMPORTRANGE(""https://docs.google.com/spreadsheets/d/""&amp;$A482&amp;""/edit#gid=156619080"",BC$3)"),"#REF!")</f>
        <v>#REF!</v>
      </c>
    </row>
    <row r="483" ht="51.0" customHeight="1">
      <c r="A483" s="7" t="str">
        <f t="shared" si="5"/>
        <v>1nJIS_LAYSKidB_kSk1t2OU_CktSVyi4_a36jlrAsVBI</v>
      </c>
      <c r="B483" s="1" t="s">
        <v>510</v>
      </c>
      <c r="C483" s="2" t="str">
        <f>IFERROR(__xludf.DUMMYFUNCTION("IMPORTRANGE(""https://docs.google.com/spreadsheets/d/""&amp;$A483&amp;""/edit#gid=156619080"",C$3)"),"#REF!")</f>
        <v>#REF!</v>
      </c>
      <c r="D483" s="2" t="str">
        <f>IFERROR(__xludf.DUMMYFUNCTION("IMPORTRANGE(""https://docs.google.com/spreadsheets/d/""&amp;$A483&amp;""/edit#gid=156619080"",D$3)"),"#REF!")</f>
        <v>#REF!</v>
      </c>
      <c r="E483" s="2" t="str">
        <f>IFERROR(__xludf.DUMMYFUNCTION("IMPORTRANGE(""https://docs.google.com/spreadsheets/d/""&amp;$A483&amp;""/edit#gid=156619080"",E$3)"),"#REF!")</f>
        <v>#REF!</v>
      </c>
      <c r="F483" s="2" t="str">
        <f>IFERROR(__xludf.DUMMYFUNCTION("IMPORTRANGE(""https://docs.google.com/spreadsheets/d/""&amp;$A483&amp;""/edit#gid=156619080"",F$3)"),"#REF!")</f>
        <v>#REF!</v>
      </c>
      <c r="G483" s="2" t="str">
        <f>IFERROR(__xludf.DUMMYFUNCTION("IMPORTRANGE(""https://docs.google.com/spreadsheets/d/""&amp;$A483&amp;""/edit#gid=156619080"",G$3)"),"#REF!")</f>
        <v>#REF!</v>
      </c>
      <c r="H483" s="2" t="str">
        <f>IFERROR(__xludf.DUMMYFUNCTION("IMPORTRANGE(""https://docs.google.com/spreadsheets/d/""&amp;$A483&amp;""/edit#gid=156619080"",H$3)"),"#REF!")</f>
        <v>#REF!</v>
      </c>
      <c r="I483" s="2" t="str">
        <f>IFERROR(__xludf.DUMMYFUNCTION("IMPORTRANGE(""https://docs.google.com/spreadsheets/d/""&amp;$A483&amp;""/edit#gid=156619080"",I$3)"),"#REF!")</f>
        <v>#REF!</v>
      </c>
      <c r="J483" s="2" t="str">
        <f>IFERROR(__xludf.DUMMYFUNCTION("IMPORTRANGE(""https://docs.google.com/spreadsheets/d/""&amp;$A483&amp;""/edit#gid=156619080"",J$3)"),"#REF!")</f>
        <v>#REF!</v>
      </c>
      <c r="K483" s="2" t="str">
        <f>IFERROR(__xludf.DUMMYFUNCTION("IMPORTRANGE(""https://docs.google.com/spreadsheets/d/""&amp;$A483&amp;""/edit#gid=156619080"",K$3)"),"#REF!")</f>
        <v>#REF!</v>
      </c>
      <c r="L483" s="2" t="str">
        <f>IFERROR(__xludf.DUMMYFUNCTION("IMPORTRANGE(""https://docs.google.com/spreadsheets/d/""&amp;$A483&amp;""/edit#gid=156619080"",L$3)"),"#REF!")</f>
        <v>#REF!</v>
      </c>
      <c r="M483" s="2" t="str">
        <f>IFERROR(__xludf.DUMMYFUNCTION("IMPORTRANGE(""https://docs.google.com/spreadsheets/d/""&amp;$A483&amp;""/edit#gid=156619080"",M$3)"),"#REF!")</f>
        <v>#REF!</v>
      </c>
      <c r="N483" s="2" t="str">
        <f>IFERROR(__xludf.DUMMYFUNCTION("IMPORTRANGE(""https://docs.google.com/spreadsheets/d/""&amp;$A483&amp;""/edit#gid=156619080"",N$3)"),"#REF!")</f>
        <v>#REF!</v>
      </c>
      <c r="O483" s="2" t="str">
        <f>IFERROR(__xludf.DUMMYFUNCTION("IMPORTRANGE(""https://docs.google.com/spreadsheets/d/""&amp;$A483&amp;""/edit#gid=156619080"",O$3)"),"#REF!")</f>
        <v>#REF!</v>
      </c>
      <c r="P483" s="2" t="str">
        <f>IFERROR(__xludf.DUMMYFUNCTION("IMPORTRANGE(""https://docs.google.com/spreadsheets/d/""&amp;$A483&amp;""/edit#gid=156619080"",P$3)"),"#REF!")</f>
        <v>#REF!</v>
      </c>
      <c r="Q483" s="2" t="str">
        <f>IFERROR(__xludf.DUMMYFUNCTION("IMPORTRANGE(""https://docs.google.com/spreadsheets/d/""&amp;$A483&amp;""/edit#gid=156619080"",Q$3)"),"#REF!")</f>
        <v>#REF!</v>
      </c>
      <c r="R483" s="2" t="str">
        <f>IFERROR(__xludf.DUMMYFUNCTION("IMPORTRANGE(""https://docs.google.com/spreadsheets/d/""&amp;$A483&amp;""/edit#gid=156619080"",R$3)"),"#REF!")</f>
        <v>#REF!</v>
      </c>
      <c r="S483" s="2" t="str">
        <f>IFERROR(__xludf.DUMMYFUNCTION("IMPORTRANGE(""https://docs.google.com/spreadsheets/d/""&amp;$A483&amp;""/edit#gid=156619080"",S$3)"),"#REF!")</f>
        <v>#REF!</v>
      </c>
      <c r="T483" s="2" t="str">
        <f>IFERROR(__xludf.DUMMYFUNCTION("IMPORTRANGE(""https://docs.google.com/spreadsheets/d/""&amp;$A483&amp;""/edit#gid=156619080"",T$3)"),"#REF!")</f>
        <v>#REF!</v>
      </c>
      <c r="U483" s="2" t="str">
        <f>IFERROR(__xludf.DUMMYFUNCTION("IMPORTRANGE(""https://docs.google.com/spreadsheets/d/""&amp;$A483&amp;""/edit#gid=156619080"",U$3)"),"#REF!")</f>
        <v>#REF!</v>
      </c>
      <c r="V483" s="2" t="str">
        <f>IFERROR(__xludf.DUMMYFUNCTION("IMPORTRANGE(""https://docs.google.com/spreadsheets/d/""&amp;$A483&amp;""/edit#gid=156619080"",V$3)"),"#REF!")</f>
        <v>#REF!</v>
      </c>
      <c r="W483" s="2" t="str">
        <f>IFERROR(__xludf.DUMMYFUNCTION("IMPORTRANGE(""https://docs.google.com/spreadsheets/d/""&amp;$A483&amp;""/edit#gid=156619080"",W$3)"),"#REF!")</f>
        <v>#REF!</v>
      </c>
      <c r="X483" s="2" t="str">
        <f>IFERROR(__xludf.DUMMYFUNCTION("IMPORTRANGE(""https://docs.google.com/spreadsheets/d/""&amp;$A483&amp;""/edit#gid=156619080"",X$3)"),"#REF!")</f>
        <v>#REF!</v>
      </c>
      <c r="Y483" s="2" t="str">
        <f>IFERROR(__xludf.DUMMYFUNCTION("IMPORTRANGE(""https://docs.google.com/spreadsheets/d/""&amp;$A483&amp;""/edit#gid=156619080"",Y$3)"),"#REF!")</f>
        <v>#REF!</v>
      </c>
      <c r="Z483" s="2" t="str">
        <f>IFERROR(__xludf.DUMMYFUNCTION("IMPORTRANGE(""https://docs.google.com/spreadsheets/d/""&amp;$A483&amp;""/edit#gid=156619080"",Z$3)"),"#REF!")</f>
        <v>#REF!</v>
      </c>
      <c r="AA483" s="2" t="str">
        <f>IFERROR(__xludf.DUMMYFUNCTION("IMPORTRANGE(""https://docs.google.com/spreadsheets/d/""&amp;$A483&amp;""/edit#gid=156619080"",AA$3)"),"#REF!")</f>
        <v>#REF!</v>
      </c>
      <c r="AB483" s="2" t="str">
        <f>IFERROR(__xludf.DUMMYFUNCTION("IMPORTRANGE(""https://docs.google.com/spreadsheets/d/""&amp;$A483&amp;""/edit#gid=156619080"",AB$3)"),"#REF!")</f>
        <v>#REF!</v>
      </c>
      <c r="AC483" s="2" t="str">
        <f>IFERROR(__xludf.DUMMYFUNCTION("IMPORTRANGE(""https://docs.google.com/spreadsheets/d/""&amp;$A483&amp;""/edit#gid=156619080"",AC$3)"),"#REF!")</f>
        <v>#REF!</v>
      </c>
      <c r="AD483" s="2" t="str">
        <f>IFERROR(__xludf.DUMMYFUNCTION("IMPORTRANGE(""https://docs.google.com/spreadsheets/d/""&amp;$A483&amp;""/edit#gid=156619080"",AD$3)"),"#REF!")</f>
        <v>#REF!</v>
      </c>
      <c r="AE483" s="2" t="str">
        <f>IFERROR(__xludf.DUMMYFUNCTION("IMPORTRANGE(""https://docs.google.com/spreadsheets/d/""&amp;$A483&amp;""/edit#gid=156619080"",AE$3)"),"#REF!")</f>
        <v>#REF!</v>
      </c>
      <c r="AF483" s="2" t="str">
        <f>IFERROR(__xludf.DUMMYFUNCTION("IMPORTRANGE(""https://docs.google.com/spreadsheets/d/""&amp;$A483&amp;""/edit#gid=156619080"",AF$3)"),"#REF!")</f>
        <v>#REF!</v>
      </c>
      <c r="AG483" s="2" t="str">
        <f>IFERROR(__xludf.DUMMYFUNCTION("IMPORTRANGE(""https://docs.google.com/spreadsheets/d/""&amp;$A483&amp;""/edit#gid=156619080"",AG$3)"),"#REF!")</f>
        <v>#REF!</v>
      </c>
      <c r="AH483" s="2" t="str">
        <f>IFERROR(__xludf.DUMMYFUNCTION("IMPORTRANGE(""https://docs.google.com/spreadsheets/d/""&amp;$A483&amp;""/edit#gid=156619080"",AH$3)"),"#REF!")</f>
        <v>#REF!</v>
      </c>
      <c r="AI483" s="2" t="str">
        <f>IFERROR(__xludf.DUMMYFUNCTION("IMPORTRANGE(""https://docs.google.com/spreadsheets/d/""&amp;$A483&amp;""/edit#gid=156619080"",AI$3)"),"#REF!")</f>
        <v>#REF!</v>
      </c>
      <c r="AJ483" s="2" t="str">
        <f>IFERROR(__xludf.DUMMYFUNCTION("IMPORTRANGE(""https://docs.google.com/spreadsheets/d/""&amp;$A483&amp;""/edit#gid=156619080"",AJ$3)"),"#REF!")</f>
        <v>#REF!</v>
      </c>
      <c r="AK483" s="2" t="str">
        <f>IFERROR(__xludf.DUMMYFUNCTION("IMPORTRANGE(""https://docs.google.com/spreadsheets/d/""&amp;$A483&amp;""/edit#gid=156619080"",AK$3)"),"#REF!")</f>
        <v>#REF!</v>
      </c>
      <c r="AL483" s="2" t="str">
        <f>IFERROR(__xludf.DUMMYFUNCTION("IMPORTRANGE(""https://docs.google.com/spreadsheets/d/""&amp;$A483&amp;""/edit#gid=156619080"",AL$3)"),"#REF!")</f>
        <v>#REF!</v>
      </c>
      <c r="AM483" s="2" t="str">
        <f>IFERROR(__xludf.DUMMYFUNCTION("IMPORTRANGE(""https://docs.google.com/spreadsheets/d/""&amp;$A483&amp;""/edit#gid=156619080"",AM$3)"),"#REF!")</f>
        <v>#REF!</v>
      </c>
      <c r="AN483" s="2" t="str">
        <f>IFERROR(__xludf.DUMMYFUNCTION("IMPORTRANGE(""https://docs.google.com/spreadsheets/d/""&amp;$A483&amp;""/edit#gid=156619080"",AN$3)"),"#REF!")</f>
        <v>#REF!</v>
      </c>
      <c r="AO483" s="2" t="str">
        <f>IFERROR(__xludf.DUMMYFUNCTION("IMPORTRANGE(""https://docs.google.com/spreadsheets/d/""&amp;$A483&amp;""/edit#gid=156619080"",AO$3)"),"#REF!")</f>
        <v>#REF!</v>
      </c>
      <c r="AP483" s="2" t="str">
        <f>IFERROR(__xludf.DUMMYFUNCTION("IMPORTRANGE(""https://docs.google.com/spreadsheets/d/""&amp;$A483&amp;""/edit#gid=156619080"",AP$3)"),"#REF!")</f>
        <v>#REF!</v>
      </c>
      <c r="AQ483" s="2" t="str">
        <f>IFERROR(__xludf.DUMMYFUNCTION("IMPORTRANGE(""https://docs.google.com/spreadsheets/d/""&amp;$A483&amp;""/edit#gid=156619080"",AQ$3)"),"#REF!")</f>
        <v>#REF!</v>
      </c>
      <c r="AR483" s="2" t="str">
        <f>IFERROR(__xludf.DUMMYFUNCTION("IMPORTRANGE(""https://docs.google.com/spreadsheets/d/""&amp;$A483&amp;""/edit#gid=156619080"",AR$3)"),"#REF!")</f>
        <v>#REF!</v>
      </c>
      <c r="AS483" s="19" t="str">
        <f>IFERROR(__xludf.DUMMYFUNCTION("IMPORTRANGE(""https://docs.google.com/spreadsheets/d/""&amp;$A483&amp;""/edit#gid=156619080"",AS$3)"),"#REF!")</f>
        <v>#REF!</v>
      </c>
      <c r="AT483" s="2" t="str">
        <f>IFERROR(__xludf.DUMMYFUNCTION("IMPORTRANGE(""https://docs.google.com/spreadsheets/d/""&amp;$A483&amp;""/edit#gid=156619080"",AT$3)"),"#REF!")</f>
        <v>#REF!</v>
      </c>
      <c r="AU483" s="3" t="str">
        <f>IFERROR(__xludf.DUMMYFUNCTION("IMPORTRANGE(""https://docs.google.com/spreadsheets/d/""&amp;$A483&amp;""/edit#gid=156619080"",AU$3)"),"#REF!")</f>
        <v>#REF!</v>
      </c>
      <c r="AV483" s="2" t="str">
        <f>IFERROR(__xludf.DUMMYFUNCTION("IMPORTRANGE(""https://docs.google.com/spreadsheets/d/""&amp;$A483&amp;""/edit#gid=156619080"",AV$3)"),"#REF!")</f>
        <v>#REF!</v>
      </c>
      <c r="AW483" s="19" t="str">
        <f>IFERROR(__xludf.DUMMYFUNCTION("IMPORTRANGE(""https://docs.google.com/spreadsheets/d/""&amp;$A483&amp;""/edit#gid=156619080"",AW$3)"),"#REF!")</f>
        <v>#REF!</v>
      </c>
      <c r="AX483" s="2" t="str">
        <f>IFERROR(__xludf.DUMMYFUNCTION("IMPORTRANGE(""https://docs.google.com/spreadsheets/d/""&amp;$A483&amp;""/edit#gid=156619080"",AX$3)"),"#REF!")</f>
        <v>#REF!</v>
      </c>
      <c r="AY483" s="2" t="str">
        <f>IFERROR(__xludf.DUMMYFUNCTION("IMPORTRANGE(""https://docs.google.com/spreadsheets/d/""&amp;$A483&amp;""/edit#gid=156619080"",AY$3)"),"#REF!")</f>
        <v>#REF!</v>
      </c>
      <c r="AZ483" s="2" t="str">
        <f>IFERROR(__xludf.DUMMYFUNCTION("IMPORTRANGE(""https://docs.google.com/spreadsheets/d/""&amp;$A483&amp;""/edit#gid=156619080"",AZ$3)"),"#REF!")</f>
        <v>#REF!</v>
      </c>
      <c r="BA483" s="2" t="str">
        <f>IFERROR(__xludf.DUMMYFUNCTION("IMPORTRANGE(""https://docs.google.com/spreadsheets/d/""&amp;$A483&amp;""/edit#gid=156619080"",BA$3)"),"#REF!")</f>
        <v>#REF!</v>
      </c>
      <c r="BB483" s="2" t="str">
        <f>IFERROR(__xludf.DUMMYFUNCTION("IMPORTRANGE(""https://docs.google.com/spreadsheets/d/""&amp;$A483&amp;""/edit#gid=156619080"",BB$3)"),"#REF!")</f>
        <v>#REF!</v>
      </c>
      <c r="BC483" s="2" t="str">
        <f>IFERROR(__xludf.DUMMYFUNCTION("IMPORTRANGE(""https://docs.google.com/spreadsheets/d/""&amp;$A483&amp;""/edit#gid=156619080"",BC$3)"),"#REF!")</f>
        <v>#REF!</v>
      </c>
    </row>
    <row r="484" ht="51.0" customHeight="1">
      <c r="A484" s="7" t="str">
        <f t="shared" si="5"/>
        <v>1qhGWWGVxVt071Lr2YkCd-90U02lDyAgtw6pIsERHzcQ</v>
      </c>
      <c r="B484" s="1" t="s">
        <v>511</v>
      </c>
      <c r="C484" s="2">
        <f>IFERROR(__xludf.DUMMYFUNCTION("IMPORTRANGE(""https://docs.google.com/spreadsheets/d/""&amp;$A484&amp;""/edit#gid=156619080"",C$3)"),81.0)</f>
        <v>81</v>
      </c>
      <c r="D484" s="2">
        <f>IFERROR(__xludf.DUMMYFUNCTION("IMPORTRANGE(""https://docs.google.com/spreadsheets/d/""&amp;$A484&amp;""/edit#gid=156619080"",D$3)"),6287.0)</f>
        <v>6287</v>
      </c>
      <c r="E484" s="15">
        <f>IFERROR(__xludf.DUMMYFUNCTION("IMPORTRANGE(""https://docs.google.com/spreadsheets/d/""&amp;$A484&amp;""/edit#gid=156619080"",E$3)"),43882.0)</f>
        <v>43882</v>
      </c>
      <c r="F484" s="2">
        <f>IFERROR(__xludf.DUMMYFUNCTION("IMPORTRANGE(""https://docs.google.com/spreadsheets/d/""&amp;$A484&amp;""/edit#gid=156619080"",F$3)"),-6.0)</f>
        <v>-6</v>
      </c>
      <c r="G484" s="16">
        <f>IFERROR(__xludf.DUMMYFUNCTION("IMPORTRANGE(""https://docs.google.com/spreadsheets/d/""&amp;$A484&amp;""/edit#gid=156619080"",G$3)"),-0.22)</f>
        <v>-0.22</v>
      </c>
      <c r="H484" s="16">
        <f>IFERROR(__xludf.DUMMYFUNCTION("IMPORTRANGE(""https://docs.google.com/spreadsheets/d/""&amp;$A484&amp;""/edit#gid=156619080"",H$3)"),2726.0)</f>
        <v>2726</v>
      </c>
      <c r="I484" s="16">
        <f>IFERROR(__xludf.DUMMYFUNCTION("IMPORTRANGE(""https://docs.google.com/spreadsheets/d/""&amp;$A484&amp;""/edit#gid=156619080"",I$3)"),18.0)</f>
        <v>18</v>
      </c>
      <c r="J484" s="16">
        <f>IFERROR(__xludf.DUMMYFUNCTION("IMPORTRANGE(""https://docs.google.com/spreadsheets/d/""&amp;$A484&amp;""/edit#gid=156619080"",J$3)"),2757.0)</f>
        <v>2757</v>
      </c>
      <c r="K484" s="16">
        <f>IFERROR(__xludf.DUMMYFUNCTION("IMPORTRANGE(""https://docs.google.com/spreadsheets/d/""&amp;$A484&amp;""/edit#gid=156619080"",K$3)"),0.3784722222222222)</f>
        <v>0.3784722222</v>
      </c>
      <c r="L484" s="16">
        <f>IFERROR(__xludf.DUMMYFUNCTION("IMPORTRANGE(""https://docs.google.com/spreadsheets/d/""&amp;$A484&amp;""/edit#gid=156619080"",L$3)"),2726.0)</f>
        <v>2726</v>
      </c>
      <c r="M484" s="16">
        <f>IFERROR(__xludf.DUMMYFUNCTION("IMPORTRANGE(""https://docs.google.com/spreadsheets/d/""&amp;$A484&amp;""/edit#gid=156619080"",M$3)"),0.375)</f>
        <v>0.375</v>
      </c>
      <c r="N484" s="16">
        <f>IFERROR(__xludf.DUMMYFUNCTION("IMPORTRANGE(""https://docs.google.com/spreadsheets/d/""&amp;$A484&amp;""/edit#gid=156619080"",N$3)"),2738.0)</f>
        <v>2738</v>
      </c>
      <c r="O484" s="16" t="str">
        <f>IFERROR(__xludf.DUMMYFUNCTION("IMPORTRANGE(""https://docs.google.com/spreadsheets/d/""&amp;$A484&amp;""/edit#gid=156619080"",O$3)"),"79400株")</f>
        <v>79400株</v>
      </c>
      <c r="P484" s="16" t="str">
        <f>IFERROR(__xludf.DUMMYFUNCTION("IMPORTRANGE(""https://docs.google.com/spreadsheets/d/""&amp;$A484&amp;""/edit#gid=156619080"",P$3)"),"218百万円")</f>
        <v>218百万円</v>
      </c>
      <c r="Q484" s="16" t="str">
        <f>IFERROR(__xludf.DUMMYFUNCTION("IMPORTRANGE(""https://docs.google.com/spreadsheets/d/""&amp;$A484&amp;""/edit#gid=156619080"",Q$3)"),"427回")</f>
        <v>427回</v>
      </c>
      <c r="R484" s="16" t="str">
        <f>IFERROR(__xludf.DUMMYFUNCTION("IMPORTRANGE(""https://docs.google.com/spreadsheets/d/""&amp;$A484&amp;""/edit#gid=156619080"",R$3)"),"956億円")</f>
        <v>956億円</v>
      </c>
      <c r="S484" s="16" t="str">
        <f>IFERROR(__xludf.DUMMYFUNCTION("IMPORTRANGE(""https://docs.google.com/spreadsheets/d/""&amp;$A484&amp;""/edit#gid=156619080"",S$3)"),"陽線")</f>
        <v>陽線</v>
      </c>
      <c r="T484" s="16" t="str">
        <f>IFERROR(__xludf.DUMMYFUNCTION("IMPORTRANGE(""https://docs.google.com/spreadsheets/d/""&amp;$A484&amp;""/edit#gid=156619080"",T$3)"),"")</f>
        <v/>
      </c>
      <c r="U484" s="16">
        <f>IFERROR(__xludf.DUMMYFUNCTION("IMPORTRANGE(""https://docs.google.com/spreadsheets/d/""&amp;$A484&amp;""/edit#gid=156619080"",U$3)"),2767.6)</f>
        <v>2767.6</v>
      </c>
      <c r="V484" s="16">
        <f>IFERROR(__xludf.DUMMYFUNCTION("IMPORTRANGE(""https://docs.google.com/spreadsheets/d/""&amp;$A484&amp;""/edit#gid=156619080"",V$3)"),2930.8)</f>
        <v>2930.8</v>
      </c>
      <c r="W484" s="16">
        <f>IFERROR(__xludf.DUMMYFUNCTION("IMPORTRANGE(""https://docs.google.com/spreadsheets/d/""&amp;$A484&amp;""/edit#gid=156619080"",W$3)"),3026.2)</f>
        <v>3026.2</v>
      </c>
      <c r="X484" s="2" t="str">
        <f>IFERROR(__xludf.DUMMYFUNCTION("IMPORTRANGE(""https://docs.google.com/spreadsheets/d/""&amp;$A484&amp;""/edit#gid=156619080"",X$3)"),"")</f>
        <v/>
      </c>
      <c r="Y484" s="17">
        <f>IFERROR(__xludf.DUMMYFUNCTION("IMPORTRANGE(""https://docs.google.com/spreadsheets/d/""&amp;$A484&amp;""/edit#gid=156619080"",Y$3)"),-0.01069518716577537)</f>
        <v>-0.01069518717</v>
      </c>
      <c r="Z484" s="2">
        <f>IFERROR(__xludf.DUMMYFUNCTION("IMPORTRANGE(""https://docs.google.com/spreadsheets/d/""&amp;$A484&amp;""/edit#gid=156619080"",Z$3)"),3382.64)</f>
        <v>3382.64</v>
      </c>
      <c r="AA484" s="2">
        <f>IFERROR(__xludf.DUMMYFUNCTION("IMPORTRANGE(""https://docs.google.com/spreadsheets/d/""&amp;$A484&amp;""/edit#gid=156619080"",AA$3)"),3338.09)</f>
        <v>3338.09</v>
      </c>
      <c r="AB484" s="2">
        <f>IFERROR(__xludf.DUMMYFUNCTION("IMPORTRANGE(""https://docs.google.com/spreadsheets/d/""&amp;$A484&amp;""/edit#gid=156619080"",AB$3)"),3293.53)</f>
        <v>3293.53</v>
      </c>
      <c r="AC484" s="18">
        <f>IFERROR(__xludf.DUMMYFUNCTION("IMPORTRANGE(""https://docs.google.com/spreadsheets/d/""&amp;$A484&amp;""/edit#gid=156619080"",AC$3)"),3248.98)</f>
        <v>3248.98</v>
      </c>
      <c r="AD484" s="18">
        <f>IFERROR(__xludf.DUMMYFUNCTION("IMPORTRANGE(""https://docs.google.com/spreadsheets/d/""&amp;$A484&amp;""/edit#gid=156619080"",AD$3)"),3204.42)</f>
        <v>3204.42</v>
      </c>
      <c r="AE484" s="18">
        <f>IFERROR(__xludf.DUMMYFUNCTION("IMPORTRANGE(""https://docs.google.com/spreadsheets/d/""&amp;$A484&amp;""/edit#gid=156619080"",AE$3)"),3026.2)</f>
        <v>3026.2</v>
      </c>
      <c r="AF484" s="2">
        <f>IFERROR(__xludf.DUMMYFUNCTION("IMPORTRANGE(""https://docs.google.com/spreadsheets/d/""&amp;$A484&amp;""/edit#gid=156619080"",AF$3)"),2847.98)</f>
        <v>2847.98</v>
      </c>
      <c r="AG484" s="2">
        <f>IFERROR(__xludf.DUMMYFUNCTION("IMPORTRANGE(""https://docs.google.com/spreadsheets/d/""&amp;$A484&amp;""/edit#gid=156619080"",AG$3)"),2803.42)</f>
        <v>2803.42</v>
      </c>
      <c r="AH484" s="2">
        <f>IFERROR(__xludf.DUMMYFUNCTION("IMPORTRANGE(""https://docs.google.com/spreadsheets/d/""&amp;$A484&amp;""/edit#gid=156619080"",AH$3)"),2758.87)</f>
        <v>2758.87</v>
      </c>
      <c r="AI484" s="2">
        <f>IFERROR(__xludf.DUMMYFUNCTION("IMPORTRANGE(""https://docs.google.com/spreadsheets/d/""&amp;$A484&amp;""/edit#gid=156619080"",AI$3)"),2714.31)</f>
        <v>2714.31</v>
      </c>
      <c r="AJ484" s="2">
        <f>IFERROR(__xludf.DUMMYFUNCTION("IMPORTRANGE(""https://docs.google.com/spreadsheets/d/""&amp;$A484&amp;""/edit#gid=156619080"",AJ$3)"),2669.76)</f>
        <v>2669.76</v>
      </c>
      <c r="AK484" s="2" t="str">
        <f>IFERROR(__xludf.DUMMYFUNCTION("IMPORTRANGE(""https://docs.google.com/spreadsheets/d/""&amp;$A484&amp;""/edit#gid=156619080"",AK$3)"),"-1.5σ〜-1.75σ")</f>
        <v>-1.5σ〜-1.75σ</v>
      </c>
      <c r="AL484" s="2">
        <f>IFERROR(__xludf.DUMMYFUNCTION("IMPORTRANGE(""https://docs.google.com/spreadsheets/d/""&amp;$A484&amp;""/edit#gid=156619080"",AL$3)"),-1.0)</f>
        <v>-1</v>
      </c>
      <c r="AM484" s="2" t="str">
        <f>IFERROR(__xludf.DUMMYFUNCTION("IMPORTRANGE(""https://docs.google.com/spreadsheets/d/""&amp;$A484&amp;""/edit#gid=156619080"",AM$3)"),"")</f>
        <v/>
      </c>
      <c r="AN484" s="2">
        <f>IFERROR(__xludf.DUMMYFUNCTION("IMPORTRANGE(""https://docs.google.com/spreadsheets/d/""&amp;$A484&amp;""/edit#gid=156619080"",AN$3)"),-1.0)</f>
        <v>-1</v>
      </c>
      <c r="AO484" s="2" t="str">
        <f>IFERROR(__xludf.DUMMYFUNCTION("IMPORTRANGE(""https://docs.google.com/spreadsheets/d/""&amp;$A484&amp;""/edit#gid=156619080"",AO$3)"),"")</f>
        <v/>
      </c>
      <c r="AP484" s="2">
        <f>IFERROR(__xludf.DUMMYFUNCTION("IMPORTRANGE(""https://docs.google.com/spreadsheets/d/""&amp;$A484&amp;""/edit#gid=156619080"",AP$3)"),-1.0)</f>
        <v>-1</v>
      </c>
      <c r="AQ484" s="2" t="str">
        <f>IFERROR(__xludf.DUMMYFUNCTION("IMPORTRANGE(""https://docs.google.com/spreadsheets/d/""&amp;$A484&amp;""/edit#gid=156619080"",AQ$3)"),"")</f>
        <v/>
      </c>
      <c r="AR484" s="18">
        <f>IFERROR(__xludf.DUMMYFUNCTION("IMPORTRANGE(""https://docs.google.com/spreadsheets/d/""&amp;$A484&amp;""/edit#gid=156619080"",AR$3)"),-100.0)</f>
        <v>-100</v>
      </c>
      <c r="AS484" s="19" t="str">
        <f>IFERROR(__xludf.DUMMYFUNCTION("IMPORTRANGE(""https://docs.google.com/spreadsheets/d/""&amp;$A484&amp;""/edit#gid=156619080"",AS$3)"),"-90
-90
-100
-100
")</f>
        <v>-90
-90
-100
-100
</v>
      </c>
      <c r="AT484" s="18">
        <f>IFERROR(__xludf.DUMMYFUNCTION("IMPORTRANGE(""https://docs.google.com/spreadsheets/d/""&amp;$A484&amp;""/edit#gid=156619080"",AT$3)"),-94.5054945054945)</f>
        <v>-94.50549451</v>
      </c>
      <c r="AU484" s="3" t="str">
        <f>IFERROR(__xludf.DUMMYFUNCTION("IMPORTRANGE(""https://docs.google.com/spreadsheets/d/""&amp;$A484&amp;""/edit#gid=156619080"",AU$3)"),"-74.59
-76.37
-84.2
-89.15
")</f>
        <v>-74.59
-76.37
-84.2
-89.15
</v>
      </c>
      <c r="AV484" s="18">
        <f>IFERROR(__xludf.DUMMYFUNCTION("IMPORTRANGE(""https://docs.google.com/spreadsheets/d/""&amp;$A484&amp;""/edit#gid=156619080"",AV$3)"),-91.65584415584416)</f>
        <v>-91.65584416</v>
      </c>
      <c r="AW484" s="19" t="str">
        <f>IFERROR(__xludf.DUMMYFUNCTION("IMPORTRANGE(""https://docs.google.com/spreadsheets/d/""&amp;$A484&amp;""/edit#gid=156619080"",AW$3)"),"-89.06
-89.58
-90.75
-91.53
")</f>
        <v>-89.06
-89.58
-90.75
-91.53
</v>
      </c>
      <c r="AX484" s="2">
        <f>IFERROR(__xludf.DUMMYFUNCTION("IMPORTRANGE(""https://docs.google.com/spreadsheets/d/""&amp;$A484&amp;""/edit#gid=156619080"",AX$3)"),0.0)</f>
        <v>0</v>
      </c>
      <c r="AY484" s="2">
        <f>IFERROR(__xludf.DUMMYFUNCTION("IMPORTRANGE(""https://docs.google.com/spreadsheets/d/""&amp;$A484&amp;""/edit#gid=156619080"",AY$3)"),20.76)</f>
        <v>20.76</v>
      </c>
      <c r="AZ484" s="2">
        <f>IFERROR(__xludf.DUMMYFUNCTION("IMPORTRANGE(""https://docs.google.com/spreadsheets/d/""&amp;$A484&amp;""/edit#gid=156619080"",AZ$3)"),2781.95)</f>
        <v>2781.95</v>
      </c>
      <c r="BA484" s="2">
        <f>IFERROR(__xludf.DUMMYFUNCTION("IMPORTRANGE(""https://docs.google.com/spreadsheets/d/""&amp;$A484&amp;""/edit#gid=156619080"",BA$3)"),-205.19000000000005)</f>
        <v>-205.19</v>
      </c>
      <c r="BB484" s="2">
        <f>IFERROR(__xludf.DUMMYFUNCTION("IMPORTRANGE(""https://docs.google.com/spreadsheets/d/""&amp;$A484&amp;""/edit#gid=156619080"",BB$3)"),-155.91)</f>
        <v>-155.91</v>
      </c>
      <c r="BC484" s="2" t="str">
        <f>IFERROR(__xludf.DUMMYFUNCTION("IMPORTRANGE(""https://docs.google.com/spreadsheets/d/""&amp;$A484&amp;""/edit#gid=156619080"",BC$3)"),"DC→DC")</f>
        <v>DC→DC</v>
      </c>
    </row>
    <row r="485" ht="51.0" customHeight="1">
      <c r="A485" s="7" t="str">
        <f t="shared" si="5"/>
        <v>13Qu_qRAuJwoMmzYYwjY352P6_qfh-DzcCXDA-QasFAg</v>
      </c>
      <c r="B485" s="1" t="s">
        <v>512</v>
      </c>
      <c r="C485" s="2">
        <f>IFERROR(__xludf.DUMMYFUNCTION("IMPORTRANGE(""https://docs.google.com/spreadsheets/d/""&amp;$A485&amp;""/edit#gid=156619080"",C$3)"),81.0)</f>
        <v>81</v>
      </c>
      <c r="D485" s="2">
        <f>IFERROR(__xludf.DUMMYFUNCTION("IMPORTRANGE(""https://docs.google.com/spreadsheets/d/""&amp;$A485&amp;""/edit#gid=156619080"",D$3)"),6664.0)</f>
        <v>6664</v>
      </c>
      <c r="E485" s="15">
        <f>IFERROR(__xludf.DUMMYFUNCTION("IMPORTRANGE(""https://docs.google.com/spreadsheets/d/""&amp;$A485&amp;""/edit#gid=156619080"",E$3)"),43882.0)</f>
        <v>43882</v>
      </c>
      <c r="F485" s="2">
        <f>IFERROR(__xludf.DUMMYFUNCTION("IMPORTRANGE(""https://docs.google.com/spreadsheets/d/""&amp;$A485&amp;""/edit#gid=156619080"",F$3)"),30.0)</f>
        <v>30</v>
      </c>
      <c r="G485" s="16">
        <f>IFERROR(__xludf.DUMMYFUNCTION("IMPORTRANGE(""https://docs.google.com/spreadsheets/d/""&amp;$A485&amp;""/edit#gid=156619080"",G$3)"),5.34)</f>
        <v>5.34</v>
      </c>
      <c r="H485" s="16">
        <f>IFERROR(__xludf.DUMMYFUNCTION("IMPORTRANGE(""https://docs.google.com/spreadsheets/d/""&amp;$A485&amp;""/edit#gid=156619080"",H$3)"),564.0)</f>
        <v>564</v>
      </c>
      <c r="I485" s="16">
        <f>IFERROR(__xludf.DUMMYFUNCTION("IMPORTRANGE(""https://docs.google.com/spreadsheets/d/""&amp;$A485&amp;""/edit#gid=156619080"",I$3)"),-2.0)</f>
        <v>-2</v>
      </c>
      <c r="J485" s="16">
        <f>IFERROR(__xludf.DUMMYFUNCTION("IMPORTRANGE(""https://docs.google.com/spreadsheets/d/""&amp;$A485&amp;""/edit#gid=156619080"",J$3)"),601.0)</f>
        <v>601</v>
      </c>
      <c r="K485" s="16">
        <f>IFERROR(__xludf.DUMMYFUNCTION("IMPORTRANGE(""https://docs.google.com/spreadsheets/d/""&amp;$A485&amp;""/edit#gid=156619080"",K$3)"),0.3951388888888889)</f>
        <v>0.3951388889</v>
      </c>
      <c r="L485" s="16">
        <f>IFERROR(__xludf.DUMMYFUNCTION("IMPORTRANGE(""https://docs.google.com/spreadsheets/d/""&amp;$A485&amp;""/edit#gid=156619080"",L$3)"),560.0)</f>
        <v>560</v>
      </c>
      <c r="M485" s="16">
        <f>IFERROR(__xludf.DUMMYFUNCTION("IMPORTRANGE(""https://docs.google.com/spreadsheets/d/""&amp;$A485&amp;""/edit#gid=156619080"",M$3)"),0.375)</f>
        <v>0.375</v>
      </c>
      <c r="N485" s="16">
        <f>IFERROR(__xludf.DUMMYFUNCTION("IMPORTRANGE(""https://docs.google.com/spreadsheets/d/""&amp;$A485&amp;""/edit#gid=156619080"",N$3)"),592.0)</f>
        <v>592</v>
      </c>
      <c r="O485" s="16" t="str">
        <f>IFERROR(__xludf.DUMMYFUNCTION("IMPORTRANGE(""https://docs.google.com/spreadsheets/d/""&amp;$A485&amp;""/edit#gid=156619080"",O$3)"),"65700株")</f>
        <v>65700株</v>
      </c>
      <c r="P485" s="16" t="str">
        <f>IFERROR(__xludf.DUMMYFUNCTION("IMPORTRANGE(""https://docs.google.com/spreadsheets/d/""&amp;$A485&amp;""/edit#gid=156619080"",P$3)"),"39百万円")</f>
        <v>39百万円</v>
      </c>
      <c r="Q485" s="16" t="str">
        <f>IFERROR(__xludf.DUMMYFUNCTION("IMPORTRANGE(""https://docs.google.com/spreadsheets/d/""&amp;$A485&amp;""/edit#gid=156619080"",Q$3)"),"235回")</f>
        <v>235回</v>
      </c>
      <c r="R485" s="16" t="str">
        <f>IFERROR(__xludf.DUMMYFUNCTION("IMPORTRANGE(""https://docs.google.com/spreadsheets/d/""&amp;$A485&amp;""/edit#gid=156619080"",R$3)"),"38.9億円")</f>
        <v>38.9億円</v>
      </c>
      <c r="S485" s="16" t="str">
        <f>IFERROR(__xludf.DUMMYFUNCTION("IMPORTRANGE(""https://docs.google.com/spreadsheets/d/""&amp;$A485&amp;""/edit#gid=156619080"",S$3)"),"陽線")</f>
        <v>陽線</v>
      </c>
      <c r="T485" s="16" t="str">
        <f>IFERROR(__xludf.DUMMYFUNCTION("IMPORTRANGE(""https://docs.google.com/spreadsheets/d/""&amp;$A485&amp;""/edit#gid=156619080"",T$3)"),"")</f>
        <v/>
      </c>
      <c r="U485" s="16">
        <f>IFERROR(__xludf.DUMMYFUNCTION("IMPORTRANGE(""https://docs.google.com/spreadsheets/d/""&amp;$A485&amp;""/edit#gid=156619080"",U$3)"),566.0)</f>
        <v>566</v>
      </c>
      <c r="V485" s="16">
        <f>IFERROR(__xludf.DUMMYFUNCTION("IMPORTRANGE(""https://docs.google.com/spreadsheets/d/""&amp;$A485&amp;""/edit#gid=156619080"",V$3)"),575.5)</f>
        <v>575.5</v>
      </c>
      <c r="W485" s="16">
        <f>IFERROR(__xludf.DUMMYFUNCTION("IMPORTRANGE(""https://docs.google.com/spreadsheets/d/""&amp;$A485&amp;""/edit#gid=156619080"",W$3)"),570.3)</f>
        <v>570.3</v>
      </c>
      <c r="X485" s="2" t="str">
        <f>IFERROR(__xludf.DUMMYFUNCTION("IMPORTRANGE(""https://docs.google.com/spreadsheets/d/""&amp;$A485&amp;""/edit#gid=156619080"",X$3)"),"")</f>
        <v/>
      </c>
      <c r="Y485" s="17">
        <f>IFERROR(__xludf.DUMMYFUNCTION("IMPORTRANGE(""https://docs.google.com/spreadsheets/d/""&amp;$A485&amp;""/edit#gid=156619080"",Y$3)"),0.045936395759717315)</f>
        <v>0.04593639576</v>
      </c>
      <c r="Z485" s="2">
        <f>IFERROR(__xludf.DUMMYFUNCTION("IMPORTRANGE(""https://docs.google.com/spreadsheets/d/""&amp;$A485&amp;""/edit#gid=156619080"",Z$3)"),606.76)</f>
        <v>606.76</v>
      </c>
      <c r="AA485" s="2">
        <f>IFERROR(__xludf.DUMMYFUNCTION("IMPORTRANGE(""https://docs.google.com/spreadsheets/d/""&amp;$A485&amp;""/edit#gid=156619080"",AA$3)"),602.21)</f>
        <v>602.21</v>
      </c>
      <c r="AB485" s="2">
        <f>IFERROR(__xludf.DUMMYFUNCTION("IMPORTRANGE(""https://docs.google.com/spreadsheets/d/""&amp;$A485&amp;""/edit#gid=156619080"",AB$3)"),597.65)</f>
        <v>597.65</v>
      </c>
      <c r="AC485" s="18">
        <f>IFERROR(__xludf.DUMMYFUNCTION("IMPORTRANGE(""https://docs.google.com/spreadsheets/d/""&amp;$A485&amp;""/edit#gid=156619080"",AC$3)"),593.09)</f>
        <v>593.09</v>
      </c>
      <c r="AD485" s="18">
        <f>IFERROR(__xludf.DUMMYFUNCTION("IMPORTRANGE(""https://docs.google.com/spreadsheets/d/""&amp;$A485&amp;""/edit#gid=156619080"",AD$3)"),588.53)</f>
        <v>588.53</v>
      </c>
      <c r="AE485" s="18">
        <f>IFERROR(__xludf.DUMMYFUNCTION("IMPORTRANGE(""https://docs.google.com/spreadsheets/d/""&amp;$A485&amp;""/edit#gid=156619080"",AE$3)"),570.3)</f>
        <v>570.3</v>
      </c>
      <c r="AF485" s="2">
        <f>IFERROR(__xludf.DUMMYFUNCTION("IMPORTRANGE(""https://docs.google.com/spreadsheets/d/""&amp;$A485&amp;""/edit#gid=156619080"",AF$3)"),552.07)</f>
        <v>552.07</v>
      </c>
      <c r="AG485" s="2">
        <f>IFERROR(__xludf.DUMMYFUNCTION("IMPORTRANGE(""https://docs.google.com/spreadsheets/d/""&amp;$A485&amp;""/edit#gid=156619080"",AG$3)"),547.51)</f>
        <v>547.51</v>
      </c>
      <c r="AH485" s="2">
        <f>IFERROR(__xludf.DUMMYFUNCTION("IMPORTRANGE(""https://docs.google.com/spreadsheets/d/""&amp;$A485&amp;""/edit#gid=156619080"",AH$3)"),542.95)</f>
        <v>542.95</v>
      </c>
      <c r="AI485" s="2">
        <f>IFERROR(__xludf.DUMMYFUNCTION("IMPORTRANGE(""https://docs.google.com/spreadsheets/d/""&amp;$A485&amp;""/edit#gid=156619080"",AI$3)"),538.39)</f>
        <v>538.39</v>
      </c>
      <c r="AJ485" s="2">
        <f>IFERROR(__xludf.DUMMYFUNCTION("IMPORTRANGE(""https://docs.google.com/spreadsheets/d/""&amp;$A485&amp;""/edit#gid=156619080"",AJ$3)"),533.84)</f>
        <v>533.84</v>
      </c>
      <c r="AK485" s="2" t="str">
        <f>IFERROR(__xludf.DUMMYFUNCTION("IMPORTRANGE(""https://docs.google.com/spreadsheets/d/""&amp;$A485&amp;""/edit#gid=156619080"",AK$3)"),"1〜1.25σ")</f>
        <v>1〜1.25σ</v>
      </c>
      <c r="AL485" s="2">
        <f>IFERROR(__xludf.DUMMYFUNCTION("IMPORTRANGE(""https://docs.google.com/spreadsheets/d/""&amp;$A485&amp;""/edit#gid=156619080"",AL$3)"),-1.0)</f>
        <v>-1</v>
      </c>
      <c r="AM485" s="2" t="str">
        <f>IFERROR(__xludf.DUMMYFUNCTION("IMPORTRANGE(""https://docs.google.com/spreadsheets/d/""&amp;$A485&amp;""/edit#gid=156619080"",AM$3)"),"")</f>
        <v/>
      </c>
      <c r="AN485" s="2">
        <f>IFERROR(__xludf.DUMMYFUNCTION("IMPORTRANGE(""https://docs.google.com/spreadsheets/d/""&amp;$A485&amp;""/edit#gid=156619080"",AN$3)"),-1.0)</f>
        <v>-1</v>
      </c>
      <c r="AO485" s="2" t="str">
        <f>IFERROR(__xludf.DUMMYFUNCTION("IMPORTRANGE(""https://docs.google.com/spreadsheets/d/""&amp;$A485&amp;""/edit#gid=156619080"",AO$3)"),"")</f>
        <v/>
      </c>
      <c r="AP485" s="2">
        <f>IFERROR(__xludf.DUMMYFUNCTION("IMPORTRANGE(""https://docs.google.com/spreadsheets/d/""&amp;$A485&amp;""/edit#gid=156619080"",AP$3)"),1.0)</f>
        <v>1</v>
      </c>
      <c r="AQ485" s="2" t="str">
        <f>IFERROR(__xludf.DUMMYFUNCTION("IMPORTRANGE(""https://docs.google.com/spreadsheets/d/""&amp;$A485&amp;""/edit#gid=156619080"",AQ$3)"),"")</f>
        <v/>
      </c>
      <c r="AR485" s="18">
        <f>IFERROR(__xludf.DUMMYFUNCTION("IMPORTRANGE(""https://docs.google.com/spreadsheets/d/""&amp;$A485&amp;""/edit#gid=156619080"",AR$3)"),30.000000000000004)</f>
        <v>30</v>
      </c>
      <c r="AS485" s="19" t="str">
        <f>IFERROR(__xludf.DUMMYFUNCTION("IMPORTRANGE(""https://docs.google.com/spreadsheets/d/""&amp;$A485&amp;""/edit#gid=156619080"",AS$3)"),"-100
-100
-90
-70
")</f>
        <v>-100
-100
-90
-70
</v>
      </c>
      <c r="AT485" s="18">
        <f>IFERROR(__xludf.DUMMYFUNCTION("IMPORTRANGE(""https://docs.google.com/spreadsheets/d/""&amp;$A485&amp;""/edit#gid=156619080"",AT$3)"),-4.532967032967039)</f>
        <v>-4.532967033</v>
      </c>
      <c r="AU485" s="3" t="str">
        <f>IFERROR(__xludf.DUMMYFUNCTION("IMPORTRANGE(""https://docs.google.com/spreadsheets/d/""&amp;$A485&amp;""/edit#gid=156619080"",AU$3)"),"68.27
42.31
28.43
7.01
")</f>
        <v>68.27
42.31
28.43
7.01
</v>
      </c>
      <c r="AV485" s="18">
        <f>IFERROR(__xludf.DUMMYFUNCTION("IMPORTRANGE(""https://docs.google.com/spreadsheets/d/""&amp;$A485&amp;""/edit#gid=156619080"",AV$3)"),12.597402597402596)</f>
        <v>12.5974026</v>
      </c>
      <c r="AW485" s="19" t="str">
        <f>IFERROR(__xludf.DUMMYFUNCTION("IMPORTRANGE(""https://docs.google.com/spreadsheets/d/""&amp;$A485&amp;""/edit#gid=156619080"",AW$3)"),"1.1
-4.22
-3.25
-2.6
")</f>
        <v>1.1
-4.22
-3.25
-2.6
</v>
      </c>
      <c r="AX485" s="2">
        <f>IFERROR(__xludf.DUMMYFUNCTION("IMPORTRANGE(""https://docs.google.com/spreadsheets/d/""&amp;$A485&amp;""/edit#gid=156619080"",AX$3)"),57.32000000000001)</f>
        <v>57.32</v>
      </c>
      <c r="AY485" s="2">
        <f>IFERROR(__xludf.DUMMYFUNCTION("IMPORTRANGE(""https://docs.google.com/spreadsheets/d/""&amp;$A485&amp;""/edit#gid=156619080"",AY$3)"),53.790000000000006)</f>
        <v>53.79</v>
      </c>
      <c r="AZ485" s="2">
        <f>IFERROR(__xludf.DUMMYFUNCTION("IMPORTRANGE(""https://docs.google.com/spreadsheets/d/""&amp;$A485&amp;""/edit#gid=156619080"",AZ$3)"),574.45)</f>
        <v>574.45</v>
      </c>
      <c r="BA485" s="2">
        <f>IFERROR(__xludf.DUMMYFUNCTION("IMPORTRANGE(""https://docs.google.com/spreadsheets/d/""&amp;$A485&amp;""/edit#gid=156619080"",BA$3)"),-0.5099999999999909)</f>
        <v>-0.51</v>
      </c>
      <c r="BB485" s="2">
        <f>IFERROR(__xludf.DUMMYFUNCTION("IMPORTRANGE(""https://docs.google.com/spreadsheets/d/""&amp;$A485&amp;""/edit#gid=156619080"",BB$3)"),-3.94)</f>
        <v>-3.94</v>
      </c>
      <c r="BC485" s="2" t="str">
        <f>IFERROR(__xludf.DUMMYFUNCTION("IMPORTRANGE(""https://docs.google.com/spreadsheets/d/""&amp;$A485&amp;""/edit#gid=156619080"",BC$3)"),"DC→GC")</f>
        <v>DC→GC</v>
      </c>
    </row>
    <row r="486" ht="51.0" customHeight="1">
      <c r="A486" s="7" t="str">
        <f t="shared" si="5"/>
        <v>1ZTEhdEUwXBs2ifQQjfrPclI_aqq7P9Lg-PeiQSZIxoc</v>
      </c>
      <c r="B486" s="1" t="s">
        <v>513</v>
      </c>
      <c r="C486" s="2">
        <f>IFERROR(__xludf.DUMMYFUNCTION("IMPORTRANGE(""https://docs.google.com/spreadsheets/d/""&amp;$A486&amp;""/edit#gid=156619080"",C$3)"),81.0)</f>
        <v>81</v>
      </c>
      <c r="D486" s="2">
        <f>IFERROR(__xludf.DUMMYFUNCTION("IMPORTRANGE(""https://docs.google.com/spreadsheets/d/""&amp;$A486&amp;""/edit#gid=156619080"",D$3)"),3753.0)</f>
        <v>3753</v>
      </c>
      <c r="E486" s="15">
        <f>IFERROR(__xludf.DUMMYFUNCTION("IMPORTRANGE(""https://docs.google.com/spreadsheets/d/""&amp;$A486&amp;""/edit#gid=156619080"",E$3)"),43882.0)</f>
        <v>43882</v>
      </c>
      <c r="F486" s="2">
        <f>IFERROR(__xludf.DUMMYFUNCTION("IMPORTRANGE(""https://docs.google.com/spreadsheets/d/""&amp;$A486&amp;""/edit#gid=156619080"",F$3)"),-11.0)</f>
        <v>-11</v>
      </c>
      <c r="G486" s="16">
        <f>IFERROR(__xludf.DUMMYFUNCTION("IMPORTRANGE(""https://docs.google.com/spreadsheets/d/""&amp;$A486&amp;""/edit#gid=156619080"",G$3)"),-1.15)</f>
        <v>-1.15</v>
      </c>
      <c r="H486" s="16">
        <f>IFERROR(__xludf.DUMMYFUNCTION("IMPORTRANGE(""https://docs.google.com/spreadsheets/d/""&amp;$A486&amp;""/edit#gid=156619080"",H$3)"),944.0)</f>
        <v>944</v>
      </c>
      <c r="I486" s="16">
        <f>IFERROR(__xludf.DUMMYFUNCTION("IMPORTRANGE(""https://docs.google.com/spreadsheets/d/""&amp;$A486&amp;""/edit#gid=156619080"",I$3)"),15.0)</f>
        <v>15</v>
      </c>
      <c r="J486" s="16">
        <f>IFERROR(__xludf.DUMMYFUNCTION("IMPORTRANGE(""https://docs.google.com/spreadsheets/d/""&amp;$A486&amp;""/edit#gid=156619080"",J$3)"),965.0)</f>
        <v>965</v>
      </c>
      <c r="K486" s="16">
        <f>IFERROR(__xludf.DUMMYFUNCTION("IMPORTRANGE(""https://docs.google.com/spreadsheets/d/""&amp;$A486&amp;""/edit#gid=156619080"",K$3)"),0.5951388888888889)</f>
        <v>0.5951388889</v>
      </c>
      <c r="L486" s="16">
        <f>IFERROR(__xludf.DUMMYFUNCTION("IMPORTRANGE(""https://docs.google.com/spreadsheets/d/""&amp;$A486&amp;""/edit#gid=156619080"",L$3)"),930.0)</f>
        <v>930</v>
      </c>
      <c r="M486" s="16">
        <f>IFERROR(__xludf.DUMMYFUNCTION("IMPORTRANGE(""https://docs.google.com/spreadsheets/d/""&amp;$A486&amp;""/edit#gid=156619080"",M$3)"),0.3770833333333333)</f>
        <v>0.3770833333</v>
      </c>
      <c r="N486" s="16">
        <f>IFERROR(__xludf.DUMMYFUNCTION("IMPORTRANGE(""https://docs.google.com/spreadsheets/d/""&amp;$A486&amp;""/edit#gid=156619080"",N$3)"),948.0)</f>
        <v>948</v>
      </c>
      <c r="O486" s="16" t="str">
        <f>IFERROR(__xludf.DUMMYFUNCTION("IMPORTRANGE(""https://docs.google.com/spreadsheets/d/""&amp;$A486&amp;""/edit#gid=156619080"",O$3)"),"207300株")</f>
        <v>207300株</v>
      </c>
      <c r="P486" s="16" t="str">
        <f>IFERROR(__xludf.DUMMYFUNCTION("IMPORTRANGE(""https://docs.google.com/spreadsheets/d/""&amp;$A486&amp;""/edit#gid=156619080"",P$3)"),"196百万円")</f>
        <v>196百万円</v>
      </c>
      <c r="Q486" s="16" t="str">
        <f>IFERROR(__xludf.DUMMYFUNCTION("IMPORTRANGE(""https://docs.google.com/spreadsheets/d/""&amp;$A486&amp;""/edit#gid=156619080"",Q$3)"),"634回")</f>
        <v>634回</v>
      </c>
      <c r="R486" s="16" t="str">
        <f>IFERROR(__xludf.DUMMYFUNCTION("IMPORTRANGE(""https://docs.google.com/spreadsheets/d/""&amp;$A486&amp;""/edit#gid=156619080"",R$3)"),"89.7億円")</f>
        <v>89.7億円</v>
      </c>
      <c r="S486" s="16" t="str">
        <f>IFERROR(__xludf.DUMMYFUNCTION("IMPORTRANGE(""https://docs.google.com/spreadsheets/d/""&amp;$A486&amp;""/edit#gid=156619080"",S$3)"),"陽線")</f>
        <v>陽線</v>
      </c>
      <c r="T486" s="16" t="str">
        <f>IFERROR(__xludf.DUMMYFUNCTION("IMPORTRANGE(""https://docs.google.com/spreadsheets/d/""&amp;$A486&amp;""/edit#gid=156619080"",T$3)"),"")</f>
        <v/>
      </c>
      <c r="U486" s="16">
        <f>IFERROR(__xludf.DUMMYFUNCTION("IMPORTRANGE(""https://docs.google.com/spreadsheets/d/""&amp;$A486&amp;""/edit#gid=156619080"",U$3)"),965.4)</f>
        <v>965.4</v>
      </c>
      <c r="V486" s="16">
        <f>IFERROR(__xludf.DUMMYFUNCTION("IMPORTRANGE(""https://docs.google.com/spreadsheets/d/""&amp;$A486&amp;""/edit#gid=156619080"",V$3)"),881.7)</f>
        <v>881.7</v>
      </c>
      <c r="W486" s="16">
        <f>IFERROR(__xludf.DUMMYFUNCTION("IMPORTRANGE(""https://docs.google.com/spreadsheets/d/""&amp;$A486&amp;""/edit#gid=156619080"",W$3)"),863.1)</f>
        <v>863.1</v>
      </c>
      <c r="X486" s="2" t="str">
        <f>IFERROR(__xludf.DUMMYFUNCTION("IMPORTRANGE(""https://docs.google.com/spreadsheets/d/""&amp;$A486&amp;""/edit#gid=156619080"",X$3)"),"")</f>
        <v/>
      </c>
      <c r="Y486" s="17">
        <f>IFERROR(__xludf.DUMMYFUNCTION("IMPORTRANGE(""https://docs.google.com/spreadsheets/d/""&amp;$A486&amp;""/edit#gid=156619080"",Y$3)"),-0.018023617153511473)</f>
        <v>-0.01802361715</v>
      </c>
      <c r="Z486" s="2">
        <f>IFERROR(__xludf.DUMMYFUNCTION("IMPORTRANGE(""https://docs.google.com/spreadsheets/d/""&amp;$A486&amp;""/edit#gid=156619080"",Z$3)"),984.36)</f>
        <v>984.36</v>
      </c>
      <c r="AA486" s="2">
        <f>IFERROR(__xludf.DUMMYFUNCTION("IMPORTRANGE(""https://docs.google.com/spreadsheets/d/""&amp;$A486&amp;""/edit#gid=156619080"",AA$3)"),969.2)</f>
        <v>969.2</v>
      </c>
      <c r="AB486" s="2">
        <f>IFERROR(__xludf.DUMMYFUNCTION("IMPORTRANGE(""https://docs.google.com/spreadsheets/d/""&amp;$A486&amp;""/edit#gid=156619080"",AB$3)"),954.05)</f>
        <v>954.05</v>
      </c>
      <c r="AC486" s="18">
        <f>IFERROR(__xludf.DUMMYFUNCTION("IMPORTRANGE(""https://docs.google.com/spreadsheets/d/""&amp;$A486&amp;""/edit#gid=156619080"",AC$3)"),938.89)</f>
        <v>938.89</v>
      </c>
      <c r="AD486" s="18">
        <f>IFERROR(__xludf.DUMMYFUNCTION("IMPORTRANGE(""https://docs.google.com/spreadsheets/d/""&amp;$A486&amp;""/edit#gid=156619080"",AD$3)"),923.73)</f>
        <v>923.73</v>
      </c>
      <c r="AE486" s="18">
        <f>IFERROR(__xludf.DUMMYFUNCTION("IMPORTRANGE(""https://docs.google.com/spreadsheets/d/""&amp;$A486&amp;""/edit#gid=156619080"",AE$3)"),863.1)</f>
        <v>863.1</v>
      </c>
      <c r="AF486" s="2">
        <f>IFERROR(__xludf.DUMMYFUNCTION("IMPORTRANGE(""https://docs.google.com/spreadsheets/d/""&amp;$A486&amp;""/edit#gid=156619080"",AF$3)"),802.47)</f>
        <v>802.47</v>
      </c>
      <c r="AG486" s="2">
        <f>IFERROR(__xludf.DUMMYFUNCTION("IMPORTRANGE(""https://docs.google.com/spreadsheets/d/""&amp;$A486&amp;""/edit#gid=156619080"",AG$3)"),787.31)</f>
        <v>787.31</v>
      </c>
      <c r="AH486" s="2">
        <f>IFERROR(__xludf.DUMMYFUNCTION("IMPORTRANGE(""https://docs.google.com/spreadsheets/d/""&amp;$A486&amp;""/edit#gid=156619080"",AH$3)"),772.15)</f>
        <v>772.15</v>
      </c>
      <c r="AI486" s="2">
        <f>IFERROR(__xludf.DUMMYFUNCTION("IMPORTRANGE(""https://docs.google.com/spreadsheets/d/""&amp;$A486&amp;""/edit#gid=156619080"",AI$3)"),757.0)</f>
        <v>757</v>
      </c>
      <c r="AJ486" s="2">
        <f>IFERROR(__xludf.DUMMYFUNCTION("IMPORTRANGE(""https://docs.google.com/spreadsheets/d/""&amp;$A486&amp;""/edit#gid=156619080"",AJ$3)"),741.84)</f>
        <v>741.84</v>
      </c>
      <c r="AK486" s="2" t="str">
        <f>IFERROR(__xludf.DUMMYFUNCTION("IMPORTRANGE(""https://docs.google.com/spreadsheets/d/""&amp;$A486&amp;""/edit#gid=156619080"",AK$3)"),"1.25σ〜1.5σ")</f>
        <v>1.25σ〜1.5σ</v>
      </c>
      <c r="AL486" s="2">
        <f>IFERROR(__xludf.DUMMYFUNCTION("IMPORTRANGE(""https://docs.google.com/spreadsheets/d/""&amp;$A486&amp;""/edit#gid=156619080"",AL$3)"),1.0)</f>
        <v>1</v>
      </c>
      <c r="AM486" s="2" t="str">
        <f>IFERROR(__xludf.DUMMYFUNCTION("IMPORTRANGE(""https://docs.google.com/spreadsheets/d/""&amp;$A486&amp;""/edit#gid=156619080"",AM$3)"),"")</f>
        <v/>
      </c>
      <c r="AN486" s="2">
        <f>IFERROR(__xludf.DUMMYFUNCTION("IMPORTRANGE(""https://docs.google.com/spreadsheets/d/""&amp;$A486&amp;""/edit#gid=156619080"",AN$3)"),1.0)</f>
        <v>1</v>
      </c>
      <c r="AO486" s="2" t="str">
        <f>IFERROR(__xludf.DUMMYFUNCTION("IMPORTRANGE(""https://docs.google.com/spreadsheets/d/""&amp;$A486&amp;""/edit#gid=156619080"",AO$3)"),"")</f>
        <v/>
      </c>
      <c r="AP486" s="2">
        <f>IFERROR(__xludf.DUMMYFUNCTION("IMPORTRANGE(""https://docs.google.com/spreadsheets/d/""&amp;$A486&amp;""/edit#gid=156619080"",AP$3)"),1.0)</f>
        <v>1</v>
      </c>
      <c r="AQ486" s="2" t="str">
        <f>IFERROR(__xludf.DUMMYFUNCTION("IMPORTRANGE(""https://docs.google.com/spreadsheets/d/""&amp;$A486&amp;""/edit#gid=156619080"",AQ$3)"),"")</f>
        <v/>
      </c>
      <c r="AR486" s="18">
        <f>IFERROR(__xludf.DUMMYFUNCTION("IMPORTRANGE(""https://docs.google.com/spreadsheets/d/""&amp;$A486&amp;""/edit#gid=156619080"",AR$3)"),-30.000000000000004)</f>
        <v>-30</v>
      </c>
      <c r="AS486" s="19" t="str">
        <f>IFERROR(__xludf.DUMMYFUNCTION("IMPORTRANGE(""https://docs.google.com/spreadsheets/d/""&amp;$A486&amp;""/edit#gid=156619080"",AS$3)"),"30
60
90
70
")</f>
        <v>30
60
90
70
</v>
      </c>
      <c r="AT486" s="18">
        <f>IFERROR(__xludf.DUMMYFUNCTION("IMPORTRANGE(""https://docs.google.com/spreadsheets/d/""&amp;$A486&amp;""/edit#gid=156619080"",AT$3)"),51.64835164835164)</f>
        <v>51.64835165</v>
      </c>
      <c r="AU486" s="3" t="str">
        <f>IFERROR(__xludf.DUMMYFUNCTION("IMPORTRANGE(""https://docs.google.com/spreadsheets/d/""&amp;$A486&amp;""/edit#gid=156619080"",AU$3)"),"29.12
53.3
53.3
57.14
")</f>
        <v>29.12
53.3
53.3
57.14
</v>
      </c>
      <c r="AV486" s="18">
        <f>IFERROR(__xludf.DUMMYFUNCTION("IMPORTRANGE(""https://docs.google.com/spreadsheets/d/""&amp;$A486&amp;""/edit#gid=156619080"",AV$3)"),34.41558441558441)</f>
        <v>34.41558442</v>
      </c>
      <c r="AW486" s="19" t="str">
        <f>IFERROR(__xludf.DUMMYFUNCTION("IMPORTRANGE(""https://docs.google.com/spreadsheets/d/""&amp;$A486&amp;""/edit#gid=156619080"",AW$3)"),"-48.31
-23.64
-1.43
18.05
")</f>
        <v>-48.31
-23.64
-1.43
18.05
</v>
      </c>
      <c r="AX486" s="2">
        <f>IFERROR(__xludf.DUMMYFUNCTION("IMPORTRANGE(""https://docs.google.com/spreadsheets/d/""&amp;$A486&amp;""/edit#gid=156619080"",AX$3)"),79.10000000000001)</f>
        <v>79.1</v>
      </c>
      <c r="AY486" s="2">
        <f>IFERROR(__xludf.DUMMYFUNCTION("IMPORTRANGE(""https://docs.google.com/spreadsheets/d/""&amp;$A486&amp;""/edit#gid=156619080"",AY$3)"),57.52)</f>
        <v>57.52</v>
      </c>
      <c r="AZ486" s="2">
        <f>IFERROR(__xludf.DUMMYFUNCTION("IMPORTRANGE(""https://docs.google.com/spreadsheets/d/""&amp;$A486&amp;""/edit#gid=156619080"",AZ$3)"),943.27)</f>
        <v>943.27</v>
      </c>
      <c r="BA486" s="2">
        <f>IFERROR(__xludf.DUMMYFUNCTION("IMPORTRANGE(""https://docs.google.com/spreadsheets/d/""&amp;$A486&amp;""/edit#gid=156619080"",BA$3)"),52.23000000000002)</f>
        <v>52.23</v>
      </c>
      <c r="BB486" s="2">
        <f>IFERROR(__xludf.DUMMYFUNCTION("IMPORTRANGE(""https://docs.google.com/spreadsheets/d/""&amp;$A486&amp;""/edit#gid=156619080"",BB$3)"),10.82)</f>
        <v>10.82</v>
      </c>
      <c r="BC486" s="2" t="str">
        <f>IFERROR(__xludf.DUMMYFUNCTION("IMPORTRANGE(""https://docs.google.com/spreadsheets/d/""&amp;$A486&amp;""/edit#gid=156619080"",BC$3)"),"GC→GC")</f>
        <v>GC→GC</v>
      </c>
    </row>
    <row r="487" ht="51.0" customHeight="1">
      <c r="A487" s="7" t="str">
        <f t="shared" si="5"/>
        <v>1B9VQ4dMa0GA79Jy6BQFxxR1iF2cCqzxiASnj0Aw9lBw</v>
      </c>
      <c r="B487" s="1" t="s">
        <v>514</v>
      </c>
      <c r="C487" s="2">
        <f>IFERROR(__xludf.DUMMYFUNCTION("IMPORTRANGE(""https://docs.google.com/spreadsheets/d/""&amp;$A487&amp;""/edit#gid=156619080"",C$3)"),81.0)</f>
        <v>81</v>
      </c>
      <c r="D487" s="2">
        <f>IFERROR(__xludf.DUMMYFUNCTION("IMPORTRANGE(""https://docs.google.com/spreadsheets/d/""&amp;$A487&amp;""/edit#gid=156619080"",D$3)"),6945.0)</f>
        <v>6945</v>
      </c>
      <c r="E487" s="15">
        <f>IFERROR(__xludf.DUMMYFUNCTION("IMPORTRANGE(""https://docs.google.com/spreadsheets/d/""&amp;$A487&amp;""/edit#gid=156619080"",E$3)"),43882.0)</f>
        <v>43882</v>
      </c>
      <c r="F487" s="2">
        <f>IFERROR(__xludf.DUMMYFUNCTION("IMPORTRANGE(""https://docs.google.com/spreadsheets/d/""&amp;$A487&amp;""/edit#gid=156619080"",F$3)"),-18.0)</f>
        <v>-18</v>
      </c>
      <c r="G487" s="16">
        <f>IFERROR(__xludf.DUMMYFUNCTION("IMPORTRANGE(""https://docs.google.com/spreadsheets/d/""&amp;$A487&amp;""/edit#gid=156619080"",G$3)"),-1.39)</f>
        <v>-1.39</v>
      </c>
      <c r="H487" s="16">
        <f>IFERROR(__xludf.DUMMYFUNCTION("IMPORTRANGE(""https://docs.google.com/spreadsheets/d/""&amp;$A487&amp;""/edit#gid=156619080"",H$3)"),1286.0)</f>
        <v>1286</v>
      </c>
      <c r="I487" s="16">
        <f>IFERROR(__xludf.DUMMYFUNCTION("IMPORTRANGE(""https://docs.google.com/spreadsheets/d/""&amp;$A487&amp;""/edit#gid=156619080"",I$3)"),7.0)</f>
        <v>7</v>
      </c>
      <c r="J487" s="16">
        <f>IFERROR(__xludf.DUMMYFUNCTION("IMPORTRANGE(""https://docs.google.com/spreadsheets/d/""&amp;$A487&amp;""/edit#gid=156619080"",J$3)"),1287.0)</f>
        <v>1287</v>
      </c>
      <c r="K487" s="16">
        <f>IFERROR(__xludf.DUMMYFUNCTION("IMPORTRANGE(""https://docs.google.com/spreadsheets/d/""&amp;$A487&amp;""/edit#gid=156619080"",K$3)"),0.3861111111111111)</f>
        <v>0.3861111111</v>
      </c>
      <c r="L487" s="16">
        <f>IFERROR(__xludf.DUMMYFUNCTION("IMPORTRANGE(""https://docs.google.com/spreadsheets/d/""&amp;$A487&amp;""/edit#gid=156619080"",L$3)"),1261.0)</f>
        <v>1261</v>
      </c>
      <c r="M487" s="16">
        <f>IFERROR(__xludf.DUMMYFUNCTION("IMPORTRANGE(""https://docs.google.com/spreadsheets/d/""&amp;$A487&amp;""/edit#gid=156619080"",M$3)"),0.5229166666666667)</f>
        <v>0.5229166667</v>
      </c>
      <c r="N487" s="16">
        <f>IFERROR(__xludf.DUMMYFUNCTION("IMPORTRANGE(""https://docs.google.com/spreadsheets/d/""&amp;$A487&amp;""/edit#gid=156619080"",N$3)"),1275.0)</f>
        <v>1275</v>
      </c>
      <c r="O487" s="16" t="str">
        <f>IFERROR(__xludf.DUMMYFUNCTION("IMPORTRANGE(""https://docs.google.com/spreadsheets/d/""&amp;$A487&amp;""/edit#gid=156619080"",O$3)"),"56800株")</f>
        <v>56800株</v>
      </c>
      <c r="P487" s="16" t="str">
        <f>IFERROR(__xludf.DUMMYFUNCTION("IMPORTRANGE(""https://docs.google.com/spreadsheets/d/""&amp;$A487&amp;""/edit#gid=156619080"",P$3)"),"72百万円")</f>
        <v>72百万円</v>
      </c>
      <c r="Q487" s="16" t="str">
        <f>IFERROR(__xludf.DUMMYFUNCTION("IMPORTRANGE(""https://docs.google.com/spreadsheets/d/""&amp;$A487&amp;""/edit#gid=156619080"",Q$3)"),"331回")</f>
        <v>331回</v>
      </c>
      <c r="R487" s="16" t="str">
        <f>IFERROR(__xludf.DUMMYFUNCTION("IMPORTRANGE(""https://docs.google.com/spreadsheets/d/""&amp;$A487&amp;""/edit#gid=156619080"",R$3)"),"306億円")</f>
        <v>306億円</v>
      </c>
      <c r="S487" s="16" t="str">
        <f>IFERROR(__xludf.DUMMYFUNCTION("IMPORTRANGE(""https://docs.google.com/spreadsheets/d/""&amp;$A487&amp;""/edit#gid=156619080"",S$3)"),"陰線")</f>
        <v>陰線</v>
      </c>
      <c r="T487" s="16" t="str">
        <f>IFERROR(__xludf.DUMMYFUNCTION("IMPORTRANGE(""https://docs.google.com/spreadsheets/d/""&amp;$A487&amp;""/edit#gid=156619080"",T$3)"),"")</f>
        <v/>
      </c>
      <c r="U487" s="16">
        <f>IFERROR(__xludf.DUMMYFUNCTION("IMPORTRANGE(""https://docs.google.com/spreadsheets/d/""&amp;$A487&amp;""/edit#gid=156619080"",U$3)"),1298.4)</f>
        <v>1298.4</v>
      </c>
      <c r="V487" s="16">
        <f>IFERROR(__xludf.DUMMYFUNCTION("IMPORTRANGE(""https://docs.google.com/spreadsheets/d/""&amp;$A487&amp;""/edit#gid=156619080"",V$3)"),1328.0)</f>
        <v>1328</v>
      </c>
      <c r="W487" s="16">
        <f>IFERROR(__xludf.DUMMYFUNCTION("IMPORTRANGE(""https://docs.google.com/spreadsheets/d/""&amp;$A487&amp;""/edit#gid=156619080"",W$3)"),1349.0)</f>
        <v>1349</v>
      </c>
      <c r="X487" s="2" t="str">
        <f>IFERROR(__xludf.DUMMYFUNCTION("IMPORTRANGE(""https://docs.google.com/spreadsheets/d/""&amp;$A487&amp;""/edit#gid=156619080"",X$3)"),"")</f>
        <v/>
      </c>
      <c r="Y487" s="17">
        <f>IFERROR(__xludf.DUMMYFUNCTION("IMPORTRANGE(""https://docs.google.com/spreadsheets/d/""&amp;$A487&amp;""/edit#gid=156619080"",Y$3)"),-0.018022181146025947)</f>
        <v>-0.01802218115</v>
      </c>
      <c r="Z487" s="2">
        <f>IFERROR(__xludf.DUMMYFUNCTION("IMPORTRANGE(""https://docs.google.com/spreadsheets/d/""&amp;$A487&amp;""/edit#gid=156619080"",Z$3)"),1440.75)</f>
        <v>1440.75</v>
      </c>
      <c r="AA487" s="2">
        <f>IFERROR(__xludf.DUMMYFUNCTION("IMPORTRANGE(""https://docs.google.com/spreadsheets/d/""&amp;$A487&amp;""/edit#gid=156619080"",AA$3)"),1429.28)</f>
        <v>1429.28</v>
      </c>
      <c r="AB487" s="2">
        <f>IFERROR(__xludf.DUMMYFUNCTION("IMPORTRANGE(""https://docs.google.com/spreadsheets/d/""&amp;$A487&amp;""/edit#gid=156619080"",AB$3)"),1417.81)</f>
        <v>1417.81</v>
      </c>
      <c r="AC487" s="18">
        <f>IFERROR(__xludf.DUMMYFUNCTION("IMPORTRANGE(""https://docs.google.com/spreadsheets/d/""&amp;$A487&amp;""/edit#gid=156619080"",AC$3)"),1406.35)</f>
        <v>1406.35</v>
      </c>
      <c r="AD487" s="18">
        <f>IFERROR(__xludf.DUMMYFUNCTION("IMPORTRANGE(""https://docs.google.com/spreadsheets/d/""&amp;$A487&amp;""/edit#gid=156619080"",AD$3)"),1394.88)</f>
        <v>1394.88</v>
      </c>
      <c r="AE487" s="18">
        <f>IFERROR(__xludf.DUMMYFUNCTION("IMPORTRANGE(""https://docs.google.com/spreadsheets/d/""&amp;$A487&amp;""/edit#gid=156619080"",AE$3)"),1349.0)</f>
        <v>1349</v>
      </c>
      <c r="AF487" s="2">
        <f>IFERROR(__xludf.DUMMYFUNCTION("IMPORTRANGE(""https://docs.google.com/spreadsheets/d/""&amp;$A487&amp;""/edit#gid=156619080"",AF$3)"),1303.12)</f>
        <v>1303.12</v>
      </c>
      <c r="AG487" s="2">
        <f>IFERROR(__xludf.DUMMYFUNCTION("IMPORTRANGE(""https://docs.google.com/spreadsheets/d/""&amp;$A487&amp;""/edit#gid=156619080"",AG$3)"),1291.65)</f>
        <v>1291.65</v>
      </c>
      <c r="AH487" s="2">
        <f>IFERROR(__xludf.DUMMYFUNCTION("IMPORTRANGE(""https://docs.google.com/spreadsheets/d/""&amp;$A487&amp;""/edit#gid=156619080"",AH$3)"),1280.19)</f>
        <v>1280.19</v>
      </c>
      <c r="AI487" s="2">
        <f>IFERROR(__xludf.DUMMYFUNCTION("IMPORTRANGE(""https://docs.google.com/spreadsheets/d/""&amp;$A487&amp;""/edit#gid=156619080"",AI$3)"),1268.72)</f>
        <v>1268.72</v>
      </c>
      <c r="AJ487" s="2">
        <f>IFERROR(__xludf.DUMMYFUNCTION("IMPORTRANGE(""https://docs.google.com/spreadsheets/d/""&amp;$A487&amp;""/edit#gid=156619080"",AJ$3)"),1257.25)</f>
        <v>1257.25</v>
      </c>
      <c r="AK487" s="2" t="str">
        <f>IFERROR(__xludf.DUMMYFUNCTION("IMPORTRANGE(""https://docs.google.com/spreadsheets/d/""&amp;$A487&amp;""/edit#gid=156619080"",AK$3)"),"-1.5σ〜-1.75σ")</f>
        <v>-1.5σ〜-1.75σ</v>
      </c>
      <c r="AL487" s="2">
        <f>IFERROR(__xludf.DUMMYFUNCTION("IMPORTRANGE(""https://docs.google.com/spreadsheets/d/""&amp;$A487&amp;""/edit#gid=156619080"",AL$3)"),-1.0)</f>
        <v>-1</v>
      </c>
      <c r="AM487" s="2" t="str">
        <f>IFERROR(__xludf.DUMMYFUNCTION("IMPORTRANGE(""https://docs.google.com/spreadsheets/d/""&amp;$A487&amp;""/edit#gid=156619080"",AM$3)"),"")</f>
        <v/>
      </c>
      <c r="AN487" s="2">
        <f>IFERROR(__xludf.DUMMYFUNCTION("IMPORTRANGE(""https://docs.google.com/spreadsheets/d/""&amp;$A487&amp;""/edit#gid=156619080"",AN$3)"),-1.0)</f>
        <v>-1</v>
      </c>
      <c r="AO487" s="2" t="str">
        <f>IFERROR(__xludf.DUMMYFUNCTION("IMPORTRANGE(""https://docs.google.com/spreadsheets/d/""&amp;$A487&amp;""/edit#gid=156619080"",AO$3)"),"")</f>
        <v/>
      </c>
      <c r="AP487" s="2">
        <f>IFERROR(__xludf.DUMMYFUNCTION("IMPORTRANGE(""https://docs.google.com/spreadsheets/d/""&amp;$A487&amp;""/edit#gid=156619080"",AP$3)"),-1.0)</f>
        <v>-1</v>
      </c>
      <c r="AQ487" s="2" t="str">
        <f>IFERROR(__xludf.DUMMYFUNCTION("IMPORTRANGE(""https://docs.google.com/spreadsheets/d/""&amp;$A487&amp;""/edit#gid=156619080"",AQ$3)"),"")</f>
        <v/>
      </c>
      <c r="AR487" s="18">
        <f>IFERROR(__xludf.DUMMYFUNCTION("IMPORTRANGE(""https://docs.google.com/spreadsheets/d/""&amp;$A487&amp;""/edit#gid=156619080"",AR$3)"),-89.99999999999999)</f>
        <v>-90</v>
      </c>
      <c r="AS487" s="19" t="str">
        <f>IFERROR(__xludf.DUMMYFUNCTION("IMPORTRANGE(""https://docs.google.com/spreadsheets/d/""&amp;$A487&amp;""/edit#gid=156619080"",AS$3)"),"-62.5
-62.5
-80
-80
")</f>
        <v>-62.5
-62.5
-80
-80
</v>
      </c>
      <c r="AT487" s="18">
        <f>IFERROR(__xludf.DUMMYFUNCTION("IMPORTRANGE(""https://docs.google.com/spreadsheets/d/""&amp;$A487&amp;""/edit#gid=156619080"",AT$3)"),-85.85164835164835)</f>
        <v>-85.85164835</v>
      </c>
      <c r="AU487" s="3" t="str">
        <f>IFERROR(__xludf.DUMMYFUNCTION("IMPORTRANGE(""https://docs.google.com/spreadsheets/d/""&amp;$A487&amp;""/edit#gid=156619080"",AU$3)"),"-28.16
-35.3
-71.02
-79.26
")</f>
        <v>-28.16
-35.3
-71.02
-79.26
</v>
      </c>
      <c r="AV487" s="18">
        <f>IFERROR(__xludf.DUMMYFUNCTION("IMPORTRANGE(""https://docs.google.com/spreadsheets/d/""&amp;$A487&amp;""/edit#gid=156619080"",AV$3)"),-81.75324675324676)</f>
        <v>-81.75324675</v>
      </c>
      <c r="AW487" s="19" t="str">
        <f>IFERROR(__xludf.DUMMYFUNCTION("IMPORTRANGE(""https://docs.google.com/spreadsheets/d/""&amp;$A487&amp;""/edit#gid=156619080"",AW$3)"),"-81.49
-81.49
-81.36
-81.36
")</f>
        <v>-81.49
-81.49
-81.36
-81.36
</v>
      </c>
      <c r="AX487" s="2">
        <f>IFERROR(__xludf.DUMMYFUNCTION("IMPORTRANGE(""https://docs.google.com/spreadsheets/d/""&amp;$A487&amp;""/edit#gid=156619080"",AX$3)"),17.39)</f>
        <v>17.39</v>
      </c>
      <c r="AY487" s="2">
        <f>IFERROR(__xludf.DUMMYFUNCTION("IMPORTRANGE(""https://docs.google.com/spreadsheets/d/""&amp;$A487&amp;""/edit#gid=156619080"",AY$3)"),31.759999999999998)</f>
        <v>31.76</v>
      </c>
      <c r="AZ487" s="2">
        <f>IFERROR(__xludf.DUMMYFUNCTION("IMPORTRANGE(""https://docs.google.com/spreadsheets/d/""&amp;$A487&amp;""/edit#gid=156619080"",AZ$3)"),1296.77)</f>
        <v>1296.77</v>
      </c>
      <c r="BA487" s="2">
        <f>IFERROR(__xludf.DUMMYFUNCTION("IMPORTRANGE(""https://docs.google.com/spreadsheets/d/""&amp;$A487&amp;""/edit#gid=156619080"",BA$3)"),-39.200000000000045)</f>
        <v>-39.2</v>
      </c>
      <c r="BB487" s="2">
        <f>IFERROR(__xludf.DUMMYFUNCTION("IMPORTRANGE(""https://docs.google.com/spreadsheets/d/""&amp;$A487&amp;""/edit#gid=156619080"",BB$3)"),-19.63)</f>
        <v>-19.63</v>
      </c>
      <c r="BC487" s="2" t="str">
        <f>IFERROR(__xludf.DUMMYFUNCTION("IMPORTRANGE(""https://docs.google.com/spreadsheets/d/""&amp;$A487&amp;""/edit#gid=156619080"",BC$3)"),"DC→DC")</f>
        <v>DC→DC</v>
      </c>
    </row>
    <row r="488" ht="51.0" customHeight="1">
      <c r="A488" s="7" t="str">
        <f t="shared" si="5"/>
        <v>1yHo-3DnJSjWkzKV30wFdYFpQIkxbH7Z6aNN3wj1IOaU</v>
      </c>
      <c r="B488" s="1" t="s">
        <v>515</v>
      </c>
      <c r="C488" s="2">
        <f>IFERROR(__xludf.DUMMYFUNCTION("IMPORTRANGE(""https://docs.google.com/spreadsheets/d/""&amp;$A488&amp;""/edit#gid=156619080"",C$3)"),81.0)</f>
        <v>81</v>
      </c>
      <c r="D488" s="2">
        <f>IFERROR(__xludf.DUMMYFUNCTION("IMPORTRANGE(""https://docs.google.com/spreadsheets/d/""&amp;$A488&amp;""/edit#gid=156619080"",D$3)"),3837.0)</f>
        <v>3837</v>
      </c>
      <c r="E488" s="15">
        <f>IFERROR(__xludf.DUMMYFUNCTION("IMPORTRANGE(""https://docs.google.com/spreadsheets/d/""&amp;$A488&amp;""/edit#gid=156619080"",E$3)"),43882.0)</f>
        <v>43882</v>
      </c>
      <c r="F488" s="2">
        <f>IFERROR(__xludf.DUMMYFUNCTION("IMPORTRANGE(""https://docs.google.com/spreadsheets/d/""&amp;$A488&amp;""/edit#gid=156619080"",F$3)"),97.0)</f>
        <v>97</v>
      </c>
      <c r="G488" s="16">
        <f>IFERROR(__xludf.DUMMYFUNCTION("IMPORTRANGE(""https://docs.google.com/spreadsheets/d/""&amp;$A488&amp;""/edit#gid=156619080"",G$3)"),3.97)</f>
        <v>3.97</v>
      </c>
      <c r="H488" s="16">
        <f>IFERROR(__xludf.DUMMYFUNCTION("IMPORTRANGE(""https://docs.google.com/spreadsheets/d/""&amp;$A488&amp;""/edit#gid=156619080"",H$3)"),2442.0)</f>
        <v>2442</v>
      </c>
      <c r="I488" s="16">
        <f>IFERROR(__xludf.DUMMYFUNCTION("IMPORTRANGE(""https://docs.google.com/spreadsheets/d/""&amp;$A488&amp;""/edit#gid=156619080"",I$3)"),0.0)</f>
        <v>0</v>
      </c>
      <c r="J488" s="16">
        <f>IFERROR(__xludf.DUMMYFUNCTION("IMPORTRANGE(""https://docs.google.com/spreadsheets/d/""&amp;$A488&amp;""/edit#gid=156619080"",J$3)"),2547.0)</f>
        <v>2547</v>
      </c>
      <c r="K488" s="16">
        <f>IFERROR(__xludf.DUMMYFUNCTION("IMPORTRANGE(""https://docs.google.com/spreadsheets/d/""&amp;$A488&amp;""/edit#gid=156619080"",K$3)"),0.6159722222222223)</f>
        <v>0.6159722222</v>
      </c>
      <c r="L488" s="16">
        <f>IFERROR(__xludf.DUMMYFUNCTION("IMPORTRANGE(""https://docs.google.com/spreadsheets/d/""&amp;$A488&amp;""/edit#gid=156619080"",L$3)"),2442.0)</f>
        <v>2442</v>
      </c>
      <c r="M488" s="16">
        <f>IFERROR(__xludf.DUMMYFUNCTION("IMPORTRANGE(""https://docs.google.com/spreadsheets/d/""&amp;$A488&amp;""/edit#gid=156619080"",M$3)"),0.375)</f>
        <v>0.375</v>
      </c>
      <c r="N488" s="16">
        <f>IFERROR(__xludf.DUMMYFUNCTION("IMPORTRANGE(""https://docs.google.com/spreadsheets/d/""&amp;$A488&amp;""/edit#gid=156619080"",N$3)"),2539.0)</f>
        <v>2539</v>
      </c>
      <c r="O488" s="16" t="str">
        <f>IFERROR(__xludf.DUMMYFUNCTION("IMPORTRANGE(""https://docs.google.com/spreadsheets/d/""&amp;$A488&amp;""/edit#gid=156619080"",O$3)"),"77600株")</f>
        <v>77600株</v>
      </c>
      <c r="P488" s="16" t="str">
        <f>IFERROR(__xludf.DUMMYFUNCTION("IMPORTRANGE(""https://docs.google.com/spreadsheets/d/""&amp;$A488&amp;""/edit#gid=156619080"",P$3)"),"195百万円")</f>
        <v>195百万円</v>
      </c>
      <c r="Q488" s="16" t="str">
        <f>IFERROR(__xludf.DUMMYFUNCTION("IMPORTRANGE(""https://docs.google.com/spreadsheets/d/""&amp;$A488&amp;""/edit#gid=156619080"",Q$3)"),"391回")</f>
        <v>391回</v>
      </c>
      <c r="R488" s="16" t="str">
        <f>IFERROR(__xludf.DUMMYFUNCTION("IMPORTRANGE(""https://docs.google.com/spreadsheets/d/""&amp;$A488&amp;""/edit#gid=156619080"",R$3)"),"236億円")</f>
        <v>236億円</v>
      </c>
      <c r="S488" s="16" t="str">
        <f>IFERROR(__xludf.DUMMYFUNCTION("IMPORTRANGE(""https://docs.google.com/spreadsheets/d/""&amp;$A488&amp;""/edit#gid=156619080"",S$3)"),"陽線")</f>
        <v>陽線</v>
      </c>
      <c r="T488" s="16" t="str">
        <f>IFERROR(__xludf.DUMMYFUNCTION("IMPORTRANGE(""https://docs.google.com/spreadsheets/d/""&amp;$A488&amp;""/edit#gid=156619080"",T$3)"),"")</f>
        <v/>
      </c>
      <c r="U488" s="16">
        <f>IFERROR(__xludf.DUMMYFUNCTION("IMPORTRANGE(""https://docs.google.com/spreadsheets/d/""&amp;$A488&amp;""/edit#gid=156619080"",U$3)"),2441.0)</f>
        <v>2441</v>
      </c>
      <c r="V488" s="16">
        <f>IFERROR(__xludf.DUMMYFUNCTION("IMPORTRANGE(""https://docs.google.com/spreadsheets/d/""&amp;$A488&amp;""/edit#gid=156619080"",V$3)"),2464.5)</f>
        <v>2464.5</v>
      </c>
      <c r="W488" s="16">
        <f>IFERROR(__xludf.DUMMYFUNCTION("IMPORTRANGE(""https://docs.google.com/spreadsheets/d/""&amp;$A488&amp;""/edit#gid=156619080"",W$3)"),2436.1)</f>
        <v>2436.1</v>
      </c>
      <c r="X488" s="2" t="str">
        <f>IFERROR(__xludf.DUMMYFUNCTION("IMPORTRANGE(""https://docs.google.com/spreadsheets/d/""&amp;$A488&amp;""/edit#gid=156619080"",X$3)"),"")</f>
        <v/>
      </c>
      <c r="Y488" s="17">
        <f>IFERROR(__xludf.DUMMYFUNCTION("IMPORTRANGE(""https://docs.google.com/spreadsheets/d/""&amp;$A488&amp;""/edit#gid=156619080"",Y$3)"),0.04014748054076198)</f>
        <v>0.04014748054</v>
      </c>
      <c r="Z488" s="2">
        <f>IFERROR(__xludf.DUMMYFUNCTION("IMPORTRANGE(""https://docs.google.com/spreadsheets/d/""&amp;$A488&amp;""/edit#gid=156619080"",Z$3)"),2603.96)</f>
        <v>2603.96</v>
      </c>
      <c r="AA488" s="2">
        <f>IFERROR(__xludf.DUMMYFUNCTION("IMPORTRANGE(""https://docs.google.com/spreadsheets/d/""&amp;$A488&amp;""/edit#gid=156619080"",AA$3)"),2582.98)</f>
        <v>2582.98</v>
      </c>
      <c r="AB488" s="2">
        <f>IFERROR(__xludf.DUMMYFUNCTION("IMPORTRANGE(""https://docs.google.com/spreadsheets/d/""&amp;$A488&amp;""/edit#gid=156619080"",AB$3)"),2561.99)</f>
        <v>2561.99</v>
      </c>
      <c r="AC488" s="18">
        <f>IFERROR(__xludf.DUMMYFUNCTION("IMPORTRANGE(""https://docs.google.com/spreadsheets/d/""&amp;$A488&amp;""/edit#gid=156619080"",AC$3)"),2541.01)</f>
        <v>2541.01</v>
      </c>
      <c r="AD488" s="18">
        <f>IFERROR(__xludf.DUMMYFUNCTION("IMPORTRANGE(""https://docs.google.com/spreadsheets/d/""&amp;$A488&amp;""/edit#gid=156619080"",AD$3)"),2520.03)</f>
        <v>2520.03</v>
      </c>
      <c r="AE488" s="18">
        <f>IFERROR(__xludf.DUMMYFUNCTION("IMPORTRANGE(""https://docs.google.com/spreadsheets/d/""&amp;$A488&amp;""/edit#gid=156619080"",AE$3)"),2436.1)</f>
        <v>2436.1</v>
      </c>
      <c r="AF488" s="2">
        <f>IFERROR(__xludf.DUMMYFUNCTION("IMPORTRANGE(""https://docs.google.com/spreadsheets/d/""&amp;$A488&amp;""/edit#gid=156619080"",AF$3)"),2352.17)</f>
        <v>2352.17</v>
      </c>
      <c r="AG488" s="2">
        <f>IFERROR(__xludf.DUMMYFUNCTION("IMPORTRANGE(""https://docs.google.com/spreadsheets/d/""&amp;$A488&amp;""/edit#gid=156619080"",AG$3)"),2331.19)</f>
        <v>2331.19</v>
      </c>
      <c r="AH488" s="2">
        <f>IFERROR(__xludf.DUMMYFUNCTION("IMPORTRANGE(""https://docs.google.com/spreadsheets/d/""&amp;$A488&amp;""/edit#gid=156619080"",AH$3)"),2310.21)</f>
        <v>2310.21</v>
      </c>
      <c r="AI488" s="2">
        <f>IFERROR(__xludf.DUMMYFUNCTION("IMPORTRANGE(""https://docs.google.com/spreadsheets/d/""&amp;$A488&amp;""/edit#gid=156619080"",AI$3)"),2289.22)</f>
        <v>2289.22</v>
      </c>
      <c r="AJ488" s="2">
        <f>IFERROR(__xludf.DUMMYFUNCTION("IMPORTRANGE(""https://docs.google.com/spreadsheets/d/""&amp;$A488&amp;""/edit#gid=156619080"",AJ$3)"),2268.24)</f>
        <v>2268.24</v>
      </c>
      <c r="AK488" s="2" t="str">
        <f>IFERROR(__xludf.DUMMYFUNCTION("IMPORTRANGE(""https://docs.google.com/spreadsheets/d/""&amp;$A488&amp;""/edit#gid=156619080"",AK$3)"),"1〜1.25σ")</f>
        <v>1〜1.25σ</v>
      </c>
      <c r="AL488" s="2">
        <f>IFERROR(__xludf.DUMMYFUNCTION("IMPORTRANGE(""https://docs.google.com/spreadsheets/d/""&amp;$A488&amp;""/edit#gid=156619080"",AL$3)"),-1.0)</f>
        <v>-1</v>
      </c>
      <c r="AM488" s="2" t="str">
        <f>IFERROR(__xludf.DUMMYFUNCTION("IMPORTRANGE(""https://docs.google.com/spreadsheets/d/""&amp;$A488&amp;""/edit#gid=156619080"",AM$3)"),"")</f>
        <v/>
      </c>
      <c r="AN488" s="2">
        <f>IFERROR(__xludf.DUMMYFUNCTION("IMPORTRANGE(""https://docs.google.com/spreadsheets/d/""&amp;$A488&amp;""/edit#gid=156619080"",AN$3)"),1.0)</f>
        <v>1</v>
      </c>
      <c r="AO488" s="2" t="str">
        <f>IFERROR(__xludf.DUMMYFUNCTION("IMPORTRANGE(""https://docs.google.com/spreadsheets/d/""&amp;$A488&amp;""/edit#gid=156619080"",AO$3)"),"")</f>
        <v/>
      </c>
      <c r="AP488" s="2">
        <f>IFERROR(__xludf.DUMMYFUNCTION("IMPORTRANGE(""https://docs.google.com/spreadsheets/d/""&amp;$A488&amp;""/edit#gid=156619080"",AP$3)"),1.0)</f>
        <v>1</v>
      </c>
      <c r="AQ488" s="2" t="str">
        <f>IFERROR(__xludf.DUMMYFUNCTION("IMPORTRANGE(""https://docs.google.com/spreadsheets/d/""&amp;$A488&amp;""/edit#gid=156619080"",AQ$3)"),"")</f>
        <v/>
      </c>
      <c r="AR488" s="18">
        <f>IFERROR(__xludf.DUMMYFUNCTION("IMPORTRANGE(""https://docs.google.com/spreadsheets/d/""&amp;$A488&amp;""/edit#gid=156619080"",AR$3)"),80.0)</f>
        <v>80</v>
      </c>
      <c r="AS488" s="19" t="str">
        <f>IFERROR(__xludf.DUMMYFUNCTION("IMPORTRANGE(""https://docs.google.com/spreadsheets/d/""&amp;$A488&amp;""/edit#gid=156619080"",AS$3)"),"-100
-100
-70
-20
")</f>
        <v>-100
-100
-70
-20
</v>
      </c>
      <c r="AT488" s="18">
        <f>IFERROR(__xludf.DUMMYFUNCTION("IMPORTRANGE(""https://docs.google.com/spreadsheets/d/""&amp;$A488&amp;""/edit#gid=156619080"",AT$3)"),20.879120879120883)</f>
        <v>20.87912088</v>
      </c>
      <c r="AU488" s="3" t="str">
        <f>IFERROR(__xludf.DUMMYFUNCTION("IMPORTRANGE(""https://docs.google.com/spreadsheets/d/""&amp;$A488&amp;""/edit#gid=156619080"",AU$3)"),"67.58
55.49
41.76
27.47
")</f>
        <v>67.58
55.49
41.76
27.47
</v>
      </c>
      <c r="AV488" s="18">
        <f>IFERROR(__xludf.DUMMYFUNCTION("IMPORTRANGE(""https://docs.google.com/spreadsheets/d/""&amp;$A488&amp;""/edit#gid=156619080"",AV$3)"),39.6103896103896)</f>
        <v>39.61038961</v>
      </c>
      <c r="AW488" s="19" t="str">
        <f>IFERROR(__xludf.DUMMYFUNCTION("IMPORTRANGE(""https://docs.google.com/spreadsheets/d/""&amp;$A488&amp;""/edit#gid=156619080"",AW$3)"),"31.17
18.31
18.05
23.51
")</f>
        <v>31.17
18.31
18.05
23.51
</v>
      </c>
      <c r="AX488" s="2">
        <f>IFERROR(__xludf.DUMMYFUNCTION("IMPORTRANGE(""https://docs.google.com/spreadsheets/d/""&amp;$A488&amp;""/edit#gid=156619080"",AX$3)"),55.120000000000005)</f>
        <v>55.12</v>
      </c>
      <c r="AY488" s="2">
        <f>IFERROR(__xludf.DUMMYFUNCTION("IMPORTRANGE(""https://docs.google.com/spreadsheets/d/""&amp;$A488&amp;""/edit#gid=156619080"",AY$3)"),52.99)</f>
        <v>52.99</v>
      </c>
      <c r="AZ488" s="2">
        <f>IFERROR(__xludf.DUMMYFUNCTION("IMPORTRANGE(""https://docs.google.com/spreadsheets/d/""&amp;$A488&amp;""/edit#gid=156619080"",AZ$3)"),2474.66)</f>
        <v>2474.66</v>
      </c>
      <c r="BA488" s="2">
        <f>IFERROR(__xludf.DUMMYFUNCTION("IMPORTRANGE(""https://docs.google.com/spreadsheets/d/""&amp;$A488&amp;""/edit#gid=156619080"",BA$3)"),37.190000000000055)</f>
        <v>37.19</v>
      </c>
      <c r="BB488" s="2">
        <f>IFERROR(__xludf.DUMMYFUNCTION("IMPORTRANGE(""https://docs.google.com/spreadsheets/d/""&amp;$A488&amp;""/edit#gid=156619080"",BB$3)"),37.36)</f>
        <v>37.36</v>
      </c>
      <c r="BC488" s="2" t="str">
        <f>IFERROR(__xludf.DUMMYFUNCTION("IMPORTRANGE(""https://docs.google.com/spreadsheets/d/""&amp;$A488&amp;""/edit#gid=156619080"",BC$3)"),"DC→DC")</f>
        <v>DC→DC</v>
      </c>
    </row>
    <row r="489" ht="51.0" customHeight="1">
      <c r="A489" s="7" t="str">
        <f t="shared" si="5"/>
        <v>17IRk_8H6vgARUkh6DSQc1UVfZPnVnLWGLxUFjIsP1hc</v>
      </c>
      <c r="B489" s="1" t="s">
        <v>516</v>
      </c>
      <c r="C489" s="2">
        <f>IFERROR(__xludf.DUMMYFUNCTION("IMPORTRANGE(""https://docs.google.com/spreadsheets/d/""&amp;$A489&amp;""/edit#gid=156619080"",C$3)"),81.0)</f>
        <v>81</v>
      </c>
      <c r="D489" s="2">
        <f>IFERROR(__xludf.DUMMYFUNCTION("IMPORTRANGE(""https://docs.google.com/spreadsheets/d/""&amp;$A489&amp;""/edit#gid=156619080"",D$3)"),9972.0)</f>
        <v>9972</v>
      </c>
      <c r="E489" s="15">
        <f>IFERROR(__xludf.DUMMYFUNCTION("IMPORTRANGE(""https://docs.google.com/spreadsheets/d/""&amp;$A489&amp;""/edit#gid=156619080"",E$3)"),43882.0)</f>
        <v>43882</v>
      </c>
      <c r="F489" s="2">
        <f>IFERROR(__xludf.DUMMYFUNCTION("IMPORTRANGE(""https://docs.google.com/spreadsheets/d/""&amp;$A489&amp;""/edit#gid=156619080"",F$3)"),-4.0)</f>
        <v>-4</v>
      </c>
      <c r="G489" s="16">
        <f>IFERROR(__xludf.DUMMYFUNCTION("IMPORTRANGE(""https://docs.google.com/spreadsheets/d/""&amp;$A489&amp;""/edit#gid=156619080"",G$3)"),-1.59)</f>
        <v>-1.59</v>
      </c>
      <c r="H489" s="16">
        <f>IFERROR(__xludf.DUMMYFUNCTION("IMPORTRANGE(""https://docs.google.com/spreadsheets/d/""&amp;$A489&amp;""/edit#gid=156619080"",H$3)"),248.0)</f>
        <v>248</v>
      </c>
      <c r="I489" s="16">
        <f>IFERROR(__xludf.DUMMYFUNCTION("IMPORTRANGE(""https://docs.google.com/spreadsheets/d/""&amp;$A489&amp;""/edit#gid=156619080"",I$3)"),4.0)</f>
        <v>4</v>
      </c>
      <c r="J489" s="16">
        <f>IFERROR(__xludf.DUMMYFUNCTION("IMPORTRANGE(""https://docs.google.com/spreadsheets/d/""&amp;$A489&amp;""/edit#gid=156619080"",J$3)"),251.0)</f>
        <v>251</v>
      </c>
      <c r="K489" s="16">
        <f>IFERROR(__xludf.DUMMYFUNCTION("IMPORTRANGE(""https://docs.google.com/spreadsheets/d/""&amp;$A489&amp;""/edit#gid=156619080"",K$3)"),0.3840277777777778)</f>
        <v>0.3840277778</v>
      </c>
      <c r="L489" s="16">
        <f>IFERROR(__xludf.DUMMYFUNCTION("IMPORTRANGE(""https://docs.google.com/spreadsheets/d/""&amp;$A489&amp;""/edit#gid=156619080"",L$3)"),246.0)</f>
        <v>246</v>
      </c>
      <c r="M489" s="16">
        <f>IFERROR(__xludf.DUMMYFUNCTION("IMPORTRANGE(""https://docs.google.com/spreadsheets/d/""&amp;$A489&amp;""/edit#gid=156619080"",M$3)"),0.375)</f>
        <v>0.375</v>
      </c>
      <c r="N489" s="16">
        <f>IFERROR(__xludf.DUMMYFUNCTION("IMPORTRANGE(""https://docs.google.com/spreadsheets/d/""&amp;$A489&amp;""/edit#gid=156619080"",N$3)"),248.0)</f>
        <v>248</v>
      </c>
      <c r="O489" s="16" t="str">
        <f>IFERROR(__xludf.DUMMYFUNCTION("IMPORTRANGE(""https://docs.google.com/spreadsheets/d/""&amp;$A489&amp;""/edit#gid=156619080"",O$3)"),"78400株")</f>
        <v>78400株</v>
      </c>
      <c r="P489" s="16" t="str">
        <f>IFERROR(__xludf.DUMMYFUNCTION("IMPORTRANGE(""https://docs.google.com/spreadsheets/d/""&amp;$A489&amp;""/edit#gid=156619080"",P$3)"),"19百万円")</f>
        <v>19百万円</v>
      </c>
      <c r="Q489" s="16" t="str">
        <f>IFERROR(__xludf.DUMMYFUNCTION("IMPORTRANGE(""https://docs.google.com/spreadsheets/d/""&amp;$A489&amp;""/edit#gid=156619080"",Q$3)"),"113回")</f>
        <v>113回</v>
      </c>
      <c r="R489" s="16" t="str">
        <f>IFERROR(__xludf.DUMMYFUNCTION("IMPORTRANGE(""https://docs.google.com/spreadsheets/d/""&amp;$A489&amp;""/edit#gid=156619080"",R$3)"),"48.0億円")</f>
        <v>48.0億円</v>
      </c>
      <c r="S489" s="16" t="str">
        <f>IFERROR(__xludf.DUMMYFUNCTION("IMPORTRANGE(""https://docs.google.com/spreadsheets/d/""&amp;$A489&amp;""/edit#gid=156619080"",S$3)"),"一本線")</f>
        <v>一本線</v>
      </c>
      <c r="T489" s="16" t="str">
        <f>IFERROR(__xludf.DUMMYFUNCTION("IMPORTRANGE(""https://docs.google.com/spreadsheets/d/""&amp;$A489&amp;""/edit#gid=156619080"",T$3)"),"")</f>
        <v/>
      </c>
      <c r="U489" s="16">
        <f>IFERROR(__xludf.DUMMYFUNCTION("IMPORTRANGE(""https://docs.google.com/spreadsheets/d/""&amp;$A489&amp;""/edit#gid=156619080"",U$3)"),250.8)</f>
        <v>250.8</v>
      </c>
      <c r="V489" s="16">
        <f>IFERROR(__xludf.DUMMYFUNCTION("IMPORTRANGE(""https://docs.google.com/spreadsheets/d/""&amp;$A489&amp;""/edit#gid=156619080"",V$3)"),266.2)</f>
        <v>266.2</v>
      </c>
      <c r="W489" s="16">
        <f>IFERROR(__xludf.DUMMYFUNCTION("IMPORTRANGE(""https://docs.google.com/spreadsheets/d/""&amp;$A489&amp;""/edit#gid=156619080"",W$3)"),263.0)</f>
        <v>263</v>
      </c>
      <c r="X489" s="2" t="str">
        <f>IFERROR(__xludf.DUMMYFUNCTION("IMPORTRANGE(""https://docs.google.com/spreadsheets/d/""&amp;$A489&amp;""/edit#gid=156619080"",X$3)"),"")</f>
        <v/>
      </c>
      <c r="Y489" s="17">
        <f>IFERROR(__xludf.DUMMYFUNCTION("IMPORTRANGE(""https://docs.google.com/spreadsheets/d/""&amp;$A489&amp;""/edit#gid=156619080"",Y$3)"),-0.011164274322169104)</f>
        <v>-0.01116427432</v>
      </c>
      <c r="Z489" s="2">
        <f>IFERROR(__xludf.DUMMYFUNCTION("IMPORTRANGE(""https://docs.google.com/spreadsheets/d/""&amp;$A489&amp;""/edit#gid=156619080"",Z$3)"),289.37)</f>
        <v>289.37</v>
      </c>
      <c r="AA489" s="2">
        <f>IFERROR(__xludf.DUMMYFUNCTION("IMPORTRANGE(""https://docs.google.com/spreadsheets/d/""&amp;$A489&amp;""/edit#gid=156619080"",AA$3)"),286.08)</f>
        <v>286.08</v>
      </c>
      <c r="AB489" s="2">
        <f>IFERROR(__xludf.DUMMYFUNCTION("IMPORTRANGE(""https://docs.google.com/spreadsheets/d/""&amp;$A489&amp;""/edit#gid=156619080"",AB$3)"),282.78)</f>
        <v>282.78</v>
      </c>
      <c r="AC489" s="18">
        <f>IFERROR(__xludf.DUMMYFUNCTION("IMPORTRANGE(""https://docs.google.com/spreadsheets/d/""&amp;$A489&amp;""/edit#gid=156619080"",AC$3)"),279.48)</f>
        <v>279.48</v>
      </c>
      <c r="AD489" s="18">
        <f>IFERROR(__xludf.DUMMYFUNCTION("IMPORTRANGE(""https://docs.google.com/spreadsheets/d/""&amp;$A489&amp;""/edit#gid=156619080"",AD$3)"),276.19)</f>
        <v>276.19</v>
      </c>
      <c r="AE489" s="18">
        <f>IFERROR(__xludf.DUMMYFUNCTION("IMPORTRANGE(""https://docs.google.com/spreadsheets/d/""&amp;$A489&amp;""/edit#gid=156619080"",AE$3)"),263.0)</f>
        <v>263</v>
      </c>
      <c r="AF489" s="2">
        <f>IFERROR(__xludf.DUMMYFUNCTION("IMPORTRANGE(""https://docs.google.com/spreadsheets/d/""&amp;$A489&amp;""/edit#gid=156619080"",AF$3)"),249.81)</f>
        <v>249.81</v>
      </c>
      <c r="AG489" s="2">
        <f>IFERROR(__xludf.DUMMYFUNCTION("IMPORTRANGE(""https://docs.google.com/spreadsheets/d/""&amp;$A489&amp;""/edit#gid=156619080"",AG$3)"),246.52)</f>
        <v>246.52</v>
      </c>
      <c r="AH489" s="2">
        <f>IFERROR(__xludf.DUMMYFUNCTION("IMPORTRANGE(""https://docs.google.com/spreadsheets/d/""&amp;$A489&amp;""/edit#gid=156619080"",AH$3)"),243.22)</f>
        <v>243.22</v>
      </c>
      <c r="AI489" s="2">
        <f>IFERROR(__xludf.DUMMYFUNCTION("IMPORTRANGE(""https://docs.google.com/spreadsheets/d/""&amp;$A489&amp;""/edit#gid=156619080"",AI$3)"),239.92)</f>
        <v>239.92</v>
      </c>
      <c r="AJ489" s="2">
        <f>IFERROR(__xludf.DUMMYFUNCTION("IMPORTRANGE(""https://docs.google.com/spreadsheets/d/""&amp;$A489&amp;""/edit#gid=156619080"",AJ$3)"),236.63)</f>
        <v>236.63</v>
      </c>
      <c r="AK489" s="2" t="str">
        <f>IFERROR(__xludf.DUMMYFUNCTION("IMPORTRANGE(""https://docs.google.com/spreadsheets/d/""&amp;$A489&amp;""/edit#gid=156619080"",AK$3)"),"-1〜-1.25σ")</f>
        <v>-1〜-1.25σ</v>
      </c>
      <c r="AL489" s="2">
        <f>IFERROR(__xludf.DUMMYFUNCTION("IMPORTRANGE(""https://docs.google.com/spreadsheets/d/""&amp;$A489&amp;""/edit#gid=156619080"",AL$3)"),-1.0)</f>
        <v>-1</v>
      </c>
      <c r="AM489" s="2" t="str">
        <f>IFERROR(__xludf.DUMMYFUNCTION("IMPORTRANGE(""https://docs.google.com/spreadsheets/d/""&amp;$A489&amp;""/edit#gid=156619080"",AM$3)"),"")</f>
        <v/>
      </c>
      <c r="AN489" s="2">
        <f>IFERROR(__xludf.DUMMYFUNCTION("IMPORTRANGE(""https://docs.google.com/spreadsheets/d/""&amp;$A489&amp;""/edit#gid=156619080"",AN$3)"),-1.0)</f>
        <v>-1</v>
      </c>
      <c r="AO489" s="2" t="str">
        <f>IFERROR(__xludf.DUMMYFUNCTION("IMPORTRANGE(""https://docs.google.com/spreadsheets/d/""&amp;$A489&amp;""/edit#gid=156619080"",AO$3)"),"")</f>
        <v/>
      </c>
      <c r="AP489" s="2">
        <f>IFERROR(__xludf.DUMMYFUNCTION("IMPORTRANGE(""https://docs.google.com/spreadsheets/d/""&amp;$A489&amp;""/edit#gid=156619080"",AP$3)"),1.0)</f>
        <v>1</v>
      </c>
      <c r="AQ489" s="2" t="str">
        <f>IFERROR(__xludf.DUMMYFUNCTION("IMPORTRANGE(""https://docs.google.com/spreadsheets/d/""&amp;$A489&amp;""/edit#gid=156619080"",AQ$3)"),"")</f>
        <v/>
      </c>
      <c r="AR489" s="18">
        <f>IFERROR(__xludf.DUMMYFUNCTION("IMPORTRANGE(""https://docs.google.com/spreadsheets/d/""&amp;$A489&amp;""/edit#gid=156619080"",AR$3)"),-39.99999999999999)</f>
        <v>-40</v>
      </c>
      <c r="AS489" s="19" t="str">
        <f>IFERROR(__xludf.DUMMYFUNCTION("IMPORTRANGE(""https://docs.google.com/spreadsheets/d/""&amp;$A489&amp;""/edit#gid=156619080"",AS$3)"),"-70
-100
-90
-70
")</f>
        <v>-70
-100
-90
-70
</v>
      </c>
      <c r="AT489" s="18">
        <f>IFERROR(__xludf.DUMMYFUNCTION("IMPORTRANGE(""https://docs.google.com/spreadsheets/d/""&amp;$A489&amp;""/edit#gid=156619080"",AT$3)"),-61.53846153846154)</f>
        <v>-61.53846154</v>
      </c>
      <c r="AU489" s="3" t="str">
        <f>IFERROR(__xludf.DUMMYFUNCTION("IMPORTRANGE(""https://docs.google.com/spreadsheets/d/""&amp;$A489&amp;""/edit#gid=156619080"",AU$3)"),"44.51
8.24
-20.33
-43.41
")</f>
        <v>44.51
8.24
-20.33
-43.41
</v>
      </c>
      <c r="AV489" s="18">
        <f>IFERROR(__xludf.DUMMYFUNCTION("IMPORTRANGE(""https://docs.google.com/spreadsheets/d/""&amp;$A489&amp;""/edit#gid=156619080"",AV$3)"),-11.883116883116873)</f>
        <v>-11.88311688</v>
      </c>
      <c r="AW489" s="19" t="str">
        <f>IFERROR(__xludf.DUMMYFUNCTION("IMPORTRANGE(""https://docs.google.com/spreadsheets/d/""&amp;$A489&amp;""/edit#gid=156619080"",AW$3)"),"70.52
43.25
20.78
2.69
")</f>
        <v>70.52
43.25
20.78
2.69
</v>
      </c>
      <c r="AX489" s="2">
        <f>IFERROR(__xludf.DUMMYFUNCTION("IMPORTRANGE(""https://docs.google.com/spreadsheets/d/""&amp;$A489&amp;""/edit#gid=156619080"",AX$3)"),19.35)</f>
        <v>19.35</v>
      </c>
      <c r="AY489" s="2">
        <f>IFERROR(__xludf.DUMMYFUNCTION("IMPORTRANGE(""https://docs.google.com/spreadsheets/d/""&amp;$A489&amp;""/edit#gid=156619080"",AY$3)"),46.31)</f>
        <v>46.31</v>
      </c>
      <c r="AZ489" s="2">
        <f>IFERROR(__xludf.DUMMYFUNCTION("IMPORTRANGE(""https://docs.google.com/spreadsheets/d/""&amp;$A489&amp;""/edit#gid=156619080"",AZ$3)"),253.83)</f>
        <v>253.83</v>
      </c>
      <c r="BA489" s="2">
        <f>IFERROR(__xludf.DUMMYFUNCTION("IMPORTRANGE(""https://docs.google.com/spreadsheets/d/""&amp;$A489&amp;""/edit#gid=156619080"",BA$3)"),-5.280000000000001)</f>
        <v>-5.28</v>
      </c>
      <c r="BB489" s="2">
        <f>IFERROR(__xludf.DUMMYFUNCTION("IMPORTRANGE(""https://docs.google.com/spreadsheets/d/""&amp;$A489&amp;""/edit#gid=156619080"",BB$3)"),4.93)</f>
        <v>4.93</v>
      </c>
      <c r="BC489" s="2" t="str">
        <f>IFERROR(__xludf.DUMMYFUNCTION("IMPORTRANGE(""https://docs.google.com/spreadsheets/d/""&amp;$A489&amp;""/edit#gid=156619080"",BC$3)"),"DC→DC")</f>
        <v>DC→DC</v>
      </c>
    </row>
    <row r="490" ht="51.0" customHeight="1">
      <c r="A490" s="7" t="str">
        <f t="shared" si="5"/>
        <v>1mOb0iVgrBEn2mBMdiVRyUfZzlITkdJXErBzClKreoGU</v>
      </c>
      <c r="B490" s="1" t="s">
        <v>517</v>
      </c>
      <c r="C490" s="2">
        <f>IFERROR(__xludf.DUMMYFUNCTION("IMPORTRANGE(""https://docs.google.com/spreadsheets/d/""&amp;$A490&amp;""/edit#gid=156619080"",C$3)"),81.0)</f>
        <v>81</v>
      </c>
      <c r="D490" s="2">
        <f>IFERROR(__xludf.DUMMYFUNCTION("IMPORTRANGE(""https://docs.google.com/spreadsheets/d/""&amp;$A490&amp;""/edit#gid=156619080"",D$3)"),7919.0)</f>
        <v>7919</v>
      </c>
      <c r="E490" s="15">
        <f>IFERROR(__xludf.DUMMYFUNCTION("IMPORTRANGE(""https://docs.google.com/spreadsheets/d/""&amp;$A490&amp;""/edit#gid=156619080"",E$3)"),43882.0)</f>
        <v>43882</v>
      </c>
      <c r="F490" s="2">
        <f>IFERROR(__xludf.DUMMYFUNCTION("IMPORTRANGE(""https://docs.google.com/spreadsheets/d/""&amp;$A490&amp;""/edit#gid=156619080"",F$3)"),-2.0)</f>
        <v>-2</v>
      </c>
      <c r="G490" s="16">
        <f>IFERROR(__xludf.DUMMYFUNCTION("IMPORTRANGE(""https://docs.google.com/spreadsheets/d/""&amp;$A490&amp;""/edit#gid=156619080"",G$3)"),-1.14)</f>
        <v>-1.14</v>
      </c>
      <c r="H490" s="16">
        <f>IFERROR(__xludf.DUMMYFUNCTION("IMPORTRANGE(""https://docs.google.com/spreadsheets/d/""&amp;$A490&amp;""/edit#gid=156619080"",H$3)"),174.0)</f>
        <v>174</v>
      </c>
      <c r="I490" s="16">
        <f>IFERROR(__xludf.DUMMYFUNCTION("IMPORTRANGE(""https://docs.google.com/spreadsheets/d/""&amp;$A490&amp;""/edit#gid=156619080"",I$3)"),2.0)</f>
        <v>2</v>
      </c>
      <c r="J490" s="16">
        <f>IFERROR(__xludf.DUMMYFUNCTION("IMPORTRANGE(""https://docs.google.com/spreadsheets/d/""&amp;$A490&amp;""/edit#gid=156619080"",J$3)"),174.0)</f>
        <v>174</v>
      </c>
      <c r="K490" s="16">
        <f>IFERROR(__xludf.DUMMYFUNCTION("IMPORTRANGE(""https://docs.google.com/spreadsheets/d/""&amp;$A490&amp;""/edit#gid=156619080"",K$3)"),0.375)</f>
        <v>0.375</v>
      </c>
      <c r="L490" s="16">
        <f>IFERROR(__xludf.DUMMYFUNCTION("IMPORTRANGE(""https://docs.google.com/spreadsheets/d/""&amp;$A490&amp;""/edit#gid=156619080"",L$3)"),173.0)</f>
        <v>173</v>
      </c>
      <c r="M490" s="16">
        <f>IFERROR(__xludf.DUMMYFUNCTION("IMPORTRANGE(""https://docs.google.com/spreadsheets/d/""&amp;$A490&amp;""/edit#gid=156619080"",M$3)"),0.4354166666666667)</f>
        <v>0.4354166667</v>
      </c>
      <c r="N490" s="16">
        <f>IFERROR(__xludf.DUMMYFUNCTION("IMPORTRANGE(""https://docs.google.com/spreadsheets/d/""&amp;$A490&amp;""/edit#gid=156619080"",N$3)"),174.0)</f>
        <v>174</v>
      </c>
      <c r="O490" s="16" t="str">
        <f>IFERROR(__xludf.DUMMYFUNCTION("IMPORTRANGE(""https://docs.google.com/spreadsheets/d/""&amp;$A490&amp;""/edit#gid=156619080"",O$3)"),"31500株")</f>
        <v>31500株</v>
      </c>
      <c r="P490" s="16" t="str">
        <f>IFERROR(__xludf.DUMMYFUNCTION("IMPORTRANGE(""https://docs.google.com/spreadsheets/d/""&amp;$A490&amp;""/edit#gid=156619080"",P$3)"),"5百万円")</f>
        <v>5百万円</v>
      </c>
      <c r="Q490" s="16" t="str">
        <f>IFERROR(__xludf.DUMMYFUNCTION("IMPORTRANGE(""https://docs.google.com/spreadsheets/d/""&amp;$A490&amp;""/edit#gid=156619080"",Q$3)"),"37回")</f>
        <v>37回</v>
      </c>
      <c r="R490" s="16" t="str">
        <f>IFERROR(__xludf.DUMMYFUNCTION("IMPORTRANGE(""https://docs.google.com/spreadsheets/d/""&amp;$A490&amp;""/edit#gid=156619080"",R$3)"),"37.3億円")</f>
        <v>37.3億円</v>
      </c>
      <c r="S490" s="16" t="str">
        <f>IFERROR(__xludf.DUMMYFUNCTION("IMPORTRANGE(""https://docs.google.com/spreadsheets/d/""&amp;$A490&amp;""/edit#gid=156619080"",S$3)"),"一本線")</f>
        <v>一本線</v>
      </c>
      <c r="T490" s="16" t="str">
        <f>IFERROR(__xludf.DUMMYFUNCTION("IMPORTRANGE(""https://docs.google.com/spreadsheets/d/""&amp;$A490&amp;""/edit#gid=156619080"",T$3)"),"")</f>
        <v/>
      </c>
      <c r="U490" s="16">
        <f>IFERROR(__xludf.DUMMYFUNCTION("IMPORTRANGE(""https://docs.google.com/spreadsheets/d/""&amp;$A490&amp;""/edit#gid=156619080"",U$3)"),175.2)</f>
        <v>175.2</v>
      </c>
      <c r="V490" s="16">
        <f>IFERROR(__xludf.DUMMYFUNCTION("IMPORTRANGE(""https://docs.google.com/spreadsheets/d/""&amp;$A490&amp;""/edit#gid=156619080"",V$3)"),177.5)</f>
        <v>177.5</v>
      </c>
      <c r="W490" s="16">
        <f>IFERROR(__xludf.DUMMYFUNCTION("IMPORTRANGE(""https://docs.google.com/spreadsheets/d/""&amp;$A490&amp;""/edit#gid=156619080"",W$3)"),180.2)</f>
        <v>180.2</v>
      </c>
      <c r="X490" s="2" t="str">
        <f>IFERROR(__xludf.DUMMYFUNCTION("IMPORTRANGE(""https://docs.google.com/spreadsheets/d/""&amp;$A490&amp;""/edit#gid=156619080"",X$3)"),"")</f>
        <v/>
      </c>
      <c r="Y490" s="17">
        <f>IFERROR(__xludf.DUMMYFUNCTION("IMPORTRANGE(""https://docs.google.com/spreadsheets/d/""&amp;$A490&amp;""/edit#gid=156619080"",Y$3)"),-0.006849315068493086)</f>
        <v>-0.006849315068</v>
      </c>
      <c r="Z490" s="2">
        <f>IFERROR(__xludf.DUMMYFUNCTION("IMPORTRANGE(""https://docs.google.com/spreadsheets/d/""&amp;$A490&amp;""/edit#gid=156619080"",Z$3)"),188.54)</f>
        <v>188.54</v>
      </c>
      <c r="AA490" s="2">
        <f>IFERROR(__xludf.DUMMYFUNCTION("IMPORTRANGE(""https://docs.google.com/spreadsheets/d/""&amp;$A490&amp;""/edit#gid=156619080"",AA$3)"),187.5)</f>
        <v>187.5</v>
      </c>
      <c r="AB490" s="2">
        <f>IFERROR(__xludf.DUMMYFUNCTION("IMPORTRANGE(""https://docs.google.com/spreadsheets/d/""&amp;$A490&amp;""/edit#gid=156619080"",AB$3)"),186.46)</f>
        <v>186.46</v>
      </c>
      <c r="AC490" s="18">
        <f>IFERROR(__xludf.DUMMYFUNCTION("IMPORTRANGE(""https://docs.google.com/spreadsheets/d/""&amp;$A490&amp;""/edit#gid=156619080"",AC$3)"),185.41)</f>
        <v>185.41</v>
      </c>
      <c r="AD490" s="18">
        <f>IFERROR(__xludf.DUMMYFUNCTION("IMPORTRANGE(""https://docs.google.com/spreadsheets/d/""&amp;$A490&amp;""/edit#gid=156619080"",AD$3)"),184.37)</f>
        <v>184.37</v>
      </c>
      <c r="AE490" s="18">
        <f>IFERROR(__xludf.DUMMYFUNCTION("IMPORTRANGE(""https://docs.google.com/spreadsheets/d/""&amp;$A490&amp;""/edit#gid=156619080"",AE$3)"),180.2)</f>
        <v>180.2</v>
      </c>
      <c r="AF490" s="2">
        <f>IFERROR(__xludf.DUMMYFUNCTION("IMPORTRANGE(""https://docs.google.com/spreadsheets/d/""&amp;$A490&amp;""/edit#gid=156619080"",AF$3)"),176.03)</f>
        <v>176.03</v>
      </c>
      <c r="AG490" s="2">
        <f>IFERROR(__xludf.DUMMYFUNCTION("IMPORTRANGE(""https://docs.google.com/spreadsheets/d/""&amp;$A490&amp;""/edit#gid=156619080"",AG$3)"),174.99)</f>
        <v>174.99</v>
      </c>
      <c r="AH490" s="2">
        <f>IFERROR(__xludf.DUMMYFUNCTION("IMPORTRANGE(""https://docs.google.com/spreadsheets/d/""&amp;$A490&amp;""/edit#gid=156619080"",AH$3)"),173.94)</f>
        <v>173.94</v>
      </c>
      <c r="AI490" s="2">
        <f>IFERROR(__xludf.DUMMYFUNCTION("IMPORTRANGE(""https://docs.google.com/spreadsheets/d/""&amp;$A490&amp;""/edit#gid=156619080"",AI$3)"),172.9)</f>
        <v>172.9</v>
      </c>
      <c r="AJ490" s="2">
        <f>IFERROR(__xludf.DUMMYFUNCTION("IMPORTRANGE(""https://docs.google.com/spreadsheets/d/""&amp;$A490&amp;""/edit#gid=156619080"",AJ$3)"),171.86)</f>
        <v>171.86</v>
      </c>
      <c r="AK490" s="2" t="str">
        <f>IFERROR(__xludf.DUMMYFUNCTION("IMPORTRANGE(""https://docs.google.com/spreadsheets/d/""&amp;$A490&amp;""/edit#gid=156619080"",AK$3)"),"-1.25σ〜-1.5σ")</f>
        <v>-1.25σ〜-1.5σ</v>
      </c>
      <c r="AL490" s="2">
        <f>IFERROR(__xludf.DUMMYFUNCTION("IMPORTRANGE(""https://docs.google.com/spreadsheets/d/""&amp;$A490&amp;""/edit#gid=156619080"",AL$3)"),-1.0)</f>
        <v>-1</v>
      </c>
      <c r="AM490" s="2" t="str">
        <f>IFERROR(__xludf.DUMMYFUNCTION("IMPORTRANGE(""https://docs.google.com/spreadsheets/d/""&amp;$A490&amp;""/edit#gid=156619080"",AM$3)"),"")</f>
        <v/>
      </c>
      <c r="AN490" s="2">
        <f>IFERROR(__xludf.DUMMYFUNCTION("IMPORTRANGE(""https://docs.google.com/spreadsheets/d/""&amp;$A490&amp;""/edit#gid=156619080"",AN$3)"),-1.0)</f>
        <v>-1</v>
      </c>
      <c r="AO490" s="2" t="str">
        <f>IFERROR(__xludf.DUMMYFUNCTION("IMPORTRANGE(""https://docs.google.com/spreadsheets/d/""&amp;$A490&amp;""/edit#gid=156619080"",AO$3)"),"")</f>
        <v/>
      </c>
      <c r="AP490" s="2">
        <f>IFERROR(__xludf.DUMMYFUNCTION("IMPORTRANGE(""https://docs.google.com/spreadsheets/d/""&amp;$A490&amp;""/edit#gid=156619080"",AP$3)"),-1.0)</f>
        <v>-1</v>
      </c>
      <c r="AQ490" s="2" t="str">
        <f>IFERROR(__xludf.DUMMYFUNCTION("IMPORTRANGE(""https://docs.google.com/spreadsheets/d/""&amp;$A490&amp;""/edit#gid=156619080"",AQ$3)"),"")</f>
        <v/>
      </c>
      <c r="AR490" s="18">
        <f>IFERROR(__xludf.DUMMYFUNCTION("IMPORTRANGE(""https://docs.google.com/spreadsheets/d/""&amp;$A490&amp;""/edit#gid=156619080"",AR$3)"),-12.5)</f>
        <v>-12.5</v>
      </c>
      <c r="AS490" s="19" t="str">
        <f>IFERROR(__xludf.DUMMYFUNCTION("IMPORTRANGE(""https://docs.google.com/spreadsheets/d/""&amp;$A490&amp;""/edit#gid=156619080"",AS$3)"),"-77.5
-100
-77.5
-30
")</f>
        <v>-77.5
-100
-77.5
-30
</v>
      </c>
      <c r="AT490" s="18">
        <f>IFERROR(__xludf.DUMMYFUNCTION("IMPORTRANGE(""https://docs.google.com/spreadsheets/d/""&amp;$A490&amp;""/edit#gid=156619080"",AT$3)"),-76.51098901098901)</f>
        <v>-76.51098901</v>
      </c>
      <c r="AU490" s="3" t="str">
        <f>IFERROR(__xludf.DUMMYFUNCTION("IMPORTRANGE(""https://docs.google.com/spreadsheets/d/""&amp;$A490&amp;""/edit#gid=156619080"",AU$3)"),"-76.37
-76.37
-75.55
-72.94
")</f>
        <v>-76.37
-76.37
-75.55
-72.94
</v>
      </c>
      <c r="AV490" s="18">
        <f>IFERROR(__xludf.DUMMYFUNCTION("IMPORTRANGE(""https://docs.google.com/spreadsheets/d/""&amp;$A490&amp;""/edit#gid=156619080"",AV$3)"),-93.18181818181819)</f>
        <v>-93.18181818</v>
      </c>
      <c r="AW490" s="19" t="str">
        <f>IFERROR(__xludf.DUMMYFUNCTION("IMPORTRANGE(""https://docs.google.com/spreadsheets/d/""&amp;$A490&amp;""/edit#gid=156619080"",AW$3)"),"-91.17
-91.95
-93.25
-92.79
")</f>
        <v>-91.17
-91.95
-93.25
-92.79
</v>
      </c>
      <c r="AX490" s="2">
        <f>IFERROR(__xludf.DUMMYFUNCTION("IMPORTRANGE(""https://docs.google.com/spreadsheets/d/""&amp;$A490&amp;""/edit#gid=156619080"",AX$3)"),28.57)</f>
        <v>28.57</v>
      </c>
      <c r="AY490" s="2">
        <f>IFERROR(__xludf.DUMMYFUNCTION("IMPORTRANGE(""https://docs.google.com/spreadsheets/d/""&amp;$A490&amp;""/edit#gid=156619080"",AY$3)"),31.25)</f>
        <v>31.25</v>
      </c>
      <c r="AZ490" s="2">
        <f>IFERROR(__xludf.DUMMYFUNCTION("IMPORTRANGE(""https://docs.google.com/spreadsheets/d/""&amp;$A490&amp;""/edit#gid=156619080"",AZ$3)"),175.49)</f>
        <v>175.49</v>
      </c>
      <c r="BA490" s="2">
        <f>IFERROR(__xludf.DUMMYFUNCTION("IMPORTRANGE(""https://docs.google.com/spreadsheets/d/""&amp;$A490&amp;""/edit#gid=156619080"",BA$3)"),-3.799999999999983)</f>
        <v>-3.8</v>
      </c>
      <c r="BB490" s="2">
        <f>IFERROR(__xludf.DUMMYFUNCTION("IMPORTRANGE(""https://docs.google.com/spreadsheets/d/""&amp;$A490&amp;""/edit#gid=156619080"",BB$3)"),-3.05)</f>
        <v>-3.05</v>
      </c>
      <c r="BC490" s="2" t="str">
        <f>IFERROR(__xludf.DUMMYFUNCTION("IMPORTRANGE(""https://docs.google.com/spreadsheets/d/""&amp;$A490&amp;""/edit#gid=156619080"",BC$3)"),"DC→DC")</f>
        <v>DC→DC</v>
      </c>
    </row>
    <row r="491" ht="51.0" customHeight="1">
      <c r="A491" s="7" t="str">
        <f t="shared" si="5"/>
        <v>1z4-RILkA8FgbL1dot1AowzIp4UahhMmU417mDcuCswM</v>
      </c>
      <c r="B491" s="1" t="s">
        <v>518</v>
      </c>
      <c r="C491" s="2">
        <f>IFERROR(__xludf.DUMMYFUNCTION("IMPORTRANGE(""https://docs.google.com/spreadsheets/d/""&amp;$A491&amp;""/edit#gid=156619080"",C$3)"),87.0)</f>
        <v>87</v>
      </c>
      <c r="D491" s="2">
        <f>IFERROR(__xludf.DUMMYFUNCTION("IMPORTRANGE(""https://docs.google.com/spreadsheets/d/""&amp;$A491&amp;""/edit#gid=156619080"",D$3)"),6666.0)</f>
        <v>6666</v>
      </c>
      <c r="E491" s="15">
        <f>IFERROR(__xludf.DUMMYFUNCTION("IMPORTRANGE(""https://docs.google.com/spreadsheets/d/""&amp;$A491&amp;""/edit#gid=156619080"",E$3)"),43882.0)</f>
        <v>43882</v>
      </c>
      <c r="F491" s="2">
        <f>IFERROR(__xludf.DUMMYFUNCTION("IMPORTRANGE(""https://docs.google.com/spreadsheets/d/""&amp;$A491&amp;""/edit#gid=156619080"",F$3)"),15.0)</f>
        <v>15</v>
      </c>
      <c r="G491" s="16">
        <f>IFERROR(__xludf.DUMMYFUNCTION("IMPORTRANGE(""https://docs.google.com/spreadsheets/d/""&amp;$A491&amp;""/edit#gid=156619080"",G$3)"),3.61)</f>
        <v>3.61</v>
      </c>
      <c r="H491" s="16">
        <f>IFERROR(__xludf.DUMMYFUNCTION("IMPORTRANGE(""https://docs.google.com/spreadsheets/d/""&amp;$A491&amp;""/edit#gid=156619080"",H$3)"),425.0)</f>
        <v>425</v>
      </c>
      <c r="I491" s="16">
        <f>IFERROR(__xludf.DUMMYFUNCTION("IMPORTRANGE(""https://docs.google.com/spreadsheets/d/""&amp;$A491&amp;""/edit#gid=156619080"",I$3)"),5.0)</f>
        <v>5</v>
      </c>
      <c r="J491" s="16">
        <f>IFERROR(__xludf.DUMMYFUNCTION("IMPORTRANGE(""https://docs.google.com/spreadsheets/d/""&amp;$A491&amp;""/edit#gid=156619080"",J$3)"),439.0)</f>
        <v>439</v>
      </c>
      <c r="K491" s="16">
        <f>IFERROR(__xludf.DUMMYFUNCTION("IMPORTRANGE(""https://docs.google.com/spreadsheets/d/""&amp;$A491&amp;""/edit#gid=156619080"",K$3)"),0.3861111111111111)</f>
        <v>0.3861111111</v>
      </c>
      <c r="L491" s="16">
        <f>IFERROR(__xludf.DUMMYFUNCTION("IMPORTRANGE(""https://docs.google.com/spreadsheets/d/""&amp;$A491&amp;""/edit#gid=156619080"",L$3)"),419.0)</f>
        <v>419</v>
      </c>
      <c r="M491" s="16">
        <f>IFERROR(__xludf.DUMMYFUNCTION("IMPORTRANGE(""https://docs.google.com/spreadsheets/d/""&amp;$A491&amp;""/edit#gid=156619080"",M$3)"),0.3770833333333333)</f>
        <v>0.3770833333</v>
      </c>
      <c r="N491" s="16">
        <f>IFERROR(__xludf.DUMMYFUNCTION("IMPORTRANGE(""https://docs.google.com/spreadsheets/d/""&amp;$A491&amp;""/edit#gid=156619080"",N$3)"),430.0)</f>
        <v>430</v>
      </c>
      <c r="O491" s="16" t="str">
        <f>IFERROR(__xludf.DUMMYFUNCTION("IMPORTRANGE(""https://docs.google.com/spreadsheets/d/""&amp;$A491&amp;""/edit#gid=156619080"",O$3)"),"140900株")</f>
        <v>140900株</v>
      </c>
      <c r="P491" s="16" t="str">
        <f>IFERROR(__xludf.DUMMYFUNCTION("IMPORTRANGE(""https://docs.google.com/spreadsheets/d/""&amp;$A491&amp;""/edit#gid=156619080"",P$3)"),"61百万円")</f>
        <v>61百万円</v>
      </c>
      <c r="Q491" s="16" t="str">
        <f>IFERROR(__xludf.DUMMYFUNCTION("IMPORTRANGE(""https://docs.google.com/spreadsheets/d/""&amp;$A491&amp;""/edit#gid=156619080"",Q$3)"),"344回")</f>
        <v>344回</v>
      </c>
      <c r="R491" s="16" t="str">
        <f>IFERROR(__xludf.DUMMYFUNCTION("IMPORTRANGE(""https://docs.google.com/spreadsheets/d/""&amp;$A491&amp;""/edit#gid=156619080"",R$3)"),"32.2億円")</f>
        <v>32.2億円</v>
      </c>
      <c r="S491" s="16" t="str">
        <f>IFERROR(__xludf.DUMMYFUNCTION("IMPORTRANGE(""https://docs.google.com/spreadsheets/d/""&amp;$A491&amp;""/edit#gid=156619080"",S$3)"),"陽線")</f>
        <v>陽線</v>
      </c>
      <c r="T491" s="16" t="str">
        <f>IFERROR(__xludf.DUMMYFUNCTION("IMPORTRANGE(""https://docs.google.com/spreadsheets/d/""&amp;$A491&amp;""/edit#gid=156619080"",T$3)"),"")</f>
        <v/>
      </c>
      <c r="U491" s="16">
        <f>IFERROR(__xludf.DUMMYFUNCTION("IMPORTRANGE(""https://docs.google.com/spreadsheets/d/""&amp;$A491&amp;""/edit#gid=156619080"",U$3)"),423.0)</f>
        <v>423</v>
      </c>
      <c r="V491" s="16">
        <f>IFERROR(__xludf.DUMMYFUNCTION("IMPORTRANGE(""https://docs.google.com/spreadsheets/d/""&amp;$A491&amp;""/edit#gid=156619080"",V$3)"),419.4)</f>
        <v>419.4</v>
      </c>
      <c r="W491" s="16">
        <f>IFERROR(__xludf.DUMMYFUNCTION("IMPORTRANGE(""https://docs.google.com/spreadsheets/d/""&amp;$A491&amp;""/edit#gid=156619080"",W$3)"),437.4)</f>
        <v>437.4</v>
      </c>
      <c r="X491" s="2" t="str">
        <f>IFERROR(__xludf.DUMMYFUNCTION("IMPORTRANGE(""https://docs.google.com/spreadsheets/d/""&amp;$A491&amp;""/edit#gid=156619080"",X$3)"),"")</f>
        <v/>
      </c>
      <c r="Y491" s="17">
        <f>IFERROR(__xludf.DUMMYFUNCTION("IMPORTRANGE(""https://docs.google.com/spreadsheets/d/""&amp;$A491&amp;""/edit#gid=156619080"",Y$3)"),0.016548463356973995)</f>
        <v>0.01654846336</v>
      </c>
      <c r="Z491" s="2">
        <f>IFERROR(__xludf.DUMMYFUNCTION("IMPORTRANGE(""https://docs.google.com/spreadsheets/d/""&amp;$A491&amp;""/edit#gid=156619080"",Z$3)"),494.22)</f>
        <v>494.22</v>
      </c>
      <c r="AA491" s="2">
        <f>IFERROR(__xludf.DUMMYFUNCTION("IMPORTRANGE(""https://docs.google.com/spreadsheets/d/""&amp;$A491&amp;""/edit#gid=156619080"",AA$3)"),487.12)</f>
        <v>487.12</v>
      </c>
      <c r="AB491" s="2">
        <f>IFERROR(__xludf.DUMMYFUNCTION("IMPORTRANGE(""https://docs.google.com/spreadsheets/d/""&amp;$A491&amp;""/edit#gid=156619080"",AB$3)"),480.02)</f>
        <v>480.02</v>
      </c>
      <c r="AC491" s="18">
        <f>IFERROR(__xludf.DUMMYFUNCTION("IMPORTRANGE(""https://docs.google.com/spreadsheets/d/""&amp;$A491&amp;""/edit#gid=156619080"",AC$3)"),472.91)</f>
        <v>472.91</v>
      </c>
      <c r="AD491" s="18">
        <f>IFERROR(__xludf.DUMMYFUNCTION("IMPORTRANGE(""https://docs.google.com/spreadsheets/d/""&amp;$A491&amp;""/edit#gid=156619080"",AD$3)"),465.81)</f>
        <v>465.81</v>
      </c>
      <c r="AE491" s="18">
        <f>IFERROR(__xludf.DUMMYFUNCTION("IMPORTRANGE(""https://docs.google.com/spreadsheets/d/""&amp;$A491&amp;""/edit#gid=156619080"",AE$3)"),437.4)</f>
        <v>437.4</v>
      </c>
      <c r="AF491" s="2">
        <f>IFERROR(__xludf.DUMMYFUNCTION("IMPORTRANGE(""https://docs.google.com/spreadsheets/d/""&amp;$A491&amp;""/edit#gid=156619080"",AF$3)"),408.99)</f>
        <v>408.99</v>
      </c>
      <c r="AG491" s="2">
        <f>IFERROR(__xludf.DUMMYFUNCTION("IMPORTRANGE(""https://docs.google.com/spreadsheets/d/""&amp;$A491&amp;""/edit#gid=156619080"",AG$3)"),401.89)</f>
        <v>401.89</v>
      </c>
      <c r="AH491" s="2">
        <f>IFERROR(__xludf.DUMMYFUNCTION("IMPORTRANGE(""https://docs.google.com/spreadsheets/d/""&amp;$A491&amp;""/edit#gid=156619080"",AH$3)"),394.78)</f>
        <v>394.78</v>
      </c>
      <c r="AI491" s="2">
        <f>IFERROR(__xludf.DUMMYFUNCTION("IMPORTRANGE(""https://docs.google.com/spreadsheets/d/""&amp;$A491&amp;""/edit#gid=156619080"",AI$3)"),387.68)</f>
        <v>387.68</v>
      </c>
      <c r="AJ491" s="2">
        <f>IFERROR(__xludf.DUMMYFUNCTION("IMPORTRANGE(""https://docs.google.com/spreadsheets/d/""&amp;$A491&amp;""/edit#gid=156619080"",AJ$3)"),380.58)</f>
        <v>380.58</v>
      </c>
      <c r="AK491" s="2" t="str">
        <f>IFERROR(__xludf.DUMMYFUNCTION("IMPORTRANGE(""https://docs.google.com/spreadsheets/d/""&amp;$A491&amp;""/edit#gid=156619080"",AK$3)"),"")</f>
        <v/>
      </c>
      <c r="AL491" s="2">
        <f>IFERROR(__xludf.DUMMYFUNCTION("IMPORTRANGE(""https://docs.google.com/spreadsheets/d/""&amp;$A491&amp;""/edit#gid=156619080"",AL$3)"),1.0)</f>
        <v>1</v>
      </c>
      <c r="AM491" s="2" t="str">
        <f>IFERROR(__xludf.DUMMYFUNCTION("IMPORTRANGE(""https://docs.google.com/spreadsheets/d/""&amp;$A491&amp;""/edit#gid=156619080"",AM$3)"),"")</f>
        <v/>
      </c>
      <c r="AN491" s="2">
        <f>IFERROR(__xludf.DUMMYFUNCTION("IMPORTRANGE(""https://docs.google.com/spreadsheets/d/""&amp;$A491&amp;""/edit#gid=156619080"",AN$3)"),-1.0)</f>
        <v>-1</v>
      </c>
      <c r="AO491" s="2" t="str">
        <f>IFERROR(__xludf.DUMMYFUNCTION("IMPORTRANGE(""https://docs.google.com/spreadsheets/d/""&amp;$A491&amp;""/edit#gid=156619080"",AO$3)"),"")</f>
        <v/>
      </c>
      <c r="AP491" s="2">
        <f>IFERROR(__xludf.DUMMYFUNCTION("IMPORTRANGE(""https://docs.google.com/spreadsheets/d/""&amp;$A491&amp;""/edit#gid=156619080"",AP$3)"),-1.0)</f>
        <v>-1</v>
      </c>
      <c r="AQ491" s="2" t="str">
        <f>IFERROR(__xludf.DUMMYFUNCTION("IMPORTRANGE(""https://docs.google.com/spreadsheets/d/""&amp;$A491&amp;""/edit#gid=156619080"",AQ$3)"),"")</f>
        <v/>
      </c>
      <c r="AR491" s="18">
        <f>IFERROR(__xludf.DUMMYFUNCTION("IMPORTRANGE(""https://docs.google.com/spreadsheets/d/""&amp;$A491&amp;""/edit#gid=156619080"",AR$3)"),65.0)</f>
        <v>65</v>
      </c>
      <c r="AS491" s="19" t="str">
        <f>IFERROR(__xludf.DUMMYFUNCTION("IMPORTRANGE(""https://docs.google.com/spreadsheets/d/""&amp;$A491&amp;""/edit#gid=156619080"",AS$3)"),"65
65
15
15
")</f>
        <v>65
65
15
15
</v>
      </c>
      <c r="AT491" s="18">
        <f>IFERROR(__xludf.DUMMYFUNCTION("IMPORTRANGE(""https://docs.google.com/spreadsheets/d/""&amp;$A491&amp;""/edit#gid=156619080"",AT$3)"),3.57142857142857)</f>
        <v>3.571428571</v>
      </c>
      <c r="AU491" s="3" t="str">
        <f>IFERROR(__xludf.DUMMYFUNCTION("IMPORTRANGE(""https://docs.google.com/spreadsheets/d/""&amp;$A491&amp;""/edit#gid=156619080"",AU$3)"),"-84.34
-74.45
-62.36
-32.14
")</f>
        <v>-84.34
-74.45
-62.36
-32.14
</v>
      </c>
      <c r="AV491" s="18">
        <f>IFERROR(__xludf.DUMMYFUNCTION("IMPORTRANGE(""https://docs.google.com/spreadsheets/d/""&amp;$A491&amp;""/edit#gid=156619080"",AV$3)"),-75.12987012987014)</f>
        <v>-75.12987013</v>
      </c>
      <c r="AW491" s="19" t="str">
        <f>IFERROR(__xludf.DUMMYFUNCTION("IMPORTRANGE(""https://docs.google.com/spreadsheets/d/""&amp;$A491&amp;""/edit#gid=156619080"",AW$3)"),"-87.34
-87.34
-87.99
-83.57
")</f>
        <v>-87.34
-87.34
-87.99
-83.57
</v>
      </c>
      <c r="AX491" s="2">
        <f>IFERROR(__xludf.DUMMYFUNCTION("IMPORTRANGE(""https://docs.google.com/spreadsheets/d/""&amp;$A491&amp;""/edit#gid=156619080"",AX$3)"),60.0)</f>
        <v>60</v>
      </c>
      <c r="AY491" s="2">
        <f>IFERROR(__xludf.DUMMYFUNCTION("IMPORTRANGE(""https://docs.google.com/spreadsheets/d/""&amp;$A491&amp;""/edit#gid=156619080"",AY$3)"),27.860000000000003)</f>
        <v>27.86</v>
      </c>
      <c r="AZ491" s="2">
        <f>IFERROR(__xludf.DUMMYFUNCTION("IMPORTRANGE(""https://docs.google.com/spreadsheets/d/""&amp;$A491&amp;""/edit#gid=156619080"",AZ$3)"),423.99)</f>
        <v>423.99</v>
      </c>
      <c r="BA491" s="2">
        <f>IFERROR(__xludf.DUMMYFUNCTION("IMPORTRANGE(""https://docs.google.com/spreadsheets/d/""&amp;$A491&amp;""/edit#gid=156619080"",BA$3)"),-11.079999999999984)</f>
        <v>-11.08</v>
      </c>
      <c r="BB491" s="2">
        <f>IFERROR(__xludf.DUMMYFUNCTION("IMPORTRANGE(""https://docs.google.com/spreadsheets/d/""&amp;$A491&amp;""/edit#gid=156619080"",BB$3)"),-20.05)</f>
        <v>-20.05</v>
      </c>
      <c r="BC491" s="2" t="str">
        <f>IFERROR(__xludf.DUMMYFUNCTION("IMPORTRANGE(""https://docs.google.com/spreadsheets/d/""&amp;$A491&amp;""/edit#gid=156619080"",BC$3)"),"GC→GC")</f>
        <v>GC→GC</v>
      </c>
    </row>
    <row r="492" ht="51.0" customHeight="1">
      <c r="A492" s="7" t="str">
        <f t="shared" si="5"/>
        <v>1cTwTYTSzLzw7MLkX-_JEVZEZbRxrZgFw-HFiVw_4pls</v>
      </c>
      <c r="B492" s="1" t="s">
        <v>519</v>
      </c>
      <c r="C492" s="2">
        <f>IFERROR(__xludf.DUMMYFUNCTION("IMPORTRANGE(""https://docs.google.com/spreadsheets/d/""&amp;$A492&amp;""/edit#gid=156619080"",C$3)"),75.0)</f>
        <v>75</v>
      </c>
      <c r="D492" s="2">
        <f>IFERROR(__xludf.DUMMYFUNCTION("IMPORTRANGE(""https://docs.google.com/spreadsheets/d/""&amp;$A492&amp;""/edit#gid=156619080"",D$3)"),4998.0)</f>
        <v>4998</v>
      </c>
      <c r="E492" s="15">
        <f>IFERROR(__xludf.DUMMYFUNCTION("IMPORTRANGE(""https://docs.google.com/spreadsheets/d/""&amp;$A492&amp;""/edit#gid=156619080"",E$3)"),43882.0)</f>
        <v>43882</v>
      </c>
      <c r="F492" s="2">
        <f>IFERROR(__xludf.DUMMYFUNCTION("IMPORTRANGE(""https://docs.google.com/spreadsheets/d/""&amp;$A492&amp;""/edit#gid=156619080"",F$3)"),17.0)</f>
        <v>17</v>
      </c>
      <c r="G492" s="16">
        <f>IFERROR(__xludf.DUMMYFUNCTION("IMPORTRANGE(""https://docs.google.com/spreadsheets/d/""&amp;$A492&amp;""/edit#gid=156619080"",G$3)"),1.21)</f>
        <v>1.21</v>
      </c>
      <c r="H492" s="16">
        <f>IFERROR(__xludf.DUMMYFUNCTION("IMPORTRANGE(""https://docs.google.com/spreadsheets/d/""&amp;$A492&amp;""/edit#gid=156619080"",H$3)"),1406.0)</f>
        <v>1406</v>
      </c>
      <c r="I492" s="16">
        <f>IFERROR(__xludf.DUMMYFUNCTION("IMPORTRANGE(""https://docs.google.com/spreadsheets/d/""&amp;$A492&amp;""/edit#gid=156619080"",I$3)"),-3.0)</f>
        <v>-3</v>
      </c>
      <c r="J492" s="16">
        <f>IFERROR(__xludf.DUMMYFUNCTION("IMPORTRANGE(""https://docs.google.com/spreadsheets/d/""&amp;$A492&amp;""/edit#gid=156619080"",J$3)"),1437.0)</f>
        <v>1437</v>
      </c>
      <c r="K492" s="16">
        <f>IFERROR(__xludf.DUMMYFUNCTION("IMPORTRANGE(""https://docs.google.com/spreadsheets/d/""&amp;$A492&amp;""/edit#gid=156619080"",K$3)"),0.38333333333333336)</f>
        <v>0.3833333333</v>
      </c>
      <c r="L492" s="16">
        <f>IFERROR(__xludf.DUMMYFUNCTION("IMPORTRANGE(""https://docs.google.com/spreadsheets/d/""&amp;$A492&amp;""/edit#gid=156619080"",L$3)"),1406.0)</f>
        <v>1406</v>
      </c>
      <c r="M492" s="16">
        <f>IFERROR(__xludf.DUMMYFUNCTION("IMPORTRANGE(""https://docs.google.com/spreadsheets/d/""&amp;$A492&amp;""/edit#gid=156619080"",M$3)"),0.375)</f>
        <v>0.375</v>
      </c>
      <c r="N492" s="16">
        <f>IFERROR(__xludf.DUMMYFUNCTION("IMPORTRANGE(""https://docs.google.com/spreadsheets/d/""&amp;$A492&amp;""/edit#gid=156619080"",N$3)"),1420.0)</f>
        <v>1420</v>
      </c>
      <c r="O492" s="16" t="str">
        <f>IFERROR(__xludf.DUMMYFUNCTION("IMPORTRANGE(""https://docs.google.com/spreadsheets/d/""&amp;$A492&amp;""/edit#gid=156619080"",O$3)"),"47100株")</f>
        <v>47100株</v>
      </c>
      <c r="P492" s="16" t="str">
        <f>IFERROR(__xludf.DUMMYFUNCTION("IMPORTRANGE(""https://docs.google.com/spreadsheets/d/""&amp;$A492&amp;""/edit#gid=156619080"",P$3)"),"67百万円")</f>
        <v>67百万円</v>
      </c>
      <c r="Q492" s="16" t="str">
        <f>IFERROR(__xludf.DUMMYFUNCTION("IMPORTRANGE(""https://docs.google.com/spreadsheets/d/""&amp;$A492&amp;""/edit#gid=156619080"",Q$3)"),"248回")</f>
        <v>248回</v>
      </c>
      <c r="R492" s="16" t="str">
        <f>IFERROR(__xludf.DUMMYFUNCTION("IMPORTRANGE(""https://docs.google.com/spreadsheets/d/""&amp;$A492&amp;""/edit#gid=156619080"",R$3)"),"234億円")</f>
        <v>234億円</v>
      </c>
      <c r="S492" s="16" t="str">
        <f>IFERROR(__xludf.DUMMYFUNCTION("IMPORTRANGE(""https://docs.google.com/spreadsheets/d/""&amp;$A492&amp;""/edit#gid=156619080"",S$3)"),"陽線")</f>
        <v>陽線</v>
      </c>
      <c r="T492" s="16" t="str">
        <f>IFERROR(__xludf.DUMMYFUNCTION("IMPORTRANGE(""https://docs.google.com/spreadsheets/d/""&amp;$A492&amp;""/edit#gid=156619080"",T$3)"),"")</f>
        <v/>
      </c>
      <c r="U492" s="16">
        <f>IFERROR(__xludf.DUMMYFUNCTION("IMPORTRANGE(""https://docs.google.com/spreadsheets/d/""&amp;$A492&amp;""/edit#gid=156619080"",U$3)"),1437.0)</f>
        <v>1437</v>
      </c>
      <c r="V492" s="16">
        <f>IFERROR(__xludf.DUMMYFUNCTION("IMPORTRANGE(""https://docs.google.com/spreadsheets/d/""&amp;$A492&amp;""/edit#gid=156619080"",V$3)"),1377.9)</f>
        <v>1377.9</v>
      </c>
      <c r="W492" s="16">
        <f>IFERROR(__xludf.DUMMYFUNCTION("IMPORTRANGE(""https://docs.google.com/spreadsheets/d/""&amp;$A492&amp;""/edit#gid=156619080"",W$3)"),1343.0)</f>
        <v>1343</v>
      </c>
      <c r="X492" s="2" t="str">
        <f>IFERROR(__xludf.DUMMYFUNCTION("IMPORTRANGE(""https://docs.google.com/spreadsheets/d/""&amp;$A492&amp;""/edit#gid=156619080"",X$3)"),"")</f>
        <v/>
      </c>
      <c r="Y492" s="17">
        <f>IFERROR(__xludf.DUMMYFUNCTION("IMPORTRANGE(""https://docs.google.com/spreadsheets/d/""&amp;$A492&amp;""/edit#gid=156619080"",Y$3)"),-0.011830201809324982)</f>
        <v>-0.01183020181</v>
      </c>
      <c r="Z492" s="2">
        <f>IFERROR(__xludf.DUMMYFUNCTION("IMPORTRANGE(""https://docs.google.com/spreadsheets/d/""&amp;$A492&amp;""/edit#gid=156619080"",Z$3)"),1477.6)</f>
        <v>1477.6</v>
      </c>
      <c r="AA492" s="2">
        <f>IFERROR(__xludf.DUMMYFUNCTION("IMPORTRANGE(""https://docs.google.com/spreadsheets/d/""&amp;$A492&amp;""/edit#gid=156619080"",AA$3)"),1460.77)</f>
        <v>1460.77</v>
      </c>
      <c r="AB492" s="2">
        <f>IFERROR(__xludf.DUMMYFUNCTION("IMPORTRANGE(""https://docs.google.com/spreadsheets/d/""&amp;$A492&amp;""/edit#gid=156619080"",AB$3)"),1443.95)</f>
        <v>1443.95</v>
      </c>
      <c r="AC492" s="18">
        <f>IFERROR(__xludf.DUMMYFUNCTION("IMPORTRANGE(""https://docs.google.com/spreadsheets/d/""&amp;$A492&amp;""/edit#gid=156619080"",AC$3)"),1427.12)</f>
        <v>1427.12</v>
      </c>
      <c r="AD492" s="18">
        <f>IFERROR(__xludf.DUMMYFUNCTION("IMPORTRANGE(""https://docs.google.com/spreadsheets/d/""&amp;$A492&amp;""/edit#gid=156619080"",AD$3)"),1410.3)</f>
        <v>1410.3</v>
      </c>
      <c r="AE492" s="18">
        <f>IFERROR(__xludf.DUMMYFUNCTION("IMPORTRANGE(""https://docs.google.com/spreadsheets/d/""&amp;$A492&amp;""/edit#gid=156619080"",AE$3)"),1343.0)</f>
        <v>1343</v>
      </c>
      <c r="AF492" s="2">
        <f>IFERROR(__xludf.DUMMYFUNCTION("IMPORTRANGE(""https://docs.google.com/spreadsheets/d/""&amp;$A492&amp;""/edit#gid=156619080"",AF$3)"),1275.7)</f>
        <v>1275.7</v>
      </c>
      <c r="AG492" s="2">
        <f>IFERROR(__xludf.DUMMYFUNCTION("IMPORTRANGE(""https://docs.google.com/spreadsheets/d/""&amp;$A492&amp;""/edit#gid=156619080"",AG$3)"),1258.88)</f>
        <v>1258.88</v>
      </c>
      <c r="AH492" s="2">
        <f>IFERROR(__xludf.DUMMYFUNCTION("IMPORTRANGE(""https://docs.google.com/spreadsheets/d/""&amp;$A492&amp;""/edit#gid=156619080"",AH$3)"),1242.05)</f>
        <v>1242.05</v>
      </c>
      <c r="AI492" s="2">
        <f>IFERROR(__xludf.DUMMYFUNCTION("IMPORTRANGE(""https://docs.google.com/spreadsheets/d/""&amp;$A492&amp;""/edit#gid=156619080"",AI$3)"),1225.23)</f>
        <v>1225.23</v>
      </c>
      <c r="AJ492" s="2">
        <f>IFERROR(__xludf.DUMMYFUNCTION("IMPORTRANGE(""https://docs.google.com/spreadsheets/d/""&amp;$A492&amp;""/edit#gid=156619080"",AJ$3)"),1208.4)</f>
        <v>1208.4</v>
      </c>
      <c r="AK492" s="2" t="str">
        <f>IFERROR(__xludf.DUMMYFUNCTION("IMPORTRANGE(""https://docs.google.com/spreadsheets/d/""&amp;$A492&amp;""/edit#gid=156619080"",AK$3)"),"1〜1.25σ")</f>
        <v>1〜1.25σ</v>
      </c>
      <c r="AL492" s="2">
        <f>IFERROR(__xludf.DUMMYFUNCTION("IMPORTRANGE(""https://docs.google.com/spreadsheets/d/""&amp;$A492&amp;""/edit#gid=156619080"",AL$3)"),1.0)</f>
        <v>1</v>
      </c>
      <c r="AM492" s="2" t="str">
        <f>IFERROR(__xludf.DUMMYFUNCTION("IMPORTRANGE(""https://docs.google.com/spreadsheets/d/""&amp;$A492&amp;""/edit#gid=156619080"",AM$3)"),"")</f>
        <v/>
      </c>
      <c r="AN492" s="2">
        <f>IFERROR(__xludf.DUMMYFUNCTION("IMPORTRANGE(""https://docs.google.com/spreadsheets/d/""&amp;$A492&amp;""/edit#gid=156619080"",AN$3)"),1.0)</f>
        <v>1</v>
      </c>
      <c r="AO492" s="2" t="str">
        <f>IFERROR(__xludf.DUMMYFUNCTION("IMPORTRANGE(""https://docs.google.com/spreadsheets/d/""&amp;$A492&amp;""/edit#gid=156619080"",AO$3)"),"")</f>
        <v/>
      </c>
      <c r="AP492" s="2">
        <f>IFERROR(__xludf.DUMMYFUNCTION("IMPORTRANGE(""https://docs.google.com/spreadsheets/d/""&amp;$A492&amp;""/edit#gid=156619080"",AP$3)"),1.0)</f>
        <v>1</v>
      </c>
      <c r="AQ492" s="2" t="str">
        <f>IFERROR(__xludf.DUMMYFUNCTION("IMPORTRANGE(""https://docs.google.com/spreadsheets/d/""&amp;$A492&amp;""/edit#gid=156619080"",AQ$3)"),"")</f>
        <v/>
      </c>
      <c r="AR492" s="18">
        <f>IFERROR(__xludf.DUMMYFUNCTION("IMPORTRANGE(""https://docs.google.com/spreadsheets/d/""&amp;$A492&amp;""/edit#gid=156619080"",AR$3)"),-80.0)</f>
        <v>-80</v>
      </c>
      <c r="AS492" s="19" t="str">
        <f>IFERROR(__xludf.DUMMYFUNCTION("IMPORTRANGE(""https://docs.google.com/spreadsheets/d/""&amp;$A492&amp;""/edit#gid=156619080"",AS$3)"),"67.5
87.5
70
-30
")</f>
        <v>67.5
87.5
70
-30
</v>
      </c>
      <c r="AT492" s="18">
        <f>IFERROR(__xludf.DUMMYFUNCTION("IMPORTRANGE(""https://docs.google.com/spreadsheets/d/""&amp;$A492&amp;""/edit#gid=156619080"",AT$3)"),83.37912087912088)</f>
        <v>83.37912088</v>
      </c>
      <c r="AU492" s="3" t="str">
        <f>IFERROR(__xludf.DUMMYFUNCTION("IMPORTRANGE(""https://docs.google.com/spreadsheets/d/""&amp;$A492&amp;""/edit#gid=156619080"",AU$3)"),"87.23
86.68
89.97
85.58
")</f>
        <v>87.23
86.68
89.97
85.58
</v>
      </c>
      <c r="AV492" s="18">
        <f>IFERROR(__xludf.DUMMYFUNCTION("IMPORTRANGE(""https://docs.google.com/spreadsheets/d/""&amp;$A492&amp;""/edit#gid=156619080"",AV$3)"),88.99350649350649)</f>
        <v>88.99350649</v>
      </c>
      <c r="AW492" s="19" t="str">
        <f>IFERROR(__xludf.DUMMYFUNCTION("IMPORTRANGE(""https://docs.google.com/spreadsheets/d/""&amp;$A492&amp;""/edit#gid=156619080"",AW$3)"),"90.68
90.55
90.29
90.03
")</f>
        <v>90.68
90.55
90.29
90.03
</v>
      </c>
      <c r="AX492" s="2">
        <f>IFERROR(__xludf.DUMMYFUNCTION("IMPORTRANGE(""https://docs.google.com/spreadsheets/d/""&amp;$A492&amp;""/edit#gid=156619080"",AX$3)"),49.480000000000004)</f>
        <v>49.48</v>
      </c>
      <c r="AY492" s="2">
        <f>IFERROR(__xludf.DUMMYFUNCTION("IMPORTRANGE(""https://docs.google.com/spreadsheets/d/""&amp;$A492&amp;""/edit#gid=156619080"",AY$3)"),59.95)</f>
        <v>59.95</v>
      </c>
      <c r="AZ492" s="2">
        <f>IFERROR(__xludf.DUMMYFUNCTION("IMPORTRANGE(""https://docs.google.com/spreadsheets/d/""&amp;$A492&amp;""/edit#gid=156619080"",AZ$3)"),1418.81)</f>
        <v>1418.81</v>
      </c>
      <c r="BA492" s="2">
        <f>IFERROR(__xludf.DUMMYFUNCTION("IMPORTRANGE(""https://docs.google.com/spreadsheets/d/""&amp;$A492&amp;""/edit#gid=156619080"",BA$3)"),69.49000000000001)</f>
        <v>69.49</v>
      </c>
      <c r="BB492" s="2">
        <f>IFERROR(__xludf.DUMMYFUNCTION("IMPORTRANGE(""https://docs.google.com/spreadsheets/d/""&amp;$A492&amp;""/edit#gid=156619080"",BB$3)"),68.7)</f>
        <v>68.7</v>
      </c>
      <c r="BC492" s="2" t="str">
        <f>IFERROR(__xludf.DUMMYFUNCTION("IMPORTRANGE(""https://docs.google.com/spreadsheets/d/""&amp;$A492&amp;""/edit#gid=156619080"",BC$3)"),"GC→GC")</f>
        <v>GC→GC</v>
      </c>
    </row>
    <row r="493" ht="51.0" customHeight="1">
      <c r="A493" s="7" t="str">
        <f t="shared" si="5"/>
        <v>1h9nXJqATDyWvMhZCm86x4K5iKc9JyFfkkaNxYgi4wko</v>
      </c>
      <c r="B493" s="1" t="s">
        <v>520</v>
      </c>
      <c r="C493" s="2">
        <f>IFERROR(__xludf.DUMMYFUNCTION("IMPORTRANGE(""https://docs.google.com/spreadsheets/d/""&amp;$A493&amp;""/edit#gid=156619080"",C$3)"),75.0)</f>
        <v>75</v>
      </c>
      <c r="D493" s="2">
        <f>IFERROR(__xludf.DUMMYFUNCTION("IMPORTRANGE(""https://docs.google.com/spreadsheets/d/""&amp;$A493&amp;""/edit#gid=156619080"",D$3)"),1813.0)</f>
        <v>1813</v>
      </c>
      <c r="E493" s="15">
        <f>IFERROR(__xludf.DUMMYFUNCTION("IMPORTRANGE(""https://docs.google.com/spreadsheets/d/""&amp;$A493&amp;""/edit#gid=156619080"",E$3)"),43882.0)</f>
        <v>43882</v>
      </c>
      <c r="F493" s="2">
        <f>IFERROR(__xludf.DUMMYFUNCTION("IMPORTRANGE(""https://docs.google.com/spreadsheets/d/""&amp;$A493&amp;""/edit#gid=156619080"",F$3)"),-27.0)</f>
        <v>-27</v>
      </c>
      <c r="G493" s="16">
        <f>IFERROR(__xludf.DUMMYFUNCTION("IMPORTRANGE(""https://docs.google.com/spreadsheets/d/""&amp;$A493&amp;""/edit#gid=156619080"",G$3)"),-1.65)</f>
        <v>-1.65</v>
      </c>
      <c r="H493" s="16">
        <f>IFERROR(__xludf.DUMMYFUNCTION("IMPORTRANGE(""https://docs.google.com/spreadsheets/d/""&amp;$A493&amp;""/edit#gid=156619080"",H$3)"),1640.0)</f>
        <v>1640</v>
      </c>
      <c r="I493" s="16">
        <f>IFERROR(__xludf.DUMMYFUNCTION("IMPORTRANGE(""https://docs.google.com/spreadsheets/d/""&amp;$A493&amp;""/edit#gid=156619080"",I$3)"),1.0)</f>
        <v>1</v>
      </c>
      <c r="J493" s="16">
        <f>IFERROR(__xludf.DUMMYFUNCTION("IMPORTRANGE(""https://docs.google.com/spreadsheets/d/""&amp;$A493&amp;""/edit#gid=156619080"",J$3)"),1641.0)</f>
        <v>1641</v>
      </c>
      <c r="K493" s="16">
        <f>IFERROR(__xludf.DUMMYFUNCTION("IMPORTRANGE(""https://docs.google.com/spreadsheets/d/""&amp;$A493&amp;""/edit#gid=156619080"",K$3)"),0.3840277777777778)</f>
        <v>0.3840277778</v>
      </c>
      <c r="L493" s="16">
        <f>IFERROR(__xludf.DUMMYFUNCTION("IMPORTRANGE(""https://docs.google.com/spreadsheets/d/""&amp;$A493&amp;""/edit#gid=156619080"",L$3)"),1611.0)</f>
        <v>1611</v>
      </c>
      <c r="M493" s="16">
        <f>IFERROR(__xludf.DUMMYFUNCTION("IMPORTRANGE(""https://docs.google.com/spreadsheets/d/""&amp;$A493&amp;""/edit#gid=156619080"",M$3)"),0.6236111111111111)</f>
        <v>0.6236111111</v>
      </c>
      <c r="N493" s="16">
        <f>IFERROR(__xludf.DUMMYFUNCTION("IMPORTRANGE(""https://docs.google.com/spreadsheets/d/""&amp;$A493&amp;""/edit#gid=156619080"",N$3)"),1614.0)</f>
        <v>1614</v>
      </c>
      <c r="O493" s="16" t="str">
        <f>IFERROR(__xludf.DUMMYFUNCTION("IMPORTRANGE(""https://docs.google.com/spreadsheets/d/""&amp;$A493&amp;""/edit#gid=156619080"",O$3)"),"115400株")</f>
        <v>115400株</v>
      </c>
      <c r="P493" s="16" t="str">
        <f>IFERROR(__xludf.DUMMYFUNCTION("IMPORTRANGE(""https://docs.google.com/spreadsheets/d/""&amp;$A493&amp;""/edit#gid=156619080"",P$3)"),"187百万円")</f>
        <v>187百万円</v>
      </c>
      <c r="Q493" s="16" t="str">
        <f>IFERROR(__xludf.DUMMYFUNCTION("IMPORTRANGE(""https://docs.google.com/spreadsheets/d/""&amp;$A493&amp;""/edit#gid=156619080"",Q$3)"),"698回")</f>
        <v>698回</v>
      </c>
      <c r="R493" s="16" t="str">
        <f>IFERROR(__xludf.DUMMYFUNCTION("IMPORTRANGE(""https://docs.google.com/spreadsheets/d/""&amp;$A493&amp;""/edit#gid=156619080"",R$3)"),"266億円")</f>
        <v>266億円</v>
      </c>
      <c r="S493" s="16" t="str">
        <f>IFERROR(__xludf.DUMMYFUNCTION("IMPORTRANGE(""https://docs.google.com/spreadsheets/d/""&amp;$A493&amp;""/edit#gid=156619080"",S$3)"),"陰線")</f>
        <v>陰線</v>
      </c>
      <c r="T493" s="16" t="str">
        <f>IFERROR(__xludf.DUMMYFUNCTION("IMPORTRANGE(""https://docs.google.com/spreadsheets/d/""&amp;$A493&amp;""/edit#gid=156619080"",T$3)"),"")</f>
        <v/>
      </c>
      <c r="U493" s="16">
        <f>IFERROR(__xludf.DUMMYFUNCTION("IMPORTRANGE(""https://docs.google.com/spreadsheets/d/""&amp;$A493&amp;""/edit#gid=156619080"",U$3)"),1636.6)</f>
        <v>1636.6</v>
      </c>
      <c r="V493" s="16">
        <f>IFERROR(__xludf.DUMMYFUNCTION("IMPORTRANGE(""https://docs.google.com/spreadsheets/d/""&amp;$A493&amp;""/edit#gid=156619080"",V$3)"),1682.7)</f>
        <v>1682.7</v>
      </c>
      <c r="W493" s="16">
        <f>IFERROR(__xludf.DUMMYFUNCTION("IMPORTRANGE(""https://docs.google.com/spreadsheets/d/""&amp;$A493&amp;""/edit#gid=156619080"",W$3)"),1691.7)</f>
        <v>1691.7</v>
      </c>
      <c r="X493" s="2" t="str">
        <f>IFERROR(__xludf.DUMMYFUNCTION("IMPORTRANGE(""https://docs.google.com/spreadsheets/d/""&amp;$A493&amp;""/edit#gid=156619080"",X$3)"),"")</f>
        <v/>
      </c>
      <c r="Y493" s="17">
        <f>IFERROR(__xludf.DUMMYFUNCTION("IMPORTRANGE(""https://docs.google.com/spreadsheets/d/""&amp;$A493&amp;""/edit#gid=156619080"",Y$3)"),-0.013809116460955584)</f>
        <v>-0.01380911646</v>
      </c>
      <c r="Z493" s="2">
        <f>IFERROR(__xludf.DUMMYFUNCTION("IMPORTRANGE(""https://docs.google.com/spreadsheets/d/""&amp;$A493&amp;""/edit#gid=156619080"",Z$3)"),1778.15)</f>
        <v>1778.15</v>
      </c>
      <c r="AA493" s="2">
        <f>IFERROR(__xludf.DUMMYFUNCTION("IMPORTRANGE(""https://docs.google.com/spreadsheets/d/""&amp;$A493&amp;""/edit#gid=156619080"",AA$3)"),1767.34)</f>
        <v>1767.34</v>
      </c>
      <c r="AB493" s="2">
        <f>IFERROR(__xludf.DUMMYFUNCTION("IMPORTRANGE(""https://docs.google.com/spreadsheets/d/""&amp;$A493&amp;""/edit#gid=156619080"",AB$3)"),1756.54)</f>
        <v>1756.54</v>
      </c>
      <c r="AC493" s="18">
        <f>IFERROR(__xludf.DUMMYFUNCTION("IMPORTRANGE(""https://docs.google.com/spreadsheets/d/""&amp;$A493&amp;""/edit#gid=156619080"",AC$3)"),1745.73)</f>
        <v>1745.73</v>
      </c>
      <c r="AD493" s="18">
        <f>IFERROR(__xludf.DUMMYFUNCTION("IMPORTRANGE(""https://docs.google.com/spreadsheets/d/""&amp;$A493&amp;""/edit#gid=156619080"",AD$3)"),1734.92)</f>
        <v>1734.92</v>
      </c>
      <c r="AE493" s="18">
        <f>IFERROR(__xludf.DUMMYFUNCTION("IMPORTRANGE(""https://docs.google.com/spreadsheets/d/""&amp;$A493&amp;""/edit#gid=156619080"",AE$3)"),1691.7)</f>
        <v>1691.7</v>
      </c>
      <c r="AF493" s="2">
        <f>IFERROR(__xludf.DUMMYFUNCTION("IMPORTRANGE(""https://docs.google.com/spreadsheets/d/""&amp;$A493&amp;""/edit#gid=156619080"",AF$3)"),1648.48)</f>
        <v>1648.48</v>
      </c>
      <c r="AG493" s="2">
        <f>IFERROR(__xludf.DUMMYFUNCTION("IMPORTRANGE(""https://docs.google.com/spreadsheets/d/""&amp;$A493&amp;""/edit#gid=156619080"",AG$3)"),1637.67)</f>
        <v>1637.67</v>
      </c>
      <c r="AH493" s="2">
        <f>IFERROR(__xludf.DUMMYFUNCTION("IMPORTRANGE(""https://docs.google.com/spreadsheets/d/""&amp;$A493&amp;""/edit#gid=156619080"",AH$3)"),1626.86)</f>
        <v>1626.86</v>
      </c>
      <c r="AI493" s="2">
        <f>IFERROR(__xludf.DUMMYFUNCTION("IMPORTRANGE(""https://docs.google.com/spreadsheets/d/""&amp;$A493&amp;""/edit#gid=156619080"",AI$3)"),1616.06)</f>
        <v>1616.06</v>
      </c>
      <c r="AJ493" s="2">
        <f>IFERROR(__xludf.DUMMYFUNCTION("IMPORTRANGE(""https://docs.google.com/spreadsheets/d/""&amp;$A493&amp;""/edit#gid=156619080"",AJ$3)"),1605.25)</f>
        <v>1605.25</v>
      </c>
      <c r="AK493" s="2" t="str">
        <f>IFERROR(__xludf.DUMMYFUNCTION("IMPORTRANGE(""https://docs.google.com/spreadsheets/d/""&amp;$A493&amp;""/edit#gid=156619080"",AK$3)"),"-1.75σ〜-2σ")</f>
        <v>-1.75σ〜-2σ</v>
      </c>
      <c r="AL493" s="2">
        <f>IFERROR(__xludf.DUMMYFUNCTION("IMPORTRANGE(""https://docs.google.com/spreadsheets/d/""&amp;$A493&amp;""/edit#gid=156619080"",AL$3)"),-1.0)</f>
        <v>-1</v>
      </c>
      <c r="AM493" s="2" t="str">
        <f>IFERROR(__xludf.DUMMYFUNCTION("IMPORTRANGE(""https://docs.google.com/spreadsheets/d/""&amp;$A493&amp;""/edit#gid=156619080"",AM$3)"),"")</f>
        <v/>
      </c>
      <c r="AN493" s="2">
        <f>IFERROR(__xludf.DUMMYFUNCTION("IMPORTRANGE(""https://docs.google.com/spreadsheets/d/""&amp;$A493&amp;""/edit#gid=156619080"",AN$3)"),-1.0)</f>
        <v>-1</v>
      </c>
      <c r="AO493" s="2" t="str">
        <f>IFERROR(__xludf.DUMMYFUNCTION("IMPORTRANGE(""https://docs.google.com/spreadsheets/d/""&amp;$A493&amp;""/edit#gid=156619080"",AO$3)"),"")</f>
        <v/>
      </c>
      <c r="AP493" s="2">
        <f>IFERROR(__xludf.DUMMYFUNCTION("IMPORTRANGE(""https://docs.google.com/spreadsheets/d/""&amp;$A493&amp;""/edit#gid=156619080"",AP$3)"),-1.0)</f>
        <v>-1</v>
      </c>
      <c r="AQ493" s="2" t="str">
        <f>IFERROR(__xludf.DUMMYFUNCTION("IMPORTRANGE(""https://docs.google.com/spreadsheets/d/""&amp;$A493&amp;""/edit#gid=156619080"",AQ$3)"),"")</f>
        <v/>
      </c>
      <c r="AR493" s="18">
        <f>IFERROR(__xludf.DUMMYFUNCTION("IMPORTRANGE(""https://docs.google.com/spreadsheets/d/""&amp;$A493&amp;""/edit#gid=156619080"",AR$3)"),-19.999999999999996)</f>
        <v>-20</v>
      </c>
      <c r="AS493" s="19" t="str">
        <f>IFERROR(__xludf.DUMMYFUNCTION("IMPORTRANGE(""https://docs.google.com/spreadsheets/d/""&amp;$A493&amp;""/edit#gid=156619080"",AS$3)"),"-90
-100
-70
-50
")</f>
        <v>-90
-100
-70
-50
</v>
      </c>
      <c r="AT493" s="18">
        <f>IFERROR(__xludf.DUMMYFUNCTION("IMPORTRANGE(""https://docs.google.com/spreadsheets/d/""&amp;$A493&amp;""/edit#gid=156619080"",AT$3)"),-73.62637362637363)</f>
        <v>-73.62637363</v>
      </c>
      <c r="AU493" s="3" t="str">
        <f>IFERROR(__xludf.DUMMYFUNCTION("IMPORTRANGE(""https://docs.google.com/spreadsheets/d/""&amp;$A493&amp;""/edit#gid=156619080"",AU$3)"),"22.66
-2.06
-22.39
-55.49
")</f>
        <v>22.66
-2.06
-22.39
-55.49
</v>
      </c>
      <c r="AV493" s="18">
        <f>IFERROR(__xludf.DUMMYFUNCTION("IMPORTRANGE(""https://docs.google.com/spreadsheets/d/""&amp;$A493&amp;""/edit#gid=156619080"",AV$3)"),-59.05844155844156)</f>
        <v>-59.05844156</v>
      </c>
      <c r="AW493" s="19" t="str">
        <f>IFERROR(__xludf.DUMMYFUNCTION("IMPORTRANGE(""https://docs.google.com/spreadsheets/d/""&amp;$A493&amp;""/edit#gid=156619080"",AW$3)"),"-26.07
-46.85
-58.93
-59.45
")</f>
        <v>-26.07
-46.85
-58.93
-59.45
</v>
      </c>
      <c r="AX493" s="2">
        <f>IFERROR(__xludf.DUMMYFUNCTION("IMPORTRANGE(""https://docs.google.com/spreadsheets/d/""&amp;$A493&amp;""/edit#gid=156619080"",AX$3)"),30.380000000000003)</f>
        <v>30.38</v>
      </c>
      <c r="AY493" s="2">
        <f>IFERROR(__xludf.DUMMYFUNCTION("IMPORTRANGE(""https://docs.google.com/spreadsheets/d/""&amp;$A493&amp;""/edit#gid=156619080"",AY$3)"),30.330000000000002)</f>
        <v>30.33</v>
      </c>
      <c r="AZ493" s="2">
        <f>IFERROR(__xludf.DUMMYFUNCTION("IMPORTRANGE(""https://docs.google.com/spreadsheets/d/""&amp;$A493&amp;""/edit#gid=156619080"",AZ$3)"),1641.02)</f>
        <v>1641.02</v>
      </c>
      <c r="BA493" s="2">
        <f>IFERROR(__xludf.DUMMYFUNCTION("IMPORTRANGE(""https://docs.google.com/spreadsheets/d/""&amp;$A493&amp;""/edit#gid=156619080"",BA$3)"),-34.12000000000012)</f>
        <v>-34.12</v>
      </c>
      <c r="BB493" s="2">
        <f>IFERROR(__xludf.DUMMYFUNCTION("IMPORTRANGE(""https://docs.google.com/spreadsheets/d/""&amp;$A493&amp;""/edit#gid=156619080"",BB$3)"),-7.33)</f>
        <v>-7.33</v>
      </c>
      <c r="BC493" s="2" t="str">
        <f>IFERROR(__xludf.DUMMYFUNCTION("IMPORTRANGE(""https://docs.google.com/spreadsheets/d/""&amp;$A493&amp;""/edit#gid=156619080"",BC$3)"),"DC→DC")</f>
        <v>DC→DC</v>
      </c>
    </row>
    <row r="494" ht="51.0" customHeight="1">
      <c r="A494" s="7" t="str">
        <f t="shared" si="5"/>
        <v>1-komvVxseQhdC4KaEzimeWhwC1zr9eAOVjRxEA2PGaM</v>
      </c>
      <c r="B494" s="1" t="s">
        <v>521</v>
      </c>
      <c r="C494" s="2">
        <f>IFERROR(__xludf.DUMMYFUNCTION("IMPORTRANGE(""https://docs.google.com/spreadsheets/d/""&amp;$A494&amp;""/edit#gid=156619080"",C$3)"),75.0)</f>
        <v>75</v>
      </c>
      <c r="D494" s="2">
        <f>IFERROR(__xludf.DUMMYFUNCTION("IMPORTRANGE(""https://docs.google.com/spreadsheets/d/""&amp;$A494&amp;""/edit#gid=156619080"",D$3)"),9699.0)</f>
        <v>9699</v>
      </c>
      <c r="E494" s="15">
        <f>IFERROR(__xludf.DUMMYFUNCTION("IMPORTRANGE(""https://docs.google.com/spreadsheets/d/""&amp;$A494&amp;""/edit#gid=156619080"",E$3)"),43882.0)</f>
        <v>43882</v>
      </c>
      <c r="F494" s="2">
        <f>IFERROR(__xludf.DUMMYFUNCTION("IMPORTRANGE(""https://docs.google.com/spreadsheets/d/""&amp;$A494&amp;""/edit#gid=156619080"",F$3)"),-6.0)</f>
        <v>-6</v>
      </c>
      <c r="G494" s="16">
        <f>IFERROR(__xludf.DUMMYFUNCTION("IMPORTRANGE(""https://docs.google.com/spreadsheets/d/""&amp;$A494&amp;""/edit#gid=156619080"",G$3)"),-0.21)</f>
        <v>-0.21</v>
      </c>
      <c r="H494" s="16">
        <f>IFERROR(__xludf.DUMMYFUNCTION("IMPORTRANGE(""https://docs.google.com/spreadsheets/d/""&amp;$A494&amp;""/edit#gid=156619080"",H$3)"),2965.0)</f>
        <v>2965</v>
      </c>
      <c r="I494" s="16">
        <f>IFERROR(__xludf.DUMMYFUNCTION("IMPORTRANGE(""https://docs.google.com/spreadsheets/d/""&amp;$A494&amp;""/edit#gid=156619080"",I$3)"),-39.0)</f>
        <v>-39</v>
      </c>
      <c r="J494" s="16">
        <f>IFERROR(__xludf.DUMMYFUNCTION("IMPORTRANGE(""https://docs.google.com/spreadsheets/d/""&amp;$A494&amp;""/edit#gid=156619080"",J$3)"),2965.0)</f>
        <v>2965</v>
      </c>
      <c r="K494" s="16">
        <f>IFERROR(__xludf.DUMMYFUNCTION("IMPORTRANGE(""https://docs.google.com/spreadsheets/d/""&amp;$A494&amp;""/edit#gid=156619080"",K$3)"),0.375)</f>
        <v>0.375</v>
      </c>
      <c r="L494" s="16">
        <f>IFERROR(__xludf.DUMMYFUNCTION("IMPORTRANGE(""https://docs.google.com/spreadsheets/d/""&amp;$A494&amp;""/edit#gid=156619080"",L$3)"),2911.0)</f>
        <v>2911</v>
      </c>
      <c r="M494" s="16">
        <f>IFERROR(__xludf.DUMMYFUNCTION("IMPORTRANGE(""https://docs.google.com/spreadsheets/d/""&amp;$A494&amp;""/edit#gid=156619080"",M$3)"),0.4777777777777778)</f>
        <v>0.4777777778</v>
      </c>
      <c r="N494" s="16">
        <f>IFERROR(__xludf.DUMMYFUNCTION("IMPORTRANGE(""https://docs.google.com/spreadsheets/d/""&amp;$A494&amp;""/edit#gid=156619080"",N$3)"),2920.0)</f>
        <v>2920</v>
      </c>
      <c r="O494" s="16" t="str">
        <f>IFERROR(__xludf.DUMMYFUNCTION("IMPORTRANGE(""https://docs.google.com/spreadsheets/d/""&amp;$A494&amp;""/edit#gid=156619080"",O$3)"),"78100株")</f>
        <v>78100株</v>
      </c>
      <c r="P494" s="16" t="str">
        <f>IFERROR(__xludf.DUMMYFUNCTION("IMPORTRANGE(""https://docs.google.com/spreadsheets/d/""&amp;$A494&amp;""/edit#gid=156619080"",P$3)"),"229百万円")</f>
        <v>229百万円</v>
      </c>
      <c r="Q494" s="16" t="str">
        <f>IFERROR(__xludf.DUMMYFUNCTION("IMPORTRANGE(""https://docs.google.com/spreadsheets/d/""&amp;$A494&amp;""/edit#gid=156619080"",Q$3)"),"377回")</f>
        <v>377回</v>
      </c>
      <c r="R494" s="16" t="str">
        <f>IFERROR(__xludf.DUMMYFUNCTION("IMPORTRANGE(""https://docs.google.com/spreadsheets/d/""&amp;$A494&amp;""/edit#gid=156619080"",R$3)"),"829億円")</f>
        <v>829億円</v>
      </c>
      <c r="S494" s="16" t="str">
        <f>IFERROR(__xludf.DUMMYFUNCTION("IMPORTRANGE(""https://docs.google.com/spreadsheets/d/""&amp;$A494&amp;""/edit#gid=156619080"",S$3)"),"陰線")</f>
        <v>陰線</v>
      </c>
      <c r="T494" s="16" t="str">
        <f>IFERROR(__xludf.DUMMYFUNCTION("IMPORTRANGE(""https://docs.google.com/spreadsheets/d/""&amp;$A494&amp;""/edit#gid=156619080"",T$3)"),"")</f>
        <v/>
      </c>
      <c r="U494" s="16">
        <f>IFERROR(__xludf.DUMMYFUNCTION("IMPORTRANGE(""https://docs.google.com/spreadsheets/d/""&amp;$A494&amp;""/edit#gid=156619080"",U$3)"),2922.0)</f>
        <v>2922</v>
      </c>
      <c r="V494" s="16">
        <f>IFERROR(__xludf.DUMMYFUNCTION("IMPORTRANGE(""https://docs.google.com/spreadsheets/d/""&amp;$A494&amp;""/edit#gid=156619080"",V$3)"),2977.1)</f>
        <v>2977.1</v>
      </c>
      <c r="W494" s="16">
        <f>IFERROR(__xludf.DUMMYFUNCTION("IMPORTRANGE(""https://docs.google.com/spreadsheets/d/""&amp;$A494&amp;""/edit#gid=156619080"",W$3)"),2978.5)</f>
        <v>2978.5</v>
      </c>
      <c r="X494" s="2" t="str">
        <f>IFERROR(__xludf.DUMMYFUNCTION("IMPORTRANGE(""https://docs.google.com/spreadsheets/d/""&amp;$A494&amp;""/edit#gid=156619080"",X$3)"),"")</f>
        <v/>
      </c>
      <c r="Y494" s="17">
        <f>IFERROR(__xludf.DUMMYFUNCTION("IMPORTRANGE(""https://docs.google.com/spreadsheets/d/""&amp;$A494&amp;""/edit#gid=156619080"",Y$3)"),-6.844626967830253E-4)</f>
        <v>-0.0006844626968</v>
      </c>
      <c r="Z494" s="2">
        <f>IFERROR(__xludf.DUMMYFUNCTION("IMPORTRANGE(""https://docs.google.com/spreadsheets/d/""&amp;$A494&amp;""/edit#gid=156619080"",Z$3)"),3089.11)</f>
        <v>3089.11</v>
      </c>
      <c r="AA494" s="2">
        <f>IFERROR(__xludf.DUMMYFUNCTION("IMPORTRANGE(""https://docs.google.com/spreadsheets/d/""&amp;$A494&amp;""/edit#gid=156619080"",AA$3)"),3075.28)</f>
        <v>3075.28</v>
      </c>
      <c r="AB494" s="2">
        <f>IFERROR(__xludf.DUMMYFUNCTION("IMPORTRANGE(""https://docs.google.com/spreadsheets/d/""&amp;$A494&amp;""/edit#gid=156619080"",AB$3)"),3061.46)</f>
        <v>3061.46</v>
      </c>
      <c r="AC494" s="18">
        <f>IFERROR(__xludf.DUMMYFUNCTION("IMPORTRANGE(""https://docs.google.com/spreadsheets/d/""&amp;$A494&amp;""/edit#gid=156619080"",AC$3)"),3047.63)</f>
        <v>3047.63</v>
      </c>
      <c r="AD494" s="18">
        <f>IFERROR(__xludf.DUMMYFUNCTION("IMPORTRANGE(""https://docs.google.com/spreadsheets/d/""&amp;$A494&amp;""/edit#gid=156619080"",AD$3)"),3033.8)</f>
        <v>3033.8</v>
      </c>
      <c r="AE494" s="18">
        <f>IFERROR(__xludf.DUMMYFUNCTION("IMPORTRANGE(""https://docs.google.com/spreadsheets/d/""&amp;$A494&amp;""/edit#gid=156619080"",AE$3)"),2978.5)</f>
        <v>2978.5</v>
      </c>
      <c r="AF494" s="2">
        <f>IFERROR(__xludf.DUMMYFUNCTION("IMPORTRANGE(""https://docs.google.com/spreadsheets/d/""&amp;$A494&amp;""/edit#gid=156619080"",AF$3)"),2923.2)</f>
        <v>2923.2</v>
      </c>
      <c r="AG494" s="2">
        <f>IFERROR(__xludf.DUMMYFUNCTION("IMPORTRANGE(""https://docs.google.com/spreadsheets/d/""&amp;$A494&amp;""/edit#gid=156619080"",AG$3)"),2909.37)</f>
        <v>2909.37</v>
      </c>
      <c r="AH494" s="2">
        <f>IFERROR(__xludf.DUMMYFUNCTION("IMPORTRANGE(""https://docs.google.com/spreadsheets/d/""&amp;$A494&amp;""/edit#gid=156619080"",AH$3)"),2895.54)</f>
        <v>2895.54</v>
      </c>
      <c r="AI494" s="2">
        <f>IFERROR(__xludf.DUMMYFUNCTION("IMPORTRANGE(""https://docs.google.com/spreadsheets/d/""&amp;$A494&amp;""/edit#gid=156619080"",AI$3)"),2881.72)</f>
        <v>2881.72</v>
      </c>
      <c r="AJ494" s="2">
        <f>IFERROR(__xludf.DUMMYFUNCTION("IMPORTRANGE(""https://docs.google.com/spreadsheets/d/""&amp;$A494&amp;""/edit#gid=156619080"",AJ$3)"),2867.89)</f>
        <v>2867.89</v>
      </c>
      <c r="AK494" s="2" t="str">
        <f>IFERROR(__xludf.DUMMYFUNCTION("IMPORTRANGE(""https://docs.google.com/spreadsheets/d/""&amp;$A494&amp;""/edit#gid=156619080"",AK$3)"),"-1〜-1.25σ")</f>
        <v>-1〜-1.25σ</v>
      </c>
      <c r="AL494" s="2">
        <f>IFERROR(__xludf.DUMMYFUNCTION("IMPORTRANGE(""https://docs.google.com/spreadsheets/d/""&amp;$A494&amp;""/edit#gid=156619080"",AL$3)"),-1.0)</f>
        <v>-1</v>
      </c>
      <c r="AM494" s="2" t="str">
        <f>IFERROR(__xludf.DUMMYFUNCTION("IMPORTRANGE(""https://docs.google.com/spreadsheets/d/""&amp;$A494&amp;""/edit#gid=156619080"",AM$3)"),"")</f>
        <v/>
      </c>
      <c r="AN494" s="2">
        <f>IFERROR(__xludf.DUMMYFUNCTION("IMPORTRANGE(""https://docs.google.com/spreadsheets/d/""&amp;$A494&amp;""/edit#gid=156619080"",AN$3)"),-1.0)</f>
        <v>-1</v>
      </c>
      <c r="AO494" s="2" t="str">
        <f>IFERROR(__xludf.DUMMYFUNCTION("IMPORTRANGE(""https://docs.google.com/spreadsheets/d/""&amp;$A494&amp;""/edit#gid=156619080"",AO$3)"),"")</f>
        <v/>
      </c>
      <c r="AP494" s="2">
        <f>IFERROR(__xludf.DUMMYFUNCTION("IMPORTRANGE(""https://docs.google.com/spreadsheets/d/""&amp;$A494&amp;""/edit#gid=156619080"",AP$3)"),-1.0)</f>
        <v>-1</v>
      </c>
      <c r="AQ494" s="2" t="str">
        <f>IFERROR(__xludf.DUMMYFUNCTION("IMPORTRANGE(""https://docs.google.com/spreadsheets/d/""&amp;$A494&amp;""/edit#gid=156619080"",AQ$3)"),"")</f>
        <v/>
      </c>
      <c r="AR494" s="18">
        <f>IFERROR(__xludf.DUMMYFUNCTION("IMPORTRANGE(""https://docs.google.com/spreadsheets/d/""&amp;$A494&amp;""/edit#gid=156619080"",AR$3)"),-10.000000000000009)</f>
        <v>-10</v>
      </c>
      <c r="AS494" s="19" t="str">
        <f>IFERROR(__xludf.DUMMYFUNCTION("IMPORTRANGE(""https://docs.google.com/spreadsheets/d/""&amp;$A494&amp;""/edit#gid=156619080"",AS$3)"),"-90
-90
-90
-60
")</f>
        <v>-90
-90
-90
-60
</v>
      </c>
      <c r="AT494" s="18">
        <f>IFERROR(__xludf.DUMMYFUNCTION("IMPORTRANGE(""https://docs.google.com/spreadsheets/d/""&amp;$A494&amp;""/edit#gid=156619080"",AT$3)"),-39.42307692307692)</f>
        <v>-39.42307692</v>
      </c>
      <c r="AU494" s="3" t="str">
        <f>IFERROR(__xludf.DUMMYFUNCTION("IMPORTRANGE(""https://docs.google.com/spreadsheets/d/""&amp;$A494&amp;""/edit#gid=156619080"",AU$3)"),"40.8
18.27
2.88
-5.91
")</f>
        <v>40.8
18.27
2.88
-5.91
</v>
      </c>
      <c r="AV494" s="18">
        <f>IFERROR(__xludf.DUMMYFUNCTION("IMPORTRANGE(""https://docs.google.com/spreadsheets/d/""&amp;$A494&amp;""/edit#gid=156619080"",AV$3)"),-32.17532467532467)</f>
        <v>-32.17532468</v>
      </c>
      <c r="AW494" s="19" t="str">
        <f>IFERROR(__xludf.DUMMYFUNCTION("IMPORTRANGE(""https://docs.google.com/spreadsheets/d/""&amp;$A494&amp;""/edit#gid=156619080"",AW$3)"),"-40.16
-42.01
-39.32
-36.07
")</f>
        <v>-40.16
-42.01
-39.32
-36.07
</v>
      </c>
      <c r="AX494" s="2">
        <f>IFERROR(__xludf.DUMMYFUNCTION("IMPORTRANGE(""https://docs.google.com/spreadsheets/d/""&amp;$A494&amp;""/edit#gid=156619080"",AX$3)"),19.86)</f>
        <v>19.86</v>
      </c>
      <c r="AY494" s="2">
        <f>IFERROR(__xludf.DUMMYFUNCTION("IMPORTRANGE(""https://docs.google.com/spreadsheets/d/""&amp;$A494&amp;""/edit#gid=156619080"",AY$3)"),37.169999999999995)</f>
        <v>37.17</v>
      </c>
      <c r="AZ494" s="2">
        <f>IFERROR(__xludf.DUMMYFUNCTION("IMPORTRANGE(""https://docs.google.com/spreadsheets/d/""&amp;$A494&amp;""/edit#gid=156619080"",AZ$3)"),2934.15)</f>
        <v>2934.15</v>
      </c>
      <c r="BA494" s="2">
        <f>IFERROR(__xludf.DUMMYFUNCTION("IMPORTRANGE(""https://docs.google.com/spreadsheets/d/""&amp;$A494&amp;""/edit#gid=156619080"",BA$3)"),-51.07999999999993)</f>
        <v>-51.08</v>
      </c>
      <c r="BB494" s="2">
        <f>IFERROR(__xludf.DUMMYFUNCTION("IMPORTRANGE(""https://docs.google.com/spreadsheets/d/""&amp;$A494&amp;""/edit#gid=156619080"",BB$3)"),-36.12)</f>
        <v>-36.12</v>
      </c>
      <c r="BC494" s="2" t="str">
        <f>IFERROR(__xludf.DUMMYFUNCTION("IMPORTRANGE(""https://docs.google.com/spreadsheets/d/""&amp;$A494&amp;""/edit#gid=156619080"",BC$3)"),"DC→DC")</f>
        <v>DC→DC</v>
      </c>
    </row>
    <row r="495" ht="51.0" customHeight="1">
      <c r="A495" s="7" t="str">
        <f t="shared" si="5"/>
        <v>1hRhfPK0FW1yrKQTv4KZKMTWWIqfu3O2ioli1UrwBbzo</v>
      </c>
      <c r="B495" s="1" t="s">
        <v>522</v>
      </c>
      <c r="C495" s="2">
        <f>IFERROR(__xludf.DUMMYFUNCTION("IMPORTRANGE(""https://docs.google.com/spreadsheets/d/""&amp;$A495&amp;""/edit#gid=156619080"",C$3)"),75.0)</f>
        <v>75</v>
      </c>
      <c r="D495" s="2">
        <f>IFERROR(__xludf.DUMMYFUNCTION("IMPORTRANGE(""https://docs.google.com/spreadsheets/d/""&amp;$A495&amp;""/edit#gid=156619080"",D$3)"),3030.0)</f>
        <v>3030</v>
      </c>
      <c r="E495" s="15">
        <f>IFERROR(__xludf.DUMMYFUNCTION("IMPORTRANGE(""https://docs.google.com/spreadsheets/d/""&amp;$A495&amp;""/edit#gid=156619080"",E$3)"),43882.0)</f>
        <v>43882</v>
      </c>
      <c r="F495" s="2">
        <f>IFERROR(__xludf.DUMMYFUNCTION("IMPORTRANGE(""https://docs.google.com/spreadsheets/d/""&amp;$A495&amp;""/edit#gid=156619080"",F$3)"),0.0)</f>
        <v>0</v>
      </c>
      <c r="G495" s="16">
        <f>IFERROR(__xludf.DUMMYFUNCTION("IMPORTRANGE(""https://docs.google.com/spreadsheets/d/""&amp;$A495&amp;""/edit#gid=156619080"",G$3)"),0.0)</f>
        <v>0</v>
      </c>
      <c r="H495" s="16">
        <f>IFERROR(__xludf.DUMMYFUNCTION("IMPORTRANGE(""https://docs.google.com/spreadsheets/d/""&amp;$A495&amp;""/edit#gid=156619080"",H$3)"),1008.0)</f>
        <v>1008</v>
      </c>
      <c r="I495" s="16">
        <f>IFERROR(__xludf.DUMMYFUNCTION("IMPORTRANGE(""https://docs.google.com/spreadsheets/d/""&amp;$A495&amp;""/edit#gid=156619080"",I$3)"),2.0)</f>
        <v>2</v>
      </c>
      <c r="J495" s="16">
        <f>IFERROR(__xludf.DUMMYFUNCTION("IMPORTRANGE(""https://docs.google.com/spreadsheets/d/""&amp;$A495&amp;""/edit#gid=156619080"",J$3)"),1020.0)</f>
        <v>1020</v>
      </c>
      <c r="K495" s="16">
        <f>IFERROR(__xludf.DUMMYFUNCTION("IMPORTRANGE(""https://docs.google.com/spreadsheets/d/""&amp;$A495&amp;""/edit#gid=156619080"",K$3)"),0.38333333333333336)</f>
        <v>0.3833333333</v>
      </c>
      <c r="L495" s="16">
        <f>IFERROR(__xludf.DUMMYFUNCTION("IMPORTRANGE(""https://docs.google.com/spreadsheets/d/""&amp;$A495&amp;""/edit#gid=156619080"",L$3)"),1006.0)</f>
        <v>1006</v>
      </c>
      <c r="M495" s="16">
        <f>IFERROR(__xludf.DUMMYFUNCTION("IMPORTRANGE(""https://docs.google.com/spreadsheets/d/""&amp;$A495&amp;""/edit#gid=156619080"",M$3)"),0.5944444444444444)</f>
        <v>0.5944444444</v>
      </c>
      <c r="N495" s="16">
        <f>IFERROR(__xludf.DUMMYFUNCTION("IMPORTRANGE(""https://docs.google.com/spreadsheets/d/""&amp;$A495&amp;""/edit#gid=156619080"",N$3)"),1010.0)</f>
        <v>1010</v>
      </c>
      <c r="O495" s="16" t="str">
        <f>IFERROR(__xludf.DUMMYFUNCTION("IMPORTRANGE(""https://docs.google.com/spreadsheets/d/""&amp;$A495&amp;""/edit#gid=156619080"",O$3)"),"23400株")</f>
        <v>23400株</v>
      </c>
      <c r="P495" s="16" t="str">
        <f>IFERROR(__xludf.DUMMYFUNCTION("IMPORTRANGE(""https://docs.google.com/spreadsheets/d/""&amp;$A495&amp;""/edit#gid=156619080"",P$3)"),"24百万円")</f>
        <v>24百万円</v>
      </c>
      <c r="Q495" s="16" t="str">
        <f>IFERROR(__xludf.DUMMYFUNCTION("IMPORTRANGE(""https://docs.google.com/spreadsheets/d/""&amp;$A495&amp;""/edit#gid=156619080"",Q$3)"),"86回")</f>
        <v>86回</v>
      </c>
      <c r="R495" s="16" t="str">
        <f>IFERROR(__xludf.DUMMYFUNCTION("IMPORTRANGE(""https://docs.google.com/spreadsheets/d/""&amp;$A495&amp;""/edit#gid=156619080"",R$3)"),"114億円")</f>
        <v>114億円</v>
      </c>
      <c r="S495" s="16" t="str">
        <f>IFERROR(__xludf.DUMMYFUNCTION("IMPORTRANGE(""https://docs.google.com/spreadsheets/d/""&amp;$A495&amp;""/edit#gid=156619080"",S$3)"),"陽線")</f>
        <v>陽線</v>
      </c>
      <c r="T495" s="16" t="str">
        <f>IFERROR(__xludf.DUMMYFUNCTION("IMPORTRANGE(""https://docs.google.com/spreadsheets/d/""&amp;$A495&amp;""/edit#gid=156619080"",T$3)"),"")</f>
        <v/>
      </c>
      <c r="U495" s="16">
        <f>IFERROR(__xludf.DUMMYFUNCTION("IMPORTRANGE(""https://docs.google.com/spreadsheets/d/""&amp;$A495&amp;""/edit#gid=156619080"",U$3)"),1014.8)</f>
        <v>1014.8</v>
      </c>
      <c r="V495" s="16">
        <f>IFERROR(__xludf.DUMMYFUNCTION("IMPORTRANGE(""https://docs.google.com/spreadsheets/d/""&amp;$A495&amp;""/edit#gid=156619080"",V$3)"),1035.2)</f>
        <v>1035.2</v>
      </c>
      <c r="W495" s="16">
        <f>IFERROR(__xludf.DUMMYFUNCTION("IMPORTRANGE(""https://docs.google.com/spreadsheets/d/""&amp;$A495&amp;""/edit#gid=156619080"",W$3)"),1034.8)</f>
        <v>1034.8</v>
      </c>
      <c r="X495" s="2" t="str">
        <f>IFERROR(__xludf.DUMMYFUNCTION("IMPORTRANGE(""https://docs.google.com/spreadsheets/d/""&amp;$A495&amp;""/edit#gid=156619080"",X$3)"),"")</f>
        <v/>
      </c>
      <c r="Y495" s="17">
        <f>IFERROR(__xludf.DUMMYFUNCTION("IMPORTRANGE(""https://docs.google.com/spreadsheets/d/""&amp;$A495&amp;""/edit#gid=156619080"",Y$3)"),-0.004729996058336574)</f>
        <v>-0.004729996058</v>
      </c>
      <c r="Z495" s="2">
        <f>IFERROR(__xludf.DUMMYFUNCTION("IMPORTRANGE(""https://docs.google.com/spreadsheets/d/""&amp;$A495&amp;""/edit#gid=156619080"",Z$3)"),1077.19)</f>
        <v>1077.19</v>
      </c>
      <c r="AA495" s="2">
        <f>IFERROR(__xludf.DUMMYFUNCTION("IMPORTRANGE(""https://docs.google.com/spreadsheets/d/""&amp;$A495&amp;""/edit#gid=156619080"",AA$3)"),1071.89)</f>
        <v>1071.89</v>
      </c>
      <c r="AB495" s="2">
        <f>IFERROR(__xludf.DUMMYFUNCTION("IMPORTRANGE(""https://docs.google.com/spreadsheets/d/""&amp;$A495&amp;""/edit#gid=156619080"",AB$3)"),1066.59)</f>
        <v>1066.59</v>
      </c>
      <c r="AC495" s="18">
        <f>IFERROR(__xludf.DUMMYFUNCTION("IMPORTRANGE(""https://docs.google.com/spreadsheets/d/""&amp;$A495&amp;""/edit#gid=156619080"",AC$3)"),1061.3)</f>
        <v>1061.3</v>
      </c>
      <c r="AD495" s="18">
        <f>IFERROR(__xludf.DUMMYFUNCTION("IMPORTRANGE(""https://docs.google.com/spreadsheets/d/""&amp;$A495&amp;""/edit#gid=156619080"",AD$3)"),1056.0)</f>
        <v>1056</v>
      </c>
      <c r="AE495" s="18">
        <f>IFERROR(__xludf.DUMMYFUNCTION("IMPORTRANGE(""https://docs.google.com/spreadsheets/d/""&amp;$A495&amp;""/edit#gid=156619080"",AE$3)"),1034.8)</f>
        <v>1034.8</v>
      </c>
      <c r="AF495" s="2">
        <f>IFERROR(__xludf.DUMMYFUNCTION("IMPORTRANGE(""https://docs.google.com/spreadsheets/d/""&amp;$A495&amp;""/edit#gid=156619080"",AF$3)"),1013.6)</f>
        <v>1013.6</v>
      </c>
      <c r="AG495" s="2">
        <f>IFERROR(__xludf.DUMMYFUNCTION("IMPORTRANGE(""https://docs.google.com/spreadsheets/d/""&amp;$A495&amp;""/edit#gid=156619080"",AG$3)"),1008.3)</f>
        <v>1008.3</v>
      </c>
      <c r="AH495" s="2">
        <f>IFERROR(__xludf.DUMMYFUNCTION("IMPORTRANGE(""https://docs.google.com/spreadsheets/d/""&amp;$A495&amp;""/edit#gid=156619080"",AH$3)"),1003.01)</f>
        <v>1003.01</v>
      </c>
      <c r="AI495" s="2">
        <f>IFERROR(__xludf.DUMMYFUNCTION("IMPORTRANGE(""https://docs.google.com/spreadsheets/d/""&amp;$A495&amp;""/edit#gid=156619080"",AI$3)"),997.71)</f>
        <v>997.71</v>
      </c>
      <c r="AJ495" s="2">
        <f>IFERROR(__xludf.DUMMYFUNCTION("IMPORTRANGE(""https://docs.google.com/spreadsheets/d/""&amp;$A495&amp;""/edit#gid=156619080"",AJ$3)"),992.41)</f>
        <v>992.41</v>
      </c>
      <c r="AK495" s="2" t="str">
        <f>IFERROR(__xludf.DUMMYFUNCTION("IMPORTRANGE(""https://docs.google.com/spreadsheets/d/""&amp;$A495&amp;""/edit#gid=156619080"",AK$3)"),"-1〜-1.25σ")</f>
        <v>-1〜-1.25σ</v>
      </c>
      <c r="AL495" s="2">
        <f>IFERROR(__xludf.DUMMYFUNCTION("IMPORTRANGE(""https://docs.google.com/spreadsheets/d/""&amp;$A495&amp;""/edit#gid=156619080"",AL$3)"),-1.0)</f>
        <v>-1</v>
      </c>
      <c r="AM495" s="2" t="str">
        <f>IFERROR(__xludf.DUMMYFUNCTION("IMPORTRANGE(""https://docs.google.com/spreadsheets/d/""&amp;$A495&amp;""/edit#gid=156619080"",AM$3)"),"")</f>
        <v/>
      </c>
      <c r="AN495" s="2">
        <f>IFERROR(__xludf.DUMMYFUNCTION("IMPORTRANGE(""https://docs.google.com/spreadsheets/d/""&amp;$A495&amp;""/edit#gid=156619080"",AN$3)"),-1.0)</f>
        <v>-1</v>
      </c>
      <c r="AO495" s="2" t="str">
        <f>IFERROR(__xludf.DUMMYFUNCTION("IMPORTRANGE(""https://docs.google.com/spreadsheets/d/""&amp;$A495&amp;""/edit#gid=156619080"",AO$3)"),"")</f>
        <v/>
      </c>
      <c r="AP495" s="2">
        <f>IFERROR(__xludf.DUMMYFUNCTION("IMPORTRANGE(""https://docs.google.com/spreadsheets/d/""&amp;$A495&amp;""/edit#gid=156619080"",AP$3)"),1.0)</f>
        <v>1</v>
      </c>
      <c r="AQ495" s="2" t="str">
        <f>IFERROR(__xludf.DUMMYFUNCTION("IMPORTRANGE(""https://docs.google.com/spreadsheets/d/""&amp;$A495&amp;""/edit#gid=156619080"",AQ$3)"),"ws3")</f>
        <v>ws3</v>
      </c>
      <c r="AR495" s="18">
        <f>IFERROR(__xludf.DUMMYFUNCTION("IMPORTRANGE(""https://docs.google.com/spreadsheets/d/""&amp;$A495&amp;""/edit#gid=156619080"",AR$3)"),-30.000000000000004)</f>
        <v>-30</v>
      </c>
      <c r="AS495" s="19" t="str">
        <f>IFERROR(__xludf.DUMMYFUNCTION("IMPORTRANGE(""https://docs.google.com/spreadsheets/d/""&amp;$A495&amp;""/edit#gid=156619080"",AS$3)"),"-50
-70
-70
-57.5
")</f>
        <v>-50
-70
-70
-57.5
</v>
      </c>
      <c r="AT495" s="18">
        <f>IFERROR(__xludf.DUMMYFUNCTION("IMPORTRANGE(""https://docs.google.com/spreadsheets/d/""&amp;$A495&amp;""/edit#gid=156619080"",AT$3)"),-50.68681318681318)</f>
        <v>-50.68681319</v>
      </c>
      <c r="AU495" s="3" t="str">
        <f>IFERROR(__xludf.DUMMYFUNCTION("IMPORTRANGE(""https://docs.google.com/spreadsheets/d/""&amp;$A495&amp;""/edit#gid=156619080"",AU$3)"),"59.75
34.48
19.64
-9.34
")</f>
        <v>59.75
34.48
19.64
-9.34
</v>
      </c>
      <c r="AV495" s="18">
        <f>IFERROR(__xludf.DUMMYFUNCTION("IMPORTRANGE(""https://docs.google.com/spreadsheets/d/""&amp;$A495&amp;""/edit#gid=156619080"",AV$3)"),-31.233766233766236)</f>
        <v>-31.23376623</v>
      </c>
      <c r="AW495" s="19" t="str">
        <f>IFERROR(__xludf.DUMMYFUNCTION("IMPORTRANGE(""https://docs.google.com/spreadsheets/d/""&amp;$A495&amp;""/edit#gid=156619080"",AW$3)"),"-44.25
-42.95
-34.87
-33.28
")</f>
        <v>-44.25
-42.95
-34.87
-33.28
</v>
      </c>
      <c r="AX495" s="2">
        <f>IFERROR(__xludf.DUMMYFUNCTION("IMPORTRANGE(""https://docs.google.com/spreadsheets/d/""&amp;$A495&amp;""/edit#gid=156619080"",AX$3)"),19.72)</f>
        <v>19.72</v>
      </c>
      <c r="AY495" s="2">
        <f>IFERROR(__xludf.DUMMYFUNCTION("IMPORTRANGE(""https://docs.google.com/spreadsheets/d/""&amp;$A495&amp;""/edit#gid=156619080"",AY$3)"),35.97)</f>
        <v>35.97</v>
      </c>
      <c r="AZ495" s="2">
        <f>IFERROR(__xludf.DUMMYFUNCTION("IMPORTRANGE(""https://docs.google.com/spreadsheets/d/""&amp;$A495&amp;""/edit#gid=156619080"",AZ$3)"),1018.31)</f>
        <v>1018.31</v>
      </c>
      <c r="BA495" s="2">
        <f>IFERROR(__xludf.DUMMYFUNCTION("IMPORTRANGE(""https://docs.google.com/spreadsheets/d/""&amp;$A495&amp;""/edit#gid=156619080"",BA$3)"),-17.75)</f>
        <v>-17.75</v>
      </c>
      <c r="BB495" s="2">
        <f>IFERROR(__xludf.DUMMYFUNCTION("IMPORTRANGE(""https://docs.google.com/spreadsheets/d/""&amp;$A495&amp;""/edit#gid=156619080"",BB$3)"),-9.12)</f>
        <v>-9.12</v>
      </c>
      <c r="BC495" s="2" t="str">
        <f>IFERROR(__xludf.DUMMYFUNCTION("IMPORTRANGE(""https://docs.google.com/spreadsheets/d/""&amp;$A495&amp;""/edit#gid=156619080"",BC$3)"),"DC→DC")</f>
        <v>DC→DC</v>
      </c>
    </row>
    <row r="496" ht="51.0" customHeight="1">
      <c r="A496" s="7" t="str">
        <f t="shared" si="5"/>
        <v>1GGOgJ_4X3zqrYrNXgt7YJ3U73un8VTtLI2QP44Stqvs</v>
      </c>
      <c r="B496" s="1" t="s">
        <v>523</v>
      </c>
      <c r="C496" s="2">
        <f>IFERROR(__xludf.DUMMYFUNCTION("IMPORTRANGE(""https://docs.google.com/spreadsheets/d/""&amp;$A496&amp;""/edit#gid=156619080"",C$3)"),87.0)</f>
        <v>87</v>
      </c>
      <c r="D496" s="2">
        <f>IFERROR(__xludf.DUMMYFUNCTION("IMPORTRANGE(""https://docs.google.com/spreadsheets/d/""&amp;$A496&amp;""/edit#gid=156619080"",D$3)"),1414.0)</f>
        <v>1414</v>
      </c>
      <c r="E496" s="15">
        <f>IFERROR(__xludf.DUMMYFUNCTION("IMPORTRANGE(""https://docs.google.com/spreadsheets/d/""&amp;$A496&amp;""/edit#gid=156619080"",E$3)"),43882.0)</f>
        <v>43882</v>
      </c>
      <c r="F496" s="2">
        <f>IFERROR(__xludf.DUMMYFUNCTION("IMPORTRANGE(""https://docs.google.com/spreadsheets/d/""&amp;$A496&amp;""/edit#gid=156619080"",F$3)"),50.0)</f>
        <v>50</v>
      </c>
      <c r="G496" s="16">
        <f>IFERROR(__xludf.DUMMYFUNCTION("IMPORTRANGE(""https://docs.google.com/spreadsheets/d/""&amp;$A496&amp;""/edit#gid=156619080"",G$3)"),1.18)</f>
        <v>1.18</v>
      </c>
      <c r="H496" s="16">
        <f>IFERROR(__xludf.DUMMYFUNCTION("IMPORTRANGE(""https://docs.google.com/spreadsheets/d/""&amp;$A496&amp;""/edit#gid=156619080"",H$3)"),4215.0)</f>
        <v>4215</v>
      </c>
      <c r="I496" s="16">
        <f>IFERROR(__xludf.DUMMYFUNCTION("IMPORTRANGE(""https://docs.google.com/spreadsheets/d/""&amp;$A496&amp;""/edit#gid=156619080"",I$3)"),70.0)</f>
        <v>70</v>
      </c>
      <c r="J496" s="16">
        <f>IFERROR(__xludf.DUMMYFUNCTION("IMPORTRANGE(""https://docs.google.com/spreadsheets/d/""&amp;$A496&amp;""/edit#gid=156619080"",J$3)"),4335.0)</f>
        <v>4335</v>
      </c>
      <c r="K496" s="16">
        <f>IFERROR(__xludf.DUMMYFUNCTION("IMPORTRANGE(""https://docs.google.com/spreadsheets/d/""&amp;$A496&amp;""/edit#gid=156619080"",K$3)"),0.5416666666666666)</f>
        <v>0.5416666667</v>
      </c>
      <c r="L496" s="16">
        <f>IFERROR(__xludf.DUMMYFUNCTION("IMPORTRANGE(""https://docs.google.com/spreadsheets/d/""&amp;$A496&amp;""/edit#gid=156619080"",L$3)"),4205.0)</f>
        <v>4205</v>
      </c>
      <c r="M496" s="16">
        <f>IFERROR(__xludf.DUMMYFUNCTION("IMPORTRANGE(""https://docs.google.com/spreadsheets/d/""&amp;$A496&amp;""/edit#gid=156619080"",M$3)"),0.375)</f>
        <v>0.375</v>
      </c>
      <c r="N496" s="16">
        <f>IFERROR(__xludf.DUMMYFUNCTION("IMPORTRANGE(""https://docs.google.com/spreadsheets/d/""&amp;$A496&amp;""/edit#gid=156619080"",N$3)"),4285.0)</f>
        <v>4285</v>
      </c>
      <c r="O496" s="16" t="str">
        <f>IFERROR(__xludf.DUMMYFUNCTION("IMPORTRANGE(""https://docs.google.com/spreadsheets/d/""&amp;$A496&amp;""/edit#gid=156619080"",O$3)"),"395000株")</f>
        <v>395000株</v>
      </c>
      <c r="P496" s="16" t="str">
        <f>IFERROR(__xludf.DUMMYFUNCTION("IMPORTRANGE(""https://docs.google.com/spreadsheets/d/""&amp;$A496&amp;""/edit#gid=156619080"",P$3)"),"1693百万円")</f>
        <v>1693百万円</v>
      </c>
      <c r="Q496" s="16" t="str">
        <f>IFERROR(__xludf.DUMMYFUNCTION("IMPORTRANGE(""https://docs.google.com/spreadsheets/d/""&amp;$A496&amp;""/edit#gid=156619080"",Q$3)"),"793回")</f>
        <v>793回</v>
      </c>
      <c r="R496" s="16" t="str">
        <f>IFERROR(__xludf.DUMMYFUNCTION("IMPORTRANGE(""https://docs.google.com/spreadsheets/d/""&amp;$A496&amp;""/edit#gid=156619080"",R$3)"),"2432億円")</f>
        <v>2432億円</v>
      </c>
      <c r="S496" s="16" t="str">
        <f>IFERROR(__xludf.DUMMYFUNCTION("IMPORTRANGE(""https://docs.google.com/spreadsheets/d/""&amp;$A496&amp;""/edit#gid=156619080"",S$3)"),"陽線")</f>
        <v>陽線</v>
      </c>
      <c r="T496" s="16" t="str">
        <f>IFERROR(__xludf.DUMMYFUNCTION("IMPORTRANGE(""https://docs.google.com/spreadsheets/d/""&amp;$A496&amp;""/edit#gid=156619080"",T$3)"),"")</f>
        <v/>
      </c>
      <c r="U496" s="16">
        <f>IFERROR(__xludf.DUMMYFUNCTION("IMPORTRANGE(""https://docs.google.com/spreadsheets/d/""&amp;$A496&amp;""/edit#gid=156619080"",U$3)"),4269.0)</f>
        <v>4269</v>
      </c>
      <c r="V496" s="16">
        <f>IFERROR(__xludf.DUMMYFUNCTION("IMPORTRANGE(""https://docs.google.com/spreadsheets/d/""&amp;$A496&amp;""/edit#gid=156619080"",V$3)"),4374.2)</f>
        <v>4374.2</v>
      </c>
      <c r="W496" s="16">
        <f>IFERROR(__xludf.DUMMYFUNCTION("IMPORTRANGE(""https://docs.google.com/spreadsheets/d/""&amp;$A496&amp;""/edit#gid=156619080"",W$3)"),4472.9)</f>
        <v>4472.9</v>
      </c>
      <c r="X496" s="2" t="str">
        <f>IFERROR(__xludf.DUMMYFUNCTION("IMPORTRANGE(""https://docs.google.com/spreadsheets/d/""&amp;$A496&amp;""/edit#gid=156619080"",X$3)"),"")</f>
        <v/>
      </c>
      <c r="Y496" s="17">
        <f>IFERROR(__xludf.DUMMYFUNCTION("IMPORTRANGE(""https://docs.google.com/spreadsheets/d/""&amp;$A496&amp;""/edit#gid=156619080"",Y$3)"),0.0037479503396579995)</f>
        <v>0.00374795034</v>
      </c>
      <c r="Z496" s="2">
        <f>IFERROR(__xludf.DUMMYFUNCTION("IMPORTRANGE(""https://docs.google.com/spreadsheets/d/""&amp;$A496&amp;""/edit#gid=156619080"",Z$3)"),4794.35)</f>
        <v>4794.35</v>
      </c>
      <c r="AA496" s="2">
        <f>IFERROR(__xludf.DUMMYFUNCTION("IMPORTRANGE(""https://docs.google.com/spreadsheets/d/""&amp;$A496&amp;""/edit#gid=156619080"",AA$3)"),4754.17)</f>
        <v>4754.17</v>
      </c>
      <c r="AB496" s="2">
        <f>IFERROR(__xludf.DUMMYFUNCTION("IMPORTRANGE(""https://docs.google.com/spreadsheets/d/""&amp;$A496&amp;""/edit#gid=156619080"",AB$3)"),4713.99)</f>
        <v>4713.99</v>
      </c>
      <c r="AC496" s="18">
        <f>IFERROR(__xludf.DUMMYFUNCTION("IMPORTRANGE(""https://docs.google.com/spreadsheets/d/""&amp;$A496&amp;""/edit#gid=156619080"",AC$3)"),4673.81)</f>
        <v>4673.81</v>
      </c>
      <c r="AD496" s="18">
        <f>IFERROR(__xludf.DUMMYFUNCTION("IMPORTRANGE(""https://docs.google.com/spreadsheets/d/""&amp;$A496&amp;""/edit#gid=156619080"",AD$3)"),4633.62)</f>
        <v>4633.62</v>
      </c>
      <c r="AE496" s="18">
        <f>IFERROR(__xludf.DUMMYFUNCTION("IMPORTRANGE(""https://docs.google.com/spreadsheets/d/""&amp;$A496&amp;""/edit#gid=156619080"",AE$3)"),4472.9)</f>
        <v>4472.9</v>
      </c>
      <c r="AF496" s="2">
        <f>IFERROR(__xludf.DUMMYFUNCTION("IMPORTRANGE(""https://docs.google.com/spreadsheets/d/""&amp;$A496&amp;""/edit#gid=156619080"",AF$3)"),4312.18)</f>
        <v>4312.18</v>
      </c>
      <c r="AG496" s="2">
        <f>IFERROR(__xludf.DUMMYFUNCTION("IMPORTRANGE(""https://docs.google.com/spreadsheets/d/""&amp;$A496&amp;""/edit#gid=156619080"",AG$3)"),4271.99)</f>
        <v>4271.99</v>
      </c>
      <c r="AH496" s="2">
        <f>IFERROR(__xludf.DUMMYFUNCTION("IMPORTRANGE(""https://docs.google.com/spreadsheets/d/""&amp;$A496&amp;""/edit#gid=156619080"",AH$3)"),4231.81)</f>
        <v>4231.81</v>
      </c>
      <c r="AI496" s="2">
        <f>IFERROR(__xludf.DUMMYFUNCTION("IMPORTRANGE(""https://docs.google.com/spreadsheets/d/""&amp;$A496&amp;""/edit#gid=156619080"",AI$3)"),4191.63)</f>
        <v>4191.63</v>
      </c>
      <c r="AJ496" s="2">
        <f>IFERROR(__xludf.DUMMYFUNCTION("IMPORTRANGE(""https://docs.google.com/spreadsheets/d/""&amp;$A496&amp;""/edit#gid=156619080"",AJ$3)"),4151.45)</f>
        <v>4151.45</v>
      </c>
      <c r="AK496" s="2" t="str">
        <f>IFERROR(__xludf.DUMMYFUNCTION("IMPORTRANGE(""https://docs.google.com/spreadsheets/d/""&amp;$A496&amp;""/edit#gid=156619080"",AK$3)"),"-1〜-1.25σ")</f>
        <v>-1〜-1.25σ</v>
      </c>
      <c r="AL496" s="2">
        <f>IFERROR(__xludf.DUMMYFUNCTION("IMPORTRANGE(""https://docs.google.com/spreadsheets/d/""&amp;$A496&amp;""/edit#gid=156619080"",AL$3)"),-1.0)</f>
        <v>-1</v>
      </c>
      <c r="AM496" s="2" t="str">
        <f>IFERROR(__xludf.DUMMYFUNCTION("IMPORTRANGE(""https://docs.google.com/spreadsheets/d/""&amp;$A496&amp;""/edit#gid=156619080"",AM$3)"),"")</f>
        <v/>
      </c>
      <c r="AN496" s="2">
        <f>IFERROR(__xludf.DUMMYFUNCTION("IMPORTRANGE(""https://docs.google.com/spreadsheets/d/""&amp;$A496&amp;""/edit#gid=156619080"",AN$3)"),-1.0)</f>
        <v>-1</v>
      </c>
      <c r="AO496" s="2" t="str">
        <f>IFERROR(__xludf.DUMMYFUNCTION("IMPORTRANGE(""https://docs.google.com/spreadsheets/d/""&amp;$A496&amp;""/edit#gid=156619080"",AO$3)"),"")</f>
        <v/>
      </c>
      <c r="AP496" s="2">
        <f>IFERROR(__xludf.DUMMYFUNCTION("IMPORTRANGE(""https://docs.google.com/spreadsheets/d/""&amp;$A496&amp;""/edit#gid=156619080"",AP$3)"),-1.0)</f>
        <v>-1</v>
      </c>
      <c r="AQ496" s="2" t="str">
        <f>IFERROR(__xludf.DUMMYFUNCTION("IMPORTRANGE(""https://docs.google.com/spreadsheets/d/""&amp;$A496&amp;""/edit#gid=156619080"",AQ$3)"),"")</f>
        <v/>
      </c>
      <c r="AR496" s="18">
        <f>IFERROR(__xludf.DUMMYFUNCTION("IMPORTRANGE(""https://docs.google.com/spreadsheets/d/""&amp;$A496&amp;""/edit#gid=156619080"",AR$3)"),-5.000000000000004)</f>
        <v>-5</v>
      </c>
      <c r="AS496" s="19" t="str">
        <f>IFERROR(__xludf.DUMMYFUNCTION("IMPORTRANGE(""https://docs.google.com/spreadsheets/d/""&amp;$A496&amp;""/edit#gid=156619080"",AS$3)"),"-5
-5
-55
-55
")</f>
        <v>-5
-5
-55
-55
</v>
      </c>
      <c r="AT496" s="18">
        <f>IFERROR(__xludf.DUMMYFUNCTION("IMPORTRANGE(""https://docs.google.com/spreadsheets/d/""&amp;$A496&amp;""/edit#gid=156619080"",AT$3)"),-88.73626373626374)</f>
        <v>-88.73626374</v>
      </c>
      <c r="AU496" s="3" t="str">
        <f>IFERROR(__xludf.DUMMYFUNCTION("IMPORTRANGE(""https://docs.google.com/spreadsheets/d/""&amp;$A496&amp;""/edit#gid=156619080"",AU$3)"),"-89.84
-89.84
-91.9
-91.48
")</f>
        <v>-89.84
-89.84
-91.9
-91.48
</v>
      </c>
      <c r="AV496" s="18">
        <f>IFERROR(__xludf.DUMMYFUNCTION("IMPORTRANGE(""https://docs.google.com/spreadsheets/d/""&amp;$A496&amp;""/edit#gid=156619080"",AV$3)"),-94.87012987012986)</f>
        <v>-94.87012987</v>
      </c>
      <c r="AW496" s="19" t="str">
        <f>IFERROR(__xludf.DUMMYFUNCTION("IMPORTRANGE(""https://docs.google.com/spreadsheets/d/""&amp;$A496&amp;""/edit#gid=156619080"",AW$3)"),"-64.87
-78.51
-86.95
-93.7
")</f>
        <v>-64.87
-78.51
-86.95
-93.7
</v>
      </c>
      <c r="AX496" s="2">
        <f>IFERROR(__xludf.DUMMYFUNCTION("IMPORTRANGE(""https://docs.google.com/spreadsheets/d/""&amp;$A496&amp;""/edit#gid=156619080"",AX$3)"),41.67)</f>
        <v>41.67</v>
      </c>
      <c r="AY496" s="2">
        <f>IFERROR(__xludf.DUMMYFUNCTION("IMPORTRANGE(""https://docs.google.com/spreadsheets/d/""&amp;$A496&amp;""/edit#gid=156619080"",AY$3)"),14.85)</f>
        <v>14.85</v>
      </c>
      <c r="AZ496" s="2">
        <f>IFERROR(__xludf.DUMMYFUNCTION("IMPORTRANGE(""https://docs.google.com/spreadsheets/d/""&amp;$A496&amp;""/edit#gid=156619080"",AZ$3)"),4284.21)</f>
        <v>4284.21</v>
      </c>
      <c r="BA496" s="2">
        <f>IFERROR(__xludf.DUMMYFUNCTION("IMPORTRANGE(""https://docs.google.com/spreadsheets/d/""&amp;$A496&amp;""/edit#gid=156619080"",BA$3)"),-129.39999999999964)</f>
        <v>-129.4</v>
      </c>
      <c r="BB496" s="2">
        <f>IFERROR(__xludf.DUMMYFUNCTION("IMPORTRANGE(""https://docs.google.com/spreadsheets/d/""&amp;$A496&amp;""/edit#gid=156619080"",BB$3)"),-101.15)</f>
        <v>-101.15</v>
      </c>
      <c r="BC496" s="2" t="str">
        <f>IFERROR(__xludf.DUMMYFUNCTION("IMPORTRANGE(""https://docs.google.com/spreadsheets/d/""&amp;$A496&amp;""/edit#gid=156619080"",BC$3)"),"DC→DC")</f>
        <v>DC→DC</v>
      </c>
    </row>
    <row r="497" ht="51.0" customHeight="1">
      <c r="A497" s="7" t="str">
        <f t="shared" si="5"/>
        <v>1MIEVBAG2Zoj7xHzIF8iXzenNgNou80mcBARB-AEY67M</v>
      </c>
      <c r="B497" s="1" t="s">
        <v>524</v>
      </c>
      <c r="C497" s="2">
        <f>IFERROR(__xludf.DUMMYFUNCTION("IMPORTRANGE(""https://docs.google.com/spreadsheets/d/""&amp;$A497&amp;""/edit#gid=156619080"",C$3)"),87.0)</f>
        <v>87</v>
      </c>
      <c r="D497" s="2">
        <f>IFERROR(__xludf.DUMMYFUNCTION("IMPORTRANGE(""https://docs.google.com/spreadsheets/d/""&amp;$A497&amp;""/edit#gid=156619080"",D$3)"),1719.0)</f>
        <v>1719</v>
      </c>
      <c r="E497" s="15">
        <f>IFERROR(__xludf.DUMMYFUNCTION("IMPORTRANGE(""https://docs.google.com/spreadsheets/d/""&amp;$A497&amp;""/edit#gid=156619080"",E$3)"),43882.0)</f>
        <v>43882</v>
      </c>
      <c r="F497" s="2">
        <f>IFERROR(__xludf.DUMMYFUNCTION("IMPORTRANGE(""https://docs.google.com/spreadsheets/d/""&amp;$A497&amp;""/edit#gid=156619080"",F$3)"),6.0)</f>
        <v>6</v>
      </c>
      <c r="G497" s="16">
        <f>IFERROR(__xludf.DUMMYFUNCTION("IMPORTRANGE(""https://docs.google.com/spreadsheets/d/""&amp;$A497&amp;""/edit#gid=156619080"",G$3)"),0.7)</f>
        <v>0.7</v>
      </c>
      <c r="H497" s="16">
        <f>IFERROR(__xludf.DUMMYFUNCTION("IMPORTRANGE(""https://docs.google.com/spreadsheets/d/""&amp;$A497&amp;""/edit#gid=156619080"",H$3)"),863.0)</f>
        <v>863</v>
      </c>
      <c r="I497" s="16">
        <f>IFERROR(__xludf.DUMMYFUNCTION("IMPORTRANGE(""https://docs.google.com/spreadsheets/d/""&amp;$A497&amp;""/edit#gid=156619080"",I$3)"),-1.0)</f>
        <v>-1</v>
      </c>
      <c r="J497" s="16">
        <f>IFERROR(__xludf.DUMMYFUNCTION("IMPORTRANGE(""https://docs.google.com/spreadsheets/d/""&amp;$A497&amp;""/edit#gid=156619080"",J$3)"),868.0)</f>
        <v>868</v>
      </c>
      <c r="K497" s="16">
        <f>IFERROR(__xludf.DUMMYFUNCTION("IMPORTRANGE(""https://docs.google.com/spreadsheets/d/""&amp;$A497&amp;""/edit#gid=156619080"",K$3)"),0.3951388888888889)</f>
        <v>0.3951388889</v>
      </c>
      <c r="L497" s="16">
        <f>IFERROR(__xludf.DUMMYFUNCTION("IMPORTRANGE(""https://docs.google.com/spreadsheets/d/""&amp;$A497&amp;""/edit#gid=156619080"",L$3)"),856.0)</f>
        <v>856</v>
      </c>
      <c r="M497" s="16">
        <f>IFERROR(__xludf.DUMMYFUNCTION("IMPORTRANGE(""https://docs.google.com/spreadsheets/d/""&amp;$A497&amp;""/edit#gid=156619080"",M$3)"),0.44930555555555557)</f>
        <v>0.4493055556</v>
      </c>
      <c r="N497" s="16">
        <f>IFERROR(__xludf.DUMMYFUNCTION("IMPORTRANGE(""https://docs.google.com/spreadsheets/d/""&amp;$A497&amp;""/edit#gid=156619080"",N$3)"),862.0)</f>
        <v>862</v>
      </c>
      <c r="O497" s="16" t="str">
        <f>IFERROR(__xludf.DUMMYFUNCTION("IMPORTRANGE(""https://docs.google.com/spreadsheets/d/""&amp;$A497&amp;""/edit#gid=156619080"",O$3)"),"741900株")</f>
        <v>741900株</v>
      </c>
      <c r="P497" s="16" t="str">
        <f>IFERROR(__xludf.DUMMYFUNCTION("IMPORTRANGE(""https://docs.google.com/spreadsheets/d/""&amp;$A497&amp;""/edit#gid=156619080"",P$3)"),"640百万円")</f>
        <v>640百万円</v>
      </c>
      <c r="Q497" s="16" t="str">
        <f>IFERROR(__xludf.DUMMYFUNCTION("IMPORTRANGE(""https://docs.google.com/spreadsheets/d/""&amp;$A497&amp;""/edit#gid=156619080"",Q$3)"),"1365回")</f>
        <v>1365回</v>
      </c>
      <c r="R497" s="16" t="str">
        <f>IFERROR(__xludf.DUMMYFUNCTION("IMPORTRANGE(""https://docs.google.com/spreadsheets/d/""&amp;$A497&amp;""/edit#gid=156619080"",R$3)"),"1727億円")</f>
        <v>1727億円</v>
      </c>
      <c r="S497" s="16" t="str">
        <f>IFERROR(__xludf.DUMMYFUNCTION("IMPORTRANGE(""https://docs.google.com/spreadsheets/d/""&amp;$A497&amp;""/edit#gid=156619080"",S$3)"),"陰線")</f>
        <v>陰線</v>
      </c>
      <c r="T497" s="16" t="str">
        <f>IFERROR(__xludf.DUMMYFUNCTION("IMPORTRANGE(""https://docs.google.com/spreadsheets/d/""&amp;$A497&amp;""/edit#gid=156619080"",T$3)"),"")</f>
        <v/>
      </c>
      <c r="U497" s="16">
        <f>IFERROR(__xludf.DUMMYFUNCTION("IMPORTRANGE(""https://docs.google.com/spreadsheets/d/""&amp;$A497&amp;""/edit#gid=156619080"",U$3)"),860.8)</f>
        <v>860.8</v>
      </c>
      <c r="V497" s="16">
        <f>IFERROR(__xludf.DUMMYFUNCTION("IMPORTRANGE(""https://docs.google.com/spreadsheets/d/""&amp;$A497&amp;""/edit#gid=156619080"",V$3)"),867.2)</f>
        <v>867.2</v>
      </c>
      <c r="W497" s="16">
        <f>IFERROR(__xludf.DUMMYFUNCTION("IMPORTRANGE(""https://docs.google.com/spreadsheets/d/""&amp;$A497&amp;""/edit#gid=156619080"",W$3)"),880.6)</f>
        <v>880.6</v>
      </c>
      <c r="X497" s="2" t="str">
        <f>IFERROR(__xludf.DUMMYFUNCTION("IMPORTRANGE(""https://docs.google.com/spreadsheets/d/""&amp;$A497&amp;""/edit#gid=156619080"",X$3)"),"")</f>
        <v/>
      </c>
      <c r="Y497" s="17">
        <f>IFERROR(__xludf.DUMMYFUNCTION("IMPORTRANGE(""https://docs.google.com/spreadsheets/d/""&amp;$A497&amp;""/edit#gid=156619080"",Y$3)"),0.0013940520446097183)</f>
        <v>0.001394052045</v>
      </c>
      <c r="Z497" s="2">
        <f>IFERROR(__xludf.DUMMYFUNCTION("IMPORTRANGE(""https://docs.google.com/spreadsheets/d/""&amp;$A497&amp;""/edit#gid=156619080"",Z$3)"),929.08)</f>
        <v>929.08</v>
      </c>
      <c r="AA497" s="2">
        <f>IFERROR(__xludf.DUMMYFUNCTION("IMPORTRANGE(""https://docs.google.com/spreadsheets/d/""&amp;$A497&amp;""/edit#gid=156619080"",AA$3)"),923.02)</f>
        <v>923.02</v>
      </c>
      <c r="AB497" s="2">
        <f>IFERROR(__xludf.DUMMYFUNCTION("IMPORTRANGE(""https://docs.google.com/spreadsheets/d/""&amp;$A497&amp;""/edit#gid=156619080"",AB$3)"),916.96)</f>
        <v>916.96</v>
      </c>
      <c r="AC497" s="18">
        <f>IFERROR(__xludf.DUMMYFUNCTION("IMPORTRANGE(""https://docs.google.com/spreadsheets/d/""&amp;$A497&amp;""/edit#gid=156619080"",AC$3)"),910.9)</f>
        <v>910.9</v>
      </c>
      <c r="AD497" s="18">
        <f>IFERROR(__xludf.DUMMYFUNCTION("IMPORTRANGE(""https://docs.google.com/spreadsheets/d/""&amp;$A497&amp;""/edit#gid=156619080"",AD$3)"),904.84)</f>
        <v>904.84</v>
      </c>
      <c r="AE497" s="18">
        <f>IFERROR(__xludf.DUMMYFUNCTION("IMPORTRANGE(""https://docs.google.com/spreadsheets/d/""&amp;$A497&amp;""/edit#gid=156619080"",AE$3)"),880.6)</f>
        <v>880.6</v>
      </c>
      <c r="AF497" s="2">
        <f>IFERROR(__xludf.DUMMYFUNCTION("IMPORTRANGE(""https://docs.google.com/spreadsheets/d/""&amp;$A497&amp;""/edit#gid=156619080"",AF$3)"),856.36)</f>
        <v>856.36</v>
      </c>
      <c r="AG497" s="2">
        <f>IFERROR(__xludf.DUMMYFUNCTION("IMPORTRANGE(""https://docs.google.com/spreadsheets/d/""&amp;$A497&amp;""/edit#gid=156619080"",AG$3)"),850.3)</f>
        <v>850.3</v>
      </c>
      <c r="AH497" s="2">
        <f>IFERROR(__xludf.DUMMYFUNCTION("IMPORTRANGE(""https://docs.google.com/spreadsheets/d/""&amp;$A497&amp;""/edit#gid=156619080"",AH$3)"),844.24)</f>
        <v>844.24</v>
      </c>
      <c r="AI497" s="2">
        <f>IFERROR(__xludf.DUMMYFUNCTION("IMPORTRANGE(""https://docs.google.com/spreadsheets/d/""&amp;$A497&amp;""/edit#gid=156619080"",AI$3)"),838.18)</f>
        <v>838.18</v>
      </c>
      <c r="AJ497" s="2">
        <f>IFERROR(__xludf.DUMMYFUNCTION("IMPORTRANGE(""https://docs.google.com/spreadsheets/d/""&amp;$A497&amp;""/edit#gid=156619080"",AJ$3)"),832.12)</f>
        <v>832.12</v>
      </c>
      <c r="AK497" s="2" t="str">
        <f>IFERROR(__xludf.DUMMYFUNCTION("IMPORTRANGE(""https://docs.google.com/spreadsheets/d/""&amp;$A497&amp;""/edit#gid=156619080"",AK$3)"),"")</f>
        <v/>
      </c>
      <c r="AL497" s="2">
        <f>IFERROR(__xludf.DUMMYFUNCTION("IMPORTRANGE(""https://docs.google.com/spreadsheets/d/""&amp;$A497&amp;""/edit#gid=156619080"",AL$3)"),-1.0)</f>
        <v>-1</v>
      </c>
      <c r="AM497" s="2" t="str">
        <f>IFERROR(__xludf.DUMMYFUNCTION("IMPORTRANGE(""https://docs.google.com/spreadsheets/d/""&amp;$A497&amp;""/edit#gid=156619080"",AM$3)"),"")</f>
        <v/>
      </c>
      <c r="AN497" s="2">
        <f>IFERROR(__xludf.DUMMYFUNCTION("IMPORTRANGE(""https://docs.google.com/spreadsheets/d/""&amp;$A497&amp;""/edit#gid=156619080"",AN$3)"),-1.0)</f>
        <v>-1</v>
      </c>
      <c r="AO497" s="2" t="str">
        <f>IFERROR(__xludf.DUMMYFUNCTION("IMPORTRANGE(""https://docs.google.com/spreadsheets/d/""&amp;$A497&amp;""/edit#gid=156619080"",AO$3)"),"")</f>
        <v/>
      </c>
      <c r="AP497" s="2">
        <f>IFERROR(__xludf.DUMMYFUNCTION("IMPORTRANGE(""https://docs.google.com/spreadsheets/d/""&amp;$A497&amp;""/edit#gid=156619080"",AP$3)"),-1.0)</f>
        <v>-1</v>
      </c>
      <c r="AQ497" s="2" t="str">
        <f>IFERROR(__xludf.DUMMYFUNCTION("IMPORTRANGE(""https://docs.google.com/spreadsheets/d/""&amp;$A497&amp;""/edit#gid=156619080"",AQ$3)"),"")</f>
        <v/>
      </c>
      <c r="AR497" s="18">
        <f>IFERROR(__xludf.DUMMYFUNCTION("IMPORTRANGE(""https://docs.google.com/spreadsheets/d/""&amp;$A497&amp;""/edit#gid=156619080"",AR$3)"),-5.000000000000004)</f>
        <v>-5</v>
      </c>
      <c r="AS497" s="19" t="str">
        <f>IFERROR(__xludf.DUMMYFUNCTION("IMPORTRANGE(""https://docs.google.com/spreadsheets/d/""&amp;$A497&amp;""/edit#gid=156619080"",AS$3)"),"65
-5
-55
-55
")</f>
        <v>65
-5
-55
-55
</v>
      </c>
      <c r="AT497" s="18">
        <f>IFERROR(__xludf.DUMMYFUNCTION("IMPORTRANGE(""https://docs.google.com/spreadsheets/d/""&amp;$A497&amp;""/edit#gid=156619080"",AT$3)"),-66.75824175824177)</f>
        <v>-66.75824176</v>
      </c>
      <c r="AU497" s="3" t="str">
        <f>IFERROR(__xludf.DUMMYFUNCTION("IMPORTRANGE(""https://docs.google.com/spreadsheets/d/""&amp;$A497&amp;""/edit#gid=156619080"",AU$3)"),"-35.99
-35.99
-62.36
-76.65
")</f>
        <v>-35.99
-35.99
-62.36
-76.65
</v>
      </c>
      <c r="AV497" s="18">
        <f>IFERROR(__xludf.DUMMYFUNCTION("IMPORTRANGE(""https://docs.google.com/spreadsheets/d/""&amp;$A497&amp;""/edit#gid=156619080"",AV$3)"),-79.38311688311688)</f>
        <v>-79.38311688</v>
      </c>
      <c r="AW497" s="19" t="str">
        <f>IFERROR(__xludf.DUMMYFUNCTION("IMPORTRANGE(""https://docs.google.com/spreadsheets/d/""&amp;$A497&amp;""/edit#gid=156619080"",AW$3)"),"-72.73
-75.91
-79.42
-80.32
")</f>
        <v>-72.73
-75.91
-79.42
-80.32
</v>
      </c>
      <c r="AX497" s="2">
        <f>IFERROR(__xludf.DUMMYFUNCTION("IMPORTRANGE(""https://docs.google.com/spreadsheets/d/""&amp;$A497&amp;""/edit#gid=156619080"",AX$3)"),33.33)</f>
        <v>33.33</v>
      </c>
      <c r="AY497" s="2">
        <f>IFERROR(__xludf.DUMMYFUNCTION("IMPORTRANGE(""https://docs.google.com/spreadsheets/d/""&amp;$A497&amp;""/edit#gid=156619080"",AY$3)"),32.690000000000005)</f>
        <v>32.69</v>
      </c>
      <c r="AZ497" s="2">
        <f>IFERROR(__xludf.DUMMYFUNCTION("IMPORTRANGE(""https://docs.google.com/spreadsheets/d/""&amp;$A497&amp;""/edit#gid=156619080"",AZ$3)"),861.51)</f>
        <v>861.51</v>
      </c>
      <c r="BA497" s="2">
        <f>IFERROR(__xludf.DUMMYFUNCTION("IMPORTRANGE(""https://docs.google.com/spreadsheets/d/""&amp;$A497&amp;""/edit#gid=156619080"",BA$3)"),-15.930000000000064)</f>
        <v>-15.93</v>
      </c>
      <c r="BB497" s="2">
        <f>IFERROR(__xludf.DUMMYFUNCTION("IMPORTRANGE(""https://docs.google.com/spreadsheets/d/""&amp;$A497&amp;""/edit#gid=156619080"",BB$3)"),-18.49)</f>
        <v>-18.49</v>
      </c>
      <c r="BC497" s="2" t="str">
        <f>IFERROR(__xludf.DUMMYFUNCTION("IMPORTRANGE(""https://docs.google.com/spreadsheets/d/""&amp;$A497&amp;""/edit#gid=156619080"",BC$3)"),"GC→GC")</f>
        <v>GC→GC</v>
      </c>
    </row>
    <row r="498" ht="51.0" customHeight="1">
      <c r="A498" s="7" t="str">
        <f t="shared" si="5"/>
        <v>1p4LCUa1G-WXQwgrnNKbqu3icbOjtugLFZhDKOH7v2DQ</v>
      </c>
      <c r="B498" s="1" t="s">
        <v>525</v>
      </c>
      <c r="C498" s="2">
        <f>IFERROR(__xludf.DUMMYFUNCTION("IMPORTRANGE(""https://docs.google.com/spreadsheets/d/""&amp;$A498&amp;""/edit#gid=156619080"",C$3)"),45.0)</f>
        <v>45</v>
      </c>
      <c r="D498" s="2">
        <f>IFERROR(__xludf.DUMMYFUNCTION("IMPORTRANGE(""https://docs.google.com/spreadsheets/d/""&amp;$A498&amp;""/edit#gid=156619080"",D$3)"),1743.0)</f>
        <v>1743</v>
      </c>
      <c r="E498" s="15">
        <f>IFERROR(__xludf.DUMMYFUNCTION("IMPORTRANGE(""https://docs.google.com/spreadsheets/d/""&amp;$A498&amp;""/edit#gid=156619080"",E$3)"),43882.0)</f>
        <v>43882</v>
      </c>
      <c r="F498" s="2">
        <f>IFERROR(__xludf.DUMMYFUNCTION("IMPORTRANGE(""https://docs.google.com/spreadsheets/d/""&amp;$A498&amp;""/edit#gid=156619080"",F$3)"),0.0)</f>
        <v>0</v>
      </c>
      <c r="G498" s="16">
        <f>IFERROR(__xludf.DUMMYFUNCTION("IMPORTRANGE(""https://docs.google.com/spreadsheets/d/""&amp;$A498&amp;""/edit#gid=156619080"",G$3)"),0.0)</f>
        <v>0</v>
      </c>
      <c r="H498" s="16">
        <f>IFERROR(__xludf.DUMMYFUNCTION("IMPORTRANGE(""https://docs.google.com/spreadsheets/d/""&amp;$A498&amp;""/edit#gid=156619080"",H$3)"),3915.0)</f>
        <v>3915</v>
      </c>
      <c r="I498" s="16">
        <f>IFERROR(__xludf.DUMMYFUNCTION("IMPORTRANGE(""https://docs.google.com/spreadsheets/d/""&amp;$A498&amp;""/edit#gid=156619080"",I$3)"),15.0)</f>
        <v>15</v>
      </c>
      <c r="J498" s="16">
        <f>IFERROR(__xludf.DUMMYFUNCTION("IMPORTRANGE(""https://docs.google.com/spreadsheets/d/""&amp;$A498&amp;""/edit#gid=156619080"",J$3)"),3930.0)</f>
        <v>3930</v>
      </c>
      <c r="K498" s="16">
        <f>IFERROR(__xludf.DUMMYFUNCTION("IMPORTRANGE(""https://docs.google.com/spreadsheets/d/""&amp;$A498&amp;""/edit#gid=156619080"",K$3)"),0.5729166666666666)</f>
        <v>0.5729166667</v>
      </c>
      <c r="L498" s="16">
        <f>IFERROR(__xludf.DUMMYFUNCTION("IMPORTRANGE(""https://docs.google.com/spreadsheets/d/""&amp;$A498&amp;""/edit#gid=156619080"",L$3)"),3915.0)</f>
        <v>3915</v>
      </c>
      <c r="M498" s="16">
        <f>IFERROR(__xludf.DUMMYFUNCTION("IMPORTRANGE(""https://docs.google.com/spreadsheets/d/""&amp;$A498&amp;""/edit#gid=156619080"",M$3)"),0.5722222222222222)</f>
        <v>0.5722222222</v>
      </c>
      <c r="N498" s="16">
        <f>IFERROR(__xludf.DUMMYFUNCTION("IMPORTRANGE(""https://docs.google.com/spreadsheets/d/""&amp;$A498&amp;""/edit#gid=156619080"",N$3)"),3930.0)</f>
        <v>3930</v>
      </c>
      <c r="O498" s="16" t="str">
        <f>IFERROR(__xludf.DUMMYFUNCTION("IMPORTRANGE(""https://docs.google.com/spreadsheets/d/""&amp;$A498&amp;""/edit#gid=156619080"",O$3)"),"200株")</f>
        <v>200株</v>
      </c>
      <c r="P498" s="16" t="str">
        <f>IFERROR(__xludf.DUMMYFUNCTION("IMPORTRANGE(""https://docs.google.com/spreadsheets/d/""&amp;$A498&amp;""/edit#gid=156619080"",P$3)"),"1百万円")</f>
        <v>1百万円</v>
      </c>
      <c r="Q498" s="16" t="str">
        <f>IFERROR(__xludf.DUMMYFUNCTION("IMPORTRANGE(""https://docs.google.com/spreadsheets/d/""&amp;$A498&amp;""/edit#gid=156619080"",Q$3)"),"2回")</f>
        <v>2回</v>
      </c>
      <c r="R498" s="16" t="str">
        <f>IFERROR(__xludf.DUMMYFUNCTION("IMPORTRANGE(""https://docs.google.com/spreadsheets/d/""&amp;$A498&amp;""/edit#gid=156619080"",R$3)"),"29.9億円")</f>
        <v>29.9億円</v>
      </c>
      <c r="S498" s="16" t="str">
        <f>IFERROR(__xludf.DUMMYFUNCTION("IMPORTRANGE(""https://docs.google.com/spreadsheets/d/""&amp;$A498&amp;""/edit#gid=156619080"",S$3)"),"陽線")</f>
        <v>陽線</v>
      </c>
      <c r="T498" s="16" t="str">
        <f>IFERROR(__xludf.DUMMYFUNCTION("IMPORTRANGE(""https://docs.google.com/spreadsheets/d/""&amp;$A498&amp;""/edit#gid=156619080"",T$3)"),"#VALUE!")</f>
        <v>#VALUE!</v>
      </c>
      <c r="U498" s="16">
        <f>IFERROR(__xludf.DUMMYFUNCTION("IMPORTRANGE(""https://docs.google.com/spreadsheets/d/""&amp;$A498&amp;""/edit#gid=156619080"",U$3)"),3972.0)</f>
        <v>3972</v>
      </c>
      <c r="V498" s="16">
        <f>IFERROR(__xludf.DUMMYFUNCTION("IMPORTRANGE(""https://docs.google.com/spreadsheets/d/""&amp;$A498&amp;""/edit#gid=156619080"",V$3)"),3329.6)</f>
        <v>3329.6</v>
      </c>
      <c r="W498" s="16">
        <f>IFERROR(__xludf.DUMMYFUNCTION("IMPORTRANGE(""https://docs.google.com/spreadsheets/d/""&amp;$A498&amp;""/edit#gid=156619080"",W$3)"),2797.6)</f>
        <v>2797.6</v>
      </c>
      <c r="X498" s="2" t="str">
        <f>IFERROR(__xludf.DUMMYFUNCTION("IMPORTRANGE(""https://docs.google.com/spreadsheets/d/""&amp;$A498&amp;""/edit#gid=156619080"",X$3)"),"")</f>
        <v/>
      </c>
      <c r="Y498" s="17">
        <f>IFERROR(__xludf.DUMMYFUNCTION("IMPORTRANGE(""https://docs.google.com/spreadsheets/d/""&amp;$A498&amp;""/edit#gid=156619080"",Y$3)"),-0.010574018126888218)</f>
        <v>-0.01057401813</v>
      </c>
      <c r="Z498" s="2">
        <f>IFERROR(__xludf.DUMMYFUNCTION("IMPORTRANGE(""https://docs.google.com/spreadsheets/d/""&amp;$A498&amp;""/edit#gid=156619080"",Z$3)"),2989.91)</f>
        <v>2989.91</v>
      </c>
      <c r="AA498" s="2">
        <f>IFERROR(__xludf.DUMMYFUNCTION("IMPORTRANGE(""https://docs.google.com/spreadsheets/d/""&amp;$A498&amp;""/edit#gid=156619080"",AA$3)"),2965.87)</f>
        <v>2965.87</v>
      </c>
      <c r="AB498" s="2">
        <f>IFERROR(__xludf.DUMMYFUNCTION("IMPORTRANGE(""https://docs.google.com/spreadsheets/d/""&amp;$A498&amp;""/edit#gid=156619080"",AB$3)"),2941.83)</f>
        <v>2941.83</v>
      </c>
      <c r="AC498" s="18">
        <f>IFERROR(__xludf.DUMMYFUNCTION("IMPORTRANGE(""https://docs.google.com/spreadsheets/d/""&amp;$A498&amp;""/edit#gid=156619080"",AC$3)"),2917.79)</f>
        <v>2917.79</v>
      </c>
      <c r="AD498" s="18">
        <f>IFERROR(__xludf.DUMMYFUNCTION("IMPORTRANGE(""https://docs.google.com/spreadsheets/d/""&amp;$A498&amp;""/edit#gid=156619080"",AD$3)"),2893.75)</f>
        <v>2893.75</v>
      </c>
      <c r="AE498" s="18">
        <f>IFERROR(__xludf.DUMMYFUNCTION("IMPORTRANGE(""https://docs.google.com/spreadsheets/d/""&amp;$A498&amp;""/edit#gid=156619080"",AE$3)"),2797.6)</f>
        <v>2797.6</v>
      </c>
      <c r="AF498" s="2">
        <f>IFERROR(__xludf.DUMMYFUNCTION("IMPORTRANGE(""https://docs.google.com/spreadsheets/d/""&amp;$A498&amp;""/edit#gid=156619080"",AF$3)"),2701.45)</f>
        <v>2701.45</v>
      </c>
      <c r="AG498" s="2">
        <f>IFERROR(__xludf.DUMMYFUNCTION("IMPORTRANGE(""https://docs.google.com/spreadsheets/d/""&amp;$A498&amp;""/edit#gid=156619080"",AG$3)"),2677.41)</f>
        <v>2677.41</v>
      </c>
      <c r="AH498" s="2">
        <f>IFERROR(__xludf.DUMMYFUNCTION("IMPORTRANGE(""https://docs.google.com/spreadsheets/d/""&amp;$A498&amp;""/edit#gid=156619080"",AH$3)"),2653.37)</f>
        <v>2653.37</v>
      </c>
      <c r="AI498" s="2">
        <f>IFERROR(__xludf.DUMMYFUNCTION("IMPORTRANGE(""https://docs.google.com/spreadsheets/d/""&amp;$A498&amp;""/edit#gid=156619080"",AI$3)"),2629.33)</f>
        <v>2629.33</v>
      </c>
      <c r="AJ498" s="2">
        <f>IFERROR(__xludf.DUMMYFUNCTION("IMPORTRANGE(""https://docs.google.com/spreadsheets/d/""&amp;$A498&amp;""/edit#gid=156619080"",AJ$3)"),2605.29)</f>
        <v>2605.29</v>
      </c>
      <c r="AK498" s="2" t="str">
        <f>IFERROR(__xludf.DUMMYFUNCTION("IMPORTRANGE(""https://docs.google.com/spreadsheets/d/""&amp;$A498&amp;""/edit#gid=156619080"",AK$3)"),"2σ以上")</f>
        <v>2σ以上</v>
      </c>
      <c r="AL498" s="2">
        <f>IFERROR(__xludf.DUMMYFUNCTION("IMPORTRANGE(""https://docs.google.com/spreadsheets/d/""&amp;$A498&amp;""/edit#gid=156619080"",AL$3)"),1.0)</f>
        <v>1</v>
      </c>
      <c r="AM498" s="2" t="str">
        <f>IFERROR(__xludf.DUMMYFUNCTION("IMPORTRANGE(""https://docs.google.com/spreadsheets/d/""&amp;$A498&amp;""/edit#gid=156619080"",AM$3)"),"")</f>
        <v/>
      </c>
      <c r="AN498" s="2">
        <f>IFERROR(__xludf.DUMMYFUNCTION("IMPORTRANGE(""https://docs.google.com/spreadsheets/d/""&amp;$A498&amp;""/edit#gid=156619080"",AN$3)"),1.0)</f>
        <v>1</v>
      </c>
      <c r="AO498" s="2" t="str">
        <f>IFERROR(__xludf.DUMMYFUNCTION("IMPORTRANGE(""https://docs.google.com/spreadsheets/d/""&amp;$A498&amp;""/edit#gid=156619080"",AO$3)"),"")</f>
        <v/>
      </c>
      <c r="AP498" s="2">
        <f>IFERROR(__xludf.DUMMYFUNCTION("IMPORTRANGE(""https://docs.google.com/spreadsheets/d/""&amp;$A498&amp;""/edit#gid=156619080"",AP$3)"),1.0)</f>
        <v>1</v>
      </c>
      <c r="AQ498" s="2" t="str">
        <f>IFERROR(__xludf.DUMMYFUNCTION("IMPORTRANGE(""https://docs.google.com/spreadsheets/d/""&amp;$A498&amp;""/edit#gid=156619080"",AQ$3)"),"")</f>
        <v/>
      </c>
      <c r="AR498" s="18">
        <f>IFERROR(__xludf.DUMMYFUNCTION("IMPORTRANGE(""https://docs.google.com/spreadsheets/d/""&amp;$A498&amp;""/edit#gid=156619080"",AR$3)"),-62.5)</f>
        <v>-62.5</v>
      </c>
      <c r="AS498" s="19" t="str">
        <f>IFERROR(__xludf.DUMMYFUNCTION("IMPORTRANGE(""https://docs.google.com/spreadsheets/d/""&amp;$A498&amp;""/edit#gid=156619080"",AS$3)"),"50
7.5
-70
-70
")</f>
        <v>50
7.5
-70
-70
</v>
      </c>
      <c r="AT498" s="18" t="str">
        <f>IFERROR(__xludf.DUMMYFUNCTION("IMPORTRANGE(""https://docs.google.com/spreadsheets/d/""&amp;$A498&amp;""/edit#gid=156619080"",AT$3)"),"#VALUE!")</f>
        <v>#VALUE!</v>
      </c>
      <c r="AU498" s="3" t="str">
        <f>IFERROR(__xludf.DUMMYFUNCTION("IMPORTRANGE(""https://docs.google.com/spreadsheets/d/""&amp;$A498&amp;""/edit#gid=156619080"",AU$3)"),"#VALUE!")</f>
        <v>#VALUE!</v>
      </c>
      <c r="AV498" s="18" t="str">
        <f>IFERROR(__xludf.DUMMYFUNCTION("IMPORTRANGE(""https://docs.google.com/spreadsheets/d/""&amp;$A498&amp;""/edit#gid=156619080"",AV$3)"),"#VALUE!")</f>
        <v>#VALUE!</v>
      </c>
      <c r="AW498" s="19" t="str">
        <f>IFERROR(__xludf.DUMMYFUNCTION("IMPORTRANGE(""https://docs.google.com/spreadsheets/d/""&amp;$A498&amp;""/edit#gid=156619080"",AW$3)"),"#VALUE!")</f>
        <v>#VALUE!</v>
      </c>
      <c r="AX498" s="2">
        <f>IFERROR(__xludf.DUMMYFUNCTION("IMPORTRANGE(""https://docs.google.com/spreadsheets/d/""&amp;$A498&amp;""/edit#gid=156619080"",AX$3)"),0.0)</f>
        <v>0</v>
      </c>
      <c r="AY498" s="2" t="str">
        <f>IFERROR(__xludf.DUMMYFUNCTION("IMPORTRANGE(""https://docs.google.com/spreadsheets/d/""&amp;$A498&amp;""/edit#gid=156619080"",AY$3)"),"#VALUE!")</f>
        <v>#VALUE!</v>
      </c>
      <c r="AZ498" s="2" t="str">
        <f>IFERROR(__xludf.DUMMYFUNCTION("IMPORTRANGE(""https://docs.google.com/spreadsheets/d/""&amp;$A498&amp;""/edit#gid=156619080"",AZ$3)"),"#VALUE!")</f>
        <v>#VALUE!</v>
      </c>
      <c r="BA498" s="2" t="str">
        <f>IFERROR(__xludf.DUMMYFUNCTION("IMPORTRANGE(""https://docs.google.com/spreadsheets/d/""&amp;$A498&amp;""/edit#gid=156619080"",BA$3)"),"#VALUE!")</f>
        <v>#VALUE!</v>
      </c>
      <c r="BB498" s="2" t="str">
        <f>IFERROR(__xludf.DUMMYFUNCTION("IMPORTRANGE(""https://docs.google.com/spreadsheets/d/""&amp;$A498&amp;""/edit#gid=156619080"",BB$3)"),"#VALUE!")</f>
        <v>#VALUE!</v>
      </c>
      <c r="BC498" s="2" t="str">
        <f>IFERROR(__xludf.DUMMYFUNCTION("IMPORTRANGE(""https://docs.google.com/spreadsheets/d/""&amp;$A498&amp;""/edit#gid=156619080"",BC$3)"),"#VALUE!")</f>
        <v>#VALUE!</v>
      </c>
    </row>
    <row r="499" ht="51.0" customHeight="1">
      <c r="A499" s="7" t="str">
        <f t="shared" si="5"/>
        <v>1qiMqTvZBDMyNTC3MJxVOYrqRjsTVF1HnoxV4LyhC4zM</v>
      </c>
      <c r="B499" s="1" t="s">
        <v>526</v>
      </c>
      <c r="C499" s="2">
        <f>IFERROR(__xludf.DUMMYFUNCTION("IMPORTRANGE(""https://docs.google.com/spreadsheets/d/""&amp;$A499&amp;""/edit#gid=156619080"",C$3)"),45.0)</f>
        <v>45</v>
      </c>
      <c r="D499" s="2">
        <f>IFERROR(__xludf.DUMMYFUNCTION("IMPORTRANGE(""https://docs.google.com/spreadsheets/d/""&amp;$A499&amp;""/edit#gid=156619080"",D$3)"),1787.0)</f>
        <v>1787</v>
      </c>
      <c r="E499" s="15">
        <f>IFERROR(__xludf.DUMMYFUNCTION("IMPORTRANGE(""https://docs.google.com/spreadsheets/d/""&amp;$A499&amp;""/edit#gid=156619080"",E$3)"),43882.0)</f>
        <v>43882</v>
      </c>
      <c r="F499" s="2">
        <f>IFERROR(__xludf.DUMMYFUNCTION("IMPORTRANGE(""https://docs.google.com/spreadsheets/d/""&amp;$A499&amp;""/edit#gid=156619080"",F$3)"),-10.0)</f>
        <v>-10</v>
      </c>
      <c r="G499" s="16">
        <f>IFERROR(__xludf.DUMMYFUNCTION("IMPORTRANGE(""https://docs.google.com/spreadsheets/d/""&amp;$A499&amp;""/edit#gid=156619080"",G$3)"),-0.28)</f>
        <v>-0.28</v>
      </c>
      <c r="H499" s="16">
        <f>IFERROR(__xludf.DUMMYFUNCTION("IMPORTRANGE(""https://docs.google.com/spreadsheets/d/""&amp;$A499&amp;""/edit#gid=156619080"",H$3)"),3620.0)</f>
        <v>3620</v>
      </c>
      <c r="I499" s="16">
        <f>IFERROR(__xludf.DUMMYFUNCTION("IMPORTRANGE(""https://docs.google.com/spreadsheets/d/""&amp;$A499&amp;""/edit#gid=156619080"",I$3)"),0.0)</f>
        <v>0</v>
      </c>
      <c r="J499" s="16">
        <f>IFERROR(__xludf.DUMMYFUNCTION("IMPORTRANGE(""https://docs.google.com/spreadsheets/d/""&amp;$A499&amp;""/edit#gid=156619080"",J$3)"),3620.0)</f>
        <v>3620</v>
      </c>
      <c r="K499" s="16">
        <f>IFERROR(__xludf.DUMMYFUNCTION("IMPORTRANGE(""https://docs.google.com/spreadsheets/d/""&amp;$A499&amp;""/edit#gid=156619080"",K$3)"),0.375)</f>
        <v>0.375</v>
      </c>
      <c r="L499" s="16">
        <f>IFERROR(__xludf.DUMMYFUNCTION("IMPORTRANGE(""https://docs.google.com/spreadsheets/d/""&amp;$A499&amp;""/edit#gid=156619080"",L$3)"),3595.0)</f>
        <v>3595</v>
      </c>
      <c r="M499" s="16">
        <f>IFERROR(__xludf.DUMMYFUNCTION("IMPORTRANGE(""https://docs.google.com/spreadsheets/d/""&amp;$A499&amp;""/edit#gid=156619080"",M$3)"),0.38263888888888886)</f>
        <v>0.3826388889</v>
      </c>
      <c r="N499" s="16">
        <f>IFERROR(__xludf.DUMMYFUNCTION("IMPORTRANGE(""https://docs.google.com/spreadsheets/d/""&amp;$A499&amp;""/edit#gid=156619080"",N$3)"),3610.0)</f>
        <v>3610</v>
      </c>
      <c r="O499" s="16" t="str">
        <f>IFERROR(__xludf.DUMMYFUNCTION("IMPORTRANGE(""https://docs.google.com/spreadsheets/d/""&amp;$A499&amp;""/edit#gid=156619080"",O$3)"),"700株")</f>
        <v>700株</v>
      </c>
      <c r="P499" s="16" t="str">
        <f>IFERROR(__xludf.DUMMYFUNCTION("IMPORTRANGE(""https://docs.google.com/spreadsheets/d/""&amp;$A499&amp;""/edit#gid=156619080"",P$3)"),"3百万円")</f>
        <v>3百万円</v>
      </c>
      <c r="Q499" s="16" t="str">
        <f>IFERROR(__xludf.DUMMYFUNCTION("IMPORTRANGE(""https://docs.google.com/spreadsheets/d/""&amp;$A499&amp;""/edit#gid=156619080"",Q$3)"),"4回")</f>
        <v>4回</v>
      </c>
      <c r="R499" s="16" t="str">
        <f>IFERROR(__xludf.DUMMYFUNCTION("IMPORTRANGE(""https://docs.google.com/spreadsheets/d/""&amp;$A499&amp;""/edit#gid=156619080"",R$3)"),"94.0億円")</f>
        <v>94.0億円</v>
      </c>
      <c r="S499" s="16" t="str">
        <f>IFERROR(__xludf.DUMMYFUNCTION("IMPORTRANGE(""https://docs.google.com/spreadsheets/d/""&amp;$A499&amp;""/edit#gid=156619080"",S$3)"),"陰線")</f>
        <v>陰線</v>
      </c>
      <c r="T499" s="16" t="str">
        <f>IFERROR(__xludf.DUMMYFUNCTION("IMPORTRANGE(""https://docs.google.com/spreadsheets/d/""&amp;$A499&amp;""/edit#gid=156619080"",T$3)"),"#VALUE!")</f>
        <v>#VALUE!</v>
      </c>
      <c r="U499" s="16">
        <f>IFERROR(__xludf.DUMMYFUNCTION("IMPORTRANGE(""https://docs.google.com/spreadsheets/d/""&amp;$A499&amp;""/edit#gid=156619080"",U$3)"),2162.0)</f>
        <v>2162</v>
      </c>
      <c r="V499" s="16">
        <f>IFERROR(__xludf.DUMMYFUNCTION("IMPORTRANGE(""https://docs.google.com/spreadsheets/d/""&amp;$A499&amp;""/edit#gid=156619080"",V$3)"),1888.8)</f>
        <v>1888.8</v>
      </c>
      <c r="W499" s="16">
        <f>IFERROR(__xludf.DUMMYFUNCTION("IMPORTRANGE(""https://docs.google.com/spreadsheets/d/""&amp;$A499&amp;""/edit#gid=156619080"",W$3)"),2120.2)</f>
        <v>2120.2</v>
      </c>
      <c r="X499" s="2" t="str">
        <f>IFERROR(__xludf.DUMMYFUNCTION("IMPORTRANGE(""https://docs.google.com/spreadsheets/d/""&amp;$A499&amp;""/edit#gid=156619080"",X$3)"),"")</f>
        <v/>
      </c>
      <c r="Y499" s="17">
        <f>IFERROR(__xludf.DUMMYFUNCTION("IMPORTRANGE(""https://docs.google.com/spreadsheets/d/""&amp;$A499&amp;""/edit#gid=156619080"",Y$3)"),0.669750231267345)</f>
        <v>0.6697502313</v>
      </c>
      <c r="Z499" s="2">
        <f>IFERROR(__xludf.DUMMYFUNCTION("IMPORTRANGE(""https://docs.google.com/spreadsheets/d/""&amp;$A499&amp;""/edit#gid=156619080"",Z$3)"),2394.17)</f>
        <v>2394.17</v>
      </c>
      <c r="AA499" s="2">
        <f>IFERROR(__xludf.DUMMYFUNCTION("IMPORTRANGE(""https://docs.google.com/spreadsheets/d/""&amp;$A499&amp;""/edit#gid=156619080"",AA$3)"),2359.93)</f>
        <v>2359.93</v>
      </c>
      <c r="AB499" s="2">
        <f>IFERROR(__xludf.DUMMYFUNCTION("IMPORTRANGE(""https://docs.google.com/spreadsheets/d/""&amp;$A499&amp;""/edit#gid=156619080"",AB$3)"),2325.68)</f>
        <v>2325.68</v>
      </c>
      <c r="AC499" s="18">
        <f>IFERROR(__xludf.DUMMYFUNCTION("IMPORTRANGE(""https://docs.google.com/spreadsheets/d/""&amp;$A499&amp;""/edit#gid=156619080"",AC$3)"),2291.43)</f>
        <v>2291.43</v>
      </c>
      <c r="AD499" s="18">
        <f>IFERROR(__xludf.DUMMYFUNCTION("IMPORTRANGE(""https://docs.google.com/spreadsheets/d/""&amp;$A499&amp;""/edit#gid=156619080"",AD$3)"),2257.19)</f>
        <v>2257.19</v>
      </c>
      <c r="AE499" s="18">
        <f>IFERROR(__xludf.DUMMYFUNCTION("IMPORTRANGE(""https://docs.google.com/spreadsheets/d/""&amp;$A499&amp;""/edit#gid=156619080"",AE$3)"),2120.2)</f>
        <v>2120.2</v>
      </c>
      <c r="AF499" s="2">
        <f>IFERROR(__xludf.DUMMYFUNCTION("IMPORTRANGE(""https://docs.google.com/spreadsheets/d/""&amp;$A499&amp;""/edit#gid=156619080"",AF$3)"),1983.21)</f>
        <v>1983.21</v>
      </c>
      <c r="AG499" s="2">
        <f>IFERROR(__xludf.DUMMYFUNCTION("IMPORTRANGE(""https://docs.google.com/spreadsheets/d/""&amp;$A499&amp;""/edit#gid=156619080"",AG$3)"),1948.97)</f>
        <v>1948.97</v>
      </c>
      <c r="AH499" s="2">
        <f>IFERROR(__xludf.DUMMYFUNCTION("IMPORTRANGE(""https://docs.google.com/spreadsheets/d/""&amp;$A499&amp;""/edit#gid=156619080"",AH$3)"),1914.72)</f>
        <v>1914.72</v>
      </c>
      <c r="AI499" s="2">
        <f>IFERROR(__xludf.DUMMYFUNCTION("IMPORTRANGE(""https://docs.google.com/spreadsheets/d/""&amp;$A499&amp;""/edit#gid=156619080"",AI$3)"),1880.47)</f>
        <v>1880.47</v>
      </c>
      <c r="AJ499" s="2">
        <f>IFERROR(__xludf.DUMMYFUNCTION("IMPORTRANGE(""https://docs.google.com/spreadsheets/d/""&amp;$A499&amp;""/edit#gid=156619080"",AJ$3)"),1846.23)</f>
        <v>1846.23</v>
      </c>
      <c r="AK499" s="2" t="str">
        <f>IFERROR(__xludf.DUMMYFUNCTION("IMPORTRANGE(""https://docs.google.com/spreadsheets/d/""&amp;$A499&amp;""/edit#gid=156619080"",AK$3)"),"2σ以上")</f>
        <v>2σ以上</v>
      </c>
      <c r="AL499" s="2">
        <f>IFERROR(__xludf.DUMMYFUNCTION("IMPORTRANGE(""https://docs.google.com/spreadsheets/d/""&amp;$A499&amp;""/edit#gid=156619080"",AL$3)"),1.0)</f>
        <v>1</v>
      </c>
      <c r="AM499" s="2" t="str">
        <f>IFERROR(__xludf.DUMMYFUNCTION("IMPORTRANGE(""https://docs.google.com/spreadsheets/d/""&amp;$A499&amp;""/edit#gid=156619080"",AM$3)"),"")</f>
        <v/>
      </c>
      <c r="AN499" s="2">
        <f>IFERROR(__xludf.DUMMYFUNCTION("IMPORTRANGE(""https://docs.google.com/spreadsheets/d/""&amp;$A499&amp;""/edit#gid=156619080"",AN$3)"),1.0)</f>
        <v>1</v>
      </c>
      <c r="AO499" s="2" t="str">
        <f>IFERROR(__xludf.DUMMYFUNCTION("IMPORTRANGE(""https://docs.google.com/spreadsheets/d/""&amp;$A499&amp;""/edit#gid=156619080"",AO$3)"),"")</f>
        <v/>
      </c>
      <c r="AP499" s="2">
        <f>IFERROR(__xludf.DUMMYFUNCTION("IMPORTRANGE(""https://docs.google.com/spreadsheets/d/""&amp;$A499&amp;""/edit#gid=156619080"",AP$3)"),-1.0)</f>
        <v>-1</v>
      </c>
      <c r="AQ499" s="2" t="str">
        <f>IFERROR(__xludf.DUMMYFUNCTION("IMPORTRANGE(""https://docs.google.com/spreadsheets/d/""&amp;$A499&amp;""/edit#gid=156619080"",AQ$3)"),"")</f>
        <v/>
      </c>
      <c r="AR499" s="18" t="str">
        <f>IFERROR(__xludf.DUMMYFUNCTION("IMPORTRANGE(""https://docs.google.com/spreadsheets/d/""&amp;$A499&amp;""/edit#gid=156619080"",AR$3)"),"#VALUE!")</f>
        <v>#VALUE!</v>
      </c>
      <c r="AS499" s="19" t="str">
        <f>IFERROR(__xludf.DUMMYFUNCTION("IMPORTRANGE(""https://docs.google.com/spreadsheets/d/""&amp;$A499&amp;""/edit#gid=156619080"",AS$3)"),"#VALUE!")</f>
        <v>#VALUE!</v>
      </c>
      <c r="AT499" s="18" t="str">
        <f>IFERROR(__xludf.DUMMYFUNCTION("IMPORTRANGE(""https://docs.google.com/spreadsheets/d/""&amp;$A499&amp;""/edit#gid=156619080"",AT$3)"),"#VALUE!")</f>
        <v>#VALUE!</v>
      </c>
      <c r="AU499" s="3" t="str">
        <f>IFERROR(__xludf.DUMMYFUNCTION("IMPORTRANGE(""https://docs.google.com/spreadsheets/d/""&amp;$A499&amp;""/edit#gid=156619080"",AU$3)"),"#VALUE!")</f>
        <v>#VALUE!</v>
      </c>
      <c r="AV499" s="18" t="str">
        <f>IFERROR(__xludf.DUMMYFUNCTION("IMPORTRANGE(""https://docs.google.com/spreadsheets/d/""&amp;$A499&amp;""/edit#gid=156619080"",AV$3)"),"#VALUE!")</f>
        <v>#VALUE!</v>
      </c>
      <c r="AW499" s="19" t="str">
        <f>IFERROR(__xludf.DUMMYFUNCTION("IMPORTRANGE(""https://docs.google.com/spreadsheets/d/""&amp;$A499&amp;""/edit#gid=156619080"",AW$3)"),"#VALUE!")</f>
        <v>#VALUE!</v>
      </c>
      <c r="AX499" s="2" t="str">
        <f>IFERROR(__xludf.DUMMYFUNCTION("IMPORTRANGE(""https://docs.google.com/spreadsheets/d/""&amp;$A499&amp;""/edit#gid=156619080"",AX$3)"),"#VALUE!")</f>
        <v>#VALUE!</v>
      </c>
      <c r="AY499" s="2" t="str">
        <f>IFERROR(__xludf.DUMMYFUNCTION("IMPORTRANGE(""https://docs.google.com/spreadsheets/d/""&amp;$A499&amp;""/edit#gid=156619080"",AY$3)"),"#VALUE!")</f>
        <v>#VALUE!</v>
      </c>
      <c r="AZ499" s="2" t="str">
        <f>IFERROR(__xludf.DUMMYFUNCTION("IMPORTRANGE(""https://docs.google.com/spreadsheets/d/""&amp;$A499&amp;""/edit#gid=156619080"",AZ$3)"),"#VALUE!")</f>
        <v>#VALUE!</v>
      </c>
      <c r="BA499" s="2" t="str">
        <f>IFERROR(__xludf.DUMMYFUNCTION("IMPORTRANGE(""https://docs.google.com/spreadsheets/d/""&amp;$A499&amp;""/edit#gid=156619080"",BA$3)"),"#VALUE!")</f>
        <v>#VALUE!</v>
      </c>
      <c r="BB499" s="2" t="str">
        <f>IFERROR(__xludf.DUMMYFUNCTION("IMPORTRANGE(""https://docs.google.com/spreadsheets/d/""&amp;$A499&amp;""/edit#gid=156619080"",BB$3)"),"#VALUE!")</f>
        <v>#VALUE!</v>
      </c>
      <c r="BC499" s="2" t="str">
        <f>IFERROR(__xludf.DUMMYFUNCTION("IMPORTRANGE(""https://docs.google.com/spreadsheets/d/""&amp;$A499&amp;""/edit#gid=156619080"",BC$3)"),"#VALUE!")</f>
        <v>#VALUE!</v>
      </c>
    </row>
    <row r="500" ht="51.0" customHeight="1">
      <c r="A500" s="7" t="str">
        <f t="shared" si="5"/>
        <v>1wyQAEFM6zq3TaZYH5NLhx08iMc-bv99zWMYtSE0-Zc4</v>
      </c>
      <c r="B500" s="1" t="s">
        <v>527</v>
      </c>
      <c r="C500" s="2">
        <f>IFERROR(__xludf.DUMMYFUNCTION("IMPORTRANGE(""https://docs.google.com/spreadsheets/d/""&amp;$A500&amp;""/edit#gid=156619080"",C$3)"),87.0)</f>
        <v>87</v>
      </c>
      <c r="D500" s="2">
        <f>IFERROR(__xludf.DUMMYFUNCTION("IMPORTRANGE(""https://docs.google.com/spreadsheets/d/""&amp;$A500&amp;""/edit#gid=156619080"",D$3)"),1815.0)</f>
        <v>1815</v>
      </c>
      <c r="E500" s="15">
        <f>IFERROR(__xludf.DUMMYFUNCTION("IMPORTRANGE(""https://docs.google.com/spreadsheets/d/""&amp;$A500&amp;""/edit#gid=156619080"",E$3)"),43882.0)</f>
        <v>43882</v>
      </c>
      <c r="F500" s="2">
        <f>IFERROR(__xludf.DUMMYFUNCTION("IMPORTRANGE(""https://docs.google.com/spreadsheets/d/""&amp;$A500&amp;""/edit#gid=156619080"",F$3)"),-31.0)</f>
        <v>-31</v>
      </c>
      <c r="G500" s="16">
        <f>IFERROR(__xludf.DUMMYFUNCTION("IMPORTRANGE(""https://docs.google.com/spreadsheets/d/""&amp;$A500&amp;""/edit#gid=156619080"",G$3)"),-1.17)</f>
        <v>-1.17</v>
      </c>
      <c r="H500" s="16">
        <f>IFERROR(__xludf.DUMMYFUNCTION("IMPORTRANGE(""https://docs.google.com/spreadsheets/d/""&amp;$A500&amp;""/edit#gid=156619080"",H$3)"),2652.0)</f>
        <v>2652</v>
      </c>
      <c r="I500" s="16">
        <f>IFERROR(__xludf.DUMMYFUNCTION("IMPORTRANGE(""https://docs.google.com/spreadsheets/d/""&amp;$A500&amp;""/edit#gid=156619080"",I$3)"),-28.0)</f>
        <v>-28</v>
      </c>
      <c r="J500" s="16">
        <f>IFERROR(__xludf.DUMMYFUNCTION("IMPORTRANGE(""https://docs.google.com/spreadsheets/d/""&amp;$A500&amp;""/edit#gid=156619080"",J$3)"),2663.0)</f>
        <v>2663</v>
      </c>
      <c r="K500" s="16">
        <f>IFERROR(__xludf.DUMMYFUNCTION("IMPORTRANGE(""https://docs.google.com/spreadsheets/d/""&amp;$A500&amp;""/edit#gid=156619080"",K$3)"),0.39305555555555555)</f>
        <v>0.3930555556</v>
      </c>
      <c r="L500" s="16">
        <f>IFERROR(__xludf.DUMMYFUNCTION("IMPORTRANGE(""https://docs.google.com/spreadsheets/d/""&amp;$A500&amp;""/edit#gid=156619080"",L$3)"),2618.0)</f>
        <v>2618</v>
      </c>
      <c r="M500" s="16">
        <f>IFERROR(__xludf.DUMMYFUNCTION("IMPORTRANGE(""https://docs.google.com/spreadsheets/d/""&amp;$A500&amp;""/edit#gid=156619080"",M$3)"),0.6180555555555556)</f>
        <v>0.6180555556</v>
      </c>
      <c r="N500" s="16">
        <f>IFERROR(__xludf.DUMMYFUNCTION("IMPORTRANGE(""https://docs.google.com/spreadsheets/d/""&amp;$A500&amp;""/edit#gid=156619080"",N$3)"),2624.0)</f>
        <v>2624</v>
      </c>
      <c r="O500" s="16" t="str">
        <f>IFERROR(__xludf.DUMMYFUNCTION("IMPORTRANGE(""https://docs.google.com/spreadsheets/d/""&amp;$A500&amp;""/edit#gid=156619080"",O$3)"),"18100株")</f>
        <v>18100株</v>
      </c>
      <c r="P500" s="16" t="str">
        <f>IFERROR(__xludf.DUMMYFUNCTION("IMPORTRANGE(""https://docs.google.com/spreadsheets/d/""&amp;$A500&amp;""/edit#gid=156619080"",P$3)"),"48百万円")</f>
        <v>48百万円</v>
      </c>
      <c r="Q500" s="16" t="str">
        <f>IFERROR(__xludf.DUMMYFUNCTION("IMPORTRANGE(""https://docs.google.com/spreadsheets/d/""&amp;$A500&amp;""/edit#gid=156619080"",Q$3)"),"94回")</f>
        <v>94回</v>
      </c>
      <c r="R500" s="16" t="str">
        <f>IFERROR(__xludf.DUMMYFUNCTION("IMPORTRANGE(""https://docs.google.com/spreadsheets/d/""&amp;$A500&amp;""/edit#gid=156619080"",R$3)"),"411億円")</f>
        <v>411億円</v>
      </c>
      <c r="S500" s="16" t="str">
        <f>IFERROR(__xludf.DUMMYFUNCTION("IMPORTRANGE(""https://docs.google.com/spreadsheets/d/""&amp;$A500&amp;""/edit#gid=156619080"",S$3)"),"陰線")</f>
        <v>陰線</v>
      </c>
      <c r="T500" s="16" t="str">
        <f>IFERROR(__xludf.DUMMYFUNCTION("IMPORTRANGE(""https://docs.google.com/spreadsheets/d/""&amp;$A500&amp;""/edit#gid=156619080"",T$3)"),"")</f>
        <v/>
      </c>
      <c r="U500" s="16">
        <f>IFERROR(__xludf.DUMMYFUNCTION("IMPORTRANGE(""https://docs.google.com/spreadsheets/d/""&amp;$A500&amp;""/edit#gid=156619080"",U$3)"),2649.6)</f>
        <v>2649.6</v>
      </c>
      <c r="V500" s="16">
        <f>IFERROR(__xludf.DUMMYFUNCTION("IMPORTRANGE(""https://docs.google.com/spreadsheets/d/""&amp;$A500&amp;""/edit#gid=156619080"",V$3)"),2670.2)</f>
        <v>2670.2</v>
      </c>
      <c r="W500" s="16">
        <f>IFERROR(__xludf.DUMMYFUNCTION("IMPORTRANGE(""https://docs.google.com/spreadsheets/d/""&amp;$A500&amp;""/edit#gid=156619080"",W$3)"),2716.6)</f>
        <v>2716.6</v>
      </c>
      <c r="X500" s="2" t="str">
        <f>IFERROR(__xludf.DUMMYFUNCTION("IMPORTRANGE(""https://docs.google.com/spreadsheets/d/""&amp;$A500&amp;""/edit#gid=156619080"",X$3)"),"")</f>
        <v/>
      </c>
      <c r="Y500" s="17">
        <f>IFERROR(__xludf.DUMMYFUNCTION("IMPORTRANGE(""https://docs.google.com/spreadsheets/d/""&amp;$A500&amp;""/edit#gid=156619080"",Y$3)"),-0.009661835748792237)</f>
        <v>-0.009661835749</v>
      </c>
      <c r="Z500" s="2">
        <f>IFERROR(__xludf.DUMMYFUNCTION("IMPORTRANGE(""https://docs.google.com/spreadsheets/d/""&amp;$A500&amp;""/edit#gid=156619080"",Z$3)"),2857.39)</f>
        <v>2857.39</v>
      </c>
      <c r="AA500" s="2">
        <f>IFERROR(__xludf.DUMMYFUNCTION("IMPORTRANGE(""https://docs.google.com/spreadsheets/d/""&amp;$A500&amp;""/edit#gid=156619080"",AA$3)"),2839.79)</f>
        <v>2839.79</v>
      </c>
      <c r="AB500" s="2">
        <f>IFERROR(__xludf.DUMMYFUNCTION("IMPORTRANGE(""https://docs.google.com/spreadsheets/d/""&amp;$A500&amp;""/edit#gid=156619080"",AB$3)"),2822.19)</f>
        <v>2822.19</v>
      </c>
      <c r="AC500" s="18">
        <f>IFERROR(__xludf.DUMMYFUNCTION("IMPORTRANGE(""https://docs.google.com/spreadsheets/d/""&amp;$A500&amp;""/edit#gid=156619080"",AC$3)"),2804.59)</f>
        <v>2804.59</v>
      </c>
      <c r="AD500" s="18">
        <f>IFERROR(__xludf.DUMMYFUNCTION("IMPORTRANGE(""https://docs.google.com/spreadsheets/d/""&amp;$A500&amp;""/edit#gid=156619080"",AD$3)"),2787.0)</f>
        <v>2787</v>
      </c>
      <c r="AE500" s="18">
        <f>IFERROR(__xludf.DUMMYFUNCTION("IMPORTRANGE(""https://docs.google.com/spreadsheets/d/""&amp;$A500&amp;""/edit#gid=156619080"",AE$3)"),2716.6)</f>
        <v>2716.6</v>
      </c>
      <c r="AF500" s="2">
        <f>IFERROR(__xludf.DUMMYFUNCTION("IMPORTRANGE(""https://docs.google.com/spreadsheets/d/""&amp;$A500&amp;""/edit#gid=156619080"",AF$3)"),2646.2)</f>
        <v>2646.2</v>
      </c>
      <c r="AG500" s="2">
        <f>IFERROR(__xludf.DUMMYFUNCTION("IMPORTRANGE(""https://docs.google.com/spreadsheets/d/""&amp;$A500&amp;""/edit#gid=156619080"",AG$3)"),2628.61)</f>
        <v>2628.61</v>
      </c>
      <c r="AH500" s="2">
        <f>IFERROR(__xludf.DUMMYFUNCTION("IMPORTRANGE(""https://docs.google.com/spreadsheets/d/""&amp;$A500&amp;""/edit#gid=156619080"",AH$3)"),2611.01)</f>
        <v>2611.01</v>
      </c>
      <c r="AI500" s="2">
        <f>IFERROR(__xludf.DUMMYFUNCTION("IMPORTRANGE(""https://docs.google.com/spreadsheets/d/""&amp;$A500&amp;""/edit#gid=156619080"",AI$3)"),2593.41)</f>
        <v>2593.41</v>
      </c>
      <c r="AJ500" s="2">
        <f>IFERROR(__xludf.DUMMYFUNCTION("IMPORTRANGE(""https://docs.google.com/spreadsheets/d/""&amp;$A500&amp;""/edit#gid=156619080"",AJ$3)"),2575.81)</f>
        <v>2575.81</v>
      </c>
      <c r="AK500" s="2" t="str">
        <f>IFERROR(__xludf.DUMMYFUNCTION("IMPORTRANGE(""https://docs.google.com/spreadsheets/d/""&amp;$A500&amp;""/edit#gid=156619080"",AK$3)"),"-1.25σ〜-1.5σ")</f>
        <v>-1.25σ〜-1.5σ</v>
      </c>
      <c r="AL500" s="2">
        <f>IFERROR(__xludf.DUMMYFUNCTION("IMPORTRANGE(""https://docs.google.com/spreadsheets/d/""&amp;$A500&amp;""/edit#gid=156619080"",AL$3)"),-1.0)</f>
        <v>-1</v>
      </c>
      <c r="AM500" s="2" t="str">
        <f>IFERROR(__xludf.DUMMYFUNCTION("IMPORTRANGE(""https://docs.google.com/spreadsheets/d/""&amp;$A500&amp;""/edit#gid=156619080"",AM$3)"),"")</f>
        <v/>
      </c>
      <c r="AN500" s="2">
        <f>IFERROR(__xludf.DUMMYFUNCTION("IMPORTRANGE(""https://docs.google.com/spreadsheets/d/""&amp;$A500&amp;""/edit#gid=156619080"",AN$3)"),-1.0)</f>
        <v>-1</v>
      </c>
      <c r="AO500" s="2" t="str">
        <f>IFERROR(__xludf.DUMMYFUNCTION("IMPORTRANGE(""https://docs.google.com/spreadsheets/d/""&amp;$A500&amp;""/edit#gid=156619080"",AO$3)"),"")</f>
        <v/>
      </c>
      <c r="AP500" s="2">
        <f>IFERROR(__xludf.DUMMYFUNCTION("IMPORTRANGE(""https://docs.google.com/spreadsheets/d/""&amp;$A500&amp;""/edit#gid=156619080"",AP$3)"),-1.0)</f>
        <v>-1</v>
      </c>
      <c r="AQ500" s="2" t="str">
        <f>IFERROR(__xludf.DUMMYFUNCTION("IMPORTRANGE(""https://docs.google.com/spreadsheets/d/""&amp;$A500&amp;""/edit#gid=156619080"",AQ$3)"),"")</f>
        <v/>
      </c>
      <c r="AR500" s="18">
        <f>IFERROR(__xludf.DUMMYFUNCTION("IMPORTRANGE(""https://docs.google.com/spreadsheets/d/""&amp;$A500&amp;""/edit#gid=156619080"",AR$3)"),-85.00000000000001)</f>
        <v>-85</v>
      </c>
      <c r="AS500" s="19" t="str">
        <f>IFERROR(__xludf.DUMMYFUNCTION("IMPORTRANGE(""https://docs.google.com/spreadsheets/d/""&amp;$A500&amp;""/edit#gid=156619080"",AS$3)"),"65
65
15
-85
")</f>
        <v>65
65
15
-85
</v>
      </c>
      <c r="AT500" s="18">
        <f>IFERROR(__xludf.DUMMYFUNCTION("IMPORTRANGE(""https://docs.google.com/spreadsheets/d/""&amp;$A500&amp;""/edit#gid=156619080"",AT$3)"),-75.54945054945054)</f>
        <v>-75.54945055</v>
      </c>
      <c r="AU500" s="3" t="str">
        <f>IFERROR(__xludf.DUMMYFUNCTION("IMPORTRANGE(""https://docs.google.com/spreadsheets/d/""&amp;$A500&amp;""/edit#gid=156619080"",AU$3)"),"-79.95
-76.1
-73.9
-75.55
")</f>
        <v>-79.95
-76.1
-73.9
-75.55
</v>
      </c>
      <c r="AV500" s="18">
        <f>IFERROR(__xludf.DUMMYFUNCTION("IMPORTRANGE(""https://docs.google.com/spreadsheets/d/""&amp;$A500&amp;""/edit#gid=156619080"",AV$3)"),-92.79220779220778)</f>
        <v>-92.79220779</v>
      </c>
      <c r="AW500" s="19" t="str">
        <f>IFERROR(__xludf.DUMMYFUNCTION("IMPORTRANGE(""https://docs.google.com/spreadsheets/d/""&amp;$A500&amp;""/edit#gid=156619080"",AW$3)"),"-89.03
-90.84
-91.49
-92.79
")</f>
        <v>-89.03
-90.84
-91.49
-92.79
</v>
      </c>
      <c r="AX500" s="2">
        <f>IFERROR(__xludf.DUMMYFUNCTION("IMPORTRANGE(""https://docs.google.com/spreadsheets/d/""&amp;$A500&amp;""/edit#gid=156619080"",AX$3)"),0.0)</f>
        <v>0</v>
      </c>
      <c r="AY500" s="2">
        <f>IFERROR(__xludf.DUMMYFUNCTION("IMPORTRANGE(""https://docs.google.com/spreadsheets/d/""&amp;$A500&amp;""/edit#gid=156619080"",AY$3)"),18.52)</f>
        <v>18.52</v>
      </c>
      <c r="AZ500" s="2">
        <f>IFERROR(__xludf.DUMMYFUNCTION("IMPORTRANGE(""https://docs.google.com/spreadsheets/d/""&amp;$A500&amp;""/edit#gid=156619080"",AZ$3)"),2641.83)</f>
        <v>2641.83</v>
      </c>
      <c r="BA500" s="2">
        <f>IFERROR(__xludf.DUMMYFUNCTION("IMPORTRANGE(""https://docs.google.com/spreadsheets/d/""&amp;$A500&amp;""/edit#gid=156619080"",BA$3)"),-58.26000000000022)</f>
        <v>-58.26</v>
      </c>
      <c r="BB500" s="2">
        <f>IFERROR(__xludf.DUMMYFUNCTION("IMPORTRANGE(""https://docs.google.com/spreadsheets/d/""&amp;$A500&amp;""/edit#gid=156619080"",BB$3)"),-50.92)</f>
        <v>-50.92</v>
      </c>
      <c r="BC500" s="2" t="str">
        <f>IFERROR(__xludf.DUMMYFUNCTION("IMPORTRANGE(""https://docs.google.com/spreadsheets/d/""&amp;$A500&amp;""/edit#gid=156619080"",BC$3)"),"DC→DC")</f>
        <v>DC→DC</v>
      </c>
    </row>
    <row r="501" ht="51.0" customHeight="1">
      <c r="A501" s="7" t="str">
        <f t="shared" si="5"/>
        <v>1cC4VPqGHlcaNETnRBQ79F1o9mGm7A-JMPRXFKxzNjfg</v>
      </c>
      <c r="B501" s="1" t="s">
        <v>528</v>
      </c>
      <c r="C501" s="2">
        <f>IFERROR(__xludf.DUMMYFUNCTION("IMPORTRANGE(""https://docs.google.com/spreadsheets/d/""&amp;$A501&amp;""/edit#gid=156619080"",C$3)"),87.0)</f>
        <v>87</v>
      </c>
      <c r="D501" s="2">
        <f>IFERROR(__xludf.DUMMYFUNCTION("IMPORTRANGE(""https://docs.google.com/spreadsheets/d/""&amp;$A501&amp;""/edit#gid=156619080"",D$3)"),1820.0)</f>
        <v>1820</v>
      </c>
      <c r="E501" s="15">
        <f>IFERROR(__xludf.DUMMYFUNCTION("IMPORTRANGE(""https://docs.google.com/spreadsheets/d/""&amp;$A501&amp;""/edit#gid=156619080"",E$3)"),43882.0)</f>
        <v>43882</v>
      </c>
      <c r="F501" s="2">
        <f>IFERROR(__xludf.DUMMYFUNCTION("IMPORTRANGE(""https://docs.google.com/spreadsheets/d/""&amp;$A501&amp;""/edit#gid=156619080"",F$3)"),-14.0)</f>
        <v>-14</v>
      </c>
      <c r="G501" s="16">
        <f>IFERROR(__xludf.DUMMYFUNCTION("IMPORTRANGE(""https://docs.google.com/spreadsheets/d/""&amp;$A501&amp;""/edit#gid=156619080"",G$3)"),-0.58)</f>
        <v>-0.58</v>
      </c>
      <c r="H501" s="16">
        <f>IFERROR(__xludf.DUMMYFUNCTION("IMPORTRANGE(""https://docs.google.com/spreadsheets/d/""&amp;$A501&amp;""/edit#gid=156619080"",H$3)"),2425.0)</f>
        <v>2425</v>
      </c>
      <c r="I501" s="16">
        <f>IFERROR(__xludf.DUMMYFUNCTION("IMPORTRANGE(""https://docs.google.com/spreadsheets/d/""&amp;$A501&amp;""/edit#gid=156619080"",I$3)"),-14.0)</f>
        <v>-14</v>
      </c>
      <c r="J501" s="16">
        <f>IFERROR(__xludf.DUMMYFUNCTION("IMPORTRANGE(""https://docs.google.com/spreadsheets/d/""&amp;$A501&amp;""/edit#gid=156619080"",J$3)"),2439.0)</f>
        <v>2439</v>
      </c>
      <c r="K501" s="16">
        <f>IFERROR(__xludf.DUMMYFUNCTION("IMPORTRANGE(""https://docs.google.com/spreadsheets/d/""&amp;$A501&amp;""/edit#gid=156619080"",K$3)"),0.3958333333333333)</f>
        <v>0.3958333333</v>
      </c>
      <c r="L501" s="16">
        <f>IFERROR(__xludf.DUMMYFUNCTION("IMPORTRANGE(""https://docs.google.com/spreadsheets/d/""&amp;$A501&amp;""/edit#gid=156619080"",L$3)"),2410.0)</f>
        <v>2410</v>
      </c>
      <c r="M501" s="16">
        <f>IFERROR(__xludf.DUMMYFUNCTION("IMPORTRANGE(""https://docs.google.com/spreadsheets/d/""&amp;$A501&amp;""/edit#gid=156619080"",M$3)"),0.6243055555555556)</f>
        <v>0.6243055556</v>
      </c>
      <c r="N501" s="16">
        <f>IFERROR(__xludf.DUMMYFUNCTION("IMPORTRANGE(""https://docs.google.com/spreadsheets/d/""&amp;$A501&amp;""/edit#gid=156619080"",N$3)"),2411.0)</f>
        <v>2411</v>
      </c>
      <c r="O501" s="16" t="str">
        <f>IFERROR(__xludf.DUMMYFUNCTION("IMPORTRANGE(""https://docs.google.com/spreadsheets/d/""&amp;$A501&amp;""/edit#gid=156619080"",O$3)"),"235700株")</f>
        <v>235700株</v>
      </c>
      <c r="P501" s="16" t="str">
        <f>IFERROR(__xludf.DUMMYFUNCTION("IMPORTRANGE(""https://docs.google.com/spreadsheets/d/""&amp;$A501&amp;""/edit#gid=156619080"",P$3)"),"571百万円")</f>
        <v>571百万円</v>
      </c>
      <c r="Q501" s="16" t="str">
        <f>IFERROR(__xludf.DUMMYFUNCTION("IMPORTRANGE(""https://docs.google.com/spreadsheets/d/""&amp;$A501&amp;""/edit#gid=156619080"",Q$3)"),"772回")</f>
        <v>772回</v>
      </c>
      <c r="R501" s="16" t="str">
        <f>IFERROR(__xludf.DUMMYFUNCTION("IMPORTRANGE(""https://docs.google.com/spreadsheets/d/""&amp;$A501&amp;""/edit#gid=156619080"",R$3)"),"1340億円")</f>
        <v>1340億円</v>
      </c>
      <c r="S501" s="16" t="str">
        <f>IFERROR(__xludf.DUMMYFUNCTION("IMPORTRANGE(""https://docs.google.com/spreadsheets/d/""&amp;$A501&amp;""/edit#gid=156619080"",S$3)"),"陰線")</f>
        <v>陰線</v>
      </c>
      <c r="T501" s="16" t="str">
        <f>IFERROR(__xludf.DUMMYFUNCTION("IMPORTRANGE(""https://docs.google.com/spreadsheets/d/""&amp;$A501&amp;""/edit#gid=156619080"",T$3)"),"")</f>
        <v/>
      </c>
      <c r="U501" s="16">
        <f>IFERROR(__xludf.DUMMYFUNCTION("IMPORTRANGE(""https://docs.google.com/spreadsheets/d/""&amp;$A501&amp;""/edit#gid=156619080"",U$3)"),2422.4)</f>
        <v>2422.4</v>
      </c>
      <c r="V501" s="16">
        <f>IFERROR(__xludf.DUMMYFUNCTION("IMPORTRANGE(""https://docs.google.com/spreadsheets/d/""&amp;$A501&amp;""/edit#gid=156619080"",V$3)"),2450.9)</f>
        <v>2450.9</v>
      </c>
      <c r="W501" s="16">
        <f>IFERROR(__xludf.DUMMYFUNCTION("IMPORTRANGE(""https://docs.google.com/spreadsheets/d/""&amp;$A501&amp;""/edit#gid=156619080"",W$3)"),2481.5)</f>
        <v>2481.5</v>
      </c>
      <c r="X501" s="2" t="str">
        <f>IFERROR(__xludf.DUMMYFUNCTION("IMPORTRANGE(""https://docs.google.com/spreadsheets/d/""&amp;$A501&amp;""/edit#gid=156619080"",X$3)"),"")</f>
        <v/>
      </c>
      <c r="Y501" s="17">
        <f>IFERROR(__xludf.DUMMYFUNCTION("IMPORTRANGE(""https://docs.google.com/spreadsheets/d/""&amp;$A501&amp;""/edit#gid=156619080"",Y$3)"),-0.004706076618229892)</f>
        <v>-0.004706076618</v>
      </c>
      <c r="Z501" s="2">
        <f>IFERROR(__xludf.DUMMYFUNCTION("IMPORTRANGE(""https://docs.google.com/spreadsheets/d/""&amp;$A501&amp;""/edit#gid=156619080"",Z$3)"),2583.16)</f>
        <v>2583.16</v>
      </c>
      <c r="AA501" s="2">
        <f>IFERROR(__xludf.DUMMYFUNCTION("IMPORTRANGE(""https://docs.google.com/spreadsheets/d/""&amp;$A501&amp;""/edit#gid=156619080"",AA$3)"),2570.45)</f>
        <v>2570.45</v>
      </c>
      <c r="AB501" s="2">
        <f>IFERROR(__xludf.DUMMYFUNCTION("IMPORTRANGE(""https://docs.google.com/spreadsheets/d/""&amp;$A501&amp;""/edit#gid=156619080"",AB$3)"),2557.75)</f>
        <v>2557.75</v>
      </c>
      <c r="AC501" s="18">
        <f>IFERROR(__xludf.DUMMYFUNCTION("IMPORTRANGE(""https://docs.google.com/spreadsheets/d/""&amp;$A501&amp;""/edit#gid=156619080"",AC$3)"),2545.04)</f>
        <v>2545.04</v>
      </c>
      <c r="AD501" s="18">
        <f>IFERROR(__xludf.DUMMYFUNCTION("IMPORTRANGE(""https://docs.google.com/spreadsheets/d/""&amp;$A501&amp;""/edit#gid=156619080"",AD$3)"),2532.33)</f>
        <v>2532.33</v>
      </c>
      <c r="AE501" s="18">
        <f>IFERROR(__xludf.DUMMYFUNCTION("IMPORTRANGE(""https://docs.google.com/spreadsheets/d/""&amp;$A501&amp;""/edit#gid=156619080"",AE$3)"),2481.5)</f>
        <v>2481.5</v>
      </c>
      <c r="AF501" s="2">
        <f>IFERROR(__xludf.DUMMYFUNCTION("IMPORTRANGE(""https://docs.google.com/spreadsheets/d/""&amp;$A501&amp;""/edit#gid=156619080"",AF$3)"),2430.67)</f>
        <v>2430.67</v>
      </c>
      <c r="AG501" s="2">
        <f>IFERROR(__xludf.DUMMYFUNCTION("IMPORTRANGE(""https://docs.google.com/spreadsheets/d/""&amp;$A501&amp;""/edit#gid=156619080"",AG$3)"),2417.96)</f>
        <v>2417.96</v>
      </c>
      <c r="AH501" s="2">
        <f>IFERROR(__xludf.DUMMYFUNCTION("IMPORTRANGE(""https://docs.google.com/spreadsheets/d/""&amp;$A501&amp;""/edit#gid=156619080"",AH$3)"),2405.25)</f>
        <v>2405.25</v>
      </c>
      <c r="AI501" s="2">
        <f>IFERROR(__xludf.DUMMYFUNCTION("IMPORTRANGE(""https://docs.google.com/spreadsheets/d/""&amp;$A501&amp;""/edit#gid=156619080"",AI$3)"),2392.55)</f>
        <v>2392.55</v>
      </c>
      <c r="AJ501" s="2">
        <f>IFERROR(__xludf.DUMMYFUNCTION("IMPORTRANGE(""https://docs.google.com/spreadsheets/d/""&amp;$A501&amp;""/edit#gid=156619080"",AJ$3)"),2379.84)</f>
        <v>2379.84</v>
      </c>
      <c r="AK501" s="2" t="str">
        <f>IFERROR(__xludf.DUMMYFUNCTION("IMPORTRANGE(""https://docs.google.com/spreadsheets/d/""&amp;$A501&amp;""/edit#gid=156619080"",AK$3)"),"-1.25σ〜-1.5σ")</f>
        <v>-1.25σ〜-1.5σ</v>
      </c>
      <c r="AL501" s="2">
        <f>IFERROR(__xludf.DUMMYFUNCTION("IMPORTRANGE(""https://docs.google.com/spreadsheets/d/""&amp;$A501&amp;""/edit#gid=156619080"",AL$3)"),-1.0)</f>
        <v>-1</v>
      </c>
      <c r="AM501" s="2" t="str">
        <f>IFERROR(__xludf.DUMMYFUNCTION("IMPORTRANGE(""https://docs.google.com/spreadsheets/d/""&amp;$A501&amp;""/edit#gid=156619080"",AM$3)"),"")</f>
        <v/>
      </c>
      <c r="AN501" s="2">
        <f>IFERROR(__xludf.DUMMYFUNCTION("IMPORTRANGE(""https://docs.google.com/spreadsheets/d/""&amp;$A501&amp;""/edit#gid=156619080"",AN$3)"),-1.0)</f>
        <v>-1</v>
      </c>
      <c r="AO501" s="2" t="str">
        <f>IFERROR(__xludf.DUMMYFUNCTION("IMPORTRANGE(""https://docs.google.com/spreadsheets/d/""&amp;$A501&amp;""/edit#gid=156619080"",AO$3)"),"")</f>
        <v/>
      </c>
      <c r="AP501" s="2">
        <f>IFERROR(__xludf.DUMMYFUNCTION("IMPORTRANGE(""https://docs.google.com/spreadsheets/d/""&amp;$A501&amp;""/edit#gid=156619080"",AP$3)"),-1.0)</f>
        <v>-1</v>
      </c>
      <c r="AQ501" s="2" t="str">
        <f>IFERROR(__xludf.DUMMYFUNCTION("IMPORTRANGE(""https://docs.google.com/spreadsheets/d/""&amp;$A501&amp;""/edit#gid=156619080"",AQ$3)"),"")</f>
        <v/>
      </c>
      <c r="AR501" s="18">
        <f>IFERROR(__xludf.DUMMYFUNCTION("IMPORTRANGE(""https://docs.google.com/spreadsheets/d/""&amp;$A501&amp;""/edit#gid=156619080"",AR$3)"),-85.00000000000001)</f>
        <v>-85</v>
      </c>
      <c r="AS501" s="19" t="str">
        <f>IFERROR(__xludf.DUMMYFUNCTION("IMPORTRANGE(""https://docs.google.com/spreadsheets/d/""&amp;$A501&amp;""/edit#gid=156619080"",AS$3)"),"-85
-85
-85
-85
")</f>
        <v>-85
-85
-85
-85
</v>
      </c>
      <c r="AT501" s="18">
        <f>IFERROR(__xludf.DUMMYFUNCTION("IMPORTRANGE(""https://docs.google.com/spreadsheets/d/""&amp;$A501&amp;""/edit#gid=156619080"",AT$3)"),-97.52747252747254)</f>
        <v>-97.52747253</v>
      </c>
      <c r="AU501" s="3" t="str">
        <f>IFERROR(__xludf.DUMMYFUNCTION("IMPORTRANGE(""https://docs.google.com/spreadsheets/d/""&amp;$A501&amp;""/edit#gid=156619080"",AU$3)"),"-84.34
-84.34
-92.03
-97.53
")</f>
        <v>-84.34
-84.34
-92.03
-97.53
</v>
      </c>
      <c r="AV501" s="18">
        <f>IFERROR(__xludf.DUMMYFUNCTION("IMPORTRANGE(""https://docs.google.com/spreadsheets/d/""&amp;$A501&amp;""/edit#gid=156619080"",AV$3)"),-95.51948051948051)</f>
        <v>-95.51948052</v>
      </c>
      <c r="AW501" s="19" t="str">
        <f>IFERROR(__xludf.DUMMYFUNCTION("IMPORTRANGE(""https://docs.google.com/spreadsheets/d/""&amp;$A501&amp;""/edit#gid=156619080"",AW$3)"),"-59.55
-77.21
-86.69
-94.87
")</f>
        <v>-59.55
-77.21
-86.69
-94.87
</v>
      </c>
      <c r="AX501" s="2">
        <f>IFERROR(__xludf.DUMMYFUNCTION("IMPORTRANGE(""https://docs.google.com/spreadsheets/d/""&amp;$A501&amp;""/edit#gid=156619080"",AX$3)"),0.0)</f>
        <v>0</v>
      </c>
      <c r="AY501" s="2">
        <f>IFERROR(__xludf.DUMMYFUNCTION("IMPORTRANGE(""https://docs.google.com/spreadsheets/d/""&amp;$A501&amp;""/edit#gid=156619080"",AY$3)"),15.45)</f>
        <v>15.45</v>
      </c>
      <c r="AZ501" s="2">
        <f>IFERROR(__xludf.DUMMYFUNCTION("IMPORTRANGE(""https://docs.google.com/spreadsheets/d/""&amp;$A501&amp;""/edit#gid=156619080"",AZ$3)"),2422.33)</f>
        <v>2422.33</v>
      </c>
      <c r="BA501" s="2">
        <f>IFERROR(__xludf.DUMMYFUNCTION("IMPORTRANGE(""https://docs.google.com/spreadsheets/d/""&amp;$A501&amp;""/edit#gid=156619080"",BA$3)"),-35.809999999999945)</f>
        <v>-35.81</v>
      </c>
      <c r="BB501" s="2">
        <f>IFERROR(__xludf.DUMMYFUNCTION("IMPORTRANGE(""https://docs.google.com/spreadsheets/d/""&amp;$A501&amp;""/edit#gid=156619080"",BB$3)"),-19.35)</f>
        <v>-19.35</v>
      </c>
      <c r="BC501" s="2" t="str">
        <f>IFERROR(__xludf.DUMMYFUNCTION("IMPORTRANGE(""https://docs.google.com/spreadsheets/d/""&amp;$A501&amp;""/edit#gid=156619080"",BC$3)"),"DC→DC")</f>
        <v>DC→DC</v>
      </c>
    </row>
    <row r="502" ht="51.0" customHeight="1">
      <c r="A502" s="7" t="str">
        <f t="shared" si="5"/>
        <v>1aOGVECmpHLQrfrPea3F9FT9ZdpaTUoUWR84teVJUFmY</v>
      </c>
      <c r="B502" s="1" t="s">
        <v>529</v>
      </c>
      <c r="C502" s="2">
        <f>IFERROR(__xludf.DUMMYFUNCTION("IMPORTRANGE(""https://docs.google.com/spreadsheets/d/""&amp;$A502&amp;""/edit#gid=156619080"",C$3)"),45.0)</f>
        <v>45</v>
      </c>
      <c r="D502" s="2">
        <f>IFERROR(__xludf.DUMMYFUNCTION("IMPORTRANGE(""https://docs.google.com/spreadsheets/d/""&amp;$A502&amp;""/edit#gid=156619080"",D$3)"),1822.0)</f>
        <v>1822</v>
      </c>
      <c r="E502" s="15">
        <f>IFERROR(__xludf.DUMMYFUNCTION("IMPORTRANGE(""https://docs.google.com/spreadsheets/d/""&amp;$A502&amp;""/edit#gid=156619080"",E$3)"),43882.0)</f>
        <v>43882</v>
      </c>
      <c r="F502" s="2">
        <f>IFERROR(__xludf.DUMMYFUNCTION("IMPORTRANGE(""https://docs.google.com/spreadsheets/d/""&amp;$A502&amp;""/edit#gid=156619080"",F$3)"),-26.0)</f>
        <v>-26</v>
      </c>
      <c r="G502" s="16">
        <f>IFERROR(__xludf.DUMMYFUNCTION("IMPORTRANGE(""https://docs.google.com/spreadsheets/d/""&amp;$A502&amp;""/edit#gid=156619080"",G$3)"),-0.99)</f>
        <v>-0.99</v>
      </c>
      <c r="H502" s="16">
        <f>IFERROR(__xludf.DUMMYFUNCTION("IMPORTRANGE(""https://docs.google.com/spreadsheets/d/""&amp;$A502&amp;""/edit#gid=156619080"",H$3)"),2619.0)</f>
        <v>2619</v>
      </c>
      <c r="I502" s="16">
        <f>IFERROR(__xludf.DUMMYFUNCTION("IMPORTRANGE(""https://docs.google.com/spreadsheets/d/""&amp;$A502&amp;""/edit#gid=156619080"",I$3)"),8.0)</f>
        <v>8</v>
      </c>
      <c r="J502" s="16">
        <f>IFERROR(__xludf.DUMMYFUNCTION("IMPORTRANGE(""https://docs.google.com/spreadsheets/d/""&amp;$A502&amp;""/edit#gid=156619080"",J$3)"),2647.0)</f>
        <v>2647</v>
      </c>
      <c r="K502" s="16">
        <f>IFERROR(__xludf.DUMMYFUNCTION("IMPORTRANGE(""https://docs.google.com/spreadsheets/d/""&amp;$A502&amp;""/edit#gid=156619080"",K$3)"),0.3958333333333333)</f>
        <v>0.3958333333</v>
      </c>
      <c r="L502" s="16">
        <f>IFERROR(__xludf.DUMMYFUNCTION("IMPORTRANGE(""https://docs.google.com/spreadsheets/d/""&amp;$A502&amp;""/edit#gid=156619080"",L$3)"),2597.0)</f>
        <v>2597</v>
      </c>
      <c r="M502" s="16">
        <f>IFERROR(__xludf.DUMMYFUNCTION("IMPORTRANGE(""https://docs.google.com/spreadsheets/d/""&amp;$A502&amp;""/edit#gid=156619080"",M$3)"),0.6069444444444444)</f>
        <v>0.6069444444</v>
      </c>
      <c r="N502" s="16">
        <f>IFERROR(__xludf.DUMMYFUNCTION("IMPORTRANGE(""https://docs.google.com/spreadsheets/d/""&amp;$A502&amp;""/edit#gid=156619080"",N$3)"),2601.0)</f>
        <v>2601</v>
      </c>
      <c r="O502" s="16" t="str">
        <f>IFERROR(__xludf.DUMMYFUNCTION("IMPORTRANGE(""https://docs.google.com/spreadsheets/d/""&amp;$A502&amp;""/edit#gid=156619080"",O$3)"),"62400株")</f>
        <v>62400株</v>
      </c>
      <c r="P502" s="16" t="str">
        <f>IFERROR(__xludf.DUMMYFUNCTION("IMPORTRANGE(""https://docs.google.com/spreadsheets/d/""&amp;$A502&amp;""/edit#gid=156619080"",P$3)"),"163百万円")</f>
        <v>163百万円</v>
      </c>
      <c r="Q502" s="16" t="str">
        <f>IFERROR(__xludf.DUMMYFUNCTION("IMPORTRANGE(""https://docs.google.com/spreadsheets/d/""&amp;$A502&amp;""/edit#gid=156619080"",Q$3)"),"400回")</f>
        <v>400回</v>
      </c>
      <c r="R502" s="16" t="str">
        <f>IFERROR(__xludf.DUMMYFUNCTION("IMPORTRANGE(""https://docs.google.com/spreadsheets/d/""&amp;$A502&amp;""/edit#gid=156619080"",R$3)"),"454億円")</f>
        <v>454億円</v>
      </c>
      <c r="S502" s="16" t="str">
        <f>IFERROR(__xludf.DUMMYFUNCTION("IMPORTRANGE(""https://docs.google.com/spreadsheets/d/""&amp;$A502&amp;""/edit#gid=156619080"",S$3)"),"陰線")</f>
        <v>陰線</v>
      </c>
      <c r="T502" s="16" t="str">
        <f>IFERROR(__xludf.DUMMYFUNCTION("IMPORTRANGE(""https://docs.google.com/spreadsheets/d/""&amp;$A502&amp;""/edit#gid=156619080"",T$3)"),"")</f>
        <v/>
      </c>
      <c r="U502" s="16">
        <f>IFERROR(__xludf.DUMMYFUNCTION("IMPORTRANGE(""https://docs.google.com/spreadsheets/d/""&amp;$A502&amp;""/edit#gid=156619080"",U$3)"),2587.6)</f>
        <v>2587.6</v>
      </c>
      <c r="V502" s="16">
        <f>IFERROR(__xludf.DUMMYFUNCTION("IMPORTRANGE(""https://docs.google.com/spreadsheets/d/""&amp;$A502&amp;""/edit#gid=156619080"",V$3)"),2669.2)</f>
        <v>2669.2</v>
      </c>
      <c r="W502" s="16">
        <f>IFERROR(__xludf.DUMMYFUNCTION("IMPORTRANGE(""https://docs.google.com/spreadsheets/d/""&amp;$A502&amp;""/edit#gid=156619080"",W$3)"),2703.4)</f>
        <v>2703.4</v>
      </c>
      <c r="X502" s="2" t="str">
        <f>IFERROR(__xludf.DUMMYFUNCTION("IMPORTRANGE(""https://docs.google.com/spreadsheets/d/""&amp;$A502&amp;""/edit#gid=156619080"",X$3)"),"")</f>
        <v/>
      </c>
      <c r="Y502" s="17">
        <f>IFERROR(__xludf.DUMMYFUNCTION("IMPORTRANGE(""https://docs.google.com/spreadsheets/d/""&amp;$A502&amp;""/edit#gid=156619080"",Y$3)"),0.005178543824393296)</f>
        <v>0.005178543824</v>
      </c>
      <c r="Z502" s="2">
        <f>IFERROR(__xludf.DUMMYFUNCTION("IMPORTRANGE(""https://docs.google.com/spreadsheets/d/""&amp;$A502&amp;""/edit#gid=156619080"",Z$3)"),2878.7)</f>
        <v>2878.7</v>
      </c>
      <c r="AA502" s="2">
        <f>IFERROR(__xludf.DUMMYFUNCTION("IMPORTRANGE(""https://docs.google.com/spreadsheets/d/""&amp;$A502&amp;""/edit#gid=156619080"",AA$3)"),2856.78)</f>
        <v>2856.78</v>
      </c>
      <c r="AB502" s="2">
        <f>IFERROR(__xludf.DUMMYFUNCTION("IMPORTRANGE(""https://docs.google.com/spreadsheets/d/""&amp;$A502&amp;""/edit#gid=156619080"",AB$3)"),2834.87)</f>
        <v>2834.87</v>
      </c>
      <c r="AC502" s="18">
        <f>IFERROR(__xludf.DUMMYFUNCTION("IMPORTRANGE(""https://docs.google.com/spreadsheets/d/""&amp;$A502&amp;""/edit#gid=156619080"",AC$3)"),2812.96)</f>
        <v>2812.96</v>
      </c>
      <c r="AD502" s="18">
        <f>IFERROR(__xludf.DUMMYFUNCTION("IMPORTRANGE(""https://docs.google.com/spreadsheets/d/""&amp;$A502&amp;""/edit#gid=156619080"",AD$3)"),2791.05)</f>
        <v>2791.05</v>
      </c>
      <c r="AE502" s="18">
        <f>IFERROR(__xludf.DUMMYFUNCTION("IMPORTRANGE(""https://docs.google.com/spreadsheets/d/""&amp;$A502&amp;""/edit#gid=156619080"",AE$3)"),2703.4)</f>
        <v>2703.4</v>
      </c>
      <c r="AF502" s="2">
        <f>IFERROR(__xludf.DUMMYFUNCTION("IMPORTRANGE(""https://docs.google.com/spreadsheets/d/""&amp;$A502&amp;""/edit#gid=156619080"",AF$3)"),2615.75)</f>
        <v>2615.75</v>
      </c>
      <c r="AG502" s="2">
        <f>IFERROR(__xludf.DUMMYFUNCTION("IMPORTRANGE(""https://docs.google.com/spreadsheets/d/""&amp;$A502&amp;""/edit#gid=156619080"",AG$3)"),2593.84)</f>
        <v>2593.84</v>
      </c>
      <c r="AH502" s="2">
        <f>IFERROR(__xludf.DUMMYFUNCTION("IMPORTRANGE(""https://docs.google.com/spreadsheets/d/""&amp;$A502&amp;""/edit#gid=156619080"",AH$3)"),2571.93)</f>
        <v>2571.93</v>
      </c>
      <c r="AI502" s="2">
        <f>IFERROR(__xludf.DUMMYFUNCTION("IMPORTRANGE(""https://docs.google.com/spreadsheets/d/""&amp;$A502&amp;""/edit#gid=156619080"",AI$3)"),2550.02)</f>
        <v>2550.02</v>
      </c>
      <c r="AJ502" s="2">
        <f>IFERROR(__xludf.DUMMYFUNCTION("IMPORTRANGE(""https://docs.google.com/spreadsheets/d/""&amp;$A502&amp;""/edit#gid=156619080"",AJ$3)"),2528.1)</f>
        <v>2528.1</v>
      </c>
      <c r="AK502" s="2" t="str">
        <f>IFERROR(__xludf.DUMMYFUNCTION("IMPORTRANGE(""https://docs.google.com/spreadsheets/d/""&amp;$A502&amp;""/edit#gid=156619080"",AK$3)"),"-1〜-1.25σ")</f>
        <v>-1〜-1.25σ</v>
      </c>
      <c r="AL502" s="2">
        <f>IFERROR(__xludf.DUMMYFUNCTION("IMPORTRANGE(""https://docs.google.com/spreadsheets/d/""&amp;$A502&amp;""/edit#gid=156619080"",AL$3)"),-1.0)</f>
        <v>-1</v>
      </c>
      <c r="AM502" s="2" t="str">
        <f>IFERROR(__xludf.DUMMYFUNCTION("IMPORTRANGE(""https://docs.google.com/spreadsheets/d/""&amp;$A502&amp;""/edit#gid=156619080"",AM$3)"),"")</f>
        <v/>
      </c>
      <c r="AN502" s="2">
        <f>IFERROR(__xludf.DUMMYFUNCTION("IMPORTRANGE(""https://docs.google.com/spreadsheets/d/""&amp;$A502&amp;""/edit#gid=156619080"",AN$3)"),-1.0)</f>
        <v>-1</v>
      </c>
      <c r="AO502" s="2" t="str">
        <f>IFERROR(__xludf.DUMMYFUNCTION("IMPORTRANGE(""https://docs.google.com/spreadsheets/d/""&amp;$A502&amp;""/edit#gid=156619080"",AO$3)"),"")</f>
        <v/>
      </c>
      <c r="AP502" s="2">
        <f>IFERROR(__xludf.DUMMYFUNCTION("IMPORTRANGE(""https://docs.google.com/spreadsheets/d/""&amp;$A502&amp;""/edit#gid=156619080"",AP$3)"),-1.0)</f>
        <v>-1</v>
      </c>
      <c r="AQ502" s="2" t="str">
        <f>IFERROR(__xludf.DUMMYFUNCTION("IMPORTRANGE(""https://docs.google.com/spreadsheets/d/""&amp;$A502&amp;""/edit#gid=156619080"",AQ$3)"),"")</f>
        <v/>
      </c>
      <c r="AR502" s="18">
        <f>IFERROR(__xludf.DUMMYFUNCTION("IMPORTRANGE(""https://docs.google.com/spreadsheets/d/""&amp;$A502&amp;""/edit#gid=156619080"",AR$3)"),60.0)</f>
        <v>60</v>
      </c>
      <c r="AS502" s="19" t="str">
        <f>IFERROR(__xludf.DUMMYFUNCTION("IMPORTRANGE(""https://docs.google.com/spreadsheets/d/""&amp;$A502&amp;""/edit#gid=156619080"",AS$3)"),"-100
-100
0
60
")</f>
        <v>-100
-100
0
60
</v>
      </c>
      <c r="AT502" s="18">
        <f>IFERROR(__xludf.DUMMYFUNCTION("IMPORTRANGE(""https://docs.google.com/spreadsheets/d/""&amp;$A502&amp;""/edit#gid=156619080"",AT$3)"),-72.11538461538463)</f>
        <v>-72.11538462</v>
      </c>
      <c r="AU502" s="3" t="str">
        <f>IFERROR(__xludf.DUMMYFUNCTION("IMPORTRANGE(""https://docs.google.com/spreadsheets/d/""&amp;$A502&amp;""/edit#gid=156619080"",AU$3)"),"-35.3
-49.59
-62.77
-64.42
")</f>
        <v>-35.3
-49.59
-62.77
-64.42
</v>
      </c>
      <c r="AV502" s="18">
        <f>IFERROR(__xludf.DUMMYFUNCTION("IMPORTRANGE(""https://docs.google.com/spreadsheets/d/""&amp;$A502&amp;""/edit#gid=156619080"",AV$3)"),-73.70129870129871)</f>
        <v>-73.7012987</v>
      </c>
      <c r="AW502" s="19" t="str">
        <f>IFERROR(__xludf.DUMMYFUNCTION("IMPORTRANGE(""https://docs.google.com/spreadsheets/d/""&amp;$A502&amp;""/edit#gid=156619080"",AW$3)"),"-68.99
-73.96
-75.78
-74.35
")</f>
        <v>-68.99
-73.96
-75.78
-74.35
</v>
      </c>
      <c r="AX502" s="2">
        <f>IFERROR(__xludf.DUMMYFUNCTION("IMPORTRANGE(""https://docs.google.com/spreadsheets/d/""&amp;$A502&amp;""/edit#gid=156619080"",AX$3)"),48.85)</f>
        <v>48.85</v>
      </c>
      <c r="AY502" s="2">
        <f>IFERROR(__xludf.DUMMYFUNCTION("IMPORTRANGE(""https://docs.google.com/spreadsheets/d/""&amp;$A502&amp;""/edit#gid=156619080"",AY$3)"),33.910000000000004)</f>
        <v>33.91</v>
      </c>
      <c r="AZ502" s="2">
        <f>IFERROR(__xludf.DUMMYFUNCTION("IMPORTRANGE(""https://docs.google.com/spreadsheets/d/""&amp;$A502&amp;""/edit#gid=156619080"",AZ$3)"),2609.18)</f>
        <v>2609.18</v>
      </c>
      <c r="BA502" s="2">
        <f>IFERROR(__xludf.DUMMYFUNCTION("IMPORTRANGE(""https://docs.google.com/spreadsheets/d/""&amp;$A502&amp;""/edit#gid=156619080"",BA$3)"),-80.82000000000016)</f>
        <v>-80.82</v>
      </c>
      <c r="BB502" s="2">
        <f>IFERROR(__xludf.DUMMYFUNCTION("IMPORTRANGE(""https://docs.google.com/spreadsheets/d/""&amp;$A502&amp;""/edit#gid=156619080"",BB$3)"),-73.29)</f>
        <v>-73.29</v>
      </c>
      <c r="BC502" s="2" t="str">
        <f>IFERROR(__xludf.DUMMYFUNCTION("IMPORTRANGE(""https://docs.google.com/spreadsheets/d/""&amp;$A502&amp;""/edit#gid=156619080"",BC$3)"),"DC→DC")</f>
        <v>DC→DC</v>
      </c>
    </row>
    <row r="503" ht="51.0" customHeight="1">
      <c r="A503" s="7" t="str">
        <f t="shared" si="5"/>
        <v>1-g4rf4hUmfGrVmly_lRj7biCZ5oL-vWMplbhD6hRsKA</v>
      </c>
      <c r="B503" s="1" t="s">
        <v>530</v>
      </c>
      <c r="C503" s="2">
        <f>IFERROR(__xludf.DUMMYFUNCTION("IMPORTRANGE(""https://docs.google.com/spreadsheets/d/""&amp;$A503&amp;""/edit#gid=156619080"",C$3)"),87.0)</f>
        <v>87</v>
      </c>
      <c r="D503" s="2">
        <f>IFERROR(__xludf.DUMMYFUNCTION("IMPORTRANGE(""https://docs.google.com/spreadsheets/d/""&amp;$A503&amp;""/edit#gid=156619080"",D$3)"),1835.0)</f>
        <v>1835</v>
      </c>
      <c r="E503" s="15">
        <f>IFERROR(__xludf.DUMMYFUNCTION("IMPORTRANGE(""https://docs.google.com/spreadsheets/d/""&amp;$A503&amp;""/edit#gid=156619080"",E$3)"),43882.0)</f>
        <v>43882</v>
      </c>
      <c r="F503" s="2">
        <f>IFERROR(__xludf.DUMMYFUNCTION("IMPORTRANGE(""https://docs.google.com/spreadsheets/d/""&amp;$A503&amp;""/edit#gid=156619080"",F$3)"),-60.0)</f>
        <v>-60</v>
      </c>
      <c r="G503" s="16">
        <f>IFERROR(__xludf.DUMMYFUNCTION("IMPORTRANGE(""https://docs.google.com/spreadsheets/d/""&amp;$A503&amp;""/edit#gid=156619080"",G$3)"),-1.95)</f>
        <v>-1.95</v>
      </c>
      <c r="H503" s="16">
        <f>IFERROR(__xludf.DUMMYFUNCTION("IMPORTRANGE(""https://docs.google.com/spreadsheets/d/""&amp;$A503&amp;""/edit#gid=156619080"",H$3)"),3065.0)</f>
        <v>3065</v>
      </c>
      <c r="I503" s="16">
        <f>IFERROR(__xludf.DUMMYFUNCTION("IMPORTRANGE(""https://docs.google.com/spreadsheets/d/""&amp;$A503&amp;""/edit#gid=156619080"",I$3)"),-55.0)</f>
        <v>-55</v>
      </c>
      <c r="J503" s="16">
        <f>IFERROR(__xludf.DUMMYFUNCTION("IMPORTRANGE(""https://docs.google.com/spreadsheets/d/""&amp;$A503&amp;""/edit#gid=156619080"",J$3)"),3080.0)</f>
        <v>3080</v>
      </c>
      <c r="K503" s="16">
        <f>IFERROR(__xludf.DUMMYFUNCTION("IMPORTRANGE(""https://docs.google.com/spreadsheets/d/""&amp;$A503&amp;""/edit#gid=156619080"",K$3)"),0.5208333333333334)</f>
        <v>0.5208333333</v>
      </c>
      <c r="L503" s="16">
        <f>IFERROR(__xludf.DUMMYFUNCTION("IMPORTRANGE(""https://docs.google.com/spreadsheets/d/""&amp;$A503&amp;""/edit#gid=156619080"",L$3)"),3010.0)</f>
        <v>3010</v>
      </c>
      <c r="M503" s="16">
        <f>IFERROR(__xludf.DUMMYFUNCTION("IMPORTRANGE(""https://docs.google.com/spreadsheets/d/""&amp;$A503&amp;""/edit#gid=156619080"",M$3)"),0.5944444444444444)</f>
        <v>0.5944444444</v>
      </c>
      <c r="N503" s="16">
        <f>IFERROR(__xludf.DUMMYFUNCTION("IMPORTRANGE(""https://docs.google.com/spreadsheets/d/""&amp;$A503&amp;""/edit#gid=156619080"",N$3)"),3010.0)</f>
        <v>3010</v>
      </c>
      <c r="O503" s="16" t="str">
        <f>IFERROR(__xludf.DUMMYFUNCTION("IMPORTRANGE(""https://docs.google.com/spreadsheets/d/""&amp;$A503&amp;""/edit#gid=156619080"",O$3)"),"70700株")</f>
        <v>70700株</v>
      </c>
      <c r="P503" s="16" t="str">
        <f>IFERROR(__xludf.DUMMYFUNCTION("IMPORTRANGE(""https://docs.google.com/spreadsheets/d/""&amp;$A503&amp;""/edit#gid=156619080"",P$3)"),"215百万円")</f>
        <v>215百万円</v>
      </c>
      <c r="Q503" s="16" t="str">
        <f>IFERROR(__xludf.DUMMYFUNCTION("IMPORTRANGE(""https://docs.google.com/spreadsheets/d/""&amp;$A503&amp;""/edit#gid=156619080"",Q$3)"),"304回")</f>
        <v>304回</v>
      </c>
      <c r="R503" s="16" t="str">
        <f>IFERROR(__xludf.DUMMYFUNCTION("IMPORTRANGE(""https://docs.google.com/spreadsheets/d/""&amp;$A503&amp;""/edit#gid=156619080"",R$3)"),"1087億円")</f>
        <v>1087億円</v>
      </c>
      <c r="S503" s="16" t="str">
        <f>IFERROR(__xludf.DUMMYFUNCTION("IMPORTRANGE(""https://docs.google.com/spreadsheets/d/""&amp;$A503&amp;""/edit#gid=156619080"",S$3)"),"陰線")</f>
        <v>陰線</v>
      </c>
      <c r="T503" s="16" t="str">
        <f>IFERROR(__xludf.DUMMYFUNCTION("IMPORTRANGE(""https://docs.google.com/spreadsheets/d/""&amp;$A503&amp;""/edit#gid=156619080"",T$3)"),"")</f>
        <v/>
      </c>
      <c r="U503" s="16">
        <f>IFERROR(__xludf.DUMMYFUNCTION("IMPORTRANGE(""https://docs.google.com/spreadsheets/d/""&amp;$A503&amp;""/edit#gid=156619080"",U$3)"),3056.0)</f>
        <v>3056</v>
      </c>
      <c r="V503" s="16">
        <f>IFERROR(__xludf.DUMMYFUNCTION("IMPORTRANGE(""https://docs.google.com/spreadsheets/d/""&amp;$A503&amp;""/edit#gid=156619080"",V$3)"),3146.9)</f>
        <v>3146.9</v>
      </c>
      <c r="W503" s="16">
        <f>IFERROR(__xludf.DUMMYFUNCTION("IMPORTRANGE(""https://docs.google.com/spreadsheets/d/""&amp;$A503&amp;""/edit#gid=156619080"",W$3)"),3209.0)</f>
        <v>3209</v>
      </c>
      <c r="X503" s="2" t="str">
        <f>IFERROR(__xludf.DUMMYFUNCTION("IMPORTRANGE(""https://docs.google.com/spreadsheets/d/""&amp;$A503&amp;""/edit#gid=156619080"",X$3)"),"")</f>
        <v/>
      </c>
      <c r="Y503" s="17">
        <f>IFERROR(__xludf.DUMMYFUNCTION("IMPORTRANGE(""https://docs.google.com/spreadsheets/d/""&amp;$A503&amp;""/edit#gid=156619080"",Y$3)"),-0.015052356020942409)</f>
        <v>-0.01505235602</v>
      </c>
      <c r="Z503" s="2">
        <f>IFERROR(__xludf.DUMMYFUNCTION("IMPORTRANGE(""https://docs.google.com/spreadsheets/d/""&amp;$A503&amp;""/edit#gid=156619080"",Z$3)"),3427.49)</f>
        <v>3427.49</v>
      </c>
      <c r="AA503" s="2">
        <f>IFERROR(__xludf.DUMMYFUNCTION("IMPORTRANGE(""https://docs.google.com/spreadsheets/d/""&amp;$A503&amp;""/edit#gid=156619080"",AA$3)"),3400.18)</f>
        <v>3400.18</v>
      </c>
      <c r="AB503" s="2">
        <f>IFERROR(__xludf.DUMMYFUNCTION("IMPORTRANGE(""https://docs.google.com/spreadsheets/d/""&amp;$A503&amp;""/edit#gid=156619080"",AB$3)"),3372.87)</f>
        <v>3372.87</v>
      </c>
      <c r="AC503" s="18">
        <f>IFERROR(__xludf.DUMMYFUNCTION("IMPORTRANGE(""https://docs.google.com/spreadsheets/d/""&amp;$A503&amp;""/edit#gid=156619080"",AC$3)"),3345.56)</f>
        <v>3345.56</v>
      </c>
      <c r="AD503" s="18">
        <f>IFERROR(__xludf.DUMMYFUNCTION("IMPORTRANGE(""https://docs.google.com/spreadsheets/d/""&amp;$A503&amp;""/edit#gid=156619080"",AD$3)"),3318.25)</f>
        <v>3318.25</v>
      </c>
      <c r="AE503" s="18">
        <f>IFERROR(__xludf.DUMMYFUNCTION("IMPORTRANGE(""https://docs.google.com/spreadsheets/d/""&amp;$A503&amp;""/edit#gid=156619080"",AE$3)"),3209.0)</f>
        <v>3209</v>
      </c>
      <c r="AF503" s="2">
        <f>IFERROR(__xludf.DUMMYFUNCTION("IMPORTRANGE(""https://docs.google.com/spreadsheets/d/""&amp;$A503&amp;""/edit#gid=156619080"",AF$3)"),3099.75)</f>
        <v>3099.75</v>
      </c>
      <c r="AG503" s="2">
        <f>IFERROR(__xludf.DUMMYFUNCTION("IMPORTRANGE(""https://docs.google.com/spreadsheets/d/""&amp;$A503&amp;""/edit#gid=156619080"",AG$3)"),3072.44)</f>
        <v>3072.44</v>
      </c>
      <c r="AH503" s="2">
        <f>IFERROR(__xludf.DUMMYFUNCTION("IMPORTRANGE(""https://docs.google.com/spreadsheets/d/""&amp;$A503&amp;""/edit#gid=156619080"",AH$3)"),3045.13)</f>
        <v>3045.13</v>
      </c>
      <c r="AI503" s="2">
        <f>IFERROR(__xludf.DUMMYFUNCTION("IMPORTRANGE(""https://docs.google.com/spreadsheets/d/""&amp;$A503&amp;""/edit#gid=156619080"",AI$3)"),3017.82)</f>
        <v>3017.82</v>
      </c>
      <c r="AJ503" s="2">
        <f>IFERROR(__xludf.DUMMYFUNCTION("IMPORTRANGE(""https://docs.google.com/spreadsheets/d/""&amp;$A503&amp;""/edit#gid=156619080"",AJ$3)"),2990.51)</f>
        <v>2990.51</v>
      </c>
      <c r="AK503" s="2" t="str">
        <f>IFERROR(__xludf.DUMMYFUNCTION("IMPORTRANGE(""https://docs.google.com/spreadsheets/d/""&amp;$A503&amp;""/edit#gid=156619080"",AK$3)"),"-1.75σ〜-2σ")</f>
        <v>-1.75σ〜-2σ</v>
      </c>
      <c r="AL503" s="2">
        <f>IFERROR(__xludf.DUMMYFUNCTION("IMPORTRANGE(""https://docs.google.com/spreadsheets/d/""&amp;$A503&amp;""/edit#gid=156619080"",AL$3)"),-1.0)</f>
        <v>-1</v>
      </c>
      <c r="AM503" s="2" t="str">
        <f>IFERROR(__xludf.DUMMYFUNCTION("IMPORTRANGE(""https://docs.google.com/spreadsheets/d/""&amp;$A503&amp;""/edit#gid=156619080"",AM$3)"),"")</f>
        <v/>
      </c>
      <c r="AN503" s="2">
        <f>IFERROR(__xludf.DUMMYFUNCTION("IMPORTRANGE(""https://docs.google.com/spreadsheets/d/""&amp;$A503&amp;""/edit#gid=156619080"",AN$3)"),-1.0)</f>
        <v>-1</v>
      </c>
      <c r="AO503" s="2" t="str">
        <f>IFERROR(__xludf.DUMMYFUNCTION("IMPORTRANGE(""https://docs.google.com/spreadsheets/d/""&amp;$A503&amp;""/edit#gid=156619080"",AO$3)"),"")</f>
        <v/>
      </c>
      <c r="AP503" s="2">
        <f>IFERROR(__xludf.DUMMYFUNCTION("IMPORTRANGE(""https://docs.google.com/spreadsheets/d/""&amp;$A503&amp;""/edit#gid=156619080"",AP$3)"),-1.0)</f>
        <v>-1</v>
      </c>
      <c r="AQ503" s="2" t="str">
        <f>IFERROR(__xludf.DUMMYFUNCTION("IMPORTRANGE(""https://docs.google.com/spreadsheets/d/""&amp;$A503&amp;""/edit#gid=156619080"",AQ$3)"),"")</f>
        <v/>
      </c>
      <c r="AR503" s="18">
        <f>IFERROR(__xludf.DUMMYFUNCTION("IMPORTRANGE(""https://docs.google.com/spreadsheets/d/""&amp;$A503&amp;""/edit#gid=156619080"",AR$3)"),-85.00000000000001)</f>
        <v>-85</v>
      </c>
      <c r="AS503" s="19" t="str">
        <f>IFERROR(__xludf.DUMMYFUNCTION("IMPORTRANGE(""https://docs.google.com/spreadsheets/d/""&amp;$A503&amp;""/edit#gid=156619080"",AS$3)"),"-85
-85
-85
-85
")</f>
        <v>-85
-85
-85
-85
</v>
      </c>
      <c r="AT503" s="18">
        <f>IFERROR(__xludf.DUMMYFUNCTION("IMPORTRANGE(""https://docs.google.com/spreadsheets/d/""&amp;$A503&amp;""/edit#gid=156619080"",AT$3)"),-97.52747252747254)</f>
        <v>-97.52747253</v>
      </c>
      <c r="AU503" s="3" t="str">
        <f>IFERROR(__xludf.DUMMYFUNCTION("IMPORTRANGE(""https://docs.google.com/spreadsheets/d/""&amp;$A503&amp;""/edit#gid=156619080"",AU$3)"),"-93.13
-93.13
-95.88
-97.53
")</f>
        <v>-93.13
-93.13
-95.88
-97.53
</v>
      </c>
      <c r="AV503" s="18">
        <f>IFERROR(__xludf.DUMMYFUNCTION("IMPORTRANGE(""https://docs.google.com/spreadsheets/d/""&amp;$A503&amp;""/edit#gid=156619080"",AV$3)"),-96.03896103896103)</f>
        <v>-96.03896104</v>
      </c>
      <c r="AW503" s="19" t="str">
        <f>IFERROR(__xludf.DUMMYFUNCTION("IMPORTRANGE(""https://docs.google.com/spreadsheets/d/""&amp;$A503&amp;""/edit#gid=156619080"",AW$3)"),"-72.14
-85.78
-90.81
-94.87
")</f>
        <v>-72.14
-85.78
-90.81
-94.87
</v>
      </c>
      <c r="AX503" s="2">
        <f>IFERROR(__xludf.DUMMYFUNCTION("IMPORTRANGE(""https://docs.google.com/spreadsheets/d/""&amp;$A503&amp;""/edit#gid=156619080"",AX$3)"),0.0)</f>
        <v>0</v>
      </c>
      <c r="AY503" s="2">
        <f>IFERROR(__xludf.DUMMYFUNCTION("IMPORTRANGE(""https://docs.google.com/spreadsheets/d/""&amp;$A503&amp;""/edit#gid=156619080"",AY$3)"),20.54)</f>
        <v>20.54</v>
      </c>
      <c r="AZ503" s="2">
        <f>IFERROR(__xludf.DUMMYFUNCTION("IMPORTRANGE(""https://docs.google.com/spreadsheets/d/""&amp;$A503&amp;""/edit#gid=156619080"",AZ$3)"),3052.75)</f>
        <v>3052.75</v>
      </c>
      <c r="BA503" s="2">
        <f>IFERROR(__xludf.DUMMYFUNCTION("IMPORTRANGE(""https://docs.google.com/spreadsheets/d/""&amp;$A503&amp;""/edit#gid=156619080"",BA$3)"),-109.19999999999982)</f>
        <v>-109.2</v>
      </c>
      <c r="BB503" s="2">
        <f>IFERROR(__xludf.DUMMYFUNCTION("IMPORTRANGE(""https://docs.google.com/spreadsheets/d/""&amp;$A503&amp;""/edit#gid=156619080"",BB$3)"),-55.65)</f>
        <v>-55.65</v>
      </c>
      <c r="BC503" s="2" t="str">
        <f>IFERROR(__xludf.DUMMYFUNCTION("IMPORTRANGE(""https://docs.google.com/spreadsheets/d/""&amp;$A503&amp;""/edit#gid=156619080"",BC$3)"),"DC→DC")</f>
        <v>DC→DC</v>
      </c>
    </row>
    <row r="504" ht="51.0" customHeight="1">
      <c r="A504" s="7" t="str">
        <f t="shared" si="5"/>
        <v>1DjweY2as4hE8MPlQUmq-nXgrxnkTSoWbwtQU4pQ78NU</v>
      </c>
      <c r="B504" s="1" t="s">
        <v>531</v>
      </c>
      <c r="C504" s="2">
        <f>IFERROR(__xludf.DUMMYFUNCTION("IMPORTRANGE(""https://docs.google.com/spreadsheets/d/""&amp;$A504&amp;""/edit#gid=156619080"",C$3)"),45.0)</f>
        <v>45</v>
      </c>
      <c r="D504" s="2">
        <f>IFERROR(__xludf.DUMMYFUNCTION("IMPORTRANGE(""https://docs.google.com/spreadsheets/d/""&amp;$A504&amp;""/edit#gid=156619080"",D$3)"),1848.0)</f>
        <v>1848</v>
      </c>
      <c r="E504" s="15">
        <f>IFERROR(__xludf.DUMMYFUNCTION("IMPORTRANGE(""https://docs.google.com/spreadsheets/d/""&amp;$A504&amp;""/edit#gid=156619080"",E$3)"),43882.0)</f>
        <v>43882</v>
      </c>
      <c r="F504" s="2">
        <f>IFERROR(__xludf.DUMMYFUNCTION("IMPORTRANGE(""https://docs.google.com/spreadsheets/d/""&amp;$A504&amp;""/edit#gid=156619080"",F$3)"),-4.0)</f>
        <v>-4</v>
      </c>
      <c r="G504" s="16">
        <f>IFERROR(__xludf.DUMMYFUNCTION("IMPORTRANGE(""https://docs.google.com/spreadsheets/d/""&amp;$A504&amp;""/edit#gid=156619080"",G$3)"),-0.77)</f>
        <v>-0.77</v>
      </c>
      <c r="H504" s="16">
        <f>IFERROR(__xludf.DUMMYFUNCTION("IMPORTRANGE(""https://docs.google.com/spreadsheets/d/""&amp;$A504&amp;""/edit#gid=156619080"",H$3)"),520.0)</f>
        <v>520</v>
      </c>
      <c r="I504" s="16">
        <f>IFERROR(__xludf.DUMMYFUNCTION("IMPORTRANGE(""https://docs.google.com/spreadsheets/d/""&amp;$A504&amp;""/edit#gid=156619080"",I$3)"),-1.0)</f>
        <v>-1</v>
      </c>
      <c r="J504" s="16">
        <f>IFERROR(__xludf.DUMMYFUNCTION("IMPORTRANGE(""https://docs.google.com/spreadsheets/d/""&amp;$A504&amp;""/edit#gid=156619080"",J$3)"),524.0)</f>
        <v>524</v>
      </c>
      <c r="K504" s="16">
        <f>IFERROR(__xludf.DUMMYFUNCTION("IMPORTRANGE(""https://docs.google.com/spreadsheets/d/""&amp;$A504&amp;""/edit#gid=156619080"",K$3)"),0.39166666666666666)</f>
        <v>0.3916666667</v>
      </c>
      <c r="L504" s="16">
        <f>IFERROR(__xludf.DUMMYFUNCTION("IMPORTRANGE(""https://docs.google.com/spreadsheets/d/""&amp;$A504&amp;""/edit#gid=156619080"",L$3)"),511.0)</f>
        <v>511</v>
      </c>
      <c r="M504" s="16">
        <f>IFERROR(__xludf.DUMMYFUNCTION("IMPORTRANGE(""https://docs.google.com/spreadsheets/d/""&amp;$A504&amp;""/edit#gid=156619080"",M$3)"),0.4361111111111111)</f>
        <v>0.4361111111</v>
      </c>
      <c r="N504" s="16">
        <f>IFERROR(__xludf.DUMMYFUNCTION("IMPORTRANGE(""https://docs.google.com/spreadsheets/d/""&amp;$A504&amp;""/edit#gid=156619080"",N$3)"),515.0)</f>
        <v>515</v>
      </c>
      <c r="O504" s="16" t="str">
        <f>IFERROR(__xludf.DUMMYFUNCTION("IMPORTRANGE(""https://docs.google.com/spreadsheets/d/""&amp;$A504&amp;""/edit#gid=156619080"",O$3)"),"9600株")</f>
        <v>9600株</v>
      </c>
      <c r="P504" s="16" t="str">
        <f>IFERROR(__xludf.DUMMYFUNCTION("IMPORTRANGE(""https://docs.google.com/spreadsheets/d/""&amp;$A504&amp;""/edit#gid=156619080"",P$3)"),"5百万円")</f>
        <v>5百万円</v>
      </c>
      <c r="Q504" s="16" t="str">
        <f>IFERROR(__xludf.DUMMYFUNCTION("IMPORTRANGE(""https://docs.google.com/spreadsheets/d/""&amp;$A504&amp;""/edit#gid=156619080"",Q$3)"),"34回")</f>
        <v>34回</v>
      </c>
      <c r="R504" s="16" t="str">
        <f>IFERROR(__xludf.DUMMYFUNCTION("IMPORTRANGE(""https://docs.google.com/spreadsheets/d/""&amp;$A504&amp;""/edit#gid=156619080"",R$3)"),"95.8億円")</f>
        <v>95.8億円</v>
      </c>
      <c r="S504" s="16" t="str">
        <f>IFERROR(__xludf.DUMMYFUNCTION("IMPORTRANGE(""https://docs.google.com/spreadsheets/d/""&amp;$A504&amp;""/edit#gid=156619080"",S$3)"),"陰線")</f>
        <v>陰線</v>
      </c>
      <c r="T504" s="16" t="str">
        <f>IFERROR(__xludf.DUMMYFUNCTION("IMPORTRANGE(""https://docs.google.com/spreadsheets/d/""&amp;$A504&amp;""/edit#gid=156619080"",T$3)"),"")</f>
        <v/>
      </c>
      <c r="U504" s="16">
        <f>IFERROR(__xludf.DUMMYFUNCTION("IMPORTRANGE(""https://docs.google.com/spreadsheets/d/""&amp;$A504&amp;""/edit#gid=156619080"",U$3)"),525.8)</f>
        <v>525.8</v>
      </c>
      <c r="V504" s="16">
        <f>IFERROR(__xludf.DUMMYFUNCTION("IMPORTRANGE(""https://docs.google.com/spreadsheets/d/""&amp;$A504&amp;""/edit#gid=156619080"",V$3)"),549.1)</f>
        <v>549.1</v>
      </c>
      <c r="W504" s="16">
        <f>IFERROR(__xludf.DUMMYFUNCTION("IMPORTRANGE(""https://docs.google.com/spreadsheets/d/""&amp;$A504&amp;""/edit#gid=156619080"",W$3)"),555.7)</f>
        <v>555.7</v>
      </c>
      <c r="X504" s="2" t="str">
        <f>IFERROR(__xludf.DUMMYFUNCTION("IMPORTRANGE(""https://docs.google.com/spreadsheets/d/""&amp;$A504&amp;""/edit#gid=156619080"",X$3)"),"")</f>
        <v/>
      </c>
      <c r="Y504" s="17">
        <f>IFERROR(__xludf.DUMMYFUNCTION("IMPORTRANGE(""https://docs.google.com/spreadsheets/d/""&amp;$A504&amp;""/edit#gid=156619080"",Y$3)"),-0.020540129326740122)</f>
        <v>-0.02054012933</v>
      </c>
      <c r="Z504" s="2">
        <f>IFERROR(__xludf.DUMMYFUNCTION("IMPORTRANGE(""https://docs.google.com/spreadsheets/d/""&amp;$A504&amp;""/edit#gid=156619080"",Z$3)"),595.45)</f>
        <v>595.45</v>
      </c>
      <c r="AA504" s="2">
        <f>IFERROR(__xludf.DUMMYFUNCTION("IMPORTRANGE(""https://docs.google.com/spreadsheets/d/""&amp;$A504&amp;""/edit#gid=156619080"",AA$3)"),590.48)</f>
        <v>590.48</v>
      </c>
      <c r="AB504" s="2">
        <f>IFERROR(__xludf.DUMMYFUNCTION("IMPORTRANGE(""https://docs.google.com/spreadsheets/d/""&amp;$A504&amp;""/edit#gid=156619080"",AB$3)"),585.51)</f>
        <v>585.51</v>
      </c>
      <c r="AC504" s="18">
        <f>IFERROR(__xludf.DUMMYFUNCTION("IMPORTRANGE(""https://docs.google.com/spreadsheets/d/""&amp;$A504&amp;""/edit#gid=156619080"",AC$3)"),580.55)</f>
        <v>580.55</v>
      </c>
      <c r="AD504" s="18">
        <f>IFERROR(__xludf.DUMMYFUNCTION("IMPORTRANGE(""https://docs.google.com/spreadsheets/d/""&amp;$A504&amp;""/edit#gid=156619080"",AD$3)"),575.58)</f>
        <v>575.58</v>
      </c>
      <c r="AE504" s="18">
        <f>IFERROR(__xludf.DUMMYFUNCTION("IMPORTRANGE(""https://docs.google.com/spreadsheets/d/""&amp;$A504&amp;""/edit#gid=156619080"",AE$3)"),555.7)</f>
        <v>555.7</v>
      </c>
      <c r="AF504" s="2">
        <f>IFERROR(__xludf.DUMMYFUNCTION("IMPORTRANGE(""https://docs.google.com/spreadsheets/d/""&amp;$A504&amp;""/edit#gid=156619080"",AF$3)"),535.82)</f>
        <v>535.82</v>
      </c>
      <c r="AG504" s="2">
        <f>IFERROR(__xludf.DUMMYFUNCTION("IMPORTRANGE(""https://docs.google.com/spreadsheets/d/""&amp;$A504&amp;""/edit#gid=156619080"",AG$3)"),530.85)</f>
        <v>530.85</v>
      </c>
      <c r="AH504" s="2">
        <f>IFERROR(__xludf.DUMMYFUNCTION("IMPORTRANGE(""https://docs.google.com/spreadsheets/d/""&amp;$A504&amp;""/edit#gid=156619080"",AH$3)"),525.89)</f>
        <v>525.89</v>
      </c>
      <c r="AI504" s="2">
        <f>IFERROR(__xludf.DUMMYFUNCTION("IMPORTRANGE(""https://docs.google.com/spreadsheets/d/""&amp;$A504&amp;""/edit#gid=156619080"",AI$3)"),520.92)</f>
        <v>520.92</v>
      </c>
      <c r="AJ504" s="2">
        <f>IFERROR(__xludf.DUMMYFUNCTION("IMPORTRANGE(""https://docs.google.com/spreadsheets/d/""&amp;$A504&amp;""/edit#gid=156619080"",AJ$3)"),515.95)</f>
        <v>515.95</v>
      </c>
      <c r="AK504" s="2" t="str">
        <f>IFERROR(__xludf.DUMMYFUNCTION("IMPORTRANGE(""https://docs.google.com/spreadsheets/d/""&amp;$A504&amp;""/edit#gid=156619080"",AK$3)"),"-2σ以下")</f>
        <v>-2σ以下</v>
      </c>
      <c r="AL504" s="2">
        <f>IFERROR(__xludf.DUMMYFUNCTION("IMPORTRANGE(""https://docs.google.com/spreadsheets/d/""&amp;$A504&amp;""/edit#gid=156619080"",AL$3)"),-1.0)</f>
        <v>-1</v>
      </c>
      <c r="AM504" s="2" t="str">
        <f>IFERROR(__xludf.DUMMYFUNCTION("IMPORTRANGE(""https://docs.google.com/spreadsheets/d/""&amp;$A504&amp;""/edit#gid=156619080"",AM$3)"),"")</f>
        <v/>
      </c>
      <c r="AN504" s="2">
        <f>IFERROR(__xludf.DUMMYFUNCTION("IMPORTRANGE(""https://docs.google.com/spreadsheets/d/""&amp;$A504&amp;""/edit#gid=156619080"",AN$3)"),-1.0)</f>
        <v>-1</v>
      </c>
      <c r="AO504" s="2" t="str">
        <f>IFERROR(__xludf.DUMMYFUNCTION("IMPORTRANGE(""https://docs.google.com/spreadsheets/d/""&amp;$A504&amp;""/edit#gid=156619080"",AO$3)"),"")</f>
        <v/>
      </c>
      <c r="AP504" s="2">
        <f>IFERROR(__xludf.DUMMYFUNCTION("IMPORTRANGE(""https://docs.google.com/spreadsheets/d/""&amp;$A504&amp;""/edit#gid=156619080"",AP$3)"),-1.0)</f>
        <v>-1</v>
      </c>
      <c r="AQ504" s="2" t="str">
        <f>IFERROR(__xludf.DUMMYFUNCTION("IMPORTRANGE(""https://docs.google.com/spreadsheets/d/""&amp;$A504&amp;""/edit#gid=156619080"",AQ$3)"),"")</f>
        <v/>
      </c>
      <c r="AR504" s="18">
        <f>IFERROR(__xludf.DUMMYFUNCTION("IMPORTRANGE(""https://docs.google.com/spreadsheets/d/""&amp;$A504&amp;""/edit#gid=156619080"",AR$3)"),-100.0)</f>
        <v>-100</v>
      </c>
      <c r="AS504" s="19" t="str">
        <f>IFERROR(__xludf.DUMMYFUNCTION("IMPORTRANGE(""https://docs.google.com/spreadsheets/d/""&amp;$A504&amp;""/edit#gid=156619080"",AS$3)"),"-70
-70
-100
-100
")</f>
        <v>-70
-70
-100
-100
</v>
      </c>
      <c r="AT504" s="18">
        <f>IFERROR(__xludf.DUMMYFUNCTION("IMPORTRANGE(""https://docs.google.com/spreadsheets/d/""&amp;$A504&amp;""/edit#gid=156619080"",AT$3)"),-92.85714285714286)</f>
        <v>-92.85714286</v>
      </c>
      <c r="AU504" s="3" t="str">
        <f>IFERROR(__xludf.DUMMYFUNCTION("IMPORTRANGE(""https://docs.google.com/spreadsheets/d/""&amp;$A504&amp;""/edit#gid=156619080"",AU$3)"),"-51.24
-62.36
-74.86
-82.55
")</f>
        <v>-51.24
-62.36
-74.86
-82.55
</v>
      </c>
      <c r="AV504" s="18">
        <f>IFERROR(__xludf.DUMMYFUNCTION("IMPORTRANGE(""https://docs.google.com/spreadsheets/d/""&amp;$A504&amp;""/edit#gid=156619080"",AV$3)"),-80.38961038961038)</f>
        <v>-80.38961039</v>
      </c>
      <c r="AW504" s="19" t="str">
        <f>IFERROR(__xludf.DUMMYFUNCTION("IMPORTRANGE(""https://docs.google.com/spreadsheets/d/""&amp;$A504&amp;""/edit#gid=156619080"",AW$3)"),"-71.95
-77.66
-80.26
-80.39
")</f>
        <v>-71.95
-77.66
-80.26
-80.39
</v>
      </c>
      <c r="AX504" s="2">
        <f>IFERROR(__xludf.DUMMYFUNCTION("IMPORTRANGE(""https://docs.google.com/spreadsheets/d/""&amp;$A504&amp;""/edit#gid=156619080"",AX$3)"),0.0)</f>
        <v>0</v>
      </c>
      <c r="AY504" s="2">
        <f>IFERROR(__xludf.DUMMYFUNCTION("IMPORTRANGE(""https://docs.google.com/spreadsheets/d/""&amp;$A504&amp;""/edit#gid=156619080"",AY$3)"),24.310000000000002)</f>
        <v>24.31</v>
      </c>
      <c r="AZ504" s="2">
        <f>IFERROR(__xludf.DUMMYFUNCTION("IMPORTRANGE(""https://docs.google.com/spreadsheets/d/""&amp;$A504&amp;""/edit#gid=156619080"",AZ$3)"),525.75)</f>
        <v>525.75</v>
      </c>
      <c r="BA504" s="2">
        <f>IFERROR(__xludf.DUMMYFUNCTION("IMPORTRANGE(""https://docs.google.com/spreadsheets/d/""&amp;$A504&amp;""/edit#gid=156619080"",BA$3)"),-26.269999999999982)</f>
        <v>-26.27</v>
      </c>
      <c r="BB504" s="2">
        <f>IFERROR(__xludf.DUMMYFUNCTION("IMPORTRANGE(""https://docs.google.com/spreadsheets/d/""&amp;$A504&amp;""/edit#gid=156619080"",BB$3)"),-16.03)</f>
        <v>-16.03</v>
      </c>
      <c r="BC504" s="2" t="str">
        <f>IFERROR(__xludf.DUMMYFUNCTION("IMPORTRANGE(""https://docs.google.com/spreadsheets/d/""&amp;$A504&amp;""/edit#gid=156619080"",BC$3)"),"DC→DC")</f>
        <v>DC→DC</v>
      </c>
    </row>
    <row r="505" ht="51.0" customHeight="1">
      <c r="A505" s="7" t="str">
        <f t="shared" si="5"/>
        <v>1Hy40hc5Nx3R8pba6ewGBvGZg_WR0KbhXxoQOqWu1BDI</v>
      </c>
      <c r="B505" s="1" t="s">
        <v>532</v>
      </c>
      <c r="C505" s="2">
        <f>IFERROR(__xludf.DUMMYFUNCTION("IMPORTRANGE(""https://docs.google.com/spreadsheets/d/""&amp;$A505&amp;""/edit#gid=156619080"",C$3)"),87.0)</f>
        <v>87</v>
      </c>
      <c r="D505" s="2">
        <f>IFERROR(__xludf.DUMMYFUNCTION("IMPORTRANGE(""https://docs.google.com/spreadsheets/d/""&amp;$A505&amp;""/edit#gid=156619080"",D$3)"),1860.0)</f>
        <v>1860</v>
      </c>
      <c r="E505" s="15">
        <f>IFERROR(__xludf.DUMMYFUNCTION("IMPORTRANGE(""https://docs.google.com/spreadsheets/d/""&amp;$A505&amp;""/edit#gid=156619080"",E$3)"),43882.0)</f>
        <v>43882</v>
      </c>
      <c r="F505" s="2">
        <f>IFERROR(__xludf.DUMMYFUNCTION("IMPORTRANGE(""https://docs.google.com/spreadsheets/d/""&amp;$A505&amp;""/edit#gid=156619080"",F$3)"),1.0)</f>
        <v>1</v>
      </c>
      <c r="G505" s="16">
        <f>IFERROR(__xludf.DUMMYFUNCTION("IMPORTRANGE(""https://docs.google.com/spreadsheets/d/""&amp;$A505&amp;""/edit#gid=156619080"",G$3)"),0.14)</f>
        <v>0.14</v>
      </c>
      <c r="H505" s="16">
        <f>IFERROR(__xludf.DUMMYFUNCTION("IMPORTRANGE(""https://docs.google.com/spreadsheets/d/""&amp;$A505&amp;""/edit#gid=156619080"",H$3)"),712.0)</f>
        <v>712</v>
      </c>
      <c r="I505" s="16">
        <f>IFERROR(__xludf.DUMMYFUNCTION("IMPORTRANGE(""https://docs.google.com/spreadsheets/d/""&amp;$A505&amp;""/edit#gid=156619080"",I$3)"),1.0)</f>
        <v>1</v>
      </c>
      <c r="J505" s="16">
        <f>IFERROR(__xludf.DUMMYFUNCTION("IMPORTRANGE(""https://docs.google.com/spreadsheets/d/""&amp;$A505&amp;""/edit#gid=156619080"",J$3)"),721.0)</f>
        <v>721</v>
      </c>
      <c r="K505" s="16">
        <f>IFERROR(__xludf.DUMMYFUNCTION("IMPORTRANGE(""https://docs.google.com/spreadsheets/d/""&amp;$A505&amp;""/edit#gid=156619080"",K$3)"),0.5486111111111112)</f>
        <v>0.5486111111</v>
      </c>
      <c r="L505" s="16">
        <f>IFERROR(__xludf.DUMMYFUNCTION("IMPORTRANGE(""https://docs.google.com/spreadsheets/d/""&amp;$A505&amp;""/edit#gid=156619080"",L$3)"),712.0)</f>
        <v>712</v>
      </c>
      <c r="M505" s="16">
        <f>IFERROR(__xludf.DUMMYFUNCTION("IMPORTRANGE(""https://docs.google.com/spreadsheets/d/""&amp;$A505&amp;""/edit#gid=156619080"",M$3)"),0.375)</f>
        <v>0.375</v>
      </c>
      <c r="N505" s="16">
        <f>IFERROR(__xludf.DUMMYFUNCTION("IMPORTRANGE(""https://docs.google.com/spreadsheets/d/""&amp;$A505&amp;""/edit#gid=156619080"",N$3)"),713.0)</f>
        <v>713</v>
      </c>
      <c r="O505" s="16" t="str">
        <f>IFERROR(__xludf.DUMMYFUNCTION("IMPORTRANGE(""https://docs.google.com/spreadsheets/d/""&amp;$A505&amp;""/edit#gid=156619080"",O$3)"),"502000株")</f>
        <v>502000株</v>
      </c>
      <c r="P505" s="16" t="str">
        <f>IFERROR(__xludf.DUMMYFUNCTION("IMPORTRANGE(""https://docs.google.com/spreadsheets/d/""&amp;$A505&amp;""/edit#gid=156619080"",P$3)"),"359百万円")</f>
        <v>359百万円</v>
      </c>
      <c r="Q505" s="16" t="str">
        <f>IFERROR(__xludf.DUMMYFUNCTION("IMPORTRANGE(""https://docs.google.com/spreadsheets/d/""&amp;$A505&amp;""/edit#gid=156619080"",Q$3)"),"599回")</f>
        <v>599回</v>
      </c>
      <c r="R505" s="16" t="str">
        <f>IFERROR(__xludf.DUMMYFUNCTION("IMPORTRANGE(""https://docs.google.com/spreadsheets/d/""&amp;$A505&amp;""/edit#gid=156619080"",R$3)"),"2301億円")</f>
        <v>2301億円</v>
      </c>
      <c r="S505" s="16" t="str">
        <f>IFERROR(__xludf.DUMMYFUNCTION("IMPORTRANGE(""https://docs.google.com/spreadsheets/d/""&amp;$A505&amp;""/edit#gid=156619080"",S$3)"),"陽線")</f>
        <v>陽線</v>
      </c>
      <c r="T505" s="16" t="str">
        <f>IFERROR(__xludf.DUMMYFUNCTION("IMPORTRANGE(""https://docs.google.com/spreadsheets/d/""&amp;$A505&amp;""/edit#gid=156619080"",T$3)"),"")</f>
        <v/>
      </c>
      <c r="U505" s="16">
        <f>IFERROR(__xludf.DUMMYFUNCTION("IMPORTRANGE(""https://docs.google.com/spreadsheets/d/""&amp;$A505&amp;""/edit#gid=156619080"",U$3)"),712.4)</f>
        <v>712.4</v>
      </c>
      <c r="V505" s="16">
        <f>IFERROR(__xludf.DUMMYFUNCTION("IMPORTRANGE(""https://docs.google.com/spreadsheets/d/""&amp;$A505&amp;""/edit#gid=156619080"",V$3)"),720.2)</f>
        <v>720.2</v>
      </c>
      <c r="W505" s="16">
        <f>IFERROR(__xludf.DUMMYFUNCTION("IMPORTRANGE(""https://docs.google.com/spreadsheets/d/""&amp;$A505&amp;""/edit#gid=156619080"",W$3)"),731.0)</f>
        <v>731</v>
      </c>
      <c r="X505" s="2" t="str">
        <f>IFERROR(__xludf.DUMMYFUNCTION("IMPORTRANGE(""https://docs.google.com/spreadsheets/d/""&amp;$A505&amp;""/edit#gid=156619080"",X$3)"),"")</f>
        <v/>
      </c>
      <c r="Y505" s="17">
        <f>IFERROR(__xludf.DUMMYFUNCTION("IMPORTRANGE(""https://docs.google.com/spreadsheets/d/""&amp;$A505&amp;""/edit#gid=156619080"",Y$3)"),8.422234699607282E-4)</f>
        <v>0.00084222347</v>
      </c>
      <c r="Z505" s="2">
        <f>IFERROR(__xludf.DUMMYFUNCTION("IMPORTRANGE(""https://docs.google.com/spreadsheets/d/""&amp;$A505&amp;""/edit#gid=156619080"",Z$3)"),765.27)</f>
        <v>765.27</v>
      </c>
      <c r="AA505" s="2">
        <f>IFERROR(__xludf.DUMMYFUNCTION("IMPORTRANGE(""https://docs.google.com/spreadsheets/d/""&amp;$A505&amp;""/edit#gid=156619080"",AA$3)"),760.99)</f>
        <v>760.99</v>
      </c>
      <c r="AB505" s="2">
        <f>IFERROR(__xludf.DUMMYFUNCTION("IMPORTRANGE(""https://docs.google.com/spreadsheets/d/""&amp;$A505&amp;""/edit#gid=156619080"",AB$3)"),756.7)</f>
        <v>756.7</v>
      </c>
      <c r="AC505" s="18">
        <f>IFERROR(__xludf.DUMMYFUNCTION("IMPORTRANGE(""https://docs.google.com/spreadsheets/d/""&amp;$A505&amp;""/edit#gid=156619080"",AC$3)"),752.42)</f>
        <v>752.42</v>
      </c>
      <c r="AD505" s="18">
        <f>IFERROR(__xludf.DUMMYFUNCTION("IMPORTRANGE(""https://docs.google.com/spreadsheets/d/""&amp;$A505&amp;""/edit#gid=156619080"",AD$3)"),748.14)</f>
        <v>748.14</v>
      </c>
      <c r="AE505" s="18">
        <f>IFERROR(__xludf.DUMMYFUNCTION("IMPORTRANGE(""https://docs.google.com/spreadsheets/d/""&amp;$A505&amp;""/edit#gid=156619080"",AE$3)"),731.0)</f>
        <v>731</v>
      </c>
      <c r="AF505" s="2">
        <f>IFERROR(__xludf.DUMMYFUNCTION("IMPORTRANGE(""https://docs.google.com/spreadsheets/d/""&amp;$A505&amp;""/edit#gid=156619080"",AF$3)"),713.86)</f>
        <v>713.86</v>
      </c>
      <c r="AG505" s="2">
        <f>IFERROR(__xludf.DUMMYFUNCTION("IMPORTRANGE(""https://docs.google.com/spreadsheets/d/""&amp;$A505&amp;""/edit#gid=156619080"",AG$3)"),709.58)</f>
        <v>709.58</v>
      </c>
      <c r="AH505" s="2">
        <f>IFERROR(__xludf.DUMMYFUNCTION("IMPORTRANGE(""https://docs.google.com/spreadsheets/d/""&amp;$A505&amp;""/edit#gid=156619080"",AH$3)"),705.3)</f>
        <v>705.3</v>
      </c>
      <c r="AI505" s="2">
        <f>IFERROR(__xludf.DUMMYFUNCTION("IMPORTRANGE(""https://docs.google.com/spreadsheets/d/""&amp;$A505&amp;""/edit#gid=156619080"",AI$3)"),701.01)</f>
        <v>701.01</v>
      </c>
      <c r="AJ505" s="2">
        <f>IFERROR(__xludf.DUMMYFUNCTION("IMPORTRANGE(""https://docs.google.com/spreadsheets/d/""&amp;$A505&amp;""/edit#gid=156619080"",AJ$3)"),696.73)</f>
        <v>696.73</v>
      </c>
      <c r="AK505" s="2" t="str">
        <f>IFERROR(__xludf.DUMMYFUNCTION("IMPORTRANGE(""https://docs.google.com/spreadsheets/d/""&amp;$A505&amp;""/edit#gid=156619080"",AK$3)"),"-1〜-1.25σ")</f>
        <v>-1〜-1.25σ</v>
      </c>
      <c r="AL505" s="2">
        <f>IFERROR(__xludf.DUMMYFUNCTION("IMPORTRANGE(""https://docs.google.com/spreadsheets/d/""&amp;$A505&amp;""/edit#gid=156619080"",AL$3)"),-1.0)</f>
        <v>-1</v>
      </c>
      <c r="AM505" s="2" t="str">
        <f>IFERROR(__xludf.DUMMYFUNCTION("IMPORTRANGE(""https://docs.google.com/spreadsheets/d/""&amp;$A505&amp;""/edit#gid=156619080"",AM$3)"),"")</f>
        <v/>
      </c>
      <c r="AN505" s="2">
        <f>IFERROR(__xludf.DUMMYFUNCTION("IMPORTRANGE(""https://docs.google.com/spreadsheets/d/""&amp;$A505&amp;""/edit#gid=156619080"",AN$3)"),-1.0)</f>
        <v>-1</v>
      </c>
      <c r="AO505" s="2" t="str">
        <f>IFERROR(__xludf.DUMMYFUNCTION("IMPORTRANGE(""https://docs.google.com/spreadsheets/d/""&amp;$A505&amp;""/edit#gid=156619080"",AO$3)"),"")</f>
        <v/>
      </c>
      <c r="AP505" s="2">
        <f>IFERROR(__xludf.DUMMYFUNCTION("IMPORTRANGE(""https://docs.google.com/spreadsheets/d/""&amp;$A505&amp;""/edit#gid=156619080"",AP$3)"),-1.0)</f>
        <v>-1</v>
      </c>
      <c r="AQ505" s="2" t="str">
        <f>IFERROR(__xludf.DUMMYFUNCTION("IMPORTRANGE(""https://docs.google.com/spreadsheets/d/""&amp;$A505&amp;""/edit#gid=156619080"",AQ$3)"),"")</f>
        <v/>
      </c>
      <c r="AR505" s="18">
        <f>IFERROR(__xludf.DUMMYFUNCTION("IMPORTRANGE(""https://docs.google.com/spreadsheets/d/""&amp;$A505&amp;""/edit#gid=156619080"",AR$3)"),87.5)</f>
        <v>87.5</v>
      </c>
      <c r="AS505" s="19" t="str">
        <f>IFERROR(__xludf.DUMMYFUNCTION("IMPORTRANGE(""https://docs.google.com/spreadsheets/d/""&amp;$A505&amp;""/edit#gid=156619080"",AS$3)"),"-25
50
50
75
")</f>
        <v>-25
50
50
75
</v>
      </c>
      <c r="AT505" s="18">
        <f>IFERROR(__xludf.DUMMYFUNCTION("IMPORTRANGE(""https://docs.google.com/spreadsheets/d/""&amp;$A505&amp;""/edit#gid=156619080"",AT$3)"),-57.967032967032964)</f>
        <v>-57.96703297</v>
      </c>
      <c r="AU505" s="3" t="str">
        <f>IFERROR(__xludf.DUMMYFUNCTION("IMPORTRANGE(""https://docs.google.com/spreadsheets/d/""&amp;$A505&amp;""/edit#gid=156619080"",AU$3)"),"-89.84
-85.71
-82.69
-72.8
")</f>
        <v>-89.84
-85.71
-82.69
-72.8
</v>
      </c>
      <c r="AV505" s="18">
        <f>IFERROR(__xludf.DUMMYFUNCTION("IMPORTRANGE(""https://docs.google.com/spreadsheets/d/""&amp;$A505&amp;""/edit#gid=156619080"",AV$3)"),-88.63636363636364)</f>
        <v>-88.63636364</v>
      </c>
      <c r="AW505" s="19" t="str">
        <f>IFERROR(__xludf.DUMMYFUNCTION("IMPORTRANGE(""https://docs.google.com/spreadsheets/d/""&amp;$A505&amp;""/edit#gid=156619080"",AW$3)"),"-61.75
-74.42
-84.74
-92.14
")</f>
        <v>-61.75
-74.42
-84.74
-92.14
</v>
      </c>
      <c r="AX505" s="2">
        <f>IFERROR(__xludf.DUMMYFUNCTION("IMPORTRANGE(""https://docs.google.com/spreadsheets/d/""&amp;$A505&amp;""/edit#gid=156619080"",AX$3)"),100.0)</f>
        <v>100</v>
      </c>
      <c r="AY505" s="2">
        <f>IFERROR(__xludf.DUMMYFUNCTION("IMPORTRANGE(""https://docs.google.com/spreadsheets/d/""&amp;$A505&amp;""/edit#gid=156619080"",AY$3)"),15.379999999999999)</f>
        <v>15.38</v>
      </c>
      <c r="AZ505" s="2">
        <f>IFERROR(__xludf.DUMMYFUNCTION("IMPORTRANGE(""https://docs.google.com/spreadsheets/d/""&amp;$A505&amp;""/edit#gid=156619080"",AZ$3)"),713.27)</f>
        <v>713.27</v>
      </c>
      <c r="BA505" s="2">
        <f>IFERROR(__xludf.DUMMYFUNCTION("IMPORTRANGE(""https://docs.google.com/spreadsheets/d/""&amp;$A505&amp;""/edit#gid=156619080"",BA$3)"),-9.700000000000045)</f>
        <v>-9.7</v>
      </c>
      <c r="BB505" s="2">
        <f>IFERROR(__xludf.DUMMYFUNCTION("IMPORTRANGE(""https://docs.google.com/spreadsheets/d/""&amp;$A505&amp;""/edit#gid=156619080"",BB$3)"),-6.58)</f>
        <v>-6.58</v>
      </c>
      <c r="BC505" s="2" t="str">
        <f>IFERROR(__xludf.DUMMYFUNCTION("IMPORTRANGE(""https://docs.google.com/spreadsheets/d/""&amp;$A505&amp;""/edit#gid=156619080"",BC$3)"),"DC→DC")</f>
        <v>DC→DC</v>
      </c>
    </row>
    <row r="506" ht="51.0" customHeight="1">
      <c r="A506" s="7" t="str">
        <f t="shared" si="5"/>
        <v>1wjtNfKzIcTekZdxGDfD8q-lQ5TmLrh630DfS3nYcXCc</v>
      </c>
      <c r="B506" s="1" t="s">
        <v>533</v>
      </c>
      <c r="C506" s="2">
        <f>IFERROR(__xludf.DUMMYFUNCTION("IMPORTRANGE(""https://docs.google.com/spreadsheets/d/""&amp;$A506&amp;""/edit#gid=156619080"",C$3)"),45.0)</f>
        <v>45</v>
      </c>
      <c r="D506" s="2">
        <f>IFERROR(__xludf.DUMMYFUNCTION("IMPORTRANGE(""https://docs.google.com/spreadsheets/d/""&amp;$A506&amp;""/edit#gid=156619080"",D$3)"),1870.0)</f>
        <v>1870</v>
      </c>
      <c r="E506" s="15">
        <f>IFERROR(__xludf.DUMMYFUNCTION("IMPORTRANGE(""https://docs.google.com/spreadsheets/d/""&amp;$A506&amp;""/edit#gid=156619080"",E$3)"),43882.0)</f>
        <v>43882</v>
      </c>
      <c r="F506" s="2">
        <f>IFERROR(__xludf.DUMMYFUNCTION("IMPORTRANGE(""https://docs.google.com/spreadsheets/d/""&amp;$A506&amp;""/edit#gid=156619080"",F$3)"),10.0)</f>
        <v>10</v>
      </c>
      <c r="G506" s="16">
        <f>IFERROR(__xludf.DUMMYFUNCTION("IMPORTRANGE(""https://docs.google.com/spreadsheets/d/""&amp;$A506&amp;""/edit#gid=156619080"",G$3)"),1.2)</f>
        <v>1.2</v>
      </c>
      <c r="H506" s="16">
        <f>IFERROR(__xludf.DUMMYFUNCTION("IMPORTRANGE(""https://docs.google.com/spreadsheets/d/""&amp;$A506&amp;""/edit#gid=156619080"",H$3)"),833.0)</f>
        <v>833</v>
      </c>
      <c r="I506" s="16">
        <f>IFERROR(__xludf.DUMMYFUNCTION("IMPORTRANGE(""https://docs.google.com/spreadsheets/d/""&amp;$A506&amp;""/edit#gid=156619080"",I$3)"),2.0)</f>
        <v>2</v>
      </c>
      <c r="J506" s="16">
        <f>IFERROR(__xludf.DUMMYFUNCTION("IMPORTRANGE(""https://docs.google.com/spreadsheets/d/""&amp;$A506&amp;""/edit#gid=156619080"",J$3)"),851.0)</f>
        <v>851</v>
      </c>
      <c r="K506" s="16">
        <f>IFERROR(__xludf.DUMMYFUNCTION("IMPORTRANGE(""https://docs.google.com/spreadsheets/d/""&amp;$A506&amp;""/edit#gid=156619080"",K$3)"),0.5215277777777778)</f>
        <v>0.5215277778</v>
      </c>
      <c r="L506" s="16">
        <f>IFERROR(__xludf.DUMMYFUNCTION("IMPORTRANGE(""https://docs.google.com/spreadsheets/d/""&amp;$A506&amp;""/edit#gid=156619080"",L$3)"),833.0)</f>
        <v>833</v>
      </c>
      <c r="M506" s="16">
        <f>IFERROR(__xludf.DUMMYFUNCTION("IMPORTRANGE(""https://docs.google.com/spreadsheets/d/""&amp;$A506&amp;""/edit#gid=156619080"",M$3)"),0.375)</f>
        <v>0.375</v>
      </c>
      <c r="N506" s="16">
        <f>IFERROR(__xludf.DUMMYFUNCTION("IMPORTRANGE(""https://docs.google.com/spreadsheets/d/""&amp;$A506&amp;""/edit#gid=156619080"",N$3)"),845.0)</f>
        <v>845</v>
      </c>
      <c r="O506" s="16" t="str">
        <f>IFERROR(__xludf.DUMMYFUNCTION("IMPORTRANGE(""https://docs.google.com/spreadsheets/d/""&amp;$A506&amp;""/edit#gid=156619080"",O$3)"),"28800株")</f>
        <v>28800株</v>
      </c>
      <c r="P506" s="16" t="str">
        <f>IFERROR(__xludf.DUMMYFUNCTION("IMPORTRANGE(""https://docs.google.com/spreadsheets/d/""&amp;$A506&amp;""/edit#gid=156619080"",P$3)"),"24百万円")</f>
        <v>24百万円</v>
      </c>
      <c r="Q506" s="16" t="str">
        <f>IFERROR(__xludf.DUMMYFUNCTION("IMPORTRANGE(""https://docs.google.com/spreadsheets/d/""&amp;$A506&amp;""/edit#gid=156619080"",Q$3)"),"100回")</f>
        <v>100回</v>
      </c>
      <c r="R506" s="16" t="str">
        <f>IFERROR(__xludf.DUMMYFUNCTION("IMPORTRANGE(""https://docs.google.com/spreadsheets/d/""&amp;$A506&amp;""/edit#gid=156619080"",R$3)"),"377億円")</f>
        <v>377億円</v>
      </c>
      <c r="S506" s="16" t="str">
        <f>IFERROR(__xludf.DUMMYFUNCTION("IMPORTRANGE(""https://docs.google.com/spreadsheets/d/""&amp;$A506&amp;""/edit#gid=156619080"",S$3)"),"陽線")</f>
        <v>陽線</v>
      </c>
      <c r="T506" s="16" t="str">
        <f>IFERROR(__xludf.DUMMYFUNCTION("IMPORTRANGE(""https://docs.google.com/spreadsheets/d/""&amp;$A506&amp;""/edit#gid=156619080"",T$3)"),"")</f>
        <v/>
      </c>
      <c r="U506" s="16">
        <f>IFERROR(__xludf.DUMMYFUNCTION("IMPORTRANGE(""https://docs.google.com/spreadsheets/d/""&amp;$A506&amp;""/edit#gid=156619080"",U$3)"),837.8)</f>
        <v>837.8</v>
      </c>
      <c r="V506" s="16">
        <f>IFERROR(__xludf.DUMMYFUNCTION("IMPORTRANGE(""https://docs.google.com/spreadsheets/d/""&amp;$A506&amp;""/edit#gid=156619080"",V$3)"),845.3)</f>
        <v>845.3</v>
      </c>
      <c r="W506" s="16">
        <f>IFERROR(__xludf.DUMMYFUNCTION("IMPORTRANGE(""https://docs.google.com/spreadsheets/d/""&amp;$A506&amp;""/edit#gid=156619080"",W$3)"),840.2)</f>
        <v>840.2</v>
      </c>
      <c r="X506" s="2" t="str">
        <f>IFERROR(__xludf.DUMMYFUNCTION("IMPORTRANGE(""https://docs.google.com/spreadsheets/d/""&amp;$A506&amp;""/edit#gid=156619080"",X$3)"),"")</f>
        <v/>
      </c>
      <c r="Y506" s="17">
        <f>IFERROR(__xludf.DUMMYFUNCTION("IMPORTRANGE(""https://docs.google.com/spreadsheets/d/""&amp;$A506&amp;""/edit#gid=156619080"",Y$3)"),0.008593936500358135)</f>
        <v>0.0085939365</v>
      </c>
      <c r="Z506" s="2">
        <f>IFERROR(__xludf.DUMMYFUNCTION("IMPORTRANGE(""https://docs.google.com/spreadsheets/d/""&amp;$A506&amp;""/edit#gid=156619080"",Z$3)"),862.17)</f>
        <v>862.17</v>
      </c>
      <c r="AA506" s="2">
        <f>IFERROR(__xludf.DUMMYFUNCTION("IMPORTRANGE(""https://docs.google.com/spreadsheets/d/""&amp;$A506&amp;""/edit#gid=156619080"",AA$3)"),859.42)</f>
        <v>859.42</v>
      </c>
      <c r="AB506" s="2">
        <f>IFERROR(__xludf.DUMMYFUNCTION("IMPORTRANGE(""https://docs.google.com/spreadsheets/d/""&amp;$A506&amp;""/edit#gid=156619080"",AB$3)"),856.67)</f>
        <v>856.67</v>
      </c>
      <c r="AC506" s="18">
        <f>IFERROR(__xludf.DUMMYFUNCTION("IMPORTRANGE(""https://docs.google.com/spreadsheets/d/""&amp;$A506&amp;""/edit#gid=156619080"",AC$3)"),853.93)</f>
        <v>853.93</v>
      </c>
      <c r="AD506" s="18">
        <f>IFERROR(__xludf.DUMMYFUNCTION("IMPORTRANGE(""https://docs.google.com/spreadsheets/d/""&amp;$A506&amp;""/edit#gid=156619080"",AD$3)"),851.18)</f>
        <v>851.18</v>
      </c>
      <c r="AE506" s="18">
        <f>IFERROR(__xludf.DUMMYFUNCTION("IMPORTRANGE(""https://docs.google.com/spreadsheets/d/""&amp;$A506&amp;""/edit#gid=156619080"",AE$3)"),840.2)</f>
        <v>840.2</v>
      </c>
      <c r="AF506" s="2">
        <f>IFERROR(__xludf.DUMMYFUNCTION("IMPORTRANGE(""https://docs.google.com/spreadsheets/d/""&amp;$A506&amp;""/edit#gid=156619080"",AF$3)"),829.22)</f>
        <v>829.22</v>
      </c>
      <c r="AG506" s="2">
        <f>IFERROR(__xludf.DUMMYFUNCTION("IMPORTRANGE(""https://docs.google.com/spreadsheets/d/""&amp;$A506&amp;""/edit#gid=156619080"",AG$3)"),826.47)</f>
        <v>826.47</v>
      </c>
      <c r="AH506" s="2">
        <f>IFERROR(__xludf.DUMMYFUNCTION("IMPORTRANGE(""https://docs.google.com/spreadsheets/d/""&amp;$A506&amp;""/edit#gid=156619080"",AH$3)"),823.73)</f>
        <v>823.73</v>
      </c>
      <c r="AI506" s="2">
        <f>IFERROR(__xludf.DUMMYFUNCTION("IMPORTRANGE(""https://docs.google.com/spreadsheets/d/""&amp;$A506&amp;""/edit#gid=156619080"",AI$3)"),820.98)</f>
        <v>820.98</v>
      </c>
      <c r="AJ506" s="2">
        <f>IFERROR(__xludf.DUMMYFUNCTION("IMPORTRANGE(""https://docs.google.com/spreadsheets/d/""&amp;$A506&amp;""/edit#gid=156619080"",AJ$3)"),818.23)</f>
        <v>818.23</v>
      </c>
      <c r="AK506" s="2" t="str">
        <f>IFERROR(__xludf.DUMMYFUNCTION("IMPORTRANGE(""https://docs.google.com/spreadsheets/d/""&amp;$A506&amp;""/edit#gid=156619080"",AK$3)"),"")</f>
        <v/>
      </c>
      <c r="AL506" s="2">
        <f>IFERROR(__xludf.DUMMYFUNCTION("IMPORTRANGE(""https://docs.google.com/spreadsheets/d/""&amp;$A506&amp;""/edit#gid=156619080"",AL$3)"),-1.0)</f>
        <v>-1</v>
      </c>
      <c r="AM506" s="2" t="str">
        <f>IFERROR(__xludf.DUMMYFUNCTION("IMPORTRANGE(""https://docs.google.com/spreadsheets/d/""&amp;$A506&amp;""/edit#gid=156619080"",AM$3)"),"")</f>
        <v/>
      </c>
      <c r="AN506" s="2">
        <f>IFERROR(__xludf.DUMMYFUNCTION("IMPORTRANGE(""https://docs.google.com/spreadsheets/d/""&amp;$A506&amp;""/edit#gid=156619080"",AN$3)"),-1.0)</f>
        <v>-1</v>
      </c>
      <c r="AO506" s="2" t="str">
        <f>IFERROR(__xludf.DUMMYFUNCTION("IMPORTRANGE(""https://docs.google.com/spreadsheets/d/""&amp;$A506&amp;""/edit#gid=156619080"",AO$3)"),"")</f>
        <v/>
      </c>
      <c r="AP506" s="2">
        <f>IFERROR(__xludf.DUMMYFUNCTION("IMPORTRANGE(""https://docs.google.com/spreadsheets/d/""&amp;$A506&amp;""/edit#gid=156619080"",AP$3)"),1.0)</f>
        <v>1</v>
      </c>
      <c r="AQ506" s="2" t="str">
        <f>IFERROR(__xludf.DUMMYFUNCTION("IMPORTRANGE(""https://docs.google.com/spreadsheets/d/""&amp;$A506&amp;""/edit#gid=156619080"",AQ$3)"),"")</f>
        <v/>
      </c>
      <c r="AR506" s="18">
        <f>IFERROR(__xludf.DUMMYFUNCTION("IMPORTRANGE(""https://docs.google.com/spreadsheets/d/""&amp;$A506&amp;""/edit#gid=156619080"",AR$3)"),22.499999999999996)</f>
        <v>22.5</v>
      </c>
      <c r="AS506" s="19" t="str">
        <f>IFERROR(__xludf.DUMMYFUNCTION("IMPORTRANGE(""https://docs.google.com/spreadsheets/d/""&amp;$A506&amp;""/edit#gid=156619080"",AS$3)"),"-40
-70
-90
-77.5
")</f>
        <v>-40
-70
-90
-77.5
</v>
      </c>
      <c r="AT506" s="18">
        <f>IFERROR(__xludf.DUMMYFUNCTION("IMPORTRANGE(""https://docs.google.com/spreadsheets/d/""&amp;$A506&amp;""/edit#gid=156619080"",AT$3)"),-29.120879120879128)</f>
        <v>-29.12087912</v>
      </c>
      <c r="AU506" s="3" t="str">
        <f>IFERROR(__xludf.DUMMYFUNCTION("IMPORTRANGE(""https://docs.google.com/spreadsheets/d/""&amp;$A506&amp;""/edit#gid=156619080"",AU$3)"),"63.87
43.68
8.65
-4.4
")</f>
        <v>63.87
43.68
8.65
-4.4
</v>
      </c>
      <c r="AV506" s="18">
        <f>IFERROR(__xludf.DUMMYFUNCTION("IMPORTRANGE(""https://docs.google.com/spreadsheets/d/""&amp;$A506&amp;""/edit#gid=156619080"",AV$3)"),37.4025974025974)</f>
        <v>37.4025974</v>
      </c>
      <c r="AW506" s="19" t="str">
        <f>IFERROR(__xludf.DUMMYFUNCTION("IMPORTRANGE(""https://docs.google.com/spreadsheets/d/""&amp;$A506&amp;""/edit#gid=156619080"",AW$3)"),"55
40.19
20.75
21.04
")</f>
        <v>55
40.19
20.75
21.04
</v>
      </c>
      <c r="AX506" s="2">
        <f>IFERROR(__xludf.DUMMYFUNCTION("IMPORTRANGE(""https://docs.google.com/spreadsheets/d/""&amp;$A506&amp;""/edit#gid=156619080"",AX$3)"),35.0)</f>
        <v>35</v>
      </c>
      <c r="AY506" s="2">
        <f>IFERROR(__xludf.DUMMYFUNCTION("IMPORTRANGE(""https://docs.google.com/spreadsheets/d/""&amp;$A506&amp;""/edit#gid=156619080"",AY$3)"),46.78)</f>
        <v>46.78</v>
      </c>
      <c r="AZ506" s="2">
        <f>IFERROR(__xludf.DUMMYFUNCTION("IMPORTRANGE(""https://docs.google.com/spreadsheets/d/""&amp;$A506&amp;""/edit#gid=156619080"",AZ$3)"),840.57)</f>
        <v>840.57</v>
      </c>
      <c r="BA506" s="2">
        <f>IFERROR(__xludf.DUMMYFUNCTION("IMPORTRANGE(""https://docs.google.com/spreadsheets/d/""&amp;$A506&amp;""/edit#gid=156619080"",BA$3)"),0.7100000000000364)</f>
        <v>0.71</v>
      </c>
      <c r="BB506" s="2">
        <f>IFERROR(__xludf.DUMMYFUNCTION("IMPORTRANGE(""https://docs.google.com/spreadsheets/d/""&amp;$A506&amp;""/edit#gid=156619080"",BB$3)"),4.84)</f>
        <v>4.84</v>
      </c>
      <c r="BC506" s="2" t="str">
        <f>IFERROR(__xludf.DUMMYFUNCTION("IMPORTRANGE(""https://docs.google.com/spreadsheets/d/""&amp;$A506&amp;""/edit#gid=156619080"",BC$3)"),"DC→DC")</f>
        <v>DC→DC</v>
      </c>
    </row>
    <row r="507" ht="51.0" customHeight="1">
      <c r="A507" s="7" t="str">
        <f t="shared" si="5"/>
        <v>181cSYAbtW0mCJbTpixe9bzwewahyVWFX2bfE7PwwMbs</v>
      </c>
      <c r="B507" s="1" t="s">
        <v>534</v>
      </c>
      <c r="C507" s="2">
        <f>IFERROR(__xludf.DUMMYFUNCTION("IMPORTRANGE(""https://docs.google.com/spreadsheets/d/""&amp;$A507&amp;""/edit#gid=156619080"",C$3)"),87.0)</f>
        <v>87</v>
      </c>
      <c r="D507" s="2">
        <f>IFERROR(__xludf.DUMMYFUNCTION("IMPORTRANGE(""https://docs.google.com/spreadsheets/d/""&amp;$A507&amp;""/edit#gid=156619080"",D$3)"),1871.0)</f>
        <v>1871</v>
      </c>
      <c r="E507" s="15">
        <f>IFERROR(__xludf.DUMMYFUNCTION("IMPORTRANGE(""https://docs.google.com/spreadsheets/d/""&amp;$A507&amp;""/edit#gid=156619080"",E$3)"),43882.0)</f>
        <v>43882</v>
      </c>
      <c r="F507" s="2">
        <f>IFERROR(__xludf.DUMMYFUNCTION("IMPORTRANGE(""https://docs.google.com/spreadsheets/d/""&amp;$A507&amp;""/edit#gid=156619080"",F$3)"),6.0)</f>
        <v>6</v>
      </c>
      <c r="G507" s="16">
        <f>IFERROR(__xludf.DUMMYFUNCTION("IMPORTRANGE(""https://docs.google.com/spreadsheets/d/""&amp;$A507&amp;""/edit#gid=156619080"",G$3)"),0.91)</f>
        <v>0.91</v>
      </c>
      <c r="H507" s="16">
        <f>IFERROR(__xludf.DUMMYFUNCTION("IMPORTRANGE(""https://docs.google.com/spreadsheets/d/""&amp;$A507&amp;""/edit#gid=156619080"",H$3)"),651.0)</f>
        <v>651</v>
      </c>
      <c r="I507" s="16">
        <f>IFERROR(__xludf.DUMMYFUNCTION("IMPORTRANGE(""https://docs.google.com/spreadsheets/d/""&amp;$A507&amp;""/edit#gid=156619080"",I$3)"),11.0)</f>
        <v>11</v>
      </c>
      <c r="J507" s="16">
        <f>IFERROR(__xludf.DUMMYFUNCTION("IMPORTRANGE(""https://docs.google.com/spreadsheets/d/""&amp;$A507&amp;""/edit#gid=156619080"",J$3)"),671.0)</f>
        <v>671</v>
      </c>
      <c r="K507" s="16">
        <f>IFERROR(__xludf.DUMMYFUNCTION("IMPORTRANGE(""https://docs.google.com/spreadsheets/d/""&amp;$A507&amp;""/edit#gid=156619080"",K$3)"),0.5423611111111111)</f>
        <v>0.5423611111</v>
      </c>
      <c r="L507" s="16">
        <f>IFERROR(__xludf.DUMMYFUNCTION("IMPORTRANGE(""https://docs.google.com/spreadsheets/d/""&amp;$A507&amp;""/edit#gid=156619080"",L$3)"),651.0)</f>
        <v>651</v>
      </c>
      <c r="M507" s="16">
        <f>IFERROR(__xludf.DUMMYFUNCTION("IMPORTRANGE(""https://docs.google.com/spreadsheets/d/""&amp;$A507&amp;""/edit#gid=156619080"",M$3)"),0.375)</f>
        <v>0.375</v>
      </c>
      <c r="N507" s="16">
        <f>IFERROR(__xludf.DUMMYFUNCTION("IMPORTRANGE(""https://docs.google.com/spreadsheets/d/""&amp;$A507&amp;""/edit#gid=156619080"",N$3)"),662.0)</f>
        <v>662</v>
      </c>
      <c r="O507" s="16" t="str">
        <f>IFERROR(__xludf.DUMMYFUNCTION("IMPORTRANGE(""https://docs.google.com/spreadsheets/d/""&amp;$A507&amp;""/edit#gid=156619080"",O$3)"),"125600株")</f>
        <v>125600株</v>
      </c>
      <c r="P507" s="16" t="str">
        <f>IFERROR(__xludf.DUMMYFUNCTION("IMPORTRANGE(""https://docs.google.com/spreadsheets/d/""&amp;$A507&amp;""/edit#gid=156619080"",P$3)"),"83百万円")</f>
        <v>83百万円</v>
      </c>
      <c r="Q507" s="16" t="str">
        <f>IFERROR(__xludf.DUMMYFUNCTION("IMPORTRANGE(""https://docs.google.com/spreadsheets/d/""&amp;$A507&amp;""/edit#gid=156619080"",Q$3)"),"313回")</f>
        <v>313回</v>
      </c>
      <c r="R507" s="16" t="str">
        <f>IFERROR(__xludf.DUMMYFUNCTION("IMPORTRANGE(""https://docs.google.com/spreadsheets/d/""&amp;$A507&amp;""/edit#gid=156619080"",R$3)"),"314億円")</f>
        <v>314億円</v>
      </c>
      <c r="S507" s="16" t="str">
        <f>IFERROR(__xludf.DUMMYFUNCTION("IMPORTRANGE(""https://docs.google.com/spreadsheets/d/""&amp;$A507&amp;""/edit#gid=156619080"",S$3)"),"陽線")</f>
        <v>陽線</v>
      </c>
      <c r="T507" s="16" t="str">
        <f>IFERROR(__xludf.DUMMYFUNCTION("IMPORTRANGE(""https://docs.google.com/spreadsheets/d/""&amp;$A507&amp;""/edit#gid=156619080"",T$3)"),"")</f>
        <v/>
      </c>
      <c r="U507" s="16">
        <f>IFERROR(__xludf.DUMMYFUNCTION("IMPORTRANGE(""https://docs.google.com/spreadsheets/d/""&amp;$A507&amp;""/edit#gid=156619080"",U$3)"),657.6)</f>
        <v>657.6</v>
      </c>
      <c r="V507" s="16">
        <f>IFERROR(__xludf.DUMMYFUNCTION("IMPORTRANGE(""https://docs.google.com/spreadsheets/d/""&amp;$A507&amp;""/edit#gid=156619080"",V$3)"),660.2)</f>
        <v>660.2</v>
      </c>
      <c r="W507" s="16">
        <f>IFERROR(__xludf.DUMMYFUNCTION("IMPORTRANGE(""https://docs.google.com/spreadsheets/d/""&amp;$A507&amp;""/edit#gid=156619080"",W$3)"),682.1)</f>
        <v>682.1</v>
      </c>
      <c r="X507" s="2" t="str">
        <f>IFERROR(__xludf.DUMMYFUNCTION("IMPORTRANGE(""https://docs.google.com/spreadsheets/d/""&amp;$A507&amp;""/edit#gid=156619080"",X$3)"),"")</f>
        <v/>
      </c>
      <c r="Y507" s="17">
        <f>IFERROR(__xludf.DUMMYFUNCTION("IMPORTRANGE(""https://docs.google.com/spreadsheets/d/""&amp;$A507&amp;""/edit#gid=156619080"",Y$3)"),0.006690997566909941)</f>
        <v>0.006690997567</v>
      </c>
      <c r="Z507" s="2">
        <f>IFERROR(__xludf.DUMMYFUNCTION("IMPORTRANGE(""https://docs.google.com/spreadsheets/d/""&amp;$A507&amp;""/edit#gid=156619080"",Z$3)"),749.17)</f>
        <v>749.17</v>
      </c>
      <c r="AA507" s="2">
        <f>IFERROR(__xludf.DUMMYFUNCTION("IMPORTRANGE(""https://docs.google.com/spreadsheets/d/""&amp;$A507&amp;""/edit#gid=156619080"",AA$3)"),740.79)</f>
        <v>740.79</v>
      </c>
      <c r="AB507" s="2">
        <f>IFERROR(__xludf.DUMMYFUNCTION("IMPORTRANGE(""https://docs.google.com/spreadsheets/d/""&amp;$A507&amp;""/edit#gid=156619080"",AB$3)"),732.41)</f>
        <v>732.41</v>
      </c>
      <c r="AC507" s="18">
        <f>IFERROR(__xludf.DUMMYFUNCTION("IMPORTRANGE(""https://docs.google.com/spreadsheets/d/""&amp;$A507&amp;""/edit#gid=156619080"",AC$3)"),724.02)</f>
        <v>724.02</v>
      </c>
      <c r="AD507" s="18">
        <f>IFERROR(__xludf.DUMMYFUNCTION("IMPORTRANGE(""https://docs.google.com/spreadsheets/d/""&amp;$A507&amp;""/edit#gid=156619080"",AD$3)"),715.64)</f>
        <v>715.64</v>
      </c>
      <c r="AE507" s="18">
        <f>IFERROR(__xludf.DUMMYFUNCTION("IMPORTRANGE(""https://docs.google.com/spreadsheets/d/""&amp;$A507&amp;""/edit#gid=156619080"",AE$3)"),682.1)</f>
        <v>682.1</v>
      </c>
      <c r="AF507" s="2">
        <f>IFERROR(__xludf.DUMMYFUNCTION("IMPORTRANGE(""https://docs.google.com/spreadsheets/d/""&amp;$A507&amp;""/edit#gid=156619080"",AF$3)"),648.56)</f>
        <v>648.56</v>
      </c>
      <c r="AG507" s="2">
        <f>IFERROR(__xludf.DUMMYFUNCTION("IMPORTRANGE(""https://docs.google.com/spreadsheets/d/""&amp;$A507&amp;""/edit#gid=156619080"",AG$3)"),640.18)</f>
        <v>640.18</v>
      </c>
      <c r="AH507" s="2">
        <f>IFERROR(__xludf.DUMMYFUNCTION("IMPORTRANGE(""https://docs.google.com/spreadsheets/d/""&amp;$A507&amp;""/edit#gid=156619080"",AH$3)"),631.79)</f>
        <v>631.79</v>
      </c>
      <c r="AI507" s="2">
        <f>IFERROR(__xludf.DUMMYFUNCTION("IMPORTRANGE(""https://docs.google.com/spreadsheets/d/""&amp;$A507&amp;""/edit#gid=156619080"",AI$3)"),623.41)</f>
        <v>623.41</v>
      </c>
      <c r="AJ507" s="2">
        <f>IFERROR(__xludf.DUMMYFUNCTION("IMPORTRANGE(""https://docs.google.com/spreadsheets/d/""&amp;$A507&amp;""/edit#gid=156619080"",AJ$3)"),615.03)</f>
        <v>615.03</v>
      </c>
      <c r="AK507" s="2" t="str">
        <f>IFERROR(__xludf.DUMMYFUNCTION("IMPORTRANGE(""https://docs.google.com/spreadsheets/d/""&amp;$A507&amp;""/edit#gid=156619080"",AK$3)"),"")</f>
        <v/>
      </c>
      <c r="AL507" s="2">
        <f>IFERROR(__xludf.DUMMYFUNCTION("IMPORTRANGE(""https://docs.google.com/spreadsheets/d/""&amp;$A507&amp;""/edit#gid=156619080"",AL$3)"),-1.0)</f>
        <v>-1</v>
      </c>
      <c r="AM507" s="2" t="str">
        <f>IFERROR(__xludf.DUMMYFUNCTION("IMPORTRANGE(""https://docs.google.com/spreadsheets/d/""&amp;$A507&amp;""/edit#gid=156619080"",AM$3)"),"")</f>
        <v/>
      </c>
      <c r="AN507" s="2">
        <f>IFERROR(__xludf.DUMMYFUNCTION("IMPORTRANGE(""https://docs.google.com/spreadsheets/d/""&amp;$A507&amp;""/edit#gid=156619080"",AN$3)"),-1.0)</f>
        <v>-1</v>
      </c>
      <c r="AO507" s="2" t="str">
        <f>IFERROR(__xludf.DUMMYFUNCTION("IMPORTRANGE(""https://docs.google.com/spreadsheets/d/""&amp;$A507&amp;""/edit#gid=156619080"",AO$3)"),"")</f>
        <v/>
      </c>
      <c r="AP507" s="2">
        <f>IFERROR(__xludf.DUMMYFUNCTION("IMPORTRANGE(""https://docs.google.com/spreadsheets/d/""&amp;$A507&amp;""/edit#gid=156619080"",AP$3)"),-1.0)</f>
        <v>-1</v>
      </c>
      <c r="AQ507" s="2" t="str">
        <f>IFERROR(__xludf.DUMMYFUNCTION("IMPORTRANGE(""https://docs.google.com/spreadsheets/d/""&amp;$A507&amp;""/edit#gid=156619080"",AQ$3)"),"")</f>
        <v/>
      </c>
      <c r="AR507" s="18">
        <f>IFERROR(__xludf.DUMMYFUNCTION("IMPORTRANGE(""https://docs.google.com/spreadsheets/d/""&amp;$A507&amp;""/edit#gid=156619080"",AR$3)"),95.0)</f>
        <v>95</v>
      </c>
      <c r="AS507" s="19" t="str">
        <f>IFERROR(__xludf.DUMMYFUNCTION("IMPORTRANGE(""https://docs.google.com/spreadsheets/d/""&amp;$A507&amp;""/edit#gid=156619080"",AS$3)"),"-5
95
95
95
")</f>
        <v>-5
95
95
95
</v>
      </c>
      <c r="AT507" s="18">
        <f>IFERROR(__xludf.DUMMYFUNCTION("IMPORTRANGE(""https://docs.google.com/spreadsheets/d/""&amp;$A507&amp;""/edit#gid=156619080"",AT$3)"),-35.98901098901099)</f>
        <v>-35.98901099</v>
      </c>
      <c r="AU507" s="3" t="str">
        <f>IFERROR(__xludf.DUMMYFUNCTION("IMPORTRANGE(""https://docs.google.com/spreadsheets/d/""&amp;$A507&amp;""/edit#gid=156619080"",AU$3)"),"-93.13
-87.64
-79.95
-60.16
")</f>
        <v>-93.13
-87.64
-79.95
-60.16
</v>
      </c>
      <c r="AV507" s="18">
        <f>IFERROR(__xludf.DUMMYFUNCTION("IMPORTRANGE(""https://docs.google.com/spreadsheets/d/""&amp;$A507&amp;""/edit#gid=156619080"",AV$3)"),-84.09090909090908)</f>
        <v>-84.09090909</v>
      </c>
      <c r="AW507" s="19" t="str">
        <f>IFERROR(__xludf.DUMMYFUNCTION("IMPORTRANGE(""https://docs.google.com/spreadsheets/d/""&amp;$A507&amp;""/edit#gid=156619080"",AW$3)"),"-91.1
-92.53
-92.53
-89.16
")</f>
        <v>-91.1
-92.53
-92.53
-89.16
</v>
      </c>
      <c r="AX507" s="2">
        <f>IFERROR(__xludf.DUMMYFUNCTION("IMPORTRANGE(""https://docs.google.com/spreadsheets/d/""&amp;$A507&amp;""/edit#gid=156619080"",AX$3)"),100.0)</f>
        <v>100</v>
      </c>
      <c r="AY507" s="2">
        <f>IFERROR(__xludf.DUMMYFUNCTION("IMPORTRANGE(""https://docs.google.com/spreadsheets/d/""&amp;$A507&amp;""/edit#gid=156619080"",AY$3)"),19.85)</f>
        <v>19.85</v>
      </c>
      <c r="AZ507" s="2">
        <f>IFERROR(__xludf.DUMMYFUNCTION("IMPORTRANGE(""https://docs.google.com/spreadsheets/d/""&amp;$A507&amp;""/edit#gid=156619080"",AZ$3)"),658.84)</f>
        <v>658.84</v>
      </c>
      <c r="BA507" s="2">
        <f>IFERROR(__xludf.DUMMYFUNCTION("IMPORTRANGE(""https://docs.google.com/spreadsheets/d/""&amp;$A507&amp;""/edit#gid=156619080"",BA$3)"),-16.589999999999918)</f>
        <v>-16.59</v>
      </c>
      <c r="BB507" s="2">
        <f>IFERROR(__xludf.DUMMYFUNCTION("IMPORTRANGE(""https://docs.google.com/spreadsheets/d/""&amp;$A507&amp;""/edit#gid=156619080"",BB$3)"),-21.52)</f>
        <v>-21.52</v>
      </c>
      <c r="BC507" s="2" t="str">
        <f>IFERROR(__xludf.DUMMYFUNCTION("IMPORTRANGE(""https://docs.google.com/spreadsheets/d/""&amp;$A507&amp;""/edit#gid=156619080"",BC$3)"),"GC→GC")</f>
        <v>GC→GC</v>
      </c>
    </row>
    <row r="508" ht="51.0" customHeight="1">
      <c r="A508" s="7" t="str">
        <f t="shared" si="5"/>
        <v>1x7AX4tAwbLeeozXJK8mQ1qQld5twY5xMkbSz5lrMk3c</v>
      </c>
      <c r="B508" s="1" t="s">
        <v>535</v>
      </c>
      <c r="C508" s="2">
        <f>IFERROR(__xludf.DUMMYFUNCTION("IMPORTRANGE(""https://docs.google.com/spreadsheets/d/""&amp;$A508&amp;""/edit#gid=156619080"",C$3)"),87.0)</f>
        <v>87</v>
      </c>
      <c r="D508" s="2">
        <f>IFERROR(__xludf.DUMMYFUNCTION("IMPORTRANGE(""https://docs.google.com/spreadsheets/d/""&amp;$A508&amp;""/edit#gid=156619080"",D$3)"),1881.0)</f>
        <v>1881</v>
      </c>
      <c r="E508" s="15">
        <f>IFERROR(__xludf.DUMMYFUNCTION("IMPORTRANGE(""https://docs.google.com/spreadsheets/d/""&amp;$A508&amp;""/edit#gid=156619080"",E$3)"),43882.0)</f>
        <v>43882</v>
      </c>
      <c r="F508" s="2">
        <f>IFERROR(__xludf.DUMMYFUNCTION("IMPORTRANGE(""https://docs.google.com/spreadsheets/d/""&amp;$A508&amp;""/edit#gid=156619080"",F$3)"),-10.0)</f>
        <v>-10</v>
      </c>
      <c r="G508" s="16">
        <f>IFERROR(__xludf.DUMMYFUNCTION("IMPORTRANGE(""https://docs.google.com/spreadsheets/d/""&amp;$A508&amp;""/edit#gid=156619080"",G$3)"),-0.37)</f>
        <v>-0.37</v>
      </c>
      <c r="H508" s="16">
        <f>IFERROR(__xludf.DUMMYFUNCTION("IMPORTRANGE(""https://docs.google.com/spreadsheets/d/""&amp;$A508&amp;""/edit#gid=156619080"",H$3)"),2679.0)</f>
        <v>2679</v>
      </c>
      <c r="I508" s="16">
        <f>IFERROR(__xludf.DUMMYFUNCTION("IMPORTRANGE(""https://docs.google.com/spreadsheets/d/""&amp;$A508&amp;""/edit#gid=156619080"",I$3)"),-9.0)</f>
        <v>-9</v>
      </c>
      <c r="J508" s="16">
        <f>IFERROR(__xludf.DUMMYFUNCTION("IMPORTRANGE(""https://docs.google.com/spreadsheets/d/""&amp;$A508&amp;""/edit#gid=156619080"",J$3)"),2683.0)</f>
        <v>2683</v>
      </c>
      <c r="K508" s="16">
        <f>IFERROR(__xludf.DUMMYFUNCTION("IMPORTRANGE(""https://docs.google.com/spreadsheets/d/""&amp;$A508&amp;""/edit#gid=156619080"",K$3)"),0.5208333333333334)</f>
        <v>0.5208333333</v>
      </c>
      <c r="L508" s="16">
        <f>IFERROR(__xludf.DUMMYFUNCTION("IMPORTRANGE(""https://docs.google.com/spreadsheets/d/""&amp;$A508&amp;""/edit#gid=156619080"",L$3)"),2659.0)</f>
        <v>2659</v>
      </c>
      <c r="M508" s="16">
        <f>IFERROR(__xludf.DUMMYFUNCTION("IMPORTRANGE(""https://docs.google.com/spreadsheets/d/""&amp;$A508&amp;""/edit#gid=156619080"",M$3)"),0.38055555555555554)</f>
        <v>0.3805555556</v>
      </c>
      <c r="N508" s="16">
        <f>IFERROR(__xludf.DUMMYFUNCTION("IMPORTRANGE(""https://docs.google.com/spreadsheets/d/""&amp;$A508&amp;""/edit#gid=156619080"",N$3)"),2670.0)</f>
        <v>2670</v>
      </c>
      <c r="O508" s="16" t="str">
        <f>IFERROR(__xludf.DUMMYFUNCTION("IMPORTRANGE(""https://docs.google.com/spreadsheets/d/""&amp;$A508&amp;""/edit#gid=156619080"",O$3)"),"114200株")</f>
        <v>114200株</v>
      </c>
      <c r="P508" s="16" t="str">
        <f>IFERROR(__xludf.DUMMYFUNCTION("IMPORTRANGE(""https://docs.google.com/spreadsheets/d/""&amp;$A508&amp;""/edit#gid=156619080"",P$3)"),"305百万円")</f>
        <v>305百万円</v>
      </c>
      <c r="Q508" s="16" t="str">
        <f>IFERROR(__xludf.DUMMYFUNCTION("IMPORTRANGE(""https://docs.google.com/spreadsheets/d/""&amp;$A508&amp;""/edit#gid=156619080"",Q$3)"),"532回")</f>
        <v>532回</v>
      </c>
      <c r="R508" s="16" t="str">
        <f>IFERROR(__xludf.DUMMYFUNCTION("IMPORTRANGE(""https://docs.google.com/spreadsheets/d/""&amp;$A508&amp;""/edit#gid=156619080"",R$3)"),"3188億円")</f>
        <v>3188億円</v>
      </c>
      <c r="S508" s="16" t="str">
        <f>IFERROR(__xludf.DUMMYFUNCTION("IMPORTRANGE(""https://docs.google.com/spreadsheets/d/""&amp;$A508&amp;""/edit#gid=156619080"",S$3)"),"陰線")</f>
        <v>陰線</v>
      </c>
      <c r="T508" s="16" t="str">
        <f>IFERROR(__xludf.DUMMYFUNCTION("IMPORTRANGE(""https://docs.google.com/spreadsheets/d/""&amp;$A508&amp;""/edit#gid=156619080"",T$3)"),"")</f>
        <v/>
      </c>
      <c r="U508" s="16">
        <f>IFERROR(__xludf.DUMMYFUNCTION("IMPORTRANGE(""https://docs.google.com/spreadsheets/d/""&amp;$A508&amp;""/edit#gid=156619080"",U$3)"),2679.0)</f>
        <v>2679</v>
      </c>
      <c r="V508" s="16">
        <f>IFERROR(__xludf.DUMMYFUNCTION("IMPORTRANGE(""https://docs.google.com/spreadsheets/d/""&amp;$A508&amp;""/edit#gid=156619080"",V$3)"),2691.5)</f>
        <v>2691.5</v>
      </c>
      <c r="W508" s="16">
        <f>IFERROR(__xludf.DUMMYFUNCTION("IMPORTRANGE(""https://docs.google.com/spreadsheets/d/""&amp;$A508&amp;""/edit#gid=156619080"",W$3)"),2707.4)</f>
        <v>2707.4</v>
      </c>
      <c r="X508" s="2" t="str">
        <f>IFERROR(__xludf.DUMMYFUNCTION("IMPORTRANGE(""https://docs.google.com/spreadsheets/d/""&amp;$A508&amp;""/edit#gid=156619080"",X$3)"),"")</f>
        <v/>
      </c>
      <c r="Y508" s="17">
        <f>IFERROR(__xludf.DUMMYFUNCTION("IMPORTRANGE(""https://docs.google.com/spreadsheets/d/""&amp;$A508&amp;""/edit#gid=156619080"",Y$3)"),-0.0033594624860022394)</f>
        <v>-0.003359462486</v>
      </c>
      <c r="Z508" s="2">
        <f>IFERROR(__xludf.DUMMYFUNCTION("IMPORTRANGE(""https://docs.google.com/spreadsheets/d/""&amp;$A508&amp;""/edit#gid=156619080"",Z$3)"),2764.21)</f>
        <v>2764.21</v>
      </c>
      <c r="AA508" s="2">
        <f>IFERROR(__xludf.DUMMYFUNCTION("IMPORTRANGE(""https://docs.google.com/spreadsheets/d/""&amp;$A508&amp;""/edit#gid=156619080"",AA$3)"),2757.11)</f>
        <v>2757.11</v>
      </c>
      <c r="AB508" s="2">
        <f>IFERROR(__xludf.DUMMYFUNCTION("IMPORTRANGE(""https://docs.google.com/spreadsheets/d/""&amp;$A508&amp;""/edit#gid=156619080"",AB$3)"),2750.01)</f>
        <v>2750.01</v>
      </c>
      <c r="AC508" s="18">
        <f>IFERROR(__xludf.DUMMYFUNCTION("IMPORTRANGE(""https://docs.google.com/spreadsheets/d/""&amp;$A508&amp;""/edit#gid=156619080"",AC$3)"),2742.91)</f>
        <v>2742.91</v>
      </c>
      <c r="AD508" s="18">
        <f>IFERROR(__xludf.DUMMYFUNCTION("IMPORTRANGE(""https://docs.google.com/spreadsheets/d/""&amp;$A508&amp;""/edit#gid=156619080"",AD$3)"),2735.81)</f>
        <v>2735.81</v>
      </c>
      <c r="AE508" s="18">
        <f>IFERROR(__xludf.DUMMYFUNCTION("IMPORTRANGE(""https://docs.google.com/spreadsheets/d/""&amp;$A508&amp;""/edit#gid=156619080"",AE$3)"),2707.4)</f>
        <v>2707.4</v>
      </c>
      <c r="AF508" s="2">
        <f>IFERROR(__xludf.DUMMYFUNCTION("IMPORTRANGE(""https://docs.google.com/spreadsheets/d/""&amp;$A508&amp;""/edit#gid=156619080"",AF$3)"),2678.99)</f>
        <v>2678.99</v>
      </c>
      <c r="AG508" s="2">
        <f>IFERROR(__xludf.DUMMYFUNCTION("IMPORTRANGE(""https://docs.google.com/spreadsheets/d/""&amp;$A508&amp;""/edit#gid=156619080"",AG$3)"),2671.89)</f>
        <v>2671.89</v>
      </c>
      <c r="AH508" s="2">
        <f>IFERROR(__xludf.DUMMYFUNCTION("IMPORTRANGE(""https://docs.google.com/spreadsheets/d/""&amp;$A508&amp;""/edit#gid=156619080"",AH$3)"),2664.79)</f>
        <v>2664.79</v>
      </c>
      <c r="AI508" s="2">
        <f>IFERROR(__xludf.DUMMYFUNCTION("IMPORTRANGE(""https://docs.google.com/spreadsheets/d/""&amp;$A508&amp;""/edit#gid=156619080"",AI$3)"),2657.69)</f>
        <v>2657.69</v>
      </c>
      <c r="AJ508" s="2">
        <f>IFERROR(__xludf.DUMMYFUNCTION("IMPORTRANGE(""https://docs.google.com/spreadsheets/d/""&amp;$A508&amp;""/edit#gid=156619080"",AJ$3)"),2650.59)</f>
        <v>2650.59</v>
      </c>
      <c r="AK508" s="2" t="str">
        <f>IFERROR(__xludf.DUMMYFUNCTION("IMPORTRANGE(""https://docs.google.com/spreadsheets/d/""&amp;$A508&amp;""/edit#gid=156619080"",AK$3)"),"-1.25σ〜-1.5σ")</f>
        <v>-1.25σ〜-1.5σ</v>
      </c>
      <c r="AL508" s="2">
        <f>IFERROR(__xludf.DUMMYFUNCTION("IMPORTRANGE(""https://docs.google.com/spreadsheets/d/""&amp;$A508&amp;""/edit#gid=156619080"",AL$3)"),-1.0)</f>
        <v>-1</v>
      </c>
      <c r="AM508" s="2" t="str">
        <f>IFERROR(__xludf.DUMMYFUNCTION("IMPORTRANGE(""https://docs.google.com/spreadsheets/d/""&amp;$A508&amp;""/edit#gid=156619080"",AM$3)"),"")</f>
        <v/>
      </c>
      <c r="AN508" s="2">
        <f>IFERROR(__xludf.DUMMYFUNCTION("IMPORTRANGE(""https://docs.google.com/spreadsheets/d/""&amp;$A508&amp;""/edit#gid=156619080"",AN$3)"),-1.0)</f>
        <v>-1</v>
      </c>
      <c r="AO508" s="2" t="str">
        <f>IFERROR(__xludf.DUMMYFUNCTION("IMPORTRANGE(""https://docs.google.com/spreadsheets/d/""&amp;$A508&amp;""/edit#gid=156619080"",AO$3)"),"")</f>
        <v/>
      </c>
      <c r="AP508" s="2">
        <f>IFERROR(__xludf.DUMMYFUNCTION("IMPORTRANGE(""https://docs.google.com/spreadsheets/d/""&amp;$A508&amp;""/edit#gid=156619080"",AP$3)"),-1.0)</f>
        <v>-1</v>
      </c>
      <c r="AQ508" s="2" t="str">
        <f>IFERROR(__xludf.DUMMYFUNCTION("IMPORTRANGE(""https://docs.google.com/spreadsheets/d/""&amp;$A508&amp;""/edit#gid=156619080"",AQ$3)"),"")</f>
        <v/>
      </c>
      <c r="AR508" s="18">
        <f>IFERROR(__xludf.DUMMYFUNCTION("IMPORTRANGE(""https://docs.google.com/spreadsheets/d/""&amp;$A508&amp;""/edit#gid=156619080"",AR$3)"),-85.00000000000001)</f>
        <v>-85</v>
      </c>
      <c r="AS508" s="19" t="str">
        <f>IFERROR(__xludf.DUMMYFUNCTION("IMPORTRANGE(""https://docs.google.com/spreadsheets/d/""&amp;$A508&amp;""/edit#gid=156619080"",AS$3)"),"-5
65
15
-85
")</f>
        <v>-5
65
15
-85
</v>
      </c>
      <c r="AT508" s="18">
        <f>IFERROR(__xludf.DUMMYFUNCTION("IMPORTRANGE(""https://docs.google.com/spreadsheets/d/""&amp;$A508&amp;""/edit#gid=156619080"",AT$3)"),-69.5054945054945)</f>
        <v>-69.50549451</v>
      </c>
      <c r="AU508" s="3" t="str">
        <f>IFERROR(__xludf.DUMMYFUNCTION("IMPORTRANGE(""https://docs.google.com/spreadsheets/d/""&amp;$A508&amp;""/edit#gid=156619080"",AU$3)"),"-75.55
-71.7
-74.45
-73.9
")</f>
        <v>-75.55
-71.7
-74.45
-73.9
</v>
      </c>
      <c r="AV508" s="18">
        <f>IFERROR(__xludf.DUMMYFUNCTION("IMPORTRANGE(""https://docs.google.com/spreadsheets/d/""&amp;$A508&amp;""/edit#gid=156619080"",AV$3)"),-84.96753246753246)</f>
        <v>-84.96753247</v>
      </c>
      <c r="AW508" s="19" t="str">
        <f>IFERROR(__xludf.DUMMYFUNCTION("IMPORTRANGE(""https://docs.google.com/spreadsheets/d/""&amp;$A508&amp;""/edit#gid=156619080"",AW$3)"),"-40.06
-56.82
-71.1
-83.31
")</f>
        <v>-40.06
-56.82
-71.1
-83.31
</v>
      </c>
      <c r="AX508" s="2">
        <f>IFERROR(__xludf.DUMMYFUNCTION("IMPORTRANGE(""https://docs.google.com/spreadsheets/d/""&amp;$A508&amp;""/edit#gid=156619080"",AX$3)"),0.0)</f>
        <v>0</v>
      </c>
      <c r="AY508" s="2">
        <f>IFERROR(__xludf.DUMMYFUNCTION("IMPORTRANGE(""https://docs.google.com/spreadsheets/d/""&amp;$A508&amp;""/edit#gid=156619080"",AY$3)"),35.53)</f>
        <v>35.53</v>
      </c>
      <c r="AZ508" s="2">
        <f>IFERROR(__xludf.DUMMYFUNCTION("IMPORTRANGE(""https://docs.google.com/spreadsheets/d/""&amp;$A508&amp;""/edit#gid=156619080"",AZ$3)"),2676.39)</f>
        <v>2676.39</v>
      </c>
      <c r="BA508" s="2">
        <f>IFERROR(__xludf.DUMMYFUNCTION("IMPORTRANGE(""https://docs.google.com/spreadsheets/d/""&amp;$A508&amp;""/edit#gid=156619080"",BA$3)"),-17.019999999999982)</f>
        <v>-17.02</v>
      </c>
      <c r="BB508" s="2">
        <f>IFERROR(__xludf.DUMMYFUNCTION("IMPORTRANGE(""https://docs.google.com/spreadsheets/d/""&amp;$A508&amp;""/edit#gid=156619080"",BB$3)"),-6.1)</f>
        <v>-6.1</v>
      </c>
      <c r="BC508" s="2" t="str">
        <f>IFERROR(__xludf.DUMMYFUNCTION("IMPORTRANGE(""https://docs.google.com/spreadsheets/d/""&amp;$A508&amp;""/edit#gid=156619080"",BC$3)"),"DC→DC")</f>
        <v>DC→DC</v>
      </c>
    </row>
    <row r="509" ht="51.0" customHeight="1">
      <c r="A509" s="7" t="str">
        <f t="shared" si="5"/>
        <v>1vsWLFY1kmAqNZPq8_1AofLcfiQsoK-bemcW3vjPgVig</v>
      </c>
      <c r="B509" s="1" t="s">
        <v>536</v>
      </c>
      <c r="C509" s="2">
        <f>IFERROR(__xludf.DUMMYFUNCTION("IMPORTRANGE(""https://docs.google.com/spreadsheets/d/""&amp;$A509&amp;""/edit#gid=156619080"",C$3)"),45.0)</f>
        <v>45</v>
      </c>
      <c r="D509" s="2">
        <f>IFERROR(__xludf.DUMMYFUNCTION("IMPORTRANGE(""https://docs.google.com/spreadsheets/d/""&amp;$A509&amp;""/edit#gid=156619080"",D$3)"),1882.0)</f>
        <v>1882</v>
      </c>
      <c r="E509" s="15">
        <f>IFERROR(__xludf.DUMMYFUNCTION("IMPORTRANGE(""https://docs.google.com/spreadsheets/d/""&amp;$A509&amp;""/edit#gid=156619080"",E$3)"),43882.0)</f>
        <v>43882</v>
      </c>
      <c r="F509" s="2">
        <f>IFERROR(__xludf.DUMMYFUNCTION("IMPORTRANGE(""https://docs.google.com/spreadsheets/d/""&amp;$A509&amp;""/edit#gid=156619080"",F$3)"),5.0)</f>
        <v>5</v>
      </c>
      <c r="G509" s="16">
        <f>IFERROR(__xludf.DUMMYFUNCTION("IMPORTRANGE(""https://docs.google.com/spreadsheets/d/""&amp;$A509&amp;""/edit#gid=156619080"",G$3)"),0.15)</f>
        <v>0.15</v>
      </c>
      <c r="H509" s="16">
        <f>IFERROR(__xludf.DUMMYFUNCTION("IMPORTRANGE(""https://docs.google.com/spreadsheets/d/""&amp;$A509&amp;""/edit#gid=156619080"",H$3)"),3360.0)</f>
        <v>3360</v>
      </c>
      <c r="I509" s="16">
        <f>IFERROR(__xludf.DUMMYFUNCTION("IMPORTRANGE(""https://docs.google.com/spreadsheets/d/""&amp;$A509&amp;""/edit#gid=156619080"",I$3)"),0.0)</f>
        <v>0</v>
      </c>
      <c r="J509" s="16">
        <f>IFERROR(__xludf.DUMMYFUNCTION("IMPORTRANGE(""https://docs.google.com/spreadsheets/d/""&amp;$A509&amp;""/edit#gid=156619080"",J$3)"),3390.0)</f>
        <v>3390</v>
      </c>
      <c r="K509" s="16">
        <f>IFERROR(__xludf.DUMMYFUNCTION("IMPORTRANGE(""https://docs.google.com/spreadsheets/d/""&amp;$A509&amp;""/edit#gid=156619080"",K$3)"),0.4027777777777778)</f>
        <v>0.4027777778</v>
      </c>
      <c r="L509" s="16">
        <f>IFERROR(__xludf.DUMMYFUNCTION("IMPORTRANGE(""https://docs.google.com/spreadsheets/d/""&amp;$A509&amp;""/edit#gid=156619080"",L$3)"),3360.0)</f>
        <v>3360</v>
      </c>
      <c r="M509" s="16">
        <f>IFERROR(__xludf.DUMMYFUNCTION("IMPORTRANGE(""https://docs.google.com/spreadsheets/d/""&amp;$A509&amp;""/edit#gid=156619080"",M$3)"),0.375)</f>
        <v>0.375</v>
      </c>
      <c r="N509" s="16">
        <f>IFERROR(__xludf.DUMMYFUNCTION("IMPORTRANGE(""https://docs.google.com/spreadsheets/d/""&amp;$A509&amp;""/edit#gid=156619080"",N$3)"),3365.0)</f>
        <v>3365</v>
      </c>
      <c r="O509" s="16" t="str">
        <f>IFERROR(__xludf.DUMMYFUNCTION("IMPORTRANGE(""https://docs.google.com/spreadsheets/d/""&amp;$A509&amp;""/edit#gid=156619080"",O$3)"),"16000株")</f>
        <v>16000株</v>
      </c>
      <c r="P509" s="16" t="str">
        <f>IFERROR(__xludf.DUMMYFUNCTION("IMPORTRANGE(""https://docs.google.com/spreadsheets/d/""&amp;$A509&amp;""/edit#gid=156619080"",P$3)"),"54百万円")</f>
        <v>54百万円</v>
      </c>
      <c r="Q509" s="16" t="str">
        <f>IFERROR(__xludf.DUMMYFUNCTION("IMPORTRANGE(""https://docs.google.com/spreadsheets/d/""&amp;$A509&amp;""/edit#gid=156619080"",Q$3)"),"86回")</f>
        <v>86回</v>
      </c>
      <c r="R509" s="16" t="str">
        <f>IFERROR(__xludf.DUMMYFUNCTION("IMPORTRANGE(""https://docs.google.com/spreadsheets/d/""&amp;$A509&amp;""/edit#gid=156619080"",R$3)"),"176億円")</f>
        <v>176億円</v>
      </c>
      <c r="S509" s="16" t="str">
        <f>IFERROR(__xludf.DUMMYFUNCTION("IMPORTRANGE(""https://docs.google.com/spreadsheets/d/""&amp;$A509&amp;""/edit#gid=156619080"",S$3)"),"陽線")</f>
        <v>陽線</v>
      </c>
      <c r="T509" s="16" t="str">
        <f>IFERROR(__xludf.DUMMYFUNCTION("IMPORTRANGE(""https://docs.google.com/spreadsheets/d/""&amp;$A509&amp;""/edit#gid=156619080"",T$3)"),"")</f>
        <v/>
      </c>
      <c r="U509" s="16">
        <f>IFERROR(__xludf.DUMMYFUNCTION("IMPORTRANGE(""https://docs.google.com/spreadsheets/d/""&amp;$A509&amp;""/edit#gid=156619080"",U$3)"),3384.0)</f>
        <v>3384</v>
      </c>
      <c r="V509" s="16">
        <f>IFERROR(__xludf.DUMMYFUNCTION("IMPORTRANGE(""https://docs.google.com/spreadsheets/d/""&amp;$A509&amp;""/edit#gid=156619080"",V$3)"),3449.2)</f>
        <v>3449.2</v>
      </c>
      <c r="W509" s="16">
        <f>IFERROR(__xludf.DUMMYFUNCTION("IMPORTRANGE(""https://docs.google.com/spreadsheets/d/""&amp;$A509&amp;""/edit#gid=156619080"",W$3)"),3464.8)</f>
        <v>3464.8</v>
      </c>
      <c r="X509" s="2" t="str">
        <f>IFERROR(__xludf.DUMMYFUNCTION("IMPORTRANGE(""https://docs.google.com/spreadsheets/d/""&amp;$A509&amp;""/edit#gid=156619080"",X$3)"),"")</f>
        <v/>
      </c>
      <c r="Y509" s="17">
        <f>IFERROR(__xludf.DUMMYFUNCTION("IMPORTRANGE(""https://docs.google.com/spreadsheets/d/""&amp;$A509&amp;""/edit#gid=156619080"",Y$3)"),-0.0056146572104018916)</f>
        <v>-0.00561465721</v>
      </c>
      <c r="Z509" s="2">
        <f>IFERROR(__xludf.DUMMYFUNCTION("IMPORTRANGE(""https://docs.google.com/spreadsheets/d/""&amp;$A509&amp;""/edit#gid=156619080"",Z$3)"),3598.38)</f>
        <v>3598.38</v>
      </c>
      <c r="AA509" s="2">
        <f>IFERROR(__xludf.DUMMYFUNCTION("IMPORTRANGE(""https://docs.google.com/spreadsheets/d/""&amp;$A509&amp;""/edit#gid=156619080"",AA$3)"),3581.68)</f>
        <v>3581.68</v>
      </c>
      <c r="AB509" s="2">
        <f>IFERROR(__xludf.DUMMYFUNCTION("IMPORTRANGE(""https://docs.google.com/spreadsheets/d/""&amp;$A509&amp;""/edit#gid=156619080"",AB$3)"),3564.98)</f>
        <v>3564.98</v>
      </c>
      <c r="AC509" s="18">
        <f>IFERROR(__xludf.DUMMYFUNCTION("IMPORTRANGE(""https://docs.google.com/spreadsheets/d/""&amp;$A509&amp;""/edit#gid=156619080"",AC$3)"),3548.29)</f>
        <v>3548.29</v>
      </c>
      <c r="AD509" s="18">
        <f>IFERROR(__xludf.DUMMYFUNCTION("IMPORTRANGE(""https://docs.google.com/spreadsheets/d/""&amp;$A509&amp;""/edit#gid=156619080"",AD$3)"),3531.59)</f>
        <v>3531.59</v>
      </c>
      <c r="AE509" s="18">
        <f>IFERROR(__xludf.DUMMYFUNCTION("IMPORTRANGE(""https://docs.google.com/spreadsheets/d/""&amp;$A509&amp;""/edit#gid=156619080"",AE$3)"),3464.8)</f>
        <v>3464.8</v>
      </c>
      <c r="AF509" s="2">
        <f>IFERROR(__xludf.DUMMYFUNCTION("IMPORTRANGE(""https://docs.google.com/spreadsheets/d/""&amp;$A509&amp;""/edit#gid=156619080"",AF$3)"),3398.01)</f>
        <v>3398.01</v>
      </c>
      <c r="AG509" s="2">
        <f>IFERROR(__xludf.DUMMYFUNCTION("IMPORTRANGE(""https://docs.google.com/spreadsheets/d/""&amp;$A509&amp;""/edit#gid=156619080"",AG$3)"),3381.31)</f>
        <v>3381.31</v>
      </c>
      <c r="AH509" s="2">
        <f>IFERROR(__xludf.DUMMYFUNCTION("IMPORTRANGE(""https://docs.google.com/spreadsheets/d/""&amp;$A509&amp;""/edit#gid=156619080"",AH$3)"),3364.62)</f>
        <v>3364.62</v>
      </c>
      <c r="AI509" s="2">
        <f>IFERROR(__xludf.DUMMYFUNCTION("IMPORTRANGE(""https://docs.google.com/spreadsheets/d/""&amp;$A509&amp;""/edit#gid=156619080"",AI$3)"),3347.92)</f>
        <v>3347.92</v>
      </c>
      <c r="AJ509" s="2">
        <f>IFERROR(__xludf.DUMMYFUNCTION("IMPORTRANGE(""https://docs.google.com/spreadsheets/d/""&amp;$A509&amp;""/edit#gid=156619080"",AJ$3)"),3331.22)</f>
        <v>3331.22</v>
      </c>
      <c r="AK509" s="2" t="str">
        <f>IFERROR(__xludf.DUMMYFUNCTION("IMPORTRANGE(""https://docs.google.com/spreadsheets/d/""&amp;$A509&amp;""/edit#gid=156619080"",AK$3)"),"-1.25σ〜-1.5σ")</f>
        <v>-1.25σ〜-1.5σ</v>
      </c>
      <c r="AL509" s="2">
        <f>IFERROR(__xludf.DUMMYFUNCTION("IMPORTRANGE(""https://docs.google.com/spreadsheets/d/""&amp;$A509&amp;""/edit#gid=156619080"",AL$3)"),-1.0)</f>
        <v>-1</v>
      </c>
      <c r="AM509" s="2" t="str">
        <f>IFERROR(__xludf.DUMMYFUNCTION("IMPORTRANGE(""https://docs.google.com/spreadsheets/d/""&amp;$A509&amp;""/edit#gid=156619080"",AM$3)"),"")</f>
        <v/>
      </c>
      <c r="AN509" s="2">
        <f>IFERROR(__xludf.DUMMYFUNCTION("IMPORTRANGE(""https://docs.google.com/spreadsheets/d/""&amp;$A509&amp;""/edit#gid=156619080"",AN$3)"),-1.0)</f>
        <v>-1</v>
      </c>
      <c r="AO509" s="2" t="str">
        <f>IFERROR(__xludf.DUMMYFUNCTION("IMPORTRANGE(""https://docs.google.com/spreadsheets/d/""&amp;$A509&amp;""/edit#gid=156619080"",AO$3)"),"")</f>
        <v/>
      </c>
      <c r="AP509" s="2">
        <f>IFERROR(__xludf.DUMMYFUNCTION("IMPORTRANGE(""https://docs.google.com/spreadsheets/d/""&amp;$A509&amp;""/edit#gid=156619080"",AP$3)"),-1.0)</f>
        <v>-1</v>
      </c>
      <c r="AQ509" s="2" t="str">
        <f>IFERROR(__xludf.DUMMYFUNCTION("IMPORTRANGE(""https://docs.google.com/spreadsheets/d/""&amp;$A509&amp;""/edit#gid=156619080"",AQ$3)"),"")</f>
        <v/>
      </c>
      <c r="AR509" s="18">
        <f>IFERROR(__xludf.DUMMYFUNCTION("IMPORTRANGE(""https://docs.google.com/spreadsheets/d/""&amp;$A509&amp;""/edit#gid=156619080"",AR$3)"),-80.0)</f>
        <v>-80</v>
      </c>
      <c r="AS509" s="19" t="str">
        <f>IFERROR(__xludf.DUMMYFUNCTION("IMPORTRANGE(""https://docs.google.com/spreadsheets/d/""&amp;$A509&amp;""/edit#gid=156619080"",AS$3)"),"-90
-100
-90
-90
")</f>
        <v>-90
-100
-90
-90
</v>
      </c>
      <c r="AT509" s="18">
        <f>IFERROR(__xludf.DUMMYFUNCTION("IMPORTRANGE(""https://docs.google.com/spreadsheets/d/""&amp;$A509&amp;""/edit#gid=156619080"",AT$3)"),-78.57142857142858)</f>
        <v>-78.57142857</v>
      </c>
      <c r="AU509" s="3" t="str">
        <f>IFERROR(__xludf.DUMMYFUNCTION("IMPORTRANGE(""https://docs.google.com/spreadsheets/d/""&amp;$A509&amp;""/edit#gid=156619080"",AU$3)"),"-9.89
-17.03
-37.23
-54.4
")</f>
        <v>-9.89
-17.03
-37.23
-54.4
</v>
      </c>
      <c r="AV509" s="18">
        <f>IFERROR(__xludf.DUMMYFUNCTION("IMPORTRANGE(""https://docs.google.com/spreadsheets/d/""&amp;$A509&amp;""/edit#gid=156619080"",AV$3)"),-66.65584415584416)</f>
        <v>-66.65584416</v>
      </c>
      <c r="AW509" s="19" t="str">
        <f>IFERROR(__xludf.DUMMYFUNCTION("IMPORTRANGE(""https://docs.google.com/spreadsheets/d/""&amp;$A509&amp;""/edit#gid=156619080"",AW$3)"),"-60.03
-66.79
-66.79
-66.79
")</f>
        <v>-60.03
-66.79
-66.79
-66.79
</v>
      </c>
      <c r="AX509" s="2">
        <f>IFERROR(__xludf.DUMMYFUNCTION("IMPORTRANGE(""https://docs.google.com/spreadsheets/d/""&amp;$A509&amp;""/edit#gid=156619080"",AX$3)"),15.0)</f>
        <v>15</v>
      </c>
      <c r="AY509" s="2">
        <f>IFERROR(__xludf.DUMMYFUNCTION("IMPORTRANGE(""https://docs.google.com/spreadsheets/d/""&amp;$A509&amp;""/edit#gid=156619080"",AY$3)"),33.33)</f>
        <v>33.33</v>
      </c>
      <c r="AZ509" s="2">
        <f>IFERROR(__xludf.DUMMYFUNCTION("IMPORTRANGE(""https://docs.google.com/spreadsheets/d/""&amp;$A509&amp;""/edit#gid=156619080"",AZ$3)"),3387.44)</f>
        <v>3387.44</v>
      </c>
      <c r="BA509" s="2">
        <f>IFERROR(__xludf.DUMMYFUNCTION("IMPORTRANGE(""https://docs.google.com/spreadsheets/d/""&amp;$A509&amp;""/edit#gid=156619080"",BA$3)"),-73.15999999999985)</f>
        <v>-73.16</v>
      </c>
      <c r="BB509" s="2">
        <f>IFERROR(__xludf.DUMMYFUNCTION("IMPORTRANGE(""https://docs.google.com/spreadsheets/d/""&amp;$A509&amp;""/edit#gid=156619080"",BB$3)"),-47.23)</f>
        <v>-47.23</v>
      </c>
      <c r="BC509" s="2" t="str">
        <f>IFERROR(__xludf.DUMMYFUNCTION("IMPORTRANGE(""https://docs.google.com/spreadsheets/d/""&amp;$A509&amp;""/edit#gid=156619080"",BC$3)"),"DC→DC")</f>
        <v>DC→DC</v>
      </c>
    </row>
    <row r="510" ht="51.0" customHeight="1">
      <c r="A510" s="7" t="str">
        <f t="shared" si="5"/>
        <v>1JSGvtPf-5UHFRJEB_l3-Ro0gwVW48IaoCUpxJ0JCm_0</v>
      </c>
      <c r="B510" s="1" t="s">
        <v>537</v>
      </c>
      <c r="C510" s="2">
        <f>IFERROR(__xludf.DUMMYFUNCTION("IMPORTRANGE(""https://docs.google.com/spreadsheets/d/""&amp;$A510&amp;""/edit#gid=156619080"",C$3)"),87.0)</f>
        <v>87</v>
      </c>
      <c r="D510" s="2">
        <f>IFERROR(__xludf.DUMMYFUNCTION("IMPORTRANGE(""https://docs.google.com/spreadsheets/d/""&amp;$A510&amp;""/edit#gid=156619080"",D$3)"),1883.0)</f>
        <v>1883</v>
      </c>
      <c r="E510" s="15">
        <f>IFERROR(__xludf.DUMMYFUNCTION("IMPORTRANGE(""https://docs.google.com/spreadsheets/d/""&amp;$A510&amp;""/edit#gid=156619080"",E$3)"),43882.0)</f>
        <v>43882</v>
      </c>
      <c r="F510" s="2">
        <f>IFERROR(__xludf.DUMMYFUNCTION("IMPORTRANGE(""https://docs.google.com/spreadsheets/d/""&amp;$A510&amp;""/edit#gid=156619080"",F$3)"),-10.0)</f>
        <v>-10</v>
      </c>
      <c r="G510" s="16">
        <f>IFERROR(__xludf.DUMMYFUNCTION("IMPORTRANGE(""https://docs.google.com/spreadsheets/d/""&amp;$A510&amp;""/edit#gid=156619080"",G$3)"),-0.29)</f>
        <v>-0.29</v>
      </c>
      <c r="H510" s="16">
        <f>IFERROR(__xludf.DUMMYFUNCTION("IMPORTRANGE(""https://docs.google.com/spreadsheets/d/""&amp;$A510&amp;""/edit#gid=156619080"",H$3)"),3495.0)</f>
        <v>3495</v>
      </c>
      <c r="I510" s="16">
        <f>IFERROR(__xludf.DUMMYFUNCTION("IMPORTRANGE(""https://docs.google.com/spreadsheets/d/""&amp;$A510&amp;""/edit#gid=156619080"",I$3)"),-105.0)</f>
        <v>-105</v>
      </c>
      <c r="J510" s="16">
        <f>IFERROR(__xludf.DUMMYFUNCTION("IMPORTRANGE(""https://docs.google.com/spreadsheets/d/""&amp;$A510&amp;""/edit#gid=156619080"",J$3)"),3495.0)</f>
        <v>3495</v>
      </c>
      <c r="K510" s="16">
        <f>IFERROR(__xludf.DUMMYFUNCTION("IMPORTRANGE(""https://docs.google.com/spreadsheets/d/""&amp;$A510&amp;""/edit#gid=156619080"",K$3)"),0.3770833333333333)</f>
        <v>0.3770833333</v>
      </c>
      <c r="L510" s="16">
        <f>IFERROR(__xludf.DUMMYFUNCTION("IMPORTRANGE(""https://docs.google.com/spreadsheets/d/""&amp;$A510&amp;""/edit#gid=156619080"",L$3)"),3385.0)</f>
        <v>3385</v>
      </c>
      <c r="M510" s="16">
        <f>IFERROR(__xludf.DUMMYFUNCTION("IMPORTRANGE(""https://docs.google.com/spreadsheets/d/""&amp;$A510&amp;""/edit#gid=156619080"",M$3)"),0.5868055555555556)</f>
        <v>0.5868055556</v>
      </c>
      <c r="N510" s="16">
        <f>IFERROR(__xludf.DUMMYFUNCTION("IMPORTRANGE(""https://docs.google.com/spreadsheets/d/""&amp;$A510&amp;""/edit#gid=156619080"",N$3)"),3390.0)</f>
        <v>3390</v>
      </c>
      <c r="O510" s="16" t="str">
        <f>IFERROR(__xludf.DUMMYFUNCTION("IMPORTRANGE(""https://docs.google.com/spreadsheets/d/""&amp;$A510&amp;""/edit#gid=156619080"",O$3)"),"1480300株")</f>
        <v>1480300株</v>
      </c>
      <c r="P510" s="16" t="str">
        <f>IFERROR(__xludf.DUMMYFUNCTION("IMPORTRANGE(""https://docs.google.com/spreadsheets/d/""&amp;$A510&amp;""/edit#gid=156619080"",P$3)"),"5066百万円")</f>
        <v>5066百万円</v>
      </c>
      <c r="Q510" s="16" t="str">
        <f>IFERROR(__xludf.DUMMYFUNCTION("IMPORTRANGE(""https://docs.google.com/spreadsheets/d/""&amp;$A510&amp;""/edit#gid=156619080"",Q$3)"),"2292回")</f>
        <v>2292回</v>
      </c>
      <c r="R510" s="16" t="str">
        <f>IFERROR(__xludf.DUMMYFUNCTION("IMPORTRANGE(""https://docs.google.com/spreadsheets/d/""&amp;$A510&amp;""/edit#gid=156619080"",R$3)"),"3023億円")</f>
        <v>3023億円</v>
      </c>
      <c r="S510" s="16" t="str">
        <f>IFERROR(__xludf.DUMMYFUNCTION("IMPORTRANGE(""https://docs.google.com/spreadsheets/d/""&amp;$A510&amp;""/edit#gid=156619080"",S$3)"),"陰線")</f>
        <v>陰線</v>
      </c>
      <c r="T510" s="16" t="str">
        <f>IFERROR(__xludf.DUMMYFUNCTION("IMPORTRANGE(""https://docs.google.com/spreadsheets/d/""&amp;$A510&amp;""/edit#gid=156619080"",T$3)"),"")</f>
        <v/>
      </c>
      <c r="U510" s="16">
        <f>IFERROR(__xludf.DUMMYFUNCTION("IMPORTRANGE(""https://docs.google.com/spreadsheets/d/""&amp;$A510&amp;""/edit#gid=156619080"",U$3)"),3458.0)</f>
        <v>3458</v>
      </c>
      <c r="V510" s="16">
        <f>IFERROR(__xludf.DUMMYFUNCTION("IMPORTRANGE(""https://docs.google.com/spreadsheets/d/""&amp;$A510&amp;""/edit#gid=156619080"",V$3)"),3610.0)</f>
        <v>3610</v>
      </c>
      <c r="W510" s="16">
        <f>IFERROR(__xludf.DUMMYFUNCTION("IMPORTRANGE(""https://docs.google.com/spreadsheets/d/""&amp;$A510&amp;""/edit#gid=156619080"",W$3)"),3638.6)</f>
        <v>3638.6</v>
      </c>
      <c r="X510" s="2" t="str">
        <f>IFERROR(__xludf.DUMMYFUNCTION("IMPORTRANGE(""https://docs.google.com/spreadsheets/d/""&amp;$A510&amp;""/edit#gid=156619080"",X$3)"),"")</f>
        <v/>
      </c>
      <c r="Y510" s="17">
        <f>IFERROR(__xludf.DUMMYFUNCTION("IMPORTRANGE(""https://docs.google.com/spreadsheets/d/""&amp;$A510&amp;""/edit#gid=156619080"",Y$3)"),-0.019664545980335454)</f>
        <v>-0.01966454598</v>
      </c>
      <c r="Z510" s="2">
        <f>IFERROR(__xludf.DUMMYFUNCTION("IMPORTRANGE(""https://docs.google.com/spreadsheets/d/""&amp;$A510&amp;""/edit#gid=156619080"",Z$3)"),3876.91)</f>
        <v>3876.91</v>
      </c>
      <c r="AA510" s="2">
        <f>IFERROR(__xludf.DUMMYFUNCTION("IMPORTRANGE(""https://docs.google.com/spreadsheets/d/""&amp;$A510&amp;""/edit#gid=156619080"",AA$3)"),3847.12)</f>
        <v>3847.12</v>
      </c>
      <c r="AB510" s="2">
        <f>IFERROR(__xludf.DUMMYFUNCTION("IMPORTRANGE(""https://docs.google.com/spreadsheets/d/""&amp;$A510&amp;""/edit#gid=156619080"",AB$3)"),3817.33)</f>
        <v>3817.33</v>
      </c>
      <c r="AC510" s="18">
        <f>IFERROR(__xludf.DUMMYFUNCTION("IMPORTRANGE(""https://docs.google.com/spreadsheets/d/""&amp;$A510&amp;""/edit#gid=156619080"",AC$3)"),3787.54)</f>
        <v>3787.54</v>
      </c>
      <c r="AD510" s="18">
        <f>IFERROR(__xludf.DUMMYFUNCTION("IMPORTRANGE(""https://docs.google.com/spreadsheets/d/""&amp;$A510&amp;""/edit#gid=156619080"",AD$3)"),3757.76)</f>
        <v>3757.76</v>
      </c>
      <c r="AE510" s="18">
        <f>IFERROR(__xludf.DUMMYFUNCTION("IMPORTRANGE(""https://docs.google.com/spreadsheets/d/""&amp;$A510&amp;""/edit#gid=156619080"",AE$3)"),3638.6)</f>
        <v>3638.6</v>
      </c>
      <c r="AF510" s="2">
        <f>IFERROR(__xludf.DUMMYFUNCTION("IMPORTRANGE(""https://docs.google.com/spreadsheets/d/""&amp;$A510&amp;""/edit#gid=156619080"",AF$3)"),3519.44)</f>
        <v>3519.44</v>
      </c>
      <c r="AG510" s="2">
        <f>IFERROR(__xludf.DUMMYFUNCTION("IMPORTRANGE(""https://docs.google.com/spreadsheets/d/""&amp;$A510&amp;""/edit#gid=156619080"",AG$3)"),3489.66)</f>
        <v>3489.66</v>
      </c>
      <c r="AH510" s="2">
        <f>IFERROR(__xludf.DUMMYFUNCTION("IMPORTRANGE(""https://docs.google.com/spreadsheets/d/""&amp;$A510&amp;""/edit#gid=156619080"",AH$3)"),3459.87)</f>
        <v>3459.87</v>
      </c>
      <c r="AI510" s="2">
        <f>IFERROR(__xludf.DUMMYFUNCTION("IMPORTRANGE(""https://docs.google.com/spreadsheets/d/""&amp;$A510&amp;""/edit#gid=156619080"",AI$3)"),3430.08)</f>
        <v>3430.08</v>
      </c>
      <c r="AJ510" s="2">
        <f>IFERROR(__xludf.DUMMYFUNCTION("IMPORTRANGE(""https://docs.google.com/spreadsheets/d/""&amp;$A510&amp;""/edit#gid=156619080"",AJ$3)"),3400.29)</f>
        <v>3400.29</v>
      </c>
      <c r="AK510" s="2" t="str">
        <f>IFERROR(__xludf.DUMMYFUNCTION("IMPORTRANGE(""https://docs.google.com/spreadsheets/d/""&amp;$A510&amp;""/edit#gid=156619080"",AK$3)"),"-2σ以下")</f>
        <v>-2σ以下</v>
      </c>
      <c r="AL510" s="2">
        <f>IFERROR(__xludf.DUMMYFUNCTION("IMPORTRANGE(""https://docs.google.com/spreadsheets/d/""&amp;$A510&amp;""/edit#gid=156619080"",AL$3)"),-1.0)</f>
        <v>-1</v>
      </c>
      <c r="AM510" s="2" t="str">
        <f>IFERROR(__xludf.DUMMYFUNCTION("IMPORTRANGE(""https://docs.google.com/spreadsheets/d/""&amp;$A510&amp;""/edit#gid=156619080"",AM$3)"),"")</f>
        <v/>
      </c>
      <c r="AN510" s="2">
        <f>IFERROR(__xludf.DUMMYFUNCTION("IMPORTRANGE(""https://docs.google.com/spreadsheets/d/""&amp;$A510&amp;""/edit#gid=156619080"",AN$3)"),-1.0)</f>
        <v>-1</v>
      </c>
      <c r="AO510" s="2" t="str">
        <f>IFERROR(__xludf.DUMMYFUNCTION("IMPORTRANGE(""https://docs.google.com/spreadsheets/d/""&amp;$A510&amp;""/edit#gid=156619080"",AO$3)"),"")</f>
        <v/>
      </c>
      <c r="AP510" s="2">
        <f>IFERROR(__xludf.DUMMYFUNCTION("IMPORTRANGE(""https://docs.google.com/spreadsheets/d/""&amp;$A510&amp;""/edit#gid=156619080"",AP$3)"),-1.0)</f>
        <v>-1</v>
      </c>
      <c r="AQ510" s="2" t="str">
        <f>IFERROR(__xludf.DUMMYFUNCTION("IMPORTRANGE(""https://docs.google.com/spreadsheets/d/""&amp;$A510&amp;""/edit#gid=156619080"",AQ$3)"),"")</f>
        <v/>
      </c>
      <c r="AR510" s="18">
        <f>IFERROR(__xludf.DUMMYFUNCTION("IMPORTRANGE(""https://docs.google.com/spreadsheets/d/""&amp;$A510&amp;""/edit#gid=156619080"",AR$3)"),-85.00000000000001)</f>
        <v>-85</v>
      </c>
      <c r="AS510" s="19" t="str">
        <f>IFERROR(__xludf.DUMMYFUNCTION("IMPORTRANGE(""https://docs.google.com/spreadsheets/d/""&amp;$A510&amp;""/edit#gid=156619080"",AS$3)"),"-5
-5
-55
-85
")</f>
        <v>-5
-5
-55
-85
</v>
      </c>
      <c r="AT510" s="18">
        <f>IFERROR(__xludf.DUMMYFUNCTION("IMPORTRANGE(""https://docs.google.com/spreadsheets/d/""&amp;$A510&amp;""/edit#gid=156619080"",AT$3)"),-62.22527472527473)</f>
        <v>-62.22527473</v>
      </c>
      <c r="AU510" s="3" t="str">
        <f>IFERROR(__xludf.DUMMYFUNCTION("IMPORTRANGE(""https://docs.google.com/spreadsheets/d/""&amp;$A510&amp;""/edit#gid=156619080"",AU$3)"),"62.91
20.05
-15.66
-45.88
")</f>
        <v>62.91
20.05
-15.66
-45.88
</v>
      </c>
      <c r="AV510" s="18">
        <f>IFERROR(__xludf.DUMMYFUNCTION("IMPORTRANGE(""https://docs.google.com/spreadsheets/d/""&amp;$A510&amp;""/edit#gid=156619080"",AV$3)"),-17.85714285714286)</f>
        <v>-17.85714286</v>
      </c>
      <c r="AW510" s="19" t="str">
        <f>IFERROR(__xludf.DUMMYFUNCTION("IMPORTRANGE(""https://docs.google.com/spreadsheets/d/""&amp;$A510&amp;""/edit#gid=156619080"",AW$3)"),"22.4
18.38
6.36
-4.74
")</f>
        <v>22.4
18.38
6.36
-4.74
</v>
      </c>
      <c r="AX510" s="2">
        <f>IFERROR(__xludf.DUMMYFUNCTION("IMPORTRANGE(""https://docs.google.com/spreadsheets/d/""&amp;$A510&amp;""/edit#gid=156619080"",AX$3)"),0.0)</f>
        <v>0</v>
      </c>
      <c r="AY510" s="2">
        <f>IFERROR(__xludf.DUMMYFUNCTION("IMPORTRANGE(""https://docs.google.com/spreadsheets/d/""&amp;$A510&amp;""/edit#gid=156619080"",AY$3)"),18.75)</f>
        <v>18.75</v>
      </c>
      <c r="AZ510" s="2">
        <f>IFERROR(__xludf.DUMMYFUNCTION("IMPORTRANGE(""https://docs.google.com/spreadsheets/d/""&amp;$A510&amp;""/edit#gid=156619080"",AZ$3)"),3454.65)</f>
        <v>3454.65</v>
      </c>
      <c r="BA510" s="2">
        <f>IFERROR(__xludf.DUMMYFUNCTION("IMPORTRANGE(""https://docs.google.com/spreadsheets/d/""&amp;$A510&amp;""/edit#gid=156619080"",BA$3)"),-134.61000000000013)</f>
        <v>-134.61</v>
      </c>
      <c r="BB510" s="2">
        <f>IFERROR(__xludf.DUMMYFUNCTION("IMPORTRANGE(""https://docs.google.com/spreadsheets/d/""&amp;$A510&amp;""/edit#gid=156619080"",BB$3)"),-23.77)</f>
        <v>-23.77</v>
      </c>
      <c r="BC510" s="2" t="str">
        <f>IFERROR(__xludf.DUMMYFUNCTION("IMPORTRANGE(""https://docs.google.com/spreadsheets/d/""&amp;$A510&amp;""/edit#gid=156619080"",BC$3)"),"DC→DC")</f>
        <v>DC→DC</v>
      </c>
    </row>
    <row r="511" ht="51.0" customHeight="1">
      <c r="A511" s="7" t="str">
        <f t="shared" si="5"/>
        <v>1CXhgkjwZ9ZHEhplG157KjhklH046dFmpm9ynwkQycx8</v>
      </c>
      <c r="B511" s="1" t="s">
        <v>538</v>
      </c>
      <c r="C511" s="2">
        <f>IFERROR(__xludf.DUMMYFUNCTION("IMPORTRANGE(""https://docs.google.com/spreadsheets/d/""&amp;$A511&amp;""/edit#gid=156619080"",C$3)"),87.0)</f>
        <v>87</v>
      </c>
      <c r="D511" s="2">
        <f>IFERROR(__xludf.DUMMYFUNCTION("IMPORTRANGE(""https://docs.google.com/spreadsheets/d/""&amp;$A511&amp;""/edit#gid=156619080"",D$3)"),1884.0)</f>
        <v>1884</v>
      </c>
      <c r="E511" s="15">
        <f>IFERROR(__xludf.DUMMYFUNCTION("IMPORTRANGE(""https://docs.google.com/spreadsheets/d/""&amp;$A511&amp;""/edit#gid=156619080"",E$3)"),43882.0)</f>
        <v>43882</v>
      </c>
      <c r="F511" s="2">
        <f>IFERROR(__xludf.DUMMYFUNCTION("IMPORTRANGE(""https://docs.google.com/spreadsheets/d/""&amp;$A511&amp;""/edit#gid=156619080"",F$3)"),-30.0)</f>
        <v>-30</v>
      </c>
      <c r="G511" s="16">
        <f>IFERROR(__xludf.DUMMYFUNCTION("IMPORTRANGE(""https://docs.google.com/spreadsheets/d/""&amp;$A511&amp;""/edit#gid=156619080"",G$3)"),-0.42)</f>
        <v>-0.42</v>
      </c>
      <c r="H511" s="16">
        <f>IFERROR(__xludf.DUMMYFUNCTION("IMPORTRANGE(""https://docs.google.com/spreadsheets/d/""&amp;$A511&amp;""/edit#gid=156619080"",H$3)"),7100.0)</f>
        <v>7100</v>
      </c>
      <c r="I511" s="16">
        <f>IFERROR(__xludf.DUMMYFUNCTION("IMPORTRANGE(""https://docs.google.com/spreadsheets/d/""&amp;$A511&amp;""/edit#gid=156619080"",I$3)"),30.0)</f>
        <v>30</v>
      </c>
      <c r="J511" s="16">
        <f>IFERROR(__xludf.DUMMYFUNCTION("IMPORTRANGE(""https://docs.google.com/spreadsheets/d/""&amp;$A511&amp;""/edit#gid=156619080"",J$3)"),7200.0)</f>
        <v>7200</v>
      </c>
      <c r="K511" s="16">
        <f>IFERROR(__xludf.DUMMYFUNCTION("IMPORTRANGE(""https://docs.google.com/spreadsheets/d/""&amp;$A511&amp;""/edit#gid=156619080"",K$3)"),0.4013888888888889)</f>
        <v>0.4013888889</v>
      </c>
      <c r="L511" s="16">
        <f>IFERROR(__xludf.DUMMYFUNCTION("IMPORTRANGE(""https://docs.google.com/spreadsheets/d/""&amp;$A511&amp;""/edit#gid=156619080"",L$3)"),7100.0)</f>
        <v>7100</v>
      </c>
      <c r="M511" s="16">
        <f>IFERROR(__xludf.DUMMYFUNCTION("IMPORTRANGE(""https://docs.google.com/spreadsheets/d/""&amp;$A511&amp;""/edit#gid=156619080"",M$3)"),0.375)</f>
        <v>0.375</v>
      </c>
      <c r="N511" s="16">
        <f>IFERROR(__xludf.DUMMYFUNCTION("IMPORTRANGE(""https://docs.google.com/spreadsheets/d/""&amp;$A511&amp;""/edit#gid=156619080"",N$3)"),7130.0)</f>
        <v>7130</v>
      </c>
      <c r="O511" s="16" t="str">
        <f>IFERROR(__xludf.DUMMYFUNCTION("IMPORTRANGE(""https://docs.google.com/spreadsheets/d/""&amp;$A511&amp;""/edit#gid=156619080"",O$3)"),"7200株")</f>
        <v>7200株</v>
      </c>
      <c r="P511" s="16" t="str">
        <f>IFERROR(__xludf.DUMMYFUNCTION("IMPORTRANGE(""https://docs.google.com/spreadsheets/d/""&amp;$A511&amp;""/edit#gid=156619080"",P$3)"),"51百万円")</f>
        <v>51百万円</v>
      </c>
      <c r="Q511" s="16" t="str">
        <f>IFERROR(__xludf.DUMMYFUNCTION("IMPORTRANGE(""https://docs.google.com/spreadsheets/d/""&amp;$A511&amp;""/edit#gid=156619080"",Q$3)"),"41回")</f>
        <v>41回</v>
      </c>
      <c r="R511" s="16" t="str">
        <f>IFERROR(__xludf.DUMMYFUNCTION("IMPORTRANGE(""https://docs.google.com/spreadsheets/d/""&amp;$A511&amp;""/edit#gid=156619080"",R$3)"),"696億円")</f>
        <v>696億円</v>
      </c>
      <c r="S511" s="16" t="str">
        <f>IFERROR(__xludf.DUMMYFUNCTION("IMPORTRANGE(""https://docs.google.com/spreadsheets/d/""&amp;$A511&amp;""/edit#gid=156619080"",S$3)"),"陽線")</f>
        <v>陽線</v>
      </c>
      <c r="T511" s="16" t="str">
        <f>IFERROR(__xludf.DUMMYFUNCTION("IMPORTRANGE(""https://docs.google.com/spreadsheets/d/""&amp;$A511&amp;""/edit#gid=156619080"",T$3)"),"")</f>
        <v/>
      </c>
      <c r="U511" s="16">
        <f>IFERROR(__xludf.DUMMYFUNCTION("IMPORTRANGE(""https://docs.google.com/spreadsheets/d/""&amp;$A511&amp;""/edit#gid=156619080"",U$3)"),7156.0)</f>
        <v>7156</v>
      </c>
      <c r="V511" s="16">
        <f>IFERROR(__xludf.DUMMYFUNCTION("IMPORTRANGE(""https://docs.google.com/spreadsheets/d/""&amp;$A511&amp;""/edit#gid=156619080"",V$3)"),7296.9)</f>
        <v>7296.9</v>
      </c>
      <c r="W511" s="16">
        <f>IFERROR(__xludf.DUMMYFUNCTION("IMPORTRANGE(""https://docs.google.com/spreadsheets/d/""&amp;$A511&amp;""/edit#gid=156619080"",W$3)"),7408.6)</f>
        <v>7408.6</v>
      </c>
      <c r="X511" s="2" t="str">
        <f>IFERROR(__xludf.DUMMYFUNCTION("IMPORTRANGE(""https://docs.google.com/spreadsheets/d/""&amp;$A511&amp;""/edit#gid=156619080"",X$3)"),"")</f>
        <v/>
      </c>
      <c r="Y511" s="17">
        <f>IFERROR(__xludf.DUMMYFUNCTION("IMPORTRANGE(""https://docs.google.com/spreadsheets/d/""&amp;$A511&amp;""/edit#gid=156619080"",Y$3)"),-0.0036333147009502517)</f>
        <v>-0.003633314701</v>
      </c>
      <c r="Z511" s="2">
        <f>IFERROR(__xludf.DUMMYFUNCTION("IMPORTRANGE(""https://docs.google.com/spreadsheets/d/""&amp;$A511&amp;""/edit#gid=156619080"",Z$3)"),7784.15)</f>
        <v>7784.15</v>
      </c>
      <c r="AA511" s="2">
        <f>IFERROR(__xludf.DUMMYFUNCTION("IMPORTRANGE(""https://docs.google.com/spreadsheets/d/""&amp;$A511&amp;""/edit#gid=156619080"",AA$3)"),7737.21)</f>
        <v>7737.21</v>
      </c>
      <c r="AB511" s="2">
        <f>IFERROR(__xludf.DUMMYFUNCTION("IMPORTRANGE(""https://docs.google.com/spreadsheets/d/""&amp;$A511&amp;""/edit#gid=156619080"",AB$3)"),7690.26)</f>
        <v>7690.26</v>
      </c>
      <c r="AC511" s="18">
        <f>IFERROR(__xludf.DUMMYFUNCTION("IMPORTRANGE(""https://docs.google.com/spreadsheets/d/""&amp;$A511&amp;""/edit#gid=156619080"",AC$3)"),7643.32)</f>
        <v>7643.32</v>
      </c>
      <c r="AD511" s="18">
        <f>IFERROR(__xludf.DUMMYFUNCTION("IMPORTRANGE(""https://docs.google.com/spreadsheets/d/""&amp;$A511&amp;""/edit#gid=156619080"",AD$3)"),7596.38)</f>
        <v>7596.38</v>
      </c>
      <c r="AE511" s="18">
        <f>IFERROR(__xludf.DUMMYFUNCTION("IMPORTRANGE(""https://docs.google.com/spreadsheets/d/""&amp;$A511&amp;""/edit#gid=156619080"",AE$3)"),7408.6)</f>
        <v>7408.6</v>
      </c>
      <c r="AF511" s="2">
        <f>IFERROR(__xludf.DUMMYFUNCTION("IMPORTRANGE(""https://docs.google.com/spreadsheets/d/""&amp;$A511&amp;""/edit#gid=156619080"",AF$3)"),7220.82)</f>
        <v>7220.82</v>
      </c>
      <c r="AG511" s="2">
        <f>IFERROR(__xludf.DUMMYFUNCTION("IMPORTRANGE(""https://docs.google.com/spreadsheets/d/""&amp;$A511&amp;""/edit#gid=156619080"",AG$3)"),7173.88)</f>
        <v>7173.88</v>
      </c>
      <c r="AH511" s="2">
        <f>IFERROR(__xludf.DUMMYFUNCTION("IMPORTRANGE(""https://docs.google.com/spreadsheets/d/""&amp;$A511&amp;""/edit#gid=156619080"",AH$3)"),7126.94)</f>
        <v>7126.94</v>
      </c>
      <c r="AI511" s="2">
        <f>IFERROR(__xludf.DUMMYFUNCTION("IMPORTRANGE(""https://docs.google.com/spreadsheets/d/""&amp;$A511&amp;""/edit#gid=156619080"",AI$3)"),7079.99)</f>
        <v>7079.99</v>
      </c>
      <c r="AJ511" s="2">
        <f>IFERROR(__xludf.DUMMYFUNCTION("IMPORTRANGE(""https://docs.google.com/spreadsheets/d/""&amp;$A511&amp;""/edit#gid=156619080"",AJ$3)"),7033.05)</f>
        <v>7033.05</v>
      </c>
      <c r="AK511" s="2" t="str">
        <f>IFERROR(__xludf.DUMMYFUNCTION("IMPORTRANGE(""https://docs.google.com/spreadsheets/d/""&amp;$A511&amp;""/edit#gid=156619080"",AK$3)"),"-1.25σ〜-1.5σ")</f>
        <v>-1.25σ〜-1.5σ</v>
      </c>
      <c r="AL511" s="2">
        <f>IFERROR(__xludf.DUMMYFUNCTION("IMPORTRANGE(""https://docs.google.com/spreadsheets/d/""&amp;$A511&amp;""/edit#gid=156619080"",AL$3)"),-1.0)</f>
        <v>-1</v>
      </c>
      <c r="AM511" s="2" t="str">
        <f>IFERROR(__xludf.DUMMYFUNCTION("IMPORTRANGE(""https://docs.google.com/spreadsheets/d/""&amp;$A511&amp;""/edit#gid=156619080"",AM$3)"),"")</f>
        <v/>
      </c>
      <c r="AN511" s="2">
        <f>IFERROR(__xludf.DUMMYFUNCTION("IMPORTRANGE(""https://docs.google.com/spreadsheets/d/""&amp;$A511&amp;""/edit#gid=156619080"",AN$3)"),-1.0)</f>
        <v>-1</v>
      </c>
      <c r="AO511" s="2" t="str">
        <f>IFERROR(__xludf.DUMMYFUNCTION("IMPORTRANGE(""https://docs.google.com/spreadsheets/d/""&amp;$A511&amp;""/edit#gid=156619080"",AO$3)"),"")</f>
        <v/>
      </c>
      <c r="AP511" s="2">
        <f>IFERROR(__xludf.DUMMYFUNCTION("IMPORTRANGE(""https://docs.google.com/spreadsheets/d/""&amp;$A511&amp;""/edit#gid=156619080"",AP$3)"),-1.0)</f>
        <v>-1</v>
      </c>
      <c r="AQ511" s="2" t="str">
        <f>IFERROR(__xludf.DUMMYFUNCTION("IMPORTRANGE(""https://docs.google.com/spreadsheets/d/""&amp;$A511&amp;""/edit#gid=156619080"",AQ$3)"),"")</f>
        <v/>
      </c>
      <c r="AR511" s="18">
        <f>IFERROR(__xludf.DUMMYFUNCTION("IMPORTRANGE(""https://docs.google.com/spreadsheets/d/""&amp;$A511&amp;""/edit#gid=156619080"",AR$3)"),-85.00000000000001)</f>
        <v>-85</v>
      </c>
      <c r="AS511" s="19" t="str">
        <f>IFERROR(__xludf.DUMMYFUNCTION("IMPORTRANGE(""https://docs.google.com/spreadsheets/d/""&amp;$A511&amp;""/edit#gid=156619080"",AS$3)"),"-85
-85
-85
-85
")</f>
        <v>-85
-85
-85
-85
</v>
      </c>
      <c r="AT511" s="18">
        <f>IFERROR(__xludf.DUMMYFUNCTION("IMPORTRANGE(""https://docs.google.com/spreadsheets/d/""&amp;$A511&amp;""/edit#gid=156619080"",AT$3)"),-97.52747252747254)</f>
        <v>-97.52747253</v>
      </c>
      <c r="AU511" s="3" t="str">
        <f>IFERROR(__xludf.DUMMYFUNCTION("IMPORTRANGE(""https://docs.google.com/spreadsheets/d/""&amp;$A511&amp;""/edit#gid=156619080"",AU$3)"),"-93.13
-93.13
-95.88
-97.53
")</f>
        <v>-93.13
-93.13
-95.88
-97.53
</v>
      </c>
      <c r="AV511" s="18">
        <f>IFERROR(__xludf.DUMMYFUNCTION("IMPORTRANGE(""https://docs.google.com/spreadsheets/d/""&amp;$A511&amp;""/edit#gid=156619080"",AV$3)"),-96.94805194805194)</f>
        <v>-96.94805195</v>
      </c>
      <c r="AW511" s="19" t="str">
        <f>IFERROR(__xludf.DUMMYFUNCTION("IMPORTRANGE(""https://docs.google.com/spreadsheets/d/""&amp;$A511&amp;""/edit#gid=156619080"",AW$3)"),"-94.58
-96.95
-96.95
-96.95
")</f>
        <v>-94.58
-96.95
-96.95
-96.95
</v>
      </c>
      <c r="AX511" s="2">
        <f>IFERROR(__xludf.DUMMYFUNCTION("IMPORTRANGE(""https://docs.google.com/spreadsheets/d/""&amp;$A511&amp;""/edit#gid=156619080"",AX$3)"),0.0)</f>
        <v>0</v>
      </c>
      <c r="AY511" s="2">
        <f>IFERROR(__xludf.DUMMYFUNCTION("IMPORTRANGE(""https://docs.google.com/spreadsheets/d/""&amp;$A511&amp;""/edit#gid=156619080"",AY$3)"),7.02)</f>
        <v>7.02</v>
      </c>
      <c r="AZ511" s="2">
        <f>IFERROR(__xludf.DUMMYFUNCTION("IMPORTRANGE(""https://docs.google.com/spreadsheets/d/""&amp;$A511&amp;""/edit#gid=156619080"",AZ$3)"),7163.59)</f>
        <v>7163.59</v>
      </c>
      <c r="BA511" s="2">
        <f>IFERROR(__xludf.DUMMYFUNCTION("IMPORTRANGE(""https://docs.google.com/spreadsheets/d/""&amp;$A511&amp;""/edit#gid=156619080"",BA$3)"),-169.26000000000022)</f>
        <v>-169.26</v>
      </c>
      <c r="BB511" s="2">
        <f>IFERROR(__xludf.DUMMYFUNCTION("IMPORTRANGE(""https://docs.google.com/spreadsheets/d/""&amp;$A511&amp;""/edit#gid=156619080"",BB$3)"),-99.87)</f>
        <v>-99.87</v>
      </c>
      <c r="BC511" s="2" t="str">
        <f>IFERROR(__xludf.DUMMYFUNCTION("IMPORTRANGE(""https://docs.google.com/spreadsheets/d/""&amp;$A511&amp;""/edit#gid=156619080"",BC$3)"),"DC→DC")</f>
        <v>DC→DC</v>
      </c>
    </row>
    <row r="512" ht="51.0" customHeight="1">
      <c r="A512" s="7" t="str">
        <f t="shared" si="5"/>
        <v>1lzqAuYEj__xJ-wvZ0aFp445K2ujFEKrmgEKPX60nyWs</v>
      </c>
      <c r="B512" s="1" t="s">
        <v>539</v>
      </c>
      <c r="C512" s="2">
        <f>IFERROR(__xludf.DUMMYFUNCTION("IMPORTRANGE(""https://docs.google.com/spreadsheets/d/""&amp;$A512&amp;""/edit#gid=156619080"",C$3)"),45.0)</f>
        <v>45</v>
      </c>
      <c r="D512" s="2">
        <f>IFERROR(__xludf.DUMMYFUNCTION("IMPORTRANGE(""https://docs.google.com/spreadsheets/d/""&amp;$A512&amp;""/edit#gid=156619080"",D$3)"),1888.0)</f>
        <v>1888</v>
      </c>
      <c r="E512" s="15">
        <f>IFERROR(__xludf.DUMMYFUNCTION("IMPORTRANGE(""https://docs.google.com/spreadsheets/d/""&amp;$A512&amp;""/edit#gid=156619080"",E$3)"),43882.0)</f>
        <v>43882</v>
      </c>
      <c r="F512" s="2">
        <f>IFERROR(__xludf.DUMMYFUNCTION("IMPORTRANGE(""https://docs.google.com/spreadsheets/d/""&amp;$A512&amp;""/edit#gid=156619080"",F$3)"),-3.0)</f>
        <v>-3</v>
      </c>
      <c r="G512" s="16">
        <f>IFERROR(__xludf.DUMMYFUNCTION("IMPORTRANGE(""https://docs.google.com/spreadsheets/d/""&amp;$A512&amp;""/edit#gid=156619080"",G$3)"),-0.19)</f>
        <v>-0.19</v>
      </c>
      <c r="H512" s="16">
        <f>IFERROR(__xludf.DUMMYFUNCTION("IMPORTRANGE(""https://docs.google.com/spreadsheets/d/""&amp;$A512&amp;""/edit#gid=156619080"",H$3)"),1592.0)</f>
        <v>1592</v>
      </c>
      <c r="I512" s="16">
        <f>IFERROR(__xludf.DUMMYFUNCTION("IMPORTRANGE(""https://docs.google.com/spreadsheets/d/""&amp;$A512&amp;""/edit#gid=156619080"",I$3)"),7.0)</f>
        <v>7</v>
      </c>
      <c r="J512" s="16">
        <f>IFERROR(__xludf.DUMMYFUNCTION("IMPORTRANGE(""https://docs.google.com/spreadsheets/d/""&amp;$A512&amp;""/edit#gid=156619080"",J$3)"),1613.0)</f>
        <v>1613</v>
      </c>
      <c r="K512" s="16">
        <f>IFERROR(__xludf.DUMMYFUNCTION("IMPORTRANGE(""https://docs.google.com/spreadsheets/d/""&amp;$A512&amp;""/edit#gid=156619080"",K$3)"),0.38680555555555557)</f>
        <v>0.3868055556</v>
      </c>
      <c r="L512" s="16">
        <f>IFERROR(__xludf.DUMMYFUNCTION("IMPORTRANGE(""https://docs.google.com/spreadsheets/d/""&amp;$A512&amp;""/edit#gid=156619080"",L$3)"),1588.0)</f>
        <v>1588</v>
      </c>
      <c r="M512" s="16">
        <f>IFERROR(__xludf.DUMMYFUNCTION("IMPORTRANGE(""https://docs.google.com/spreadsheets/d/""&amp;$A512&amp;""/edit#gid=156619080"",M$3)"),0.4777777777777778)</f>
        <v>0.4777777778</v>
      </c>
      <c r="N512" s="16">
        <f>IFERROR(__xludf.DUMMYFUNCTION("IMPORTRANGE(""https://docs.google.com/spreadsheets/d/""&amp;$A512&amp;""/edit#gid=156619080"",N$3)"),1596.0)</f>
        <v>1596</v>
      </c>
      <c r="O512" s="16" t="str">
        <f>IFERROR(__xludf.DUMMYFUNCTION("IMPORTRANGE(""https://docs.google.com/spreadsheets/d/""&amp;$A512&amp;""/edit#gid=156619080"",O$3)"),"22500株")</f>
        <v>22500株</v>
      </c>
      <c r="P512" s="16" t="str">
        <f>IFERROR(__xludf.DUMMYFUNCTION("IMPORTRANGE(""https://docs.google.com/spreadsheets/d/""&amp;$A512&amp;""/edit#gid=156619080"",P$3)"),"36百万円")</f>
        <v>36百万円</v>
      </c>
      <c r="Q512" s="16" t="str">
        <f>IFERROR(__xludf.DUMMYFUNCTION("IMPORTRANGE(""https://docs.google.com/spreadsheets/d/""&amp;$A512&amp;""/edit#gid=156619080"",Q$3)"),"144回")</f>
        <v>144回</v>
      </c>
      <c r="R512" s="16" t="str">
        <f>IFERROR(__xludf.DUMMYFUNCTION("IMPORTRANGE(""https://docs.google.com/spreadsheets/d/""&amp;$A512&amp;""/edit#gid=156619080"",R$3)"),"207億円")</f>
        <v>207億円</v>
      </c>
      <c r="S512" s="16" t="str">
        <f>IFERROR(__xludf.DUMMYFUNCTION("IMPORTRANGE(""https://docs.google.com/spreadsheets/d/""&amp;$A512&amp;""/edit#gid=156619080"",S$3)"),"陽線")</f>
        <v>陽線</v>
      </c>
      <c r="T512" s="16" t="str">
        <f>IFERROR(__xludf.DUMMYFUNCTION("IMPORTRANGE(""https://docs.google.com/spreadsheets/d/""&amp;$A512&amp;""/edit#gid=156619080"",T$3)"),"RSV1")</f>
        <v>RSV1</v>
      </c>
      <c r="U512" s="16">
        <f>IFERROR(__xludf.DUMMYFUNCTION("IMPORTRANGE(""https://docs.google.com/spreadsheets/d/""&amp;$A512&amp;""/edit#gid=156619080"",U$3)"),1629.6)</f>
        <v>1629.6</v>
      </c>
      <c r="V512" s="16">
        <f>IFERROR(__xludf.DUMMYFUNCTION("IMPORTRANGE(""https://docs.google.com/spreadsheets/d/""&amp;$A512&amp;""/edit#gid=156619080"",V$3)"),1661.8)</f>
        <v>1661.8</v>
      </c>
      <c r="W512" s="16">
        <f>IFERROR(__xludf.DUMMYFUNCTION("IMPORTRANGE(""https://docs.google.com/spreadsheets/d/""&amp;$A512&amp;""/edit#gid=156619080"",W$3)"),1671.2)</f>
        <v>1671.2</v>
      </c>
      <c r="X512" s="2" t="str">
        <f>IFERROR(__xludf.DUMMYFUNCTION("IMPORTRANGE(""https://docs.google.com/spreadsheets/d/""&amp;$A512&amp;""/edit#gid=156619080"",X$3)"),"")</f>
        <v/>
      </c>
      <c r="Y512" s="17">
        <f>IFERROR(__xludf.DUMMYFUNCTION("IMPORTRANGE(""https://docs.google.com/spreadsheets/d/""&amp;$A512&amp;""/edit#gid=156619080"",Y$3)"),-0.020618556701030872)</f>
        <v>-0.0206185567</v>
      </c>
      <c r="Z512" s="2">
        <f>IFERROR(__xludf.DUMMYFUNCTION("IMPORTRANGE(""https://docs.google.com/spreadsheets/d/""&amp;$A512&amp;""/edit#gid=156619080"",Z$3)"),1745.2)</f>
        <v>1745.2</v>
      </c>
      <c r="AA512" s="2">
        <f>IFERROR(__xludf.DUMMYFUNCTION("IMPORTRANGE(""https://docs.google.com/spreadsheets/d/""&amp;$A512&amp;""/edit#gid=156619080"",AA$3)"),1735.95)</f>
        <v>1735.95</v>
      </c>
      <c r="AB512" s="2">
        <f>IFERROR(__xludf.DUMMYFUNCTION("IMPORTRANGE(""https://docs.google.com/spreadsheets/d/""&amp;$A512&amp;""/edit#gid=156619080"",AB$3)"),1726.7)</f>
        <v>1726.7</v>
      </c>
      <c r="AC512" s="18">
        <f>IFERROR(__xludf.DUMMYFUNCTION("IMPORTRANGE(""https://docs.google.com/spreadsheets/d/""&amp;$A512&amp;""/edit#gid=156619080"",AC$3)"),1717.45)</f>
        <v>1717.45</v>
      </c>
      <c r="AD512" s="18">
        <f>IFERROR(__xludf.DUMMYFUNCTION("IMPORTRANGE(""https://docs.google.com/spreadsheets/d/""&amp;$A512&amp;""/edit#gid=156619080"",AD$3)"),1708.2)</f>
        <v>1708.2</v>
      </c>
      <c r="AE512" s="18">
        <f>IFERROR(__xludf.DUMMYFUNCTION("IMPORTRANGE(""https://docs.google.com/spreadsheets/d/""&amp;$A512&amp;""/edit#gid=156619080"",AE$3)"),1671.2)</f>
        <v>1671.2</v>
      </c>
      <c r="AF512" s="2">
        <f>IFERROR(__xludf.DUMMYFUNCTION("IMPORTRANGE(""https://docs.google.com/spreadsheets/d/""&amp;$A512&amp;""/edit#gid=156619080"",AF$3)"),1634.2)</f>
        <v>1634.2</v>
      </c>
      <c r="AG512" s="2">
        <f>IFERROR(__xludf.DUMMYFUNCTION("IMPORTRANGE(""https://docs.google.com/spreadsheets/d/""&amp;$A512&amp;""/edit#gid=156619080"",AG$3)"),1624.95)</f>
        <v>1624.95</v>
      </c>
      <c r="AH512" s="2">
        <f>IFERROR(__xludf.DUMMYFUNCTION("IMPORTRANGE(""https://docs.google.com/spreadsheets/d/""&amp;$A512&amp;""/edit#gid=156619080"",AH$3)"),1615.7)</f>
        <v>1615.7</v>
      </c>
      <c r="AI512" s="2">
        <f>IFERROR(__xludf.DUMMYFUNCTION("IMPORTRANGE(""https://docs.google.com/spreadsheets/d/""&amp;$A512&amp;""/edit#gid=156619080"",AI$3)"),1606.45)</f>
        <v>1606.45</v>
      </c>
      <c r="AJ512" s="2">
        <f>IFERROR(__xludf.DUMMYFUNCTION("IMPORTRANGE(""https://docs.google.com/spreadsheets/d/""&amp;$A512&amp;""/edit#gid=156619080"",AJ$3)"),1597.2)</f>
        <v>1597.2</v>
      </c>
      <c r="AK512" s="2" t="str">
        <f>IFERROR(__xludf.DUMMYFUNCTION("IMPORTRANGE(""https://docs.google.com/spreadsheets/d/""&amp;$A512&amp;""/edit#gid=156619080"",AK$3)"),"-2σ以下")</f>
        <v>-2σ以下</v>
      </c>
      <c r="AL512" s="2">
        <f>IFERROR(__xludf.DUMMYFUNCTION("IMPORTRANGE(""https://docs.google.com/spreadsheets/d/""&amp;$A512&amp;""/edit#gid=156619080"",AL$3)"),-1.0)</f>
        <v>-1</v>
      </c>
      <c r="AM512" s="2" t="str">
        <f>IFERROR(__xludf.DUMMYFUNCTION("IMPORTRANGE(""https://docs.google.com/spreadsheets/d/""&amp;$A512&amp;""/edit#gid=156619080"",AM$3)"),"")</f>
        <v/>
      </c>
      <c r="AN512" s="2">
        <f>IFERROR(__xludf.DUMMYFUNCTION("IMPORTRANGE(""https://docs.google.com/spreadsheets/d/""&amp;$A512&amp;""/edit#gid=156619080"",AN$3)"),-1.0)</f>
        <v>-1</v>
      </c>
      <c r="AO512" s="2" t="str">
        <f>IFERROR(__xludf.DUMMYFUNCTION("IMPORTRANGE(""https://docs.google.com/spreadsheets/d/""&amp;$A512&amp;""/edit#gid=156619080"",AO$3)"),"")</f>
        <v/>
      </c>
      <c r="AP512" s="2">
        <f>IFERROR(__xludf.DUMMYFUNCTION("IMPORTRANGE(""https://docs.google.com/spreadsheets/d/""&amp;$A512&amp;""/edit#gid=156619080"",AP$3)"),-1.0)</f>
        <v>-1</v>
      </c>
      <c r="AQ512" s="2" t="str">
        <f>IFERROR(__xludf.DUMMYFUNCTION("IMPORTRANGE(""https://docs.google.com/spreadsheets/d/""&amp;$A512&amp;""/edit#gid=156619080"",AQ$3)"),"")</f>
        <v/>
      </c>
      <c r="AR512" s="18">
        <f>IFERROR(__xludf.DUMMYFUNCTION("IMPORTRANGE(""https://docs.google.com/spreadsheets/d/""&amp;$A512&amp;""/edit#gid=156619080"",AR$3)"),-100.0)</f>
        <v>-100</v>
      </c>
      <c r="AS512" s="19" t="str">
        <f>IFERROR(__xludf.DUMMYFUNCTION("IMPORTRANGE(""https://docs.google.com/spreadsheets/d/""&amp;$A512&amp;""/edit#gid=156619080"",AS$3)"),"-10
-70
-100
-100
")</f>
        <v>-10
-70
-100
-100
</v>
      </c>
      <c r="AT512" s="18">
        <f>IFERROR(__xludf.DUMMYFUNCTION("IMPORTRANGE(""https://docs.google.com/spreadsheets/d/""&amp;$A512&amp;""/edit#gid=156619080"",AT$3)"),-44.505494505494504)</f>
        <v>-44.50549451</v>
      </c>
      <c r="AU512" s="3" t="str">
        <f>IFERROR(__xludf.DUMMYFUNCTION("IMPORTRANGE(""https://docs.google.com/spreadsheets/d/""&amp;$A512&amp;""/edit#gid=156619080"",AU$3)"),"60.99
45.6
12.64
-14.29
")</f>
        <v>60.99
45.6
12.64
-14.29
</v>
      </c>
      <c r="AV512" s="18">
        <f>IFERROR(__xludf.DUMMYFUNCTION("IMPORTRANGE(""https://docs.google.com/spreadsheets/d/""&amp;$A512&amp;""/edit#gid=156619080"",AV$3)"),-52.5974025974026)</f>
        <v>-52.5974026</v>
      </c>
      <c r="AW512" s="19" t="str">
        <f>IFERROR(__xludf.DUMMYFUNCTION("IMPORTRANGE(""https://docs.google.com/spreadsheets/d/""&amp;$A512&amp;""/edit#gid=156619080"",AW$3)"),"-50.52
-51.17
-52.47
-52.6
")</f>
        <v>-50.52
-51.17
-52.47
-52.6
</v>
      </c>
      <c r="AX512" s="2">
        <f>IFERROR(__xludf.DUMMYFUNCTION("IMPORTRANGE(""https://docs.google.com/spreadsheets/d/""&amp;$A512&amp;""/edit#gid=156619080"",AX$3)"),0.0)</f>
        <v>0</v>
      </c>
      <c r="AY512" s="2">
        <f>IFERROR(__xludf.DUMMYFUNCTION("IMPORTRANGE(""https://docs.google.com/spreadsheets/d/""&amp;$A512&amp;""/edit#gid=156619080"",AY$3)"),28.610000000000003)</f>
        <v>28.61</v>
      </c>
      <c r="AZ512" s="2">
        <f>IFERROR(__xludf.DUMMYFUNCTION("IMPORTRANGE(""https://docs.google.com/spreadsheets/d/""&amp;$A512&amp;""/edit#gid=156619080"",AZ$3)"),1624.78)</f>
        <v>1624.78</v>
      </c>
      <c r="BA512" s="2">
        <f>IFERROR(__xludf.DUMMYFUNCTION("IMPORTRANGE(""https://docs.google.com/spreadsheets/d/""&amp;$A512&amp;""/edit#gid=156619080"",BA$3)"),-44.12000000000012)</f>
        <v>-44.12</v>
      </c>
      <c r="BB512" s="2">
        <f>IFERROR(__xludf.DUMMYFUNCTION("IMPORTRANGE(""https://docs.google.com/spreadsheets/d/""&amp;$A512&amp;""/edit#gid=156619080"",BB$3)"),-22.13)</f>
        <v>-22.13</v>
      </c>
      <c r="BC512" s="2" t="str">
        <f>IFERROR(__xludf.DUMMYFUNCTION("IMPORTRANGE(""https://docs.google.com/spreadsheets/d/""&amp;$A512&amp;""/edit#gid=156619080"",BC$3)"),"DC→DC")</f>
        <v>DC→DC</v>
      </c>
    </row>
    <row r="513" ht="51.0" customHeight="1">
      <c r="A513" s="7" t="str">
        <f t="shared" si="5"/>
        <v>1HMmYAIbgXJRD06vnZkQjsDjZ0XG_NyFWaQWQmzvgeQc</v>
      </c>
      <c r="B513" s="1" t="s">
        <v>540</v>
      </c>
      <c r="C513" s="2">
        <f>IFERROR(__xludf.DUMMYFUNCTION("IMPORTRANGE(""https://docs.google.com/spreadsheets/d/""&amp;$A513&amp;""/edit#gid=156619080"",C$3)"),87.0)</f>
        <v>87</v>
      </c>
      <c r="D513" s="2">
        <f>IFERROR(__xludf.DUMMYFUNCTION("IMPORTRANGE(""https://docs.google.com/spreadsheets/d/""&amp;$A513&amp;""/edit#gid=156619080"",D$3)"),1893.0)</f>
        <v>1893</v>
      </c>
      <c r="E513" s="15">
        <f>IFERROR(__xludf.DUMMYFUNCTION("IMPORTRANGE(""https://docs.google.com/spreadsheets/d/""&amp;$A513&amp;""/edit#gid=156619080"",E$3)"),43882.0)</f>
        <v>43882</v>
      </c>
      <c r="F513" s="2">
        <f>IFERROR(__xludf.DUMMYFUNCTION("IMPORTRANGE(""https://docs.google.com/spreadsheets/d/""&amp;$A513&amp;""/edit#gid=156619080"",F$3)"),-8.0)</f>
        <v>-8</v>
      </c>
      <c r="G513" s="16">
        <f>IFERROR(__xludf.DUMMYFUNCTION("IMPORTRANGE(""https://docs.google.com/spreadsheets/d/""&amp;$A513&amp;""/edit#gid=156619080"",G$3)"),-1.22)</f>
        <v>-1.22</v>
      </c>
      <c r="H513" s="16">
        <f>IFERROR(__xludf.DUMMYFUNCTION("IMPORTRANGE(""https://docs.google.com/spreadsheets/d/""&amp;$A513&amp;""/edit#gid=156619080"",H$3)"),651.0)</f>
        <v>651</v>
      </c>
      <c r="I513" s="16">
        <f>IFERROR(__xludf.DUMMYFUNCTION("IMPORTRANGE(""https://docs.google.com/spreadsheets/d/""&amp;$A513&amp;""/edit#gid=156619080"",I$3)"),-1.0)</f>
        <v>-1</v>
      </c>
      <c r="J513" s="16">
        <f>IFERROR(__xludf.DUMMYFUNCTION("IMPORTRANGE(""https://docs.google.com/spreadsheets/d/""&amp;$A513&amp;""/edit#gid=156619080"",J$3)"),657.0)</f>
        <v>657</v>
      </c>
      <c r="K513" s="16">
        <f>IFERROR(__xludf.DUMMYFUNCTION("IMPORTRANGE(""https://docs.google.com/spreadsheets/d/""&amp;$A513&amp;""/edit#gid=156619080"",K$3)"),0.3784722222222222)</f>
        <v>0.3784722222</v>
      </c>
      <c r="L513" s="16">
        <f>IFERROR(__xludf.DUMMYFUNCTION("IMPORTRANGE(""https://docs.google.com/spreadsheets/d/""&amp;$A513&amp;""/edit#gid=156619080"",L$3)"),649.0)</f>
        <v>649</v>
      </c>
      <c r="M513" s="16">
        <f>IFERROR(__xludf.DUMMYFUNCTION("IMPORTRANGE(""https://docs.google.com/spreadsheets/d/""&amp;$A513&amp;""/edit#gid=156619080"",M$3)"),0.47638888888888886)</f>
        <v>0.4763888889</v>
      </c>
      <c r="N513" s="16">
        <f>IFERROR(__xludf.DUMMYFUNCTION("IMPORTRANGE(""https://docs.google.com/spreadsheets/d/""&amp;$A513&amp;""/edit#gid=156619080"",N$3)"),650.0)</f>
        <v>650</v>
      </c>
      <c r="O513" s="16" t="str">
        <f>IFERROR(__xludf.DUMMYFUNCTION("IMPORTRANGE(""https://docs.google.com/spreadsheets/d/""&amp;$A513&amp;""/edit#gid=156619080"",O$3)"),"1149700株")</f>
        <v>1149700株</v>
      </c>
      <c r="P513" s="16" t="str">
        <f>IFERROR(__xludf.DUMMYFUNCTION("IMPORTRANGE(""https://docs.google.com/spreadsheets/d/""&amp;$A513&amp;""/edit#gid=156619080"",P$3)"),"750百万円")</f>
        <v>750百万円</v>
      </c>
      <c r="Q513" s="16" t="str">
        <f>IFERROR(__xludf.DUMMYFUNCTION("IMPORTRANGE(""https://docs.google.com/spreadsheets/d/""&amp;$A513&amp;""/edit#gid=156619080"",Q$3)"),"995回")</f>
        <v>995回</v>
      </c>
      <c r="R513" s="16" t="str">
        <f>IFERROR(__xludf.DUMMYFUNCTION("IMPORTRANGE(""https://docs.google.com/spreadsheets/d/""&amp;$A513&amp;""/edit#gid=156619080"",R$3)"),"1859億円")</f>
        <v>1859億円</v>
      </c>
      <c r="S513" s="16" t="str">
        <f>IFERROR(__xludf.DUMMYFUNCTION("IMPORTRANGE(""https://docs.google.com/spreadsheets/d/""&amp;$A513&amp;""/edit#gid=156619080"",S$3)"),"陰線")</f>
        <v>陰線</v>
      </c>
      <c r="T513" s="16" t="str">
        <f>IFERROR(__xludf.DUMMYFUNCTION("IMPORTRANGE(""https://docs.google.com/spreadsheets/d/""&amp;$A513&amp;""/edit#gid=156619080"",T$3)"),"")</f>
        <v/>
      </c>
      <c r="U513" s="16">
        <f>IFERROR(__xludf.DUMMYFUNCTION("IMPORTRANGE(""https://docs.google.com/spreadsheets/d/""&amp;$A513&amp;""/edit#gid=156619080"",U$3)"),655.4)</f>
        <v>655.4</v>
      </c>
      <c r="V513" s="16">
        <f>IFERROR(__xludf.DUMMYFUNCTION("IMPORTRANGE(""https://docs.google.com/spreadsheets/d/""&amp;$A513&amp;""/edit#gid=156619080"",V$3)"),664.0)</f>
        <v>664</v>
      </c>
      <c r="W513" s="16">
        <f>IFERROR(__xludf.DUMMYFUNCTION("IMPORTRANGE(""https://docs.google.com/spreadsheets/d/""&amp;$A513&amp;""/edit#gid=156619080"",W$3)"),673.4)</f>
        <v>673.4</v>
      </c>
      <c r="X513" s="2" t="str">
        <f>IFERROR(__xludf.DUMMYFUNCTION("IMPORTRANGE(""https://docs.google.com/spreadsheets/d/""&amp;$A513&amp;""/edit#gid=156619080"",X$3)"),"")</f>
        <v/>
      </c>
      <c r="Y513" s="17">
        <f>IFERROR(__xludf.DUMMYFUNCTION("IMPORTRANGE(""https://docs.google.com/spreadsheets/d/""&amp;$A513&amp;""/edit#gid=156619080"",Y$3)"),-0.008239243210253246)</f>
        <v>-0.00823924321</v>
      </c>
      <c r="Z513" s="2">
        <f>IFERROR(__xludf.DUMMYFUNCTION("IMPORTRANGE(""https://docs.google.com/spreadsheets/d/""&amp;$A513&amp;""/edit#gid=156619080"",Z$3)"),702.56)</f>
        <v>702.56</v>
      </c>
      <c r="AA513" s="2">
        <f>IFERROR(__xludf.DUMMYFUNCTION("IMPORTRANGE(""https://docs.google.com/spreadsheets/d/""&amp;$A513&amp;""/edit#gid=156619080"",AA$3)"),698.91)</f>
        <v>698.91</v>
      </c>
      <c r="AB513" s="2">
        <f>IFERROR(__xludf.DUMMYFUNCTION("IMPORTRANGE(""https://docs.google.com/spreadsheets/d/""&amp;$A513&amp;""/edit#gid=156619080"",AB$3)"),695.27)</f>
        <v>695.27</v>
      </c>
      <c r="AC513" s="18">
        <f>IFERROR(__xludf.DUMMYFUNCTION("IMPORTRANGE(""https://docs.google.com/spreadsheets/d/""&amp;$A513&amp;""/edit#gid=156619080"",AC$3)"),691.62)</f>
        <v>691.62</v>
      </c>
      <c r="AD513" s="18">
        <f>IFERROR(__xludf.DUMMYFUNCTION("IMPORTRANGE(""https://docs.google.com/spreadsheets/d/""&amp;$A513&amp;""/edit#gid=156619080"",AD$3)"),687.98)</f>
        <v>687.98</v>
      </c>
      <c r="AE513" s="18">
        <f>IFERROR(__xludf.DUMMYFUNCTION("IMPORTRANGE(""https://docs.google.com/spreadsheets/d/""&amp;$A513&amp;""/edit#gid=156619080"",AE$3)"),673.4)</f>
        <v>673.4</v>
      </c>
      <c r="AF513" s="2">
        <f>IFERROR(__xludf.DUMMYFUNCTION("IMPORTRANGE(""https://docs.google.com/spreadsheets/d/""&amp;$A513&amp;""/edit#gid=156619080"",AF$3)"),658.82)</f>
        <v>658.82</v>
      </c>
      <c r="AG513" s="2">
        <f>IFERROR(__xludf.DUMMYFUNCTION("IMPORTRANGE(""https://docs.google.com/spreadsheets/d/""&amp;$A513&amp;""/edit#gid=156619080"",AG$3)"),655.18)</f>
        <v>655.18</v>
      </c>
      <c r="AH513" s="2">
        <f>IFERROR(__xludf.DUMMYFUNCTION("IMPORTRANGE(""https://docs.google.com/spreadsheets/d/""&amp;$A513&amp;""/edit#gid=156619080"",AH$3)"),651.53)</f>
        <v>651.53</v>
      </c>
      <c r="AI513" s="2">
        <f>IFERROR(__xludf.DUMMYFUNCTION("IMPORTRANGE(""https://docs.google.com/spreadsheets/d/""&amp;$A513&amp;""/edit#gid=156619080"",AI$3)"),647.89)</f>
        <v>647.89</v>
      </c>
      <c r="AJ513" s="2">
        <f>IFERROR(__xludf.DUMMYFUNCTION("IMPORTRANGE(""https://docs.google.com/spreadsheets/d/""&amp;$A513&amp;""/edit#gid=156619080"",AJ$3)"),644.24)</f>
        <v>644.24</v>
      </c>
      <c r="AK513" s="2" t="str">
        <f>IFERROR(__xludf.DUMMYFUNCTION("IMPORTRANGE(""https://docs.google.com/spreadsheets/d/""&amp;$A513&amp;""/edit#gid=156619080"",AK$3)"),"-1.5σ〜-1.75σ")</f>
        <v>-1.5σ〜-1.75σ</v>
      </c>
      <c r="AL513" s="2">
        <f>IFERROR(__xludf.DUMMYFUNCTION("IMPORTRANGE(""https://docs.google.com/spreadsheets/d/""&amp;$A513&amp;""/edit#gid=156619080"",AL$3)"),-1.0)</f>
        <v>-1</v>
      </c>
      <c r="AM513" s="2" t="str">
        <f>IFERROR(__xludf.DUMMYFUNCTION("IMPORTRANGE(""https://docs.google.com/spreadsheets/d/""&amp;$A513&amp;""/edit#gid=156619080"",AM$3)"),"")</f>
        <v/>
      </c>
      <c r="AN513" s="2">
        <f>IFERROR(__xludf.DUMMYFUNCTION("IMPORTRANGE(""https://docs.google.com/spreadsheets/d/""&amp;$A513&amp;""/edit#gid=156619080"",AN$3)"),-1.0)</f>
        <v>-1</v>
      </c>
      <c r="AO513" s="2" t="str">
        <f>IFERROR(__xludf.DUMMYFUNCTION("IMPORTRANGE(""https://docs.google.com/spreadsheets/d/""&amp;$A513&amp;""/edit#gid=156619080"",AO$3)"),"")</f>
        <v/>
      </c>
      <c r="AP513" s="2">
        <f>IFERROR(__xludf.DUMMYFUNCTION("IMPORTRANGE(""https://docs.google.com/spreadsheets/d/""&amp;$A513&amp;""/edit#gid=156619080"",AP$3)"),-1.0)</f>
        <v>-1</v>
      </c>
      <c r="AQ513" s="2" t="str">
        <f>IFERROR(__xludf.DUMMYFUNCTION("IMPORTRANGE(""https://docs.google.com/spreadsheets/d/""&amp;$A513&amp;""/edit#gid=156619080"",AQ$3)"),"")</f>
        <v/>
      </c>
      <c r="AR513" s="18">
        <f>IFERROR(__xludf.DUMMYFUNCTION("IMPORTRANGE(""https://docs.google.com/spreadsheets/d/""&amp;$A513&amp;""/edit#gid=156619080"",AR$3)"),-85.00000000000001)</f>
        <v>-85</v>
      </c>
      <c r="AS513" s="19" t="str">
        <f>IFERROR(__xludf.DUMMYFUNCTION("IMPORTRANGE(""https://docs.google.com/spreadsheets/d/""&amp;$A513&amp;""/edit#gid=156619080"",AS$3)"),"-85
-85
-85
-85
")</f>
        <v>-85
-85
-85
-85
</v>
      </c>
      <c r="AT513" s="18">
        <f>IFERROR(__xludf.DUMMYFUNCTION("IMPORTRANGE(""https://docs.google.com/spreadsheets/d/""&amp;$A513&amp;""/edit#gid=156619080"",AT$3)"),-97.52747252747254)</f>
        <v>-97.52747253</v>
      </c>
      <c r="AU513" s="3" t="str">
        <f>IFERROR(__xludf.DUMMYFUNCTION("IMPORTRANGE(""https://docs.google.com/spreadsheets/d/""&amp;$A513&amp;""/edit#gid=156619080"",AU$3)"),"-97.53
-97.53
-97.53
-97.53
")</f>
        <v>-97.53
-97.53
-97.53
-97.53
</v>
      </c>
      <c r="AV513" s="18">
        <f>IFERROR(__xludf.DUMMYFUNCTION("IMPORTRANGE(""https://docs.google.com/spreadsheets/d/""&amp;$A513&amp;""/edit#gid=156619080"",AV$3)"),-97.07792207792207)</f>
        <v>-97.07792208</v>
      </c>
      <c r="AW513" s="19" t="str">
        <f>IFERROR(__xludf.DUMMYFUNCTION("IMPORTRANGE(""https://docs.google.com/spreadsheets/d/""&amp;$A513&amp;""/edit#gid=156619080"",AW$3)"),"-60.45
-74.09
-85.78
-95.91
")</f>
        <v>-60.45
-74.09
-85.78
-95.91
</v>
      </c>
      <c r="AX513" s="2">
        <f>IFERROR(__xludf.DUMMYFUNCTION("IMPORTRANGE(""https://docs.google.com/spreadsheets/d/""&amp;$A513&amp;""/edit#gid=156619080"",AX$3)"),0.0)</f>
        <v>0</v>
      </c>
      <c r="AY513" s="2">
        <f>IFERROR(__xludf.DUMMYFUNCTION("IMPORTRANGE(""https://docs.google.com/spreadsheets/d/""&amp;$A513&amp;""/edit#gid=156619080"",AY$3)"),11.32)</f>
        <v>11.32</v>
      </c>
      <c r="AZ513" s="2">
        <f>IFERROR(__xludf.DUMMYFUNCTION("IMPORTRANGE(""https://docs.google.com/spreadsheets/d/""&amp;$A513&amp;""/edit#gid=156619080"",AZ$3)"),654.65)</f>
        <v>654.65</v>
      </c>
      <c r="BA513" s="2">
        <f>IFERROR(__xludf.DUMMYFUNCTION("IMPORTRANGE(""https://docs.google.com/spreadsheets/d/""&amp;$A513&amp;""/edit#gid=156619080"",BA$3)"),-11.490000000000009)</f>
        <v>-11.49</v>
      </c>
      <c r="BB513" s="2">
        <f>IFERROR(__xludf.DUMMYFUNCTION("IMPORTRANGE(""https://docs.google.com/spreadsheets/d/""&amp;$A513&amp;""/edit#gid=156619080"",BB$3)"),-5.85)</f>
        <v>-5.85</v>
      </c>
      <c r="BC513" s="2" t="str">
        <f>IFERROR(__xludf.DUMMYFUNCTION("IMPORTRANGE(""https://docs.google.com/spreadsheets/d/""&amp;$A513&amp;""/edit#gid=156619080"",BC$3)"),"DC→DC")</f>
        <v>DC→DC</v>
      </c>
    </row>
    <row r="514" ht="51.0" customHeight="1">
      <c r="A514" s="7" t="str">
        <f t="shared" si="5"/>
        <v>1H7z6wS-djXxfvjEz9mgfKB6iDK6tHDxMksBUNRr2b_Q</v>
      </c>
      <c r="B514" s="1" t="s">
        <v>541</v>
      </c>
      <c r="C514" s="2">
        <f>IFERROR(__xludf.DUMMYFUNCTION("IMPORTRANGE(""https://docs.google.com/spreadsheets/d/""&amp;$A514&amp;""/edit#gid=156619080"",C$3)"),45.0)</f>
        <v>45</v>
      </c>
      <c r="D514" s="2">
        <f>IFERROR(__xludf.DUMMYFUNCTION("IMPORTRANGE(""https://docs.google.com/spreadsheets/d/""&amp;$A514&amp;""/edit#gid=156619080"",D$3)"),1898.0)</f>
        <v>1898</v>
      </c>
      <c r="E514" s="15">
        <f>IFERROR(__xludf.DUMMYFUNCTION("IMPORTRANGE(""https://docs.google.com/spreadsheets/d/""&amp;$A514&amp;""/edit#gid=156619080"",E$3)"),43882.0)</f>
        <v>43882</v>
      </c>
      <c r="F514" s="2">
        <f>IFERROR(__xludf.DUMMYFUNCTION("IMPORTRANGE(""https://docs.google.com/spreadsheets/d/""&amp;$A514&amp;""/edit#gid=156619080"",F$3)"),-8.0)</f>
        <v>-8</v>
      </c>
      <c r="G514" s="16">
        <f>IFERROR(__xludf.DUMMYFUNCTION("IMPORTRANGE(""https://docs.google.com/spreadsheets/d/""&amp;$A514&amp;""/edit#gid=156619080"",G$3)"),-0.91)</f>
        <v>-0.91</v>
      </c>
      <c r="H514" s="16">
        <f>IFERROR(__xludf.DUMMYFUNCTION("IMPORTRANGE(""https://docs.google.com/spreadsheets/d/""&amp;$A514&amp;""/edit#gid=156619080"",H$3)"),881.0)</f>
        <v>881</v>
      </c>
      <c r="I514" s="16">
        <f>IFERROR(__xludf.DUMMYFUNCTION("IMPORTRANGE(""https://docs.google.com/spreadsheets/d/""&amp;$A514&amp;""/edit#gid=156619080"",I$3)"),2.0)</f>
        <v>2</v>
      </c>
      <c r="J514" s="16">
        <f>IFERROR(__xludf.DUMMYFUNCTION("IMPORTRANGE(""https://docs.google.com/spreadsheets/d/""&amp;$A514&amp;""/edit#gid=156619080"",J$3)"),883.0)</f>
        <v>883</v>
      </c>
      <c r="K514" s="16">
        <f>IFERROR(__xludf.DUMMYFUNCTION("IMPORTRANGE(""https://docs.google.com/spreadsheets/d/""&amp;$A514&amp;""/edit#gid=156619080"",K$3)"),0.375)</f>
        <v>0.375</v>
      </c>
      <c r="L514" s="16">
        <f>IFERROR(__xludf.DUMMYFUNCTION("IMPORTRANGE(""https://docs.google.com/spreadsheets/d/""&amp;$A514&amp;""/edit#gid=156619080"",L$3)"),875.0)</f>
        <v>875</v>
      </c>
      <c r="M514" s="16">
        <f>IFERROR(__xludf.DUMMYFUNCTION("IMPORTRANGE(""https://docs.google.com/spreadsheets/d/""&amp;$A514&amp;""/edit#gid=156619080"",M$3)"),0.6180555555555556)</f>
        <v>0.6180555556</v>
      </c>
      <c r="N514" s="16">
        <f>IFERROR(__xludf.DUMMYFUNCTION("IMPORTRANGE(""https://docs.google.com/spreadsheets/d/""&amp;$A514&amp;""/edit#gid=156619080"",N$3)"),875.0)</f>
        <v>875</v>
      </c>
      <c r="O514" s="16" t="str">
        <f>IFERROR(__xludf.DUMMYFUNCTION("IMPORTRANGE(""https://docs.google.com/spreadsheets/d/""&amp;$A514&amp;""/edit#gid=156619080"",O$3)"),"76300株")</f>
        <v>76300株</v>
      </c>
      <c r="P514" s="16" t="str">
        <f>IFERROR(__xludf.DUMMYFUNCTION("IMPORTRANGE(""https://docs.google.com/spreadsheets/d/""&amp;$A514&amp;""/edit#gid=156619080"",P$3)"),"67百万円")</f>
        <v>67百万円</v>
      </c>
      <c r="Q514" s="16" t="str">
        <f>IFERROR(__xludf.DUMMYFUNCTION("IMPORTRANGE(""https://docs.google.com/spreadsheets/d/""&amp;$A514&amp;""/edit#gid=156619080"",Q$3)"),"222回")</f>
        <v>222回</v>
      </c>
      <c r="R514" s="16" t="str">
        <f>IFERROR(__xludf.DUMMYFUNCTION("IMPORTRANGE(""https://docs.google.com/spreadsheets/d/""&amp;$A514&amp;""/edit#gid=156619080"",R$3)"),"354億円")</f>
        <v>354億円</v>
      </c>
      <c r="S514" s="16" t="str">
        <f>IFERROR(__xludf.DUMMYFUNCTION("IMPORTRANGE(""https://docs.google.com/spreadsheets/d/""&amp;$A514&amp;""/edit#gid=156619080"",S$3)"),"陰線")</f>
        <v>陰線</v>
      </c>
      <c r="T514" s="16" t="str">
        <f>IFERROR(__xludf.DUMMYFUNCTION("IMPORTRANGE(""https://docs.google.com/spreadsheets/d/""&amp;$A514&amp;""/edit#gid=156619080"",T$3)"),"")</f>
        <v/>
      </c>
      <c r="U514" s="16">
        <f>IFERROR(__xludf.DUMMYFUNCTION("IMPORTRANGE(""https://docs.google.com/spreadsheets/d/""&amp;$A514&amp;""/edit#gid=156619080"",U$3)"),885.8)</f>
        <v>885.8</v>
      </c>
      <c r="V514" s="16">
        <f>IFERROR(__xludf.DUMMYFUNCTION("IMPORTRANGE(""https://docs.google.com/spreadsheets/d/""&amp;$A514&amp;""/edit#gid=156619080"",V$3)"),902.2)</f>
        <v>902.2</v>
      </c>
      <c r="W514" s="16">
        <f>IFERROR(__xludf.DUMMYFUNCTION("IMPORTRANGE(""https://docs.google.com/spreadsheets/d/""&amp;$A514&amp;""/edit#gid=156619080"",W$3)"),919.0)</f>
        <v>919</v>
      </c>
      <c r="X514" s="2" t="str">
        <f>IFERROR(__xludf.DUMMYFUNCTION("IMPORTRANGE(""https://docs.google.com/spreadsheets/d/""&amp;$A514&amp;""/edit#gid=156619080"",X$3)"),"")</f>
        <v/>
      </c>
      <c r="Y514" s="17">
        <f>IFERROR(__xludf.DUMMYFUNCTION("IMPORTRANGE(""https://docs.google.com/spreadsheets/d/""&amp;$A514&amp;""/edit#gid=156619080"",Y$3)"),-0.012192368480469581)</f>
        <v>-0.01219236848</v>
      </c>
      <c r="Z514" s="2">
        <f>IFERROR(__xludf.DUMMYFUNCTION("IMPORTRANGE(""https://docs.google.com/spreadsheets/d/""&amp;$A514&amp;""/edit#gid=156619080"",Z$3)"),977.7)</f>
        <v>977.7</v>
      </c>
      <c r="AA514" s="2">
        <f>IFERROR(__xludf.DUMMYFUNCTION("IMPORTRANGE(""https://docs.google.com/spreadsheets/d/""&amp;$A514&amp;""/edit#gid=156619080"",AA$3)"),970.36)</f>
        <v>970.36</v>
      </c>
      <c r="AB514" s="2">
        <f>IFERROR(__xludf.DUMMYFUNCTION("IMPORTRANGE(""https://docs.google.com/spreadsheets/d/""&amp;$A514&amp;""/edit#gid=156619080"",AB$3)"),963.02)</f>
        <v>963.02</v>
      </c>
      <c r="AC514" s="18">
        <f>IFERROR(__xludf.DUMMYFUNCTION("IMPORTRANGE(""https://docs.google.com/spreadsheets/d/""&amp;$A514&amp;""/edit#gid=156619080"",AC$3)"),955.68)</f>
        <v>955.68</v>
      </c>
      <c r="AD514" s="18">
        <f>IFERROR(__xludf.DUMMYFUNCTION("IMPORTRANGE(""https://docs.google.com/spreadsheets/d/""&amp;$A514&amp;""/edit#gid=156619080"",AD$3)"),948.35)</f>
        <v>948.35</v>
      </c>
      <c r="AE514" s="18">
        <f>IFERROR(__xludf.DUMMYFUNCTION("IMPORTRANGE(""https://docs.google.com/spreadsheets/d/""&amp;$A514&amp;""/edit#gid=156619080"",AE$3)"),919.0)</f>
        <v>919</v>
      </c>
      <c r="AF514" s="2">
        <f>IFERROR(__xludf.DUMMYFUNCTION("IMPORTRANGE(""https://docs.google.com/spreadsheets/d/""&amp;$A514&amp;""/edit#gid=156619080"",AF$3)"),889.65)</f>
        <v>889.65</v>
      </c>
      <c r="AG514" s="2">
        <f>IFERROR(__xludf.DUMMYFUNCTION("IMPORTRANGE(""https://docs.google.com/spreadsheets/d/""&amp;$A514&amp;""/edit#gid=156619080"",AG$3)"),882.32)</f>
        <v>882.32</v>
      </c>
      <c r="AH514" s="2">
        <f>IFERROR(__xludf.DUMMYFUNCTION("IMPORTRANGE(""https://docs.google.com/spreadsheets/d/""&amp;$A514&amp;""/edit#gid=156619080"",AH$3)"),874.98)</f>
        <v>874.98</v>
      </c>
      <c r="AI514" s="2">
        <f>IFERROR(__xludf.DUMMYFUNCTION("IMPORTRANGE(""https://docs.google.com/spreadsheets/d/""&amp;$A514&amp;""/edit#gid=156619080"",AI$3)"),867.64)</f>
        <v>867.64</v>
      </c>
      <c r="AJ514" s="2">
        <f>IFERROR(__xludf.DUMMYFUNCTION("IMPORTRANGE(""https://docs.google.com/spreadsheets/d/""&amp;$A514&amp;""/edit#gid=156619080"",AJ$3)"),860.3)</f>
        <v>860.3</v>
      </c>
      <c r="AK514" s="2" t="str">
        <f>IFERROR(__xludf.DUMMYFUNCTION("IMPORTRANGE(""https://docs.google.com/spreadsheets/d/""&amp;$A514&amp;""/edit#gid=156619080"",AK$3)"),"-1.25σ〜-1.5σ")</f>
        <v>-1.25σ〜-1.5σ</v>
      </c>
      <c r="AL514" s="2">
        <f>IFERROR(__xludf.DUMMYFUNCTION("IMPORTRANGE(""https://docs.google.com/spreadsheets/d/""&amp;$A514&amp;""/edit#gid=156619080"",AL$3)"),-1.0)</f>
        <v>-1</v>
      </c>
      <c r="AM514" s="2" t="str">
        <f>IFERROR(__xludf.DUMMYFUNCTION("IMPORTRANGE(""https://docs.google.com/spreadsheets/d/""&amp;$A514&amp;""/edit#gid=156619080"",AM$3)"),"")</f>
        <v/>
      </c>
      <c r="AN514" s="2">
        <f>IFERROR(__xludf.DUMMYFUNCTION("IMPORTRANGE(""https://docs.google.com/spreadsheets/d/""&amp;$A514&amp;""/edit#gid=156619080"",AN$3)"),-1.0)</f>
        <v>-1</v>
      </c>
      <c r="AO514" s="2" t="str">
        <f>IFERROR(__xludf.DUMMYFUNCTION("IMPORTRANGE(""https://docs.google.com/spreadsheets/d/""&amp;$A514&amp;""/edit#gid=156619080"",AO$3)"),"")</f>
        <v/>
      </c>
      <c r="AP514" s="2">
        <f>IFERROR(__xludf.DUMMYFUNCTION("IMPORTRANGE(""https://docs.google.com/spreadsheets/d/""&amp;$A514&amp;""/edit#gid=156619080"",AP$3)"),-1.0)</f>
        <v>-1</v>
      </c>
      <c r="AQ514" s="2" t="str">
        <f>IFERROR(__xludf.DUMMYFUNCTION("IMPORTRANGE(""https://docs.google.com/spreadsheets/d/""&amp;$A514&amp;""/edit#gid=156619080"",AQ$3)"),"")</f>
        <v/>
      </c>
      <c r="AR514" s="18">
        <f>IFERROR(__xludf.DUMMYFUNCTION("IMPORTRANGE(""https://docs.google.com/spreadsheets/d/""&amp;$A514&amp;""/edit#gid=156619080"",AR$3)"),-89.99999999999999)</f>
        <v>-90</v>
      </c>
      <c r="AS514" s="19" t="str">
        <f>IFERROR(__xludf.DUMMYFUNCTION("IMPORTRANGE(""https://docs.google.com/spreadsheets/d/""&amp;$A514&amp;""/edit#gid=156619080"",AS$3)"),"-82.5
-90
-80
-90
")</f>
        <v>-82.5
-90
-80
-90
</v>
      </c>
      <c r="AT514" s="18">
        <f>IFERROR(__xludf.DUMMYFUNCTION("IMPORTRANGE(""https://docs.google.com/spreadsheets/d/""&amp;$A514&amp;""/edit#gid=156619080"",AT$3)"),-93.54395604395604)</f>
        <v>-93.54395604</v>
      </c>
      <c r="AU514" s="3" t="str">
        <f>IFERROR(__xludf.DUMMYFUNCTION("IMPORTRANGE(""https://docs.google.com/spreadsheets/d/""&amp;$A514&amp;""/edit#gid=156619080"",AU$3)"),"-77.61
-77.61
-83.1
-88.05
")</f>
        <v>-77.61
-77.61
-83.1
-88.05
</v>
      </c>
      <c r="AV514" s="18">
        <f>IFERROR(__xludf.DUMMYFUNCTION("IMPORTRANGE(""https://docs.google.com/spreadsheets/d/""&amp;$A514&amp;""/edit#gid=156619080"",AV$3)"),-94.31818181818181)</f>
        <v>-94.31818182</v>
      </c>
      <c r="AW514" s="19" t="str">
        <f>IFERROR(__xludf.DUMMYFUNCTION("IMPORTRANGE(""https://docs.google.com/spreadsheets/d/""&amp;$A514&amp;""/edit#gid=156619080"",AW$3)"),"-86.01
-92.5
-94.32
-94.32
")</f>
        <v>-86.01
-92.5
-94.32
-94.32
</v>
      </c>
      <c r="AX514" s="2">
        <f>IFERROR(__xludf.DUMMYFUNCTION("IMPORTRANGE(""https://docs.google.com/spreadsheets/d/""&amp;$A514&amp;""/edit#gid=156619080"",AX$3)"),9.379999999999999)</f>
        <v>9.38</v>
      </c>
      <c r="AY514" s="2">
        <f>IFERROR(__xludf.DUMMYFUNCTION("IMPORTRANGE(""https://docs.google.com/spreadsheets/d/""&amp;$A514&amp;""/edit#gid=156619080"",AY$3)"),18.32)</f>
        <v>18.32</v>
      </c>
      <c r="AZ514" s="2">
        <f>IFERROR(__xludf.DUMMYFUNCTION("IMPORTRANGE(""https://docs.google.com/spreadsheets/d/""&amp;$A514&amp;""/edit#gid=156619080"",AZ$3)"),885.26)</f>
        <v>885.26</v>
      </c>
      <c r="BA514" s="2">
        <f>IFERROR(__xludf.DUMMYFUNCTION("IMPORTRANGE(""https://docs.google.com/spreadsheets/d/""&amp;$A514&amp;""/edit#gid=156619080"",BA$3)"),-22.230000000000018)</f>
        <v>-22.23</v>
      </c>
      <c r="BB514" s="2">
        <f>IFERROR(__xludf.DUMMYFUNCTION("IMPORTRANGE(""https://docs.google.com/spreadsheets/d/""&amp;$A514&amp;""/edit#gid=156619080"",BB$3)"),-9.82)</f>
        <v>-9.82</v>
      </c>
      <c r="BC514" s="2" t="str">
        <f>IFERROR(__xludf.DUMMYFUNCTION("IMPORTRANGE(""https://docs.google.com/spreadsheets/d/""&amp;$A514&amp;""/edit#gid=156619080"",BC$3)"),"DC→DC")</f>
        <v>DC→DC</v>
      </c>
    </row>
    <row r="515" ht="51.0" customHeight="1">
      <c r="A515" s="7" t="str">
        <f t="shared" si="5"/>
        <v>1dxsSQYtScxlWrWwjbAWKRrb3fm3sbxYqrHXtnvns5Dg</v>
      </c>
      <c r="B515" s="1" t="s">
        <v>542</v>
      </c>
      <c r="C515" s="2">
        <f>IFERROR(__xludf.DUMMYFUNCTION("IMPORTRANGE(""https://docs.google.com/spreadsheets/d/""&amp;$A515&amp;""/edit#gid=156619080"",C$3)"),45.0)</f>
        <v>45</v>
      </c>
      <c r="D515" s="2">
        <f>IFERROR(__xludf.DUMMYFUNCTION("IMPORTRANGE(""https://docs.google.com/spreadsheets/d/""&amp;$A515&amp;""/edit#gid=156619080"",D$3)"),1905.0)</f>
        <v>1905</v>
      </c>
      <c r="E515" s="15">
        <f>IFERROR(__xludf.DUMMYFUNCTION("IMPORTRANGE(""https://docs.google.com/spreadsheets/d/""&amp;$A515&amp;""/edit#gid=156619080"",E$3)"),43882.0)</f>
        <v>43882</v>
      </c>
      <c r="F515" s="2">
        <f>IFERROR(__xludf.DUMMYFUNCTION("IMPORTRANGE(""https://docs.google.com/spreadsheets/d/""&amp;$A515&amp;""/edit#gid=156619080"",F$3)"),9.0)</f>
        <v>9</v>
      </c>
      <c r="G515" s="16">
        <f>IFERROR(__xludf.DUMMYFUNCTION("IMPORTRANGE(""https://docs.google.com/spreadsheets/d/""&amp;$A515&amp;""/edit#gid=156619080"",G$3)"),0.92)</f>
        <v>0.92</v>
      </c>
      <c r="H515" s="16">
        <f>IFERROR(__xludf.DUMMYFUNCTION("IMPORTRANGE(""https://docs.google.com/spreadsheets/d/""&amp;$A515&amp;""/edit#gid=156619080"",H$3)"),973.0)</f>
        <v>973</v>
      </c>
      <c r="I515" s="16">
        <f>IFERROR(__xludf.DUMMYFUNCTION("IMPORTRANGE(""https://docs.google.com/spreadsheets/d/""&amp;$A515&amp;""/edit#gid=156619080"",I$3)"),0.0)</f>
        <v>0</v>
      </c>
      <c r="J515" s="16">
        <f>IFERROR(__xludf.DUMMYFUNCTION("IMPORTRANGE(""https://docs.google.com/spreadsheets/d/""&amp;$A515&amp;""/edit#gid=156619080"",J$3)"),984.0)</f>
        <v>984</v>
      </c>
      <c r="K515" s="16">
        <f>IFERROR(__xludf.DUMMYFUNCTION("IMPORTRANGE(""https://docs.google.com/spreadsheets/d/""&amp;$A515&amp;""/edit#gid=156619080"",K$3)"),0.5326388888888889)</f>
        <v>0.5326388889</v>
      </c>
      <c r="L515" s="16">
        <f>IFERROR(__xludf.DUMMYFUNCTION("IMPORTRANGE(""https://docs.google.com/spreadsheets/d/""&amp;$A515&amp;""/edit#gid=156619080"",L$3)"),968.0)</f>
        <v>968</v>
      </c>
      <c r="M515" s="16">
        <f>IFERROR(__xludf.DUMMYFUNCTION("IMPORTRANGE(""https://docs.google.com/spreadsheets/d/""&amp;$A515&amp;""/edit#gid=156619080"",M$3)"),0.3819444444444444)</f>
        <v>0.3819444444</v>
      </c>
      <c r="N515" s="16">
        <f>IFERROR(__xludf.DUMMYFUNCTION("IMPORTRANGE(""https://docs.google.com/spreadsheets/d/""&amp;$A515&amp;""/edit#gid=156619080"",N$3)"),982.0)</f>
        <v>982</v>
      </c>
      <c r="O515" s="16" t="str">
        <f>IFERROR(__xludf.DUMMYFUNCTION("IMPORTRANGE(""https://docs.google.com/spreadsheets/d/""&amp;$A515&amp;""/edit#gid=156619080"",O$3)"),"8400株")</f>
        <v>8400株</v>
      </c>
      <c r="P515" s="16" t="str">
        <f>IFERROR(__xludf.DUMMYFUNCTION("IMPORTRANGE(""https://docs.google.com/spreadsheets/d/""&amp;$A515&amp;""/edit#gid=156619080"",P$3)"),"8百万円")</f>
        <v>8百万円</v>
      </c>
      <c r="Q515" s="16" t="str">
        <f>IFERROR(__xludf.DUMMYFUNCTION("IMPORTRANGE(""https://docs.google.com/spreadsheets/d/""&amp;$A515&amp;""/edit#gid=156619080"",Q$3)"),"47回")</f>
        <v>47回</v>
      </c>
      <c r="R515" s="16" t="str">
        <f>IFERROR(__xludf.DUMMYFUNCTION("IMPORTRANGE(""https://docs.google.com/spreadsheets/d/""&amp;$A515&amp;""/edit#gid=156619080"",R$3)"),"75.6億円")</f>
        <v>75.6億円</v>
      </c>
      <c r="S515" s="16" t="str">
        <f>IFERROR(__xludf.DUMMYFUNCTION("IMPORTRANGE(""https://docs.google.com/spreadsheets/d/""&amp;$A515&amp;""/edit#gid=156619080"",S$3)"),"陽線")</f>
        <v>陽線</v>
      </c>
      <c r="T515" s="16" t="str">
        <f>IFERROR(__xludf.DUMMYFUNCTION("IMPORTRANGE(""https://docs.google.com/spreadsheets/d/""&amp;$A515&amp;""/edit#gid=156619080"",T$3)"),"")</f>
        <v/>
      </c>
      <c r="U515" s="16">
        <f>IFERROR(__xludf.DUMMYFUNCTION("IMPORTRANGE(""https://docs.google.com/spreadsheets/d/""&amp;$A515&amp;""/edit#gid=156619080"",U$3)"),975.6)</f>
        <v>975.6</v>
      </c>
      <c r="V515" s="16">
        <f>IFERROR(__xludf.DUMMYFUNCTION("IMPORTRANGE(""https://docs.google.com/spreadsheets/d/""&amp;$A515&amp;""/edit#gid=156619080"",V$3)"),979.1)</f>
        <v>979.1</v>
      </c>
      <c r="W515" s="16">
        <f>IFERROR(__xludf.DUMMYFUNCTION("IMPORTRANGE(""https://docs.google.com/spreadsheets/d/""&amp;$A515&amp;""/edit#gid=156619080"",W$3)"),965.5)</f>
        <v>965.5</v>
      </c>
      <c r="X515" s="2" t="str">
        <f>IFERROR(__xludf.DUMMYFUNCTION("IMPORTRANGE(""https://docs.google.com/spreadsheets/d/""&amp;$A515&amp;""/edit#gid=156619080"",X$3)"),"")</f>
        <v/>
      </c>
      <c r="Y515" s="17">
        <f>IFERROR(__xludf.DUMMYFUNCTION("IMPORTRANGE(""https://docs.google.com/spreadsheets/d/""&amp;$A515&amp;""/edit#gid=156619080"",Y$3)"),0.006560065600655983)</f>
        <v>0.006560065601</v>
      </c>
      <c r="Z515" s="2">
        <f>IFERROR(__xludf.DUMMYFUNCTION("IMPORTRANGE(""https://docs.google.com/spreadsheets/d/""&amp;$A515&amp;""/edit#gid=156619080"",Z$3)"),1022.9)</f>
        <v>1022.9</v>
      </c>
      <c r="AA515" s="2">
        <f>IFERROR(__xludf.DUMMYFUNCTION("IMPORTRANGE(""https://docs.google.com/spreadsheets/d/""&amp;$A515&amp;""/edit#gid=156619080"",AA$3)"),1015.73)</f>
        <v>1015.73</v>
      </c>
      <c r="AB515" s="2">
        <f>IFERROR(__xludf.DUMMYFUNCTION("IMPORTRANGE(""https://docs.google.com/spreadsheets/d/""&amp;$A515&amp;""/edit#gid=156619080"",AB$3)"),1008.55)</f>
        <v>1008.55</v>
      </c>
      <c r="AC515" s="18">
        <f>IFERROR(__xludf.DUMMYFUNCTION("IMPORTRANGE(""https://docs.google.com/spreadsheets/d/""&amp;$A515&amp;""/edit#gid=156619080"",AC$3)"),1001.38)</f>
        <v>1001.38</v>
      </c>
      <c r="AD515" s="18">
        <f>IFERROR(__xludf.DUMMYFUNCTION("IMPORTRANGE(""https://docs.google.com/spreadsheets/d/""&amp;$A515&amp;""/edit#gid=156619080"",AD$3)"),994.2)</f>
        <v>994.2</v>
      </c>
      <c r="AE515" s="18">
        <f>IFERROR(__xludf.DUMMYFUNCTION("IMPORTRANGE(""https://docs.google.com/spreadsheets/d/""&amp;$A515&amp;""/edit#gid=156619080"",AE$3)"),965.5)</f>
        <v>965.5</v>
      </c>
      <c r="AF515" s="2">
        <f>IFERROR(__xludf.DUMMYFUNCTION("IMPORTRANGE(""https://docs.google.com/spreadsheets/d/""&amp;$A515&amp;""/edit#gid=156619080"",AF$3)"),936.8)</f>
        <v>936.8</v>
      </c>
      <c r="AG515" s="2">
        <f>IFERROR(__xludf.DUMMYFUNCTION("IMPORTRANGE(""https://docs.google.com/spreadsheets/d/""&amp;$A515&amp;""/edit#gid=156619080"",AG$3)"),929.62)</f>
        <v>929.62</v>
      </c>
      <c r="AH515" s="2">
        <f>IFERROR(__xludf.DUMMYFUNCTION("IMPORTRANGE(""https://docs.google.com/spreadsheets/d/""&amp;$A515&amp;""/edit#gid=156619080"",AH$3)"),922.45)</f>
        <v>922.45</v>
      </c>
      <c r="AI515" s="2">
        <f>IFERROR(__xludf.DUMMYFUNCTION("IMPORTRANGE(""https://docs.google.com/spreadsheets/d/""&amp;$A515&amp;""/edit#gid=156619080"",AI$3)"),915.27)</f>
        <v>915.27</v>
      </c>
      <c r="AJ515" s="2">
        <f>IFERROR(__xludf.DUMMYFUNCTION("IMPORTRANGE(""https://docs.google.com/spreadsheets/d/""&amp;$A515&amp;""/edit#gid=156619080"",AJ$3)"),908.1)</f>
        <v>908.1</v>
      </c>
      <c r="AK515" s="2" t="str">
        <f>IFERROR(__xludf.DUMMYFUNCTION("IMPORTRANGE(""https://docs.google.com/spreadsheets/d/""&amp;$A515&amp;""/edit#gid=156619080"",AK$3)"),"")</f>
        <v/>
      </c>
      <c r="AL515" s="2">
        <f>IFERROR(__xludf.DUMMYFUNCTION("IMPORTRANGE(""https://docs.google.com/spreadsheets/d/""&amp;$A515&amp;""/edit#gid=156619080"",AL$3)"),-1.0)</f>
        <v>-1</v>
      </c>
      <c r="AM515" s="2" t="str">
        <f>IFERROR(__xludf.DUMMYFUNCTION("IMPORTRANGE(""https://docs.google.com/spreadsheets/d/""&amp;$A515&amp;""/edit#gid=156619080"",AM$3)"),"bs1")</f>
        <v>bs1</v>
      </c>
      <c r="AN515" s="2">
        <f>IFERROR(__xludf.DUMMYFUNCTION("IMPORTRANGE(""https://docs.google.com/spreadsheets/d/""&amp;$A515&amp;""/edit#gid=156619080"",AN$3)"),1.0)</f>
        <v>1</v>
      </c>
      <c r="AO515" s="2" t="str">
        <f>IFERROR(__xludf.DUMMYFUNCTION("IMPORTRANGE(""https://docs.google.com/spreadsheets/d/""&amp;$A515&amp;""/edit#gid=156619080"",AO$3)"),"")</f>
        <v/>
      </c>
      <c r="AP515" s="2">
        <f>IFERROR(__xludf.DUMMYFUNCTION("IMPORTRANGE(""https://docs.google.com/spreadsheets/d/""&amp;$A515&amp;""/edit#gid=156619080"",AP$3)"),1.0)</f>
        <v>1</v>
      </c>
      <c r="AQ515" s="2" t="str">
        <f>IFERROR(__xludf.DUMMYFUNCTION("IMPORTRANGE(""https://docs.google.com/spreadsheets/d/""&amp;$A515&amp;""/edit#gid=156619080"",AQ$3)"),"")</f>
        <v/>
      </c>
      <c r="AR515" s="18">
        <f>IFERROR(__xludf.DUMMYFUNCTION("IMPORTRANGE(""https://docs.google.com/spreadsheets/d/""&amp;$A515&amp;""/edit#gid=156619080"",AR$3)"),0.0)</f>
        <v>0</v>
      </c>
      <c r="AS515" s="19" t="str">
        <f>IFERROR(__xludf.DUMMYFUNCTION("IMPORTRANGE(""https://docs.google.com/spreadsheets/d/""&amp;$A515&amp;""/edit#gid=156619080"",AS$3)"),"-60
-90
-90
-60
")</f>
        <v>-60
-90
-90
-60
</v>
      </c>
      <c r="AT515" s="18">
        <f>IFERROR(__xludf.DUMMYFUNCTION("IMPORTRANGE(""https://docs.google.com/spreadsheets/d/""&amp;$A515&amp;""/edit#gid=156619080"",AT$3)"),22.527472527472526)</f>
        <v>22.52747253</v>
      </c>
      <c r="AU515" s="3" t="str">
        <f>IFERROR(__xludf.DUMMYFUNCTION("IMPORTRANGE(""https://docs.google.com/spreadsheets/d/""&amp;$A515&amp;""/edit#gid=156619080"",AU$3)"),"78.02
74.73
61.54
43.96
")</f>
        <v>78.02
74.73
61.54
43.96
</v>
      </c>
      <c r="AV515" s="18">
        <f>IFERROR(__xludf.DUMMYFUNCTION("IMPORTRANGE(""https://docs.google.com/spreadsheets/d/""&amp;$A515&amp;""/edit#gid=156619080"",AV$3)"),54.31818181818182)</f>
        <v>54.31818182</v>
      </c>
      <c r="AW515" s="19" t="str">
        <f>IFERROR(__xludf.DUMMYFUNCTION("IMPORTRANGE(""https://docs.google.com/spreadsheets/d/""&amp;$A515&amp;""/edit#gid=156619080"",AW$3)"),"55.13
46.01
42.4
43.41
")</f>
        <v>55.13
46.01
42.4
43.41
</v>
      </c>
      <c r="AX515" s="2">
        <f>IFERROR(__xludf.DUMMYFUNCTION("IMPORTRANGE(""https://docs.google.com/spreadsheets/d/""&amp;$A515&amp;""/edit#gid=156619080"",AX$3)"),35.0)</f>
        <v>35</v>
      </c>
      <c r="AY515" s="2">
        <f>IFERROR(__xludf.DUMMYFUNCTION("IMPORTRANGE(""https://docs.google.com/spreadsheets/d/""&amp;$A515&amp;""/edit#gid=156619080"",AY$3)"),50.7)</f>
        <v>50.7</v>
      </c>
      <c r="AZ515" s="2">
        <f>IFERROR(__xludf.DUMMYFUNCTION("IMPORTRANGE(""https://docs.google.com/spreadsheets/d/""&amp;$A515&amp;""/edit#gid=156619080"",AZ$3)"),978.76)</f>
        <v>978.76</v>
      </c>
      <c r="BA515" s="2">
        <f>IFERROR(__xludf.DUMMYFUNCTION("IMPORTRANGE(""https://docs.google.com/spreadsheets/d/""&amp;$A515&amp;""/edit#gid=156619080"",BA$3)"),13.460000000000036)</f>
        <v>13.46</v>
      </c>
      <c r="BB515" s="2">
        <f>IFERROR(__xludf.DUMMYFUNCTION("IMPORTRANGE(""https://docs.google.com/spreadsheets/d/""&amp;$A515&amp;""/edit#gid=156619080"",BB$3)"),21.89)</f>
        <v>21.89</v>
      </c>
      <c r="BC515" s="2" t="str">
        <f>IFERROR(__xludf.DUMMYFUNCTION("IMPORTRANGE(""https://docs.google.com/spreadsheets/d/""&amp;$A515&amp;""/edit#gid=156619080"",BC$3)"),"DC→DC")</f>
        <v>DC→DC</v>
      </c>
    </row>
    <row r="516" ht="51.0" customHeight="1">
      <c r="A516" s="7" t="str">
        <f t="shared" si="5"/>
        <v>17t3z453wkVYuQzSRLK8h5ZHhpUnVRpS3mA2p7ZyaXXk</v>
      </c>
      <c r="B516" s="1" t="s">
        <v>543</v>
      </c>
      <c r="C516" s="2">
        <f>IFERROR(__xludf.DUMMYFUNCTION("IMPORTRANGE(""https://docs.google.com/spreadsheets/d/""&amp;$A516&amp;""/edit#gid=156619080"",C$3)"),87.0)</f>
        <v>87</v>
      </c>
      <c r="D516" s="2">
        <f>IFERROR(__xludf.DUMMYFUNCTION("IMPORTRANGE(""https://docs.google.com/spreadsheets/d/""&amp;$A516&amp;""/edit#gid=156619080"",D$3)"),1926.0)</f>
        <v>1926</v>
      </c>
      <c r="E516" s="15">
        <f>IFERROR(__xludf.DUMMYFUNCTION("IMPORTRANGE(""https://docs.google.com/spreadsheets/d/""&amp;$A516&amp;""/edit#gid=156619080"",E$3)"),43882.0)</f>
        <v>43882</v>
      </c>
      <c r="F516" s="2">
        <f>IFERROR(__xludf.DUMMYFUNCTION("IMPORTRANGE(""https://docs.google.com/spreadsheets/d/""&amp;$A516&amp;""/edit#gid=156619080"",F$3)"),-3.0)</f>
        <v>-3</v>
      </c>
      <c r="G516" s="16">
        <f>IFERROR(__xludf.DUMMYFUNCTION("IMPORTRANGE(""https://docs.google.com/spreadsheets/d/""&amp;$A516&amp;""/edit#gid=156619080"",G$3)"),-0.2)</f>
        <v>-0.2</v>
      </c>
      <c r="H516" s="16">
        <f>IFERROR(__xludf.DUMMYFUNCTION("IMPORTRANGE(""https://docs.google.com/spreadsheets/d/""&amp;$A516&amp;""/edit#gid=156619080"",H$3)"),1464.0)</f>
        <v>1464</v>
      </c>
      <c r="I516" s="16">
        <f>IFERROR(__xludf.DUMMYFUNCTION("IMPORTRANGE(""https://docs.google.com/spreadsheets/d/""&amp;$A516&amp;""/edit#gid=156619080"",I$3)"),-2.0)</f>
        <v>-2</v>
      </c>
      <c r="J516" s="16">
        <f>IFERROR(__xludf.DUMMYFUNCTION("IMPORTRANGE(""https://docs.google.com/spreadsheets/d/""&amp;$A516&amp;""/edit#gid=156619080"",J$3)"),1478.0)</f>
        <v>1478</v>
      </c>
      <c r="K516" s="16">
        <f>IFERROR(__xludf.DUMMYFUNCTION("IMPORTRANGE(""https://docs.google.com/spreadsheets/d/""&amp;$A516&amp;""/edit#gid=156619080"",K$3)"),0.54375)</f>
        <v>0.54375</v>
      </c>
      <c r="L516" s="16">
        <f>IFERROR(__xludf.DUMMYFUNCTION("IMPORTRANGE(""https://docs.google.com/spreadsheets/d/""&amp;$A516&amp;""/edit#gid=156619080"",L$3)"),1452.0)</f>
        <v>1452</v>
      </c>
      <c r="M516" s="16">
        <f>IFERROR(__xludf.DUMMYFUNCTION("IMPORTRANGE(""https://docs.google.com/spreadsheets/d/""&amp;$A516&amp;""/edit#gid=156619080"",M$3)"),0.38055555555555554)</f>
        <v>0.3805555556</v>
      </c>
      <c r="N516" s="16">
        <f>IFERROR(__xludf.DUMMYFUNCTION("IMPORTRANGE(""https://docs.google.com/spreadsheets/d/""&amp;$A516&amp;""/edit#gid=156619080"",N$3)"),1462.0)</f>
        <v>1462</v>
      </c>
      <c r="O516" s="16" t="str">
        <f>IFERROR(__xludf.DUMMYFUNCTION("IMPORTRANGE(""https://docs.google.com/spreadsheets/d/""&amp;$A516&amp;""/edit#gid=156619080"",O$3)"),"198400株")</f>
        <v>198400株</v>
      </c>
      <c r="P516" s="16" t="str">
        <f>IFERROR(__xludf.DUMMYFUNCTION("IMPORTRANGE(""https://docs.google.com/spreadsheets/d/""&amp;$A516&amp;""/edit#gid=156619080"",P$3)"),"291百万円")</f>
        <v>291百万円</v>
      </c>
      <c r="Q516" s="16" t="str">
        <f>IFERROR(__xludf.DUMMYFUNCTION("IMPORTRANGE(""https://docs.google.com/spreadsheets/d/""&amp;$A516&amp;""/edit#gid=156619080"",Q$3)"),"631回")</f>
        <v>631回</v>
      </c>
      <c r="R516" s="16" t="str">
        <f>IFERROR(__xludf.DUMMYFUNCTION("IMPORTRANGE(""https://docs.google.com/spreadsheets/d/""&amp;$A516&amp;""/edit#gid=156619080"",R$3)"),"845億円")</f>
        <v>845億円</v>
      </c>
      <c r="S516" s="16" t="str">
        <f>IFERROR(__xludf.DUMMYFUNCTION("IMPORTRANGE(""https://docs.google.com/spreadsheets/d/""&amp;$A516&amp;""/edit#gid=156619080"",S$3)"),"陰線")</f>
        <v>陰線</v>
      </c>
      <c r="T516" s="16" t="str">
        <f>IFERROR(__xludf.DUMMYFUNCTION("IMPORTRANGE(""https://docs.google.com/spreadsheets/d/""&amp;$A516&amp;""/edit#gid=156619080"",T$3)"),"")</f>
        <v/>
      </c>
      <c r="U516" s="16">
        <f>IFERROR(__xludf.DUMMYFUNCTION("IMPORTRANGE(""https://docs.google.com/spreadsheets/d/""&amp;$A516&amp;""/edit#gid=156619080"",U$3)"),1465.8)</f>
        <v>1465.8</v>
      </c>
      <c r="V516" s="16">
        <f>IFERROR(__xludf.DUMMYFUNCTION("IMPORTRANGE(""https://docs.google.com/spreadsheets/d/""&amp;$A516&amp;""/edit#gid=156619080"",V$3)"),1477.2)</f>
        <v>1477.2</v>
      </c>
      <c r="W516" s="16">
        <f>IFERROR(__xludf.DUMMYFUNCTION("IMPORTRANGE(""https://docs.google.com/spreadsheets/d/""&amp;$A516&amp;""/edit#gid=156619080"",W$3)"),1504.1)</f>
        <v>1504.1</v>
      </c>
      <c r="X516" s="2" t="str">
        <f>IFERROR(__xludf.DUMMYFUNCTION("IMPORTRANGE(""https://docs.google.com/spreadsheets/d/""&amp;$A516&amp;""/edit#gid=156619080"",X$3)"),"")</f>
        <v/>
      </c>
      <c r="Y516" s="17">
        <f>IFERROR(__xludf.DUMMYFUNCTION("IMPORTRANGE(""https://docs.google.com/spreadsheets/d/""&amp;$A516&amp;""/edit#gid=156619080"",Y$3)"),-0.0025924409878564296)</f>
        <v>-0.002592440988</v>
      </c>
      <c r="Z516" s="2">
        <f>IFERROR(__xludf.DUMMYFUNCTION("IMPORTRANGE(""https://docs.google.com/spreadsheets/d/""&amp;$A516&amp;""/edit#gid=156619080"",Z$3)"),1586.29)</f>
        <v>1586.29</v>
      </c>
      <c r="AA516" s="2">
        <f>IFERROR(__xludf.DUMMYFUNCTION("IMPORTRANGE(""https://docs.google.com/spreadsheets/d/""&amp;$A516&amp;""/edit#gid=156619080"",AA$3)"),1576.01)</f>
        <v>1576.01</v>
      </c>
      <c r="AB516" s="2">
        <f>IFERROR(__xludf.DUMMYFUNCTION("IMPORTRANGE(""https://docs.google.com/spreadsheets/d/""&amp;$A516&amp;""/edit#gid=156619080"",AB$3)"),1565.74)</f>
        <v>1565.74</v>
      </c>
      <c r="AC516" s="18">
        <f>IFERROR(__xludf.DUMMYFUNCTION("IMPORTRANGE(""https://docs.google.com/spreadsheets/d/""&amp;$A516&amp;""/edit#gid=156619080"",AC$3)"),1555.47)</f>
        <v>1555.47</v>
      </c>
      <c r="AD516" s="18">
        <f>IFERROR(__xludf.DUMMYFUNCTION("IMPORTRANGE(""https://docs.google.com/spreadsheets/d/""&amp;$A516&amp;""/edit#gid=156619080"",AD$3)"),1545.19)</f>
        <v>1545.19</v>
      </c>
      <c r="AE516" s="18">
        <f>IFERROR(__xludf.DUMMYFUNCTION("IMPORTRANGE(""https://docs.google.com/spreadsheets/d/""&amp;$A516&amp;""/edit#gid=156619080"",AE$3)"),1504.1)</f>
        <v>1504.1</v>
      </c>
      <c r="AF516" s="2">
        <f>IFERROR(__xludf.DUMMYFUNCTION("IMPORTRANGE(""https://docs.google.com/spreadsheets/d/""&amp;$A516&amp;""/edit#gid=156619080"",AF$3)"),1463.01)</f>
        <v>1463.01</v>
      </c>
      <c r="AG516" s="2">
        <f>IFERROR(__xludf.DUMMYFUNCTION("IMPORTRANGE(""https://docs.google.com/spreadsheets/d/""&amp;$A516&amp;""/edit#gid=156619080"",AG$3)"),1452.73)</f>
        <v>1452.73</v>
      </c>
      <c r="AH516" s="2">
        <f>IFERROR(__xludf.DUMMYFUNCTION("IMPORTRANGE(""https://docs.google.com/spreadsheets/d/""&amp;$A516&amp;""/edit#gid=156619080"",AH$3)"),1442.46)</f>
        <v>1442.46</v>
      </c>
      <c r="AI516" s="2">
        <f>IFERROR(__xludf.DUMMYFUNCTION("IMPORTRANGE(""https://docs.google.com/spreadsheets/d/""&amp;$A516&amp;""/edit#gid=156619080"",AI$3)"),1432.19)</f>
        <v>1432.19</v>
      </c>
      <c r="AJ516" s="2">
        <f>IFERROR(__xludf.DUMMYFUNCTION("IMPORTRANGE(""https://docs.google.com/spreadsheets/d/""&amp;$A516&amp;""/edit#gid=156619080"",AJ$3)"),1421.91)</f>
        <v>1421.91</v>
      </c>
      <c r="AK516" s="2" t="str">
        <f>IFERROR(__xludf.DUMMYFUNCTION("IMPORTRANGE(""https://docs.google.com/spreadsheets/d/""&amp;$A516&amp;""/edit#gid=156619080"",AK$3)"),"-1〜-1.25σ")</f>
        <v>-1〜-1.25σ</v>
      </c>
      <c r="AL516" s="2">
        <f>IFERROR(__xludf.DUMMYFUNCTION("IMPORTRANGE(""https://docs.google.com/spreadsheets/d/""&amp;$A516&amp;""/edit#gid=156619080"",AL$3)"),-1.0)</f>
        <v>-1</v>
      </c>
      <c r="AM516" s="2" t="str">
        <f>IFERROR(__xludf.DUMMYFUNCTION("IMPORTRANGE(""https://docs.google.com/spreadsheets/d/""&amp;$A516&amp;""/edit#gid=156619080"",AM$3)"),"")</f>
        <v/>
      </c>
      <c r="AN516" s="2">
        <f>IFERROR(__xludf.DUMMYFUNCTION("IMPORTRANGE(""https://docs.google.com/spreadsheets/d/""&amp;$A516&amp;""/edit#gid=156619080"",AN$3)"),-1.0)</f>
        <v>-1</v>
      </c>
      <c r="AO516" s="2" t="str">
        <f>IFERROR(__xludf.DUMMYFUNCTION("IMPORTRANGE(""https://docs.google.com/spreadsheets/d/""&amp;$A516&amp;""/edit#gid=156619080"",AO$3)"),"")</f>
        <v/>
      </c>
      <c r="AP516" s="2">
        <f>IFERROR(__xludf.DUMMYFUNCTION("IMPORTRANGE(""https://docs.google.com/spreadsheets/d/""&amp;$A516&amp;""/edit#gid=156619080"",AP$3)"),-1.0)</f>
        <v>-1</v>
      </c>
      <c r="AQ516" s="2" t="str">
        <f>IFERROR(__xludf.DUMMYFUNCTION("IMPORTRANGE(""https://docs.google.com/spreadsheets/d/""&amp;$A516&amp;""/edit#gid=156619080"",AQ$3)"),"")</f>
        <v/>
      </c>
      <c r="AR516" s="18">
        <f>IFERROR(__xludf.DUMMYFUNCTION("IMPORTRANGE(""https://docs.google.com/spreadsheets/d/""&amp;$A516&amp;""/edit#gid=156619080"",AR$3)"),-85.00000000000001)</f>
        <v>-85</v>
      </c>
      <c r="AS516" s="19" t="str">
        <f>IFERROR(__xludf.DUMMYFUNCTION("IMPORTRANGE(""https://docs.google.com/spreadsheets/d/""&amp;$A516&amp;""/edit#gid=156619080"",AS$3)"),"37.5
-5
-55
-85
")</f>
        <v>37.5
-5
-55
-85
</v>
      </c>
      <c r="AT516" s="18">
        <f>IFERROR(__xludf.DUMMYFUNCTION("IMPORTRANGE(""https://docs.google.com/spreadsheets/d/""&amp;$A516&amp;""/edit#gid=156619080"",AT$3)"),-87.63736263736264)</f>
        <v>-87.63736264</v>
      </c>
      <c r="AU516" s="3" t="str">
        <f>IFERROR(__xludf.DUMMYFUNCTION("IMPORTRANGE(""https://docs.google.com/spreadsheets/d/""&amp;$A516&amp;""/edit#gid=156619080"",AU$3)"),"-87.64
-87.64
-87.64
-87.64
")</f>
        <v>-87.64
-87.64
-87.64
-87.64
</v>
      </c>
      <c r="AV516" s="18">
        <f>IFERROR(__xludf.DUMMYFUNCTION("IMPORTRANGE(""https://docs.google.com/spreadsheets/d/""&amp;$A516&amp;""/edit#gid=156619080"",AV$3)"),-96.68831168831169)</f>
        <v>-96.68831169</v>
      </c>
      <c r="AW516" s="19" t="str">
        <f>IFERROR(__xludf.DUMMYFUNCTION("IMPORTRANGE(""https://docs.google.com/spreadsheets/d/""&amp;$A516&amp;""/edit#gid=156619080"",AW$3)"),"-85.78
-90.45
-93.96
-96.69
")</f>
        <v>-85.78
-90.45
-93.96
-96.69
</v>
      </c>
      <c r="AX516" s="2">
        <f>IFERROR(__xludf.DUMMYFUNCTION("IMPORTRANGE(""https://docs.google.com/spreadsheets/d/""&amp;$A516&amp;""/edit#gid=156619080"",AX$3)"),0.0)</f>
        <v>0</v>
      </c>
      <c r="AY516" s="2">
        <f>IFERROR(__xludf.DUMMYFUNCTION("IMPORTRANGE(""https://docs.google.com/spreadsheets/d/""&amp;$A516&amp;""/edit#gid=156619080"",AY$3)"),2.74)</f>
        <v>2.74</v>
      </c>
      <c r="AZ516" s="2">
        <f>IFERROR(__xludf.DUMMYFUNCTION("IMPORTRANGE(""https://docs.google.com/spreadsheets/d/""&amp;$A516&amp;""/edit#gid=156619080"",AZ$3)"),1465.7)</f>
        <v>1465.7</v>
      </c>
      <c r="BA516" s="2">
        <f>IFERROR(__xludf.DUMMYFUNCTION("IMPORTRANGE(""https://docs.google.com/spreadsheets/d/""&amp;$A516&amp;""/edit#gid=156619080"",BA$3)"),-30.149999999999864)</f>
        <v>-30.15</v>
      </c>
      <c r="BB516" s="2">
        <f>IFERROR(__xludf.DUMMYFUNCTION("IMPORTRANGE(""https://docs.google.com/spreadsheets/d/""&amp;$A516&amp;""/edit#gid=156619080"",BB$3)"),-30.41)</f>
        <v>-30.41</v>
      </c>
      <c r="BC516" s="2" t="str">
        <f>IFERROR(__xludf.DUMMYFUNCTION("IMPORTRANGE(""https://docs.google.com/spreadsheets/d/""&amp;$A516&amp;""/edit#gid=156619080"",BC$3)"),"DC→GC")</f>
        <v>DC→GC</v>
      </c>
    </row>
    <row r="517" ht="51.0" customHeight="1">
      <c r="A517" s="7" t="str">
        <f t="shared" si="5"/>
        <v>1_66jJkMvK_cO0if85UfPtMvsPzmx8ztbV01ctBiUsTo</v>
      </c>
      <c r="B517" s="1" t="s">
        <v>544</v>
      </c>
      <c r="C517" s="2">
        <f>IFERROR(__xludf.DUMMYFUNCTION("IMPORTRANGE(""https://docs.google.com/spreadsheets/d/""&amp;$A517&amp;""/edit#gid=156619080"",C$3)"),45.0)</f>
        <v>45</v>
      </c>
      <c r="D517" s="2">
        <f>IFERROR(__xludf.DUMMYFUNCTION("IMPORTRANGE(""https://docs.google.com/spreadsheets/d/""&amp;$A517&amp;""/edit#gid=156619080"",D$3)"),1929.0)</f>
        <v>1929</v>
      </c>
      <c r="E517" s="15">
        <f>IFERROR(__xludf.DUMMYFUNCTION("IMPORTRANGE(""https://docs.google.com/spreadsheets/d/""&amp;$A517&amp;""/edit#gid=156619080"",E$3)"),43882.0)</f>
        <v>43882</v>
      </c>
      <c r="F517" s="2">
        <f>IFERROR(__xludf.DUMMYFUNCTION("IMPORTRANGE(""https://docs.google.com/spreadsheets/d/""&amp;$A517&amp;""/edit#gid=156619080"",F$3)"),-13.0)</f>
        <v>-13</v>
      </c>
      <c r="G517" s="16">
        <f>IFERROR(__xludf.DUMMYFUNCTION("IMPORTRANGE(""https://docs.google.com/spreadsheets/d/""&amp;$A517&amp;""/edit#gid=156619080"",G$3)"),-1.54)</f>
        <v>-1.54</v>
      </c>
      <c r="H517" s="16">
        <f>IFERROR(__xludf.DUMMYFUNCTION("IMPORTRANGE(""https://docs.google.com/spreadsheets/d/""&amp;$A517&amp;""/edit#gid=156619080"",H$3)"),840.0)</f>
        <v>840</v>
      </c>
      <c r="I517" s="16">
        <f>IFERROR(__xludf.DUMMYFUNCTION("IMPORTRANGE(""https://docs.google.com/spreadsheets/d/""&amp;$A517&amp;""/edit#gid=156619080"",I$3)"),4.0)</f>
        <v>4</v>
      </c>
      <c r="J517" s="16">
        <f>IFERROR(__xludf.DUMMYFUNCTION("IMPORTRANGE(""https://docs.google.com/spreadsheets/d/""&amp;$A517&amp;""/edit#gid=156619080"",J$3)"),844.0)</f>
        <v>844</v>
      </c>
      <c r="K517" s="16">
        <f>IFERROR(__xludf.DUMMYFUNCTION("IMPORTRANGE(""https://docs.google.com/spreadsheets/d/""&amp;$A517&amp;""/edit#gid=156619080"",K$3)"),0.3909722222222222)</f>
        <v>0.3909722222</v>
      </c>
      <c r="L517" s="16">
        <f>IFERROR(__xludf.DUMMYFUNCTION("IMPORTRANGE(""https://docs.google.com/spreadsheets/d/""&amp;$A517&amp;""/edit#gid=156619080"",L$3)"),830.0)</f>
        <v>830</v>
      </c>
      <c r="M517" s="16">
        <f>IFERROR(__xludf.DUMMYFUNCTION("IMPORTRANGE(""https://docs.google.com/spreadsheets/d/""&amp;$A517&amp;""/edit#gid=156619080"",M$3)"),0.4701388888888889)</f>
        <v>0.4701388889</v>
      </c>
      <c r="N517" s="16">
        <f>IFERROR(__xludf.DUMMYFUNCTION("IMPORTRANGE(""https://docs.google.com/spreadsheets/d/""&amp;$A517&amp;""/edit#gid=156619080"",N$3)"),831.0)</f>
        <v>831</v>
      </c>
      <c r="O517" s="16" t="str">
        <f>IFERROR(__xludf.DUMMYFUNCTION("IMPORTRANGE(""https://docs.google.com/spreadsheets/d/""&amp;$A517&amp;""/edit#gid=156619080"",O$3)"),"88200株")</f>
        <v>88200株</v>
      </c>
      <c r="P517" s="16" t="str">
        <f>IFERROR(__xludf.DUMMYFUNCTION("IMPORTRANGE(""https://docs.google.com/spreadsheets/d/""&amp;$A517&amp;""/edit#gid=156619080"",P$3)"),"74百万円")</f>
        <v>74百万円</v>
      </c>
      <c r="Q517" s="16" t="str">
        <f>IFERROR(__xludf.DUMMYFUNCTION("IMPORTRANGE(""https://docs.google.com/spreadsheets/d/""&amp;$A517&amp;""/edit#gid=156619080"",Q$3)"),"260回")</f>
        <v>260回</v>
      </c>
      <c r="R517" s="16" t="str">
        <f>IFERROR(__xludf.DUMMYFUNCTION("IMPORTRANGE(""https://docs.google.com/spreadsheets/d/""&amp;$A517&amp;""/edit#gid=156619080"",R$3)"),"365億円")</f>
        <v>365億円</v>
      </c>
      <c r="S517" s="16" t="str">
        <f>IFERROR(__xludf.DUMMYFUNCTION("IMPORTRANGE(""https://docs.google.com/spreadsheets/d/""&amp;$A517&amp;""/edit#gid=156619080"",S$3)"),"陰線")</f>
        <v>陰線</v>
      </c>
      <c r="T517" s="16" t="str">
        <f>IFERROR(__xludf.DUMMYFUNCTION("IMPORTRANGE(""https://docs.google.com/spreadsheets/d/""&amp;$A517&amp;""/edit#gid=156619080"",T$3)"),"")</f>
        <v/>
      </c>
      <c r="U517" s="16">
        <f>IFERROR(__xludf.DUMMYFUNCTION("IMPORTRANGE(""https://docs.google.com/spreadsheets/d/""&amp;$A517&amp;""/edit#gid=156619080"",U$3)"),842.6)</f>
        <v>842.6</v>
      </c>
      <c r="V517" s="16">
        <f>IFERROR(__xludf.DUMMYFUNCTION("IMPORTRANGE(""https://docs.google.com/spreadsheets/d/""&amp;$A517&amp;""/edit#gid=156619080"",V$3)"),856.2)</f>
        <v>856.2</v>
      </c>
      <c r="W517" s="16">
        <f>IFERROR(__xludf.DUMMYFUNCTION("IMPORTRANGE(""https://docs.google.com/spreadsheets/d/""&amp;$A517&amp;""/edit#gid=156619080"",W$3)"),858.0)</f>
        <v>858</v>
      </c>
      <c r="X517" s="2" t="str">
        <f>IFERROR(__xludf.DUMMYFUNCTION("IMPORTRANGE(""https://docs.google.com/spreadsheets/d/""&amp;$A517&amp;""/edit#gid=156619080"",X$3)"),"")</f>
        <v/>
      </c>
      <c r="Y517" s="17">
        <f>IFERROR(__xludf.DUMMYFUNCTION("IMPORTRANGE(""https://docs.google.com/spreadsheets/d/""&amp;$A517&amp;""/edit#gid=156619080"",Y$3)"),-0.013766911939235725)</f>
        <v>-0.01376691194</v>
      </c>
      <c r="Z517" s="2">
        <f>IFERROR(__xludf.DUMMYFUNCTION("IMPORTRANGE(""https://docs.google.com/spreadsheets/d/""&amp;$A517&amp;""/edit#gid=156619080"",Z$3)"),885.34)</f>
        <v>885.34</v>
      </c>
      <c r="AA517" s="2">
        <f>IFERROR(__xludf.DUMMYFUNCTION("IMPORTRANGE(""https://docs.google.com/spreadsheets/d/""&amp;$A517&amp;""/edit#gid=156619080"",AA$3)"),881.92)</f>
        <v>881.92</v>
      </c>
      <c r="AB517" s="2">
        <f>IFERROR(__xludf.DUMMYFUNCTION("IMPORTRANGE(""https://docs.google.com/spreadsheets/d/""&amp;$A517&amp;""/edit#gid=156619080"",AB$3)"),878.5)</f>
        <v>878.5</v>
      </c>
      <c r="AC517" s="18">
        <f>IFERROR(__xludf.DUMMYFUNCTION("IMPORTRANGE(""https://docs.google.com/spreadsheets/d/""&amp;$A517&amp;""/edit#gid=156619080"",AC$3)"),875.08)</f>
        <v>875.08</v>
      </c>
      <c r="AD517" s="18">
        <f>IFERROR(__xludf.DUMMYFUNCTION("IMPORTRANGE(""https://docs.google.com/spreadsheets/d/""&amp;$A517&amp;""/edit#gid=156619080"",AD$3)"),871.67)</f>
        <v>871.67</v>
      </c>
      <c r="AE517" s="18">
        <f>IFERROR(__xludf.DUMMYFUNCTION("IMPORTRANGE(""https://docs.google.com/spreadsheets/d/""&amp;$A517&amp;""/edit#gid=156619080"",AE$3)"),858.0)</f>
        <v>858</v>
      </c>
      <c r="AF517" s="2">
        <f>IFERROR(__xludf.DUMMYFUNCTION("IMPORTRANGE(""https://docs.google.com/spreadsheets/d/""&amp;$A517&amp;""/edit#gid=156619080"",AF$3)"),844.33)</f>
        <v>844.33</v>
      </c>
      <c r="AG517" s="2">
        <f>IFERROR(__xludf.DUMMYFUNCTION("IMPORTRANGE(""https://docs.google.com/spreadsheets/d/""&amp;$A517&amp;""/edit#gid=156619080"",AG$3)"),840.92)</f>
        <v>840.92</v>
      </c>
      <c r="AH517" s="2">
        <f>IFERROR(__xludf.DUMMYFUNCTION("IMPORTRANGE(""https://docs.google.com/spreadsheets/d/""&amp;$A517&amp;""/edit#gid=156619080"",AH$3)"),837.5)</f>
        <v>837.5</v>
      </c>
      <c r="AI517" s="2">
        <f>IFERROR(__xludf.DUMMYFUNCTION("IMPORTRANGE(""https://docs.google.com/spreadsheets/d/""&amp;$A517&amp;""/edit#gid=156619080"",AI$3)"),834.08)</f>
        <v>834.08</v>
      </c>
      <c r="AJ517" s="2">
        <f>IFERROR(__xludf.DUMMYFUNCTION("IMPORTRANGE(""https://docs.google.com/spreadsheets/d/""&amp;$A517&amp;""/edit#gid=156619080"",AJ$3)"),830.66)</f>
        <v>830.66</v>
      </c>
      <c r="AK517" s="2" t="str">
        <f>IFERROR(__xludf.DUMMYFUNCTION("IMPORTRANGE(""https://docs.google.com/spreadsheets/d/""&amp;$A517&amp;""/edit#gid=156619080"",AK$3)"),"-1.75σ〜-2σ")</f>
        <v>-1.75σ〜-2σ</v>
      </c>
      <c r="AL517" s="2">
        <f>IFERROR(__xludf.DUMMYFUNCTION("IMPORTRANGE(""https://docs.google.com/spreadsheets/d/""&amp;$A517&amp;""/edit#gid=156619080"",AL$3)"),-1.0)</f>
        <v>-1</v>
      </c>
      <c r="AM517" s="2" t="str">
        <f>IFERROR(__xludf.DUMMYFUNCTION("IMPORTRANGE(""https://docs.google.com/spreadsheets/d/""&amp;$A517&amp;""/edit#gid=156619080"",AM$3)"),"")</f>
        <v/>
      </c>
      <c r="AN517" s="2">
        <f>IFERROR(__xludf.DUMMYFUNCTION("IMPORTRANGE(""https://docs.google.com/spreadsheets/d/""&amp;$A517&amp;""/edit#gid=156619080"",AN$3)"),-1.0)</f>
        <v>-1</v>
      </c>
      <c r="AO517" s="2" t="str">
        <f>IFERROR(__xludf.DUMMYFUNCTION("IMPORTRANGE(""https://docs.google.com/spreadsheets/d/""&amp;$A517&amp;""/edit#gid=156619080"",AO$3)"),"")</f>
        <v/>
      </c>
      <c r="AP517" s="2">
        <f>IFERROR(__xludf.DUMMYFUNCTION("IMPORTRANGE(""https://docs.google.com/spreadsheets/d/""&amp;$A517&amp;""/edit#gid=156619080"",AP$3)"),-1.0)</f>
        <v>-1</v>
      </c>
      <c r="AQ517" s="2" t="str">
        <f>IFERROR(__xludf.DUMMYFUNCTION("IMPORTRANGE(""https://docs.google.com/spreadsheets/d/""&amp;$A517&amp;""/edit#gid=156619080"",AQ$3)"),"")</f>
        <v/>
      </c>
      <c r="AR517" s="18">
        <f>IFERROR(__xludf.DUMMYFUNCTION("IMPORTRANGE(""https://docs.google.com/spreadsheets/d/""&amp;$A517&amp;""/edit#gid=156619080"",AR$3)"),-70.0)</f>
        <v>-70</v>
      </c>
      <c r="AS517" s="19" t="str">
        <f>IFERROR(__xludf.DUMMYFUNCTION("IMPORTRANGE(""https://docs.google.com/spreadsheets/d/""&amp;$A517&amp;""/edit#gid=156619080"",AS$3)"),"-100
-100
-90
-70
")</f>
        <v>-100
-100
-90
-70
</v>
      </c>
      <c r="AT517" s="18">
        <f>IFERROR(__xludf.DUMMYFUNCTION("IMPORTRANGE(""https://docs.google.com/spreadsheets/d/""&amp;$A517&amp;""/edit#gid=156619080"",AT$3)"),-68.68131868131869)</f>
        <v>-68.68131868</v>
      </c>
      <c r="AU517" s="3" t="str">
        <f>IFERROR(__xludf.DUMMYFUNCTION("IMPORTRANGE(""https://docs.google.com/spreadsheets/d/""&amp;$A517&amp;""/edit#gid=156619080"",AU$3)"),"40.8
19.51
-9.07
-28.43
")</f>
        <v>40.8
19.51
-9.07
-28.43
</v>
      </c>
      <c r="AV517" s="18">
        <f>IFERROR(__xludf.DUMMYFUNCTION("IMPORTRANGE(""https://docs.google.com/spreadsheets/d/""&amp;$A517&amp;""/edit#gid=156619080"",AV$3)"),-46.78571428571428)</f>
        <v>-46.78571429</v>
      </c>
      <c r="AW517" s="19" t="str">
        <f>IFERROR(__xludf.DUMMYFUNCTION("IMPORTRANGE(""https://docs.google.com/spreadsheets/d/""&amp;$A517&amp;""/edit#gid=156619080"",AW$3)"),"-21.69
-41.79
-49.16
-46.79
")</f>
        <v>-21.69
-41.79
-49.16
-46.79
</v>
      </c>
      <c r="AX517" s="2">
        <f>IFERROR(__xludf.DUMMYFUNCTION("IMPORTRANGE(""https://docs.google.com/spreadsheets/d/""&amp;$A517&amp;""/edit#gid=156619080"",AX$3)"),8.82)</f>
        <v>8.82</v>
      </c>
      <c r="AY517" s="2">
        <f>IFERROR(__xludf.DUMMYFUNCTION("IMPORTRANGE(""https://docs.google.com/spreadsheets/d/""&amp;$A517&amp;""/edit#gid=156619080"",AY$3)"),28.660000000000004)</f>
        <v>28.66</v>
      </c>
      <c r="AZ517" s="2">
        <f>IFERROR(__xludf.DUMMYFUNCTION("IMPORTRANGE(""https://docs.google.com/spreadsheets/d/""&amp;$A517&amp;""/edit#gid=156619080"",AZ$3)"),842.79)</f>
        <v>842.79</v>
      </c>
      <c r="BA517" s="2">
        <f>IFERROR(__xludf.DUMMYFUNCTION("IMPORTRANGE(""https://docs.google.com/spreadsheets/d/""&amp;$A517&amp;""/edit#gid=156619080"",BA$3)"),-11.57000000000005)</f>
        <v>-11.57</v>
      </c>
      <c r="BB517" s="2">
        <f>IFERROR(__xludf.DUMMYFUNCTION("IMPORTRANGE(""https://docs.google.com/spreadsheets/d/""&amp;$A517&amp;""/edit#gid=156619080"",BB$3)"),-2.21)</f>
        <v>-2.21</v>
      </c>
      <c r="BC517" s="2" t="str">
        <f>IFERROR(__xludf.DUMMYFUNCTION("IMPORTRANGE(""https://docs.google.com/spreadsheets/d/""&amp;$A517&amp;""/edit#gid=156619080"",BC$3)"),"DC→DC")</f>
        <v>DC→DC</v>
      </c>
    </row>
    <row r="518" ht="51.0" customHeight="1">
      <c r="A518" s="7" t="str">
        <f t="shared" si="5"/>
        <v>1Q03vuKTp28sFFg7_u-JeoktfcxZiCcSjtLu3bOvAp9A</v>
      </c>
      <c r="B518" s="1" t="s">
        <v>545</v>
      </c>
      <c r="C518" s="2">
        <f>IFERROR(__xludf.DUMMYFUNCTION("IMPORTRANGE(""https://docs.google.com/spreadsheets/d/""&amp;$A518&amp;""/edit#gid=156619080"",C$3)"),45.0)</f>
        <v>45</v>
      </c>
      <c r="D518" s="2">
        <f>IFERROR(__xludf.DUMMYFUNCTION("IMPORTRANGE(""https://docs.google.com/spreadsheets/d/""&amp;$A518&amp;""/edit#gid=156619080"",D$3)"),2151.0)</f>
        <v>2151</v>
      </c>
      <c r="E518" s="15">
        <f>IFERROR(__xludf.DUMMYFUNCTION("IMPORTRANGE(""https://docs.google.com/spreadsheets/d/""&amp;$A518&amp;""/edit#gid=156619080"",E$3)"),43882.0)</f>
        <v>43882</v>
      </c>
      <c r="F518" s="2">
        <f>IFERROR(__xludf.DUMMYFUNCTION("IMPORTRANGE(""https://docs.google.com/spreadsheets/d/""&amp;$A518&amp;""/edit#gid=156619080"",F$3)"),-14.0)</f>
        <v>-14</v>
      </c>
      <c r="G518" s="16">
        <f>IFERROR(__xludf.DUMMYFUNCTION("IMPORTRANGE(""https://docs.google.com/spreadsheets/d/""&amp;$A518&amp;""/edit#gid=156619080"",G$3)"),-1.38)</f>
        <v>-1.38</v>
      </c>
      <c r="H518" s="16">
        <f>IFERROR(__xludf.DUMMYFUNCTION("IMPORTRANGE(""https://docs.google.com/spreadsheets/d/""&amp;$A518&amp;""/edit#gid=156619080"",H$3)"),1010.0)</f>
        <v>1010</v>
      </c>
      <c r="I518" s="16">
        <f>IFERROR(__xludf.DUMMYFUNCTION("IMPORTRANGE(""https://docs.google.com/spreadsheets/d/""&amp;$A518&amp;""/edit#gid=156619080"",I$3)"),4.0)</f>
        <v>4</v>
      </c>
      <c r="J518" s="16">
        <f>IFERROR(__xludf.DUMMYFUNCTION("IMPORTRANGE(""https://docs.google.com/spreadsheets/d/""&amp;$A518&amp;""/edit#gid=156619080"",J$3)"),1016.0)</f>
        <v>1016</v>
      </c>
      <c r="K518" s="16">
        <f>IFERROR(__xludf.DUMMYFUNCTION("IMPORTRANGE(""https://docs.google.com/spreadsheets/d/""&amp;$A518&amp;""/edit#gid=156619080"",K$3)"),0.3854166666666667)</f>
        <v>0.3854166667</v>
      </c>
      <c r="L518" s="16">
        <f>IFERROR(__xludf.DUMMYFUNCTION("IMPORTRANGE(""https://docs.google.com/spreadsheets/d/""&amp;$A518&amp;""/edit#gid=156619080"",L$3)"),998.0)</f>
        <v>998</v>
      </c>
      <c r="M518" s="16">
        <f>IFERROR(__xludf.DUMMYFUNCTION("IMPORTRANGE(""https://docs.google.com/spreadsheets/d/""&amp;$A518&amp;""/edit#gid=156619080"",M$3)"),0.5819444444444445)</f>
        <v>0.5819444444</v>
      </c>
      <c r="N518" s="16">
        <f>IFERROR(__xludf.DUMMYFUNCTION("IMPORTRANGE(""https://docs.google.com/spreadsheets/d/""&amp;$A518&amp;""/edit#gid=156619080"",N$3)"),1000.0)</f>
        <v>1000</v>
      </c>
      <c r="O518" s="16" t="str">
        <f>IFERROR(__xludf.DUMMYFUNCTION("IMPORTRANGE(""https://docs.google.com/spreadsheets/d/""&amp;$A518&amp;""/edit#gid=156619080"",O$3)"),"124100株")</f>
        <v>124100株</v>
      </c>
      <c r="P518" s="16" t="str">
        <f>IFERROR(__xludf.DUMMYFUNCTION("IMPORTRANGE(""https://docs.google.com/spreadsheets/d/""&amp;$A518&amp;""/edit#gid=156619080"",P$3)"),"125百万円")</f>
        <v>125百万円</v>
      </c>
      <c r="Q518" s="16" t="str">
        <f>IFERROR(__xludf.DUMMYFUNCTION("IMPORTRANGE(""https://docs.google.com/spreadsheets/d/""&amp;$A518&amp;""/edit#gid=156619080"",Q$3)"),"440回")</f>
        <v>440回</v>
      </c>
      <c r="R518" s="16" t="str">
        <f>IFERROR(__xludf.DUMMYFUNCTION("IMPORTRANGE(""https://docs.google.com/spreadsheets/d/""&amp;$A518&amp;""/edit#gid=156619080"",R$3)"),"246億円")</f>
        <v>246億円</v>
      </c>
      <c r="S518" s="16" t="str">
        <f>IFERROR(__xludf.DUMMYFUNCTION("IMPORTRANGE(""https://docs.google.com/spreadsheets/d/""&amp;$A518&amp;""/edit#gid=156619080"",S$3)"),"陰線")</f>
        <v>陰線</v>
      </c>
      <c r="T518" s="16" t="str">
        <f>IFERROR(__xludf.DUMMYFUNCTION("IMPORTRANGE(""https://docs.google.com/spreadsheets/d/""&amp;$A518&amp;""/edit#gid=156619080"",T$3)"),"")</f>
        <v/>
      </c>
      <c r="U518" s="16">
        <f>IFERROR(__xludf.DUMMYFUNCTION("IMPORTRANGE(""https://docs.google.com/spreadsheets/d/""&amp;$A518&amp;""/edit#gid=156619080"",U$3)"),1016.4)</f>
        <v>1016.4</v>
      </c>
      <c r="V518" s="16">
        <f>IFERROR(__xludf.DUMMYFUNCTION("IMPORTRANGE(""https://docs.google.com/spreadsheets/d/""&amp;$A518&amp;""/edit#gid=156619080"",V$3)"),1049.7)</f>
        <v>1049.7</v>
      </c>
      <c r="W518" s="16">
        <f>IFERROR(__xludf.DUMMYFUNCTION("IMPORTRANGE(""https://docs.google.com/spreadsheets/d/""&amp;$A518&amp;""/edit#gid=156619080"",W$3)"),1092.8)</f>
        <v>1092.8</v>
      </c>
      <c r="X518" s="2" t="str">
        <f>IFERROR(__xludf.DUMMYFUNCTION("IMPORTRANGE(""https://docs.google.com/spreadsheets/d/""&amp;$A518&amp;""/edit#gid=156619080"",X$3)"),"")</f>
        <v/>
      </c>
      <c r="Y518" s="17">
        <f>IFERROR(__xludf.DUMMYFUNCTION("IMPORTRANGE(""https://docs.google.com/spreadsheets/d/""&amp;$A518&amp;""/edit#gid=156619080"",Y$3)"),-0.016135379771743386)</f>
        <v>-0.01613537977</v>
      </c>
      <c r="Z518" s="2">
        <f>IFERROR(__xludf.DUMMYFUNCTION("IMPORTRANGE(""https://docs.google.com/spreadsheets/d/""&amp;$A518&amp;""/edit#gid=156619080"",Z$3)"),1235.72)</f>
        <v>1235.72</v>
      </c>
      <c r="AA518" s="2">
        <f>IFERROR(__xludf.DUMMYFUNCTION("IMPORTRANGE(""https://docs.google.com/spreadsheets/d/""&amp;$A518&amp;""/edit#gid=156619080"",AA$3)"),1217.86)</f>
        <v>1217.86</v>
      </c>
      <c r="AB518" s="2">
        <f>IFERROR(__xludf.DUMMYFUNCTION("IMPORTRANGE(""https://docs.google.com/spreadsheets/d/""&amp;$A518&amp;""/edit#gid=156619080"",AB$3)"),1199.99)</f>
        <v>1199.99</v>
      </c>
      <c r="AC518" s="18">
        <f>IFERROR(__xludf.DUMMYFUNCTION("IMPORTRANGE(""https://docs.google.com/spreadsheets/d/""&amp;$A518&amp;""/edit#gid=156619080"",AC$3)"),1182.13)</f>
        <v>1182.13</v>
      </c>
      <c r="AD518" s="18">
        <f>IFERROR(__xludf.DUMMYFUNCTION("IMPORTRANGE(""https://docs.google.com/spreadsheets/d/""&amp;$A518&amp;""/edit#gid=156619080"",AD$3)"),1164.26)</f>
        <v>1164.26</v>
      </c>
      <c r="AE518" s="18">
        <f>IFERROR(__xludf.DUMMYFUNCTION("IMPORTRANGE(""https://docs.google.com/spreadsheets/d/""&amp;$A518&amp;""/edit#gid=156619080"",AE$3)"),1092.8)</f>
        <v>1092.8</v>
      </c>
      <c r="AF518" s="2">
        <f>IFERROR(__xludf.DUMMYFUNCTION("IMPORTRANGE(""https://docs.google.com/spreadsheets/d/""&amp;$A518&amp;""/edit#gid=156619080"",AF$3)"),1021.34)</f>
        <v>1021.34</v>
      </c>
      <c r="AG518" s="2">
        <f>IFERROR(__xludf.DUMMYFUNCTION("IMPORTRANGE(""https://docs.google.com/spreadsheets/d/""&amp;$A518&amp;""/edit#gid=156619080"",AG$3)"),1003.47)</f>
        <v>1003.47</v>
      </c>
      <c r="AH518" s="2">
        <f>IFERROR(__xludf.DUMMYFUNCTION("IMPORTRANGE(""https://docs.google.com/spreadsheets/d/""&amp;$A518&amp;""/edit#gid=156619080"",AH$3)"),985.61)</f>
        <v>985.61</v>
      </c>
      <c r="AI518" s="2">
        <f>IFERROR(__xludf.DUMMYFUNCTION("IMPORTRANGE(""https://docs.google.com/spreadsheets/d/""&amp;$A518&amp;""/edit#gid=156619080"",AI$3)"),967.74)</f>
        <v>967.74</v>
      </c>
      <c r="AJ518" s="2">
        <f>IFERROR(__xludf.DUMMYFUNCTION("IMPORTRANGE(""https://docs.google.com/spreadsheets/d/""&amp;$A518&amp;""/edit#gid=156619080"",AJ$3)"),949.88)</f>
        <v>949.88</v>
      </c>
      <c r="AK518" s="2" t="str">
        <f>IFERROR(__xludf.DUMMYFUNCTION("IMPORTRANGE(""https://docs.google.com/spreadsheets/d/""&amp;$A518&amp;""/edit#gid=156619080"",AK$3)"),"-1.25σ〜-1.5σ")</f>
        <v>-1.25σ〜-1.5σ</v>
      </c>
      <c r="AL518" s="2">
        <f>IFERROR(__xludf.DUMMYFUNCTION("IMPORTRANGE(""https://docs.google.com/spreadsheets/d/""&amp;$A518&amp;""/edit#gid=156619080"",AL$3)"),-1.0)</f>
        <v>-1</v>
      </c>
      <c r="AM518" s="2" t="str">
        <f>IFERROR(__xludf.DUMMYFUNCTION("IMPORTRANGE(""https://docs.google.com/spreadsheets/d/""&amp;$A518&amp;""/edit#gid=156619080"",AM$3)"),"")</f>
        <v/>
      </c>
      <c r="AN518" s="2">
        <f>IFERROR(__xludf.DUMMYFUNCTION("IMPORTRANGE(""https://docs.google.com/spreadsheets/d/""&amp;$A518&amp;""/edit#gid=156619080"",AN$3)"),-1.0)</f>
        <v>-1</v>
      </c>
      <c r="AO518" s="2" t="str">
        <f>IFERROR(__xludf.DUMMYFUNCTION("IMPORTRANGE(""https://docs.google.com/spreadsheets/d/""&amp;$A518&amp;""/edit#gid=156619080"",AO$3)"),"")</f>
        <v/>
      </c>
      <c r="AP518" s="2">
        <f>IFERROR(__xludf.DUMMYFUNCTION("IMPORTRANGE(""https://docs.google.com/spreadsheets/d/""&amp;$A518&amp;""/edit#gid=156619080"",AP$3)"),-1.0)</f>
        <v>-1</v>
      </c>
      <c r="AQ518" s="2" t="str">
        <f>IFERROR(__xludf.DUMMYFUNCTION("IMPORTRANGE(""https://docs.google.com/spreadsheets/d/""&amp;$A518&amp;""/edit#gid=156619080"",AQ$3)"),"")</f>
        <v/>
      </c>
      <c r="AR518" s="18">
        <f>IFERROR(__xludf.DUMMYFUNCTION("IMPORTRANGE(""https://docs.google.com/spreadsheets/d/""&amp;$A518&amp;""/edit#gid=156619080"",AR$3)"),-92.5)</f>
        <v>-92.5</v>
      </c>
      <c r="AS518" s="19" t="str">
        <f>IFERROR(__xludf.DUMMYFUNCTION("IMPORTRANGE(""https://docs.google.com/spreadsheets/d/""&amp;$A518&amp;""/edit#gid=156619080"",AS$3)"),"0
-60
-82.5
-92.5
")</f>
        <v>0
-60
-82.5
-92.5
</v>
      </c>
      <c r="AT518" s="18">
        <f>IFERROR(__xludf.DUMMYFUNCTION("IMPORTRANGE(""https://docs.google.com/spreadsheets/d/""&amp;$A518&amp;""/edit#gid=156619080"",AT$3)"),-89.69780219780219)</f>
        <v>-89.6978022</v>
      </c>
      <c r="AU518" s="3" t="str">
        <f>IFERROR(__xludf.DUMMYFUNCTION("IMPORTRANGE(""https://docs.google.com/spreadsheets/d/""&amp;$A518&amp;""/edit#gid=156619080"",AU$3)"),"-63.19
-63.19
-62.77
-64.97
")</f>
        <v>-63.19
-63.19
-62.77
-64.97
</v>
      </c>
      <c r="AV518" s="18">
        <f>IFERROR(__xludf.DUMMYFUNCTION("IMPORTRANGE(""https://docs.google.com/spreadsheets/d/""&amp;$A518&amp;""/edit#gid=156619080"",AV$3)"),-91.07142857142858)</f>
        <v>-91.07142857</v>
      </c>
      <c r="AW518" s="19" t="str">
        <f>IFERROR(__xludf.DUMMYFUNCTION("IMPORTRANGE(""https://docs.google.com/spreadsheets/d/""&amp;$A518&amp;""/edit#gid=156619080"",AW$3)"),"-86.92
-89.29
-90.49
-90.71
")</f>
        <v>-86.92
-89.29
-90.49
-90.71
</v>
      </c>
      <c r="AX518" s="2">
        <f>IFERROR(__xludf.DUMMYFUNCTION("IMPORTRANGE(""https://docs.google.com/spreadsheets/d/""&amp;$A518&amp;""/edit#gid=156619080"",AX$3)"),0.0)</f>
        <v>0</v>
      </c>
      <c r="AY518" s="2">
        <f>IFERROR(__xludf.DUMMYFUNCTION("IMPORTRANGE(""https://docs.google.com/spreadsheets/d/""&amp;$A518&amp;""/edit#gid=156619080"",AY$3)"),20.91)</f>
        <v>20.91</v>
      </c>
      <c r="AZ518" s="2">
        <f>IFERROR(__xludf.DUMMYFUNCTION("IMPORTRANGE(""https://docs.google.com/spreadsheets/d/""&amp;$A518&amp;""/edit#gid=156619080"",AZ$3)"),1018.55)</f>
        <v>1018.55</v>
      </c>
      <c r="BA518" s="2">
        <f>IFERROR(__xludf.DUMMYFUNCTION("IMPORTRANGE(""https://docs.google.com/spreadsheets/d/""&amp;$A518&amp;""/edit#gid=156619080"",BA$3)"),-66.08000000000015)</f>
        <v>-66.08</v>
      </c>
      <c r="BB518" s="2">
        <f>IFERROR(__xludf.DUMMYFUNCTION("IMPORTRANGE(""https://docs.google.com/spreadsheets/d/""&amp;$A518&amp;""/edit#gid=156619080"",BB$3)"),-60.98)</f>
        <v>-60.98</v>
      </c>
      <c r="BC518" s="2" t="str">
        <f>IFERROR(__xludf.DUMMYFUNCTION("IMPORTRANGE(""https://docs.google.com/spreadsheets/d/""&amp;$A518&amp;""/edit#gid=156619080"",BC$3)"),"DC→DC")</f>
        <v>DC→DC</v>
      </c>
    </row>
    <row r="519" ht="51.0" customHeight="1">
      <c r="A519" s="7" t="str">
        <f t="shared" si="5"/>
        <v>108RJY1epJyntisiId_ZMleEeMGTT72AhG3RIfJU2kNY</v>
      </c>
      <c r="B519" s="1" t="s">
        <v>546</v>
      </c>
      <c r="C519" s="2">
        <f>IFERROR(__xludf.DUMMYFUNCTION("IMPORTRANGE(""https://docs.google.com/spreadsheets/d/""&amp;$A519&amp;""/edit#gid=156619080"",C$3)"),45.0)</f>
        <v>45</v>
      </c>
      <c r="D519" s="2">
        <f>IFERROR(__xludf.DUMMYFUNCTION("IMPORTRANGE(""https://docs.google.com/spreadsheets/d/""&amp;$A519&amp;""/edit#gid=156619080"",D$3)"),2445.0)</f>
        <v>2445</v>
      </c>
      <c r="E519" s="15">
        <f>IFERROR(__xludf.DUMMYFUNCTION("IMPORTRANGE(""https://docs.google.com/spreadsheets/d/""&amp;$A519&amp;""/edit#gid=156619080"",E$3)"),43882.0)</f>
        <v>43882</v>
      </c>
      <c r="F519" s="2">
        <f>IFERROR(__xludf.DUMMYFUNCTION("IMPORTRANGE(""https://docs.google.com/spreadsheets/d/""&amp;$A519&amp;""/edit#gid=156619080"",F$3)"),1.0)</f>
        <v>1</v>
      </c>
      <c r="G519" s="16">
        <f>IFERROR(__xludf.DUMMYFUNCTION("IMPORTRANGE(""https://docs.google.com/spreadsheets/d/""&amp;$A519&amp;""/edit#gid=156619080"",G$3)"),0.17)</f>
        <v>0.17</v>
      </c>
      <c r="H519" s="16">
        <f>IFERROR(__xludf.DUMMYFUNCTION("IMPORTRANGE(""https://docs.google.com/spreadsheets/d/""&amp;$A519&amp;""/edit#gid=156619080"",H$3)"),595.0)</f>
        <v>595</v>
      </c>
      <c r="I519" s="16">
        <f>IFERROR(__xludf.DUMMYFUNCTION("IMPORTRANGE(""https://docs.google.com/spreadsheets/d/""&amp;$A519&amp;""/edit#gid=156619080"",I$3)"),1.0)</f>
        <v>1</v>
      </c>
      <c r="J519" s="16">
        <f>IFERROR(__xludf.DUMMYFUNCTION("IMPORTRANGE(""https://docs.google.com/spreadsheets/d/""&amp;$A519&amp;""/edit#gid=156619080"",J$3)"),604.0)</f>
        <v>604</v>
      </c>
      <c r="K519" s="16">
        <f>IFERROR(__xludf.DUMMYFUNCTION("IMPORTRANGE(""https://docs.google.com/spreadsheets/d/""&amp;$A519&amp;""/edit#gid=156619080"",K$3)"),0.39791666666666664)</f>
        <v>0.3979166667</v>
      </c>
      <c r="L519" s="16">
        <f>IFERROR(__xludf.DUMMYFUNCTION("IMPORTRANGE(""https://docs.google.com/spreadsheets/d/""&amp;$A519&amp;""/edit#gid=156619080"",L$3)"),595.0)</f>
        <v>595</v>
      </c>
      <c r="M519" s="16">
        <f>IFERROR(__xludf.DUMMYFUNCTION("IMPORTRANGE(""https://docs.google.com/spreadsheets/d/""&amp;$A519&amp;""/edit#gid=156619080"",M$3)"),0.375)</f>
        <v>0.375</v>
      </c>
      <c r="N519" s="16">
        <f>IFERROR(__xludf.DUMMYFUNCTION("IMPORTRANGE(""https://docs.google.com/spreadsheets/d/""&amp;$A519&amp;""/edit#gid=156619080"",N$3)"),597.0)</f>
        <v>597</v>
      </c>
      <c r="O519" s="16" t="str">
        <f>IFERROR(__xludf.DUMMYFUNCTION("IMPORTRANGE(""https://docs.google.com/spreadsheets/d/""&amp;$A519&amp;""/edit#gid=156619080"",O$3)"),"21600株")</f>
        <v>21600株</v>
      </c>
      <c r="P519" s="16" t="str">
        <f>IFERROR(__xludf.DUMMYFUNCTION("IMPORTRANGE(""https://docs.google.com/spreadsheets/d/""&amp;$A519&amp;""/edit#gid=156619080"",P$3)"),"13百万円")</f>
        <v>13百万円</v>
      </c>
      <c r="Q519" s="16" t="str">
        <f>IFERROR(__xludf.DUMMYFUNCTION("IMPORTRANGE(""https://docs.google.com/spreadsheets/d/""&amp;$A519&amp;""/edit#gid=156619080"",Q$3)"),"86回")</f>
        <v>86回</v>
      </c>
      <c r="R519" s="16" t="str">
        <f>IFERROR(__xludf.DUMMYFUNCTION("IMPORTRANGE(""https://docs.google.com/spreadsheets/d/""&amp;$A519&amp;""/edit#gid=156619080"",R$3)"),"278億円")</f>
        <v>278億円</v>
      </c>
      <c r="S519" s="16" t="str">
        <f>IFERROR(__xludf.DUMMYFUNCTION("IMPORTRANGE(""https://docs.google.com/spreadsheets/d/""&amp;$A519&amp;""/edit#gid=156619080"",S$3)"),"陽線")</f>
        <v>陽線</v>
      </c>
      <c r="T519" s="16" t="str">
        <f>IFERROR(__xludf.DUMMYFUNCTION("IMPORTRANGE(""https://docs.google.com/spreadsheets/d/""&amp;$A519&amp;""/edit#gid=156619080"",T$3)"),"")</f>
        <v/>
      </c>
      <c r="U519" s="16">
        <f>IFERROR(__xludf.DUMMYFUNCTION("IMPORTRANGE(""https://docs.google.com/spreadsheets/d/""&amp;$A519&amp;""/edit#gid=156619080"",U$3)"),598.8)</f>
        <v>598.8</v>
      </c>
      <c r="V519" s="16">
        <f>IFERROR(__xludf.DUMMYFUNCTION("IMPORTRANGE(""https://docs.google.com/spreadsheets/d/""&amp;$A519&amp;""/edit#gid=156619080"",V$3)"),616.7)</f>
        <v>616.7</v>
      </c>
      <c r="W519" s="16">
        <f>IFERROR(__xludf.DUMMYFUNCTION("IMPORTRANGE(""https://docs.google.com/spreadsheets/d/""&amp;$A519&amp;""/edit#gid=156619080"",W$3)"),629.1)</f>
        <v>629.1</v>
      </c>
      <c r="X519" s="2" t="str">
        <f>IFERROR(__xludf.DUMMYFUNCTION("IMPORTRANGE(""https://docs.google.com/spreadsheets/d/""&amp;$A519&amp;""/edit#gid=156619080"",X$3)"),"")</f>
        <v/>
      </c>
      <c r="Y519" s="17">
        <f>IFERROR(__xludf.DUMMYFUNCTION("IMPORTRANGE(""https://docs.google.com/spreadsheets/d/""&amp;$A519&amp;""/edit#gid=156619080"",Y$3)"),-0.0030060120240480203)</f>
        <v>-0.003006012024</v>
      </c>
      <c r="Z519" s="2">
        <f>IFERROR(__xludf.DUMMYFUNCTION("IMPORTRANGE(""https://docs.google.com/spreadsheets/d/""&amp;$A519&amp;""/edit#gid=156619080"",Z$3)"),673.98)</f>
        <v>673.98</v>
      </c>
      <c r="AA519" s="2">
        <f>IFERROR(__xludf.DUMMYFUNCTION("IMPORTRANGE(""https://docs.google.com/spreadsheets/d/""&amp;$A519&amp;""/edit#gid=156619080"",AA$3)"),668.37)</f>
        <v>668.37</v>
      </c>
      <c r="AB519" s="2">
        <f>IFERROR(__xludf.DUMMYFUNCTION("IMPORTRANGE(""https://docs.google.com/spreadsheets/d/""&amp;$A519&amp;""/edit#gid=156619080"",AB$3)"),662.76)</f>
        <v>662.76</v>
      </c>
      <c r="AC519" s="18">
        <f>IFERROR(__xludf.DUMMYFUNCTION("IMPORTRANGE(""https://docs.google.com/spreadsheets/d/""&amp;$A519&amp;""/edit#gid=156619080"",AC$3)"),657.15)</f>
        <v>657.15</v>
      </c>
      <c r="AD519" s="18">
        <f>IFERROR(__xludf.DUMMYFUNCTION("IMPORTRANGE(""https://docs.google.com/spreadsheets/d/""&amp;$A519&amp;""/edit#gid=156619080"",AD$3)"),651.54)</f>
        <v>651.54</v>
      </c>
      <c r="AE519" s="18">
        <f>IFERROR(__xludf.DUMMYFUNCTION("IMPORTRANGE(""https://docs.google.com/spreadsheets/d/""&amp;$A519&amp;""/edit#gid=156619080"",AE$3)"),629.1)</f>
        <v>629.1</v>
      </c>
      <c r="AF519" s="2">
        <f>IFERROR(__xludf.DUMMYFUNCTION("IMPORTRANGE(""https://docs.google.com/spreadsheets/d/""&amp;$A519&amp;""/edit#gid=156619080"",AF$3)"),606.66)</f>
        <v>606.66</v>
      </c>
      <c r="AG519" s="2">
        <f>IFERROR(__xludf.DUMMYFUNCTION("IMPORTRANGE(""https://docs.google.com/spreadsheets/d/""&amp;$A519&amp;""/edit#gid=156619080"",AG$3)"),601.05)</f>
        <v>601.05</v>
      </c>
      <c r="AH519" s="2">
        <f>IFERROR(__xludf.DUMMYFUNCTION("IMPORTRANGE(""https://docs.google.com/spreadsheets/d/""&amp;$A519&amp;""/edit#gid=156619080"",AH$3)"),595.44)</f>
        <v>595.44</v>
      </c>
      <c r="AI519" s="2">
        <f>IFERROR(__xludf.DUMMYFUNCTION("IMPORTRANGE(""https://docs.google.com/spreadsheets/d/""&amp;$A519&amp;""/edit#gid=156619080"",AI$3)"),589.83)</f>
        <v>589.83</v>
      </c>
      <c r="AJ519" s="2">
        <f>IFERROR(__xludf.DUMMYFUNCTION("IMPORTRANGE(""https://docs.google.com/spreadsheets/d/""&amp;$A519&amp;""/edit#gid=156619080"",AJ$3)"),584.22)</f>
        <v>584.22</v>
      </c>
      <c r="AK519" s="2" t="str">
        <f>IFERROR(__xludf.DUMMYFUNCTION("IMPORTRANGE(""https://docs.google.com/spreadsheets/d/""&amp;$A519&amp;""/edit#gid=156619080"",AK$3)"),"-1.25σ〜-1.5σ")</f>
        <v>-1.25σ〜-1.5σ</v>
      </c>
      <c r="AL519" s="2">
        <f>IFERROR(__xludf.DUMMYFUNCTION("IMPORTRANGE(""https://docs.google.com/spreadsheets/d/""&amp;$A519&amp;""/edit#gid=156619080"",AL$3)"),-1.0)</f>
        <v>-1</v>
      </c>
      <c r="AM519" s="2" t="str">
        <f>IFERROR(__xludf.DUMMYFUNCTION("IMPORTRANGE(""https://docs.google.com/spreadsheets/d/""&amp;$A519&amp;""/edit#gid=156619080"",AM$3)"),"")</f>
        <v/>
      </c>
      <c r="AN519" s="2">
        <f>IFERROR(__xludf.DUMMYFUNCTION("IMPORTRANGE(""https://docs.google.com/spreadsheets/d/""&amp;$A519&amp;""/edit#gid=156619080"",AN$3)"),-1.0)</f>
        <v>-1</v>
      </c>
      <c r="AO519" s="2" t="str">
        <f>IFERROR(__xludf.DUMMYFUNCTION("IMPORTRANGE(""https://docs.google.com/spreadsheets/d/""&amp;$A519&amp;""/edit#gid=156619080"",AO$3)"),"")</f>
        <v/>
      </c>
      <c r="AP519" s="2">
        <f>IFERROR(__xludf.DUMMYFUNCTION("IMPORTRANGE(""https://docs.google.com/spreadsheets/d/""&amp;$A519&amp;""/edit#gid=156619080"",AP$3)"),-1.0)</f>
        <v>-1</v>
      </c>
      <c r="AQ519" s="2" t="str">
        <f>IFERROR(__xludf.DUMMYFUNCTION("IMPORTRANGE(""https://docs.google.com/spreadsheets/d/""&amp;$A519&amp;""/edit#gid=156619080"",AQ$3)"),"")</f>
        <v/>
      </c>
      <c r="AR519" s="18">
        <f>IFERROR(__xludf.DUMMYFUNCTION("IMPORTRANGE(""https://docs.google.com/spreadsheets/d/""&amp;$A519&amp;""/edit#gid=156619080"",AR$3)"),-80.0)</f>
        <v>-80</v>
      </c>
      <c r="AS519" s="19" t="str">
        <f>IFERROR(__xludf.DUMMYFUNCTION("IMPORTRANGE(""https://docs.google.com/spreadsheets/d/""&amp;$A519&amp;""/edit#gid=156619080"",AS$3)"),"-92.5
-100
-90
-90
")</f>
        <v>-92.5
-100
-90
-90
</v>
      </c>
      <c r="AT519" s="18">
        <f>IFERROR(__xludf.DUMMYFUNCTION("IMPORTRANGE(""https://docs.google.com/spreadsheets/d/""&amp;$A519&amp;""/edit#gid=156619080"",AT$3)"),-90.79670329670331)</f>
        <v>-90.7967033</v>
      </c>
      <c r="AU519" s="3" t="str">
        <f>IFERROR(__xludf.DUMMYFUNCTION("IMPORTRANGE(""https://docs.google.com/spreadsheets/d/""&amp;$A519&amp;""/edit#gid=156619080"",AU$3)"),"-75.96
-79.26
-84.2
-88.05
")</f>
        <v>-75.96
-79.26
-84.2
-88.05
</v>
      </c>
      <c r="AV519" s="18">
        <f>IFERROR(__xludf.DUMMYFUNCTION("IMPORTRANGE(""https://docs.google.com/spreadsheets/d/""&amp;$A519&amp;""/edit#gid=156619080"",AV$3)"),-93.92857142857143)</f>
        <v>-93.92857143</v>
      </c>
      <c r="AW519" s="19" t="str">
        <f>IFERROR(__xludf.DUMMYFUNCTION("IMPORTRANGE(""https://docs.google.com/spreadsheets/d/""&amp;$A519&amp;""/edit#gid=156619080"",AW$3)"),"-92.89
-93.67
-93.93
-94.06
")</f>
        <v>-92.89
-93.67
-93.93
-94.06
</v>
      </c>
      <c r="AX519" s="2">
        <f>IFERROR(__xludf.DUMMYFUNCTION("IMPORTRANGE(""https://docs.google.com/spreadsheets/d/""&amp;$A519&amp;""/edit#gid=156619080"",AX$3)"),15.379999999999999)</f>
        <v>15.38</v>
      </c>
      <c r="AY519" s="2">
        <f>IFERROR(__xludf.DUMMYFUNCTION("IMPORTRANGE(""https://docs.google.com/spreadsheets/d/""&amp;$A519&amp;""/edit#gid=156619080"",AY$3)"),24.84)</f>
        <v>24.84</v>
      </c>
      <c r="AZ519" s="2">
        <f>IFERROR(__xludf.DUMMYFUNCTION("IMPORTRANGE(""https://docs.google.com/spreadsheets/d/""&amp;$A519&amp;""/edit#gid=156619080"",AZ$3)"),601.02)</f>
        <v>601.02</v>
      </c>
      <c r="BA519" s="2">
        <f>IFERROR(__xludf.DUMMYFUNCTION("IMPORTRANGE(""https://docs.google.com/spreadsheets/d/""&amp;$A519&amp;""/edit#gid=156619080"",BA$3)"),-26.06000000000006)</f>
        <v>-26.06</v>
      </c>
      <c r="BB519" s="2">
        <f>IFERROR(__xludf.DUMMYFUNCTION("IMPORTRANGE(""https://docs.google.com/spreadsheets/d/""&amp;$A519&amp;""/edit#gid=156619080"",BB$3)"),-23.91)</f>
        <v>-23.91</v>
      </c>
      <c r="BC519" s="2" t="str">
        <f>IFERROR(__xludf.DUMMYFUNCTION("IMPORTRANGE(""https://docs.google.com/spreadsheets/d/""&amp;$A519&amp;""/edit#gid=156619080"",BC$3)"),"DC→DC")</f>
        <v>DC→DC</v>
      </c>
    </row>
    <row r="520" ht="51.0" customHeight="1">
      <c r="A520" s="7" t="str">
        <f t="shared" si="5"/>
        <v>100CpMBxsK5UvPceOqtszg0ZPm36AiUaW6_3IUoAmJ04</v>
      </c>
      <c r="B520" s="1" t="s">
        <v>547</v>
      </c>
      <c r="C520" s="2">
        <f>IFERROR(__xludf.DUMMYFUNCTION("IMPORTRANGE(""https://docs.google.com/spreadsheets/d/""&amp;$A520&amp;""/edit#gid=156619080"",C$3)"),45.0)</f>
        <v>45</v>
      </c>
      <c r="D520" s="2">
        <f>IFERROR(__xludf.DUMMYFUNCTION("IMPORTRANGE(""https://docs.google.com/spreadsheets/d/""&amp;$A520&amp;""/edit#gid=156619080"",D$3)"),3431.0)</f>
        <v>3431</v>
      </c>
      <c r="E520" s="15">
        <f>IFERROR(__xludf.DUMMYFUNCTION("IMPORTRANGE(""https://docs.google.com/spreadsheets/d/""&amp;$A520&amp;""/edit#gid=156619080"",E$3)"),43882.0)</f>
        <v>43882</v>
      </c>
      <c r="F520" s="2">
        <f>IFERROR(__xludf.DUMMYFUNCTION("IMPORTRANGE(""https://docs.google.com/spreadsheets/d/""&amp;$A520&amp;""/edit#gid=156619080"",F$3)"),-55.0)</f>
        <v>-55</v>
      </c>
      <c r="G520" s="16">
        <f>IFERROR(__xludf.DUMMYFUNCTION("IMPORTRANGE(""https://docs.google.com/spreadsheets/d/""&amp;$A520&amp;""/edit#gid=156619080"",G$3)"),-2.69)</f>
        <v>-2.69</v>
      </c>
      <c r="H520" s="16">
        <f>IFERROR(__xludf.DUMMYFUNCTION("IMPORTRANGE(""https://docs.google.com/spreadsheets/d/""&amp;$A520&amp;""/edit#gid=156619080"",H$3)"),2015.0)</f>
        <v>2015</v>
      </c>
      <c r="I520" s="16">
        <f>IFERROR(__xludf.DUMMYFUNCTION("IMPORTRANGE(""https://docs.google.com/spreadsheets/d/""&amp;$A520&amp;""/edit#gid=156619080"",I$3)"),28.0)</f>
        <v>28</v>
      </c>
      <c r="J520" s="16">
        <f>IFERROR(__xludf.DUMMYFUNCTION("IMPORTRANGE(""https://docs.google.com/spreadsheets/d/""&amp;$A520&amp;""/edit#gid=156619080"",J$3)"),2053.0)</f>
        <v>2053</v>
      </c>
      <c r="K520" s="16">
        <f>IFERROR(__xludf.DUMMYFUNCTION("IMPORTRANGE(""https://docs.google.com/spreadsheets/d/""&amp;$A520&amp;""/edit#gid=156619080"",K$3)"),0.4041666666666667)</f>
        <v>0.4041666667</v>
      </c>
      <c r="L520" s="16">
        <f>IFERROR(__xludf.DUMMYFUNCTION("IMPORTRANGE(""https://docs.google.com/spreadsheets/d/""&amp;$A520&amp;""/edit#gid=156619080"",L$3)"),1987.0)</f>
        <v>1987</v>
      </c>
      <c r="M520" s="16">
        <f>IFERROR(__xludf.DUMMYFUNCTION("IMPORTRANGE(""https://docs.google.com/spreadsheets/d/""&amp;$A520&amp;""/edit#gid=156619080"",M$3)"),0.6138888888888889)</f>
        <v>0.6138888889</v>
      </c>
      <c r="N520" s="16">
        <f>IFERROR(__xludf.DUMMYFUNCTION("IMPORTRANGE(""https://docs.google.com/spreadsheets/d/""&amp;$A520&amp;""/edit#gid=156619080"",N$3)"),1988.0)</f>
        <v>1988</v>
      </c>
      <c r="O520" s="16" t="str">
        <f>IFERROR(__xludf.DUMMYFUNCTION("IMPORTRANGE(""https://docs.google.com/spreadsheets/d/""&amp;$A520&amp;""/edit#gid=156619080"",O$3)"),"29000株")</f>
        <v>29000株</v>
      </c>
      <c r="P520" s="16" t="str">
        <f>IFERROR(__xludf.DUMMYFUNCTION("IMPORTRANGE(""https://docs.google.com/spreadsheets/d/""&amp;$A520&amp;""/edit#gid=156619080"",P$3)"),"58百万円")</f>
        <v>58百万円</v>
      </c>
      <c r="Q520" s="16" t="str">
        <f>IFERROR(__xludf.DUMMYFUNCTION("IMPORTRANGE(""https://docs.google.com/spreadsheets/d/""&amp;$A520&amp;""/edit#gid=156619080"",Q$3)"),"160回")</f>
        <v>160回</v>
      </c>
      <c r="R520" s="16" t="str">
        <f>IFERROR(__xludf.DUMMYFUNCTION("IMPORTRANGE(""https://docs.google.com/spreadsheets/d/""&amp;$A520&amp;""/edit#gid=156619080"",R$3)"),"138億円")</f>
        <v>138億円</v>
      </c>
      <c r="S520" s="16" t="str">
        <f>IFERROR(__xludf.DUMMYFUNCTION("IMPORTRANGE(""https://docs.google.com/spreadsheets/d/""&amp;$A520&amp;""/edit#gid=156619080"",S$3)"),"陰線")</f>
        <v>陰線</v>
      </c>
      <c r="T520" s="16" t="str">
        <f>IFERROR(__xludf.DUMMYFUNCTION("IMPORTRANGE(""https://docs.google.com/spreadsheets/d/""&amp;$A520&amp;""/edit#gid=156619080"",T$3)"),"")</f>
        <v/>
      </c>
      <c r="U520" s="16">
        <f>IFERROR(__xludf.DUMMYFUNCTION("IMPORTRANGE(""https://docs.google.com/spreadsheets/d/""&amp;$A520&amp;""/edit#gid=156619080"",U$3)"),2006.6)</f>
        <v>2006.6</v>
      </c>
      <c r="V520" s="16">
        <f>IFERROR(__xludf.DUMMYFUNCTION("IMPORTRANGE(""https://docs.google.com/spreadsheets/d/""&amp;$A520&amp;""/edit#gid=156619080"",V$3)"),2050.6)</f>
        <v>2050.6</v>
      </c>
      <c r="W520" s="16">
        <f>IFERROR(__xludf.DUMMYFUNCTION("IMPORTRANGE(""https://docs.google.com/spreadsheets/d/""&amp;$A520&amp;""/edit#gid=156619080"",W$3)"),2023.2)</f>
        <v>2023.2</v>
      </c>
      <c r="X520" s="2" t="str">
        <f>IFERROR(__xludf.DUMMYFUNCTION("IMPORTRANGE(""https://docs.google.com/spreadsheets/d/""&amp;$A520&amp;""/edit#gid=156619080"",X$3)"),"")</f>
        <v/>
      </c>
      <c r="Y520" s="17">
        <f>IFERROR(__xludf.DUMMYFUNCTION("IMPORTRANGE(""https://docs.google.com/spreadsheets/d/""&amp;$A520&amp;""/edit#gid=156619080"",Y$3)"),-0.009269410943885134)</f>
        <v>-0.009269410944</v>
      </c>
      <c r="Z520" s="2">
        <f>IFERROR(__xludf.DUMMYFUNCTION("IMPORTRANGE(""https://docs.google.com/spreadsheets/d/""&amp;$A520&amp;""/edit#gid=156619080"",Z$3)"),2129.9)</f>
        <v>2129.9</v>
      </c>
      <c r="AA520" s="2">
        <f>IFERROR(__xludf.DUMMYFUNCTION("IMPORTRANGE(""https://docs.google.com/spreadsheets/d/""&amp;$A520&amp;""/edit#gid=156619080"",AA$3)"),2116.56)</f>
        <v>2116.56</v>
      </c>
      <c r="AB520" s="2">
        <f>IFERROR(__xludf.DUMMYFUNCTION("IMPORTRANGE(""https://docs.google.com/spreadsheets/d/""&amp;$A520&amp;""/edit#gid=156619080"",AB$3)"),2103.22)</f>
        <v>2103.22</v>
      </c>
      <c r="AC520" s="18">
        <f>IFERROR(__xludf.DUMMYFUNCTION("IMPORTRANGE(""https://docs.google.com/spreadsheets/d/""&amp;$A520&amp;""/edit#gid=156619080"",AC$3)"),2089.89)</f>
        <v>2089.89</v>
      </c>
      <c r="AD520" s="18">
        <f>IFERROR(__xludf.DUMMYFUNCTION("IMPORTRANGE(""https://docs.google.com/spreadsheets/d/""&amp;$A520&amp;""/edit#gid=156619080"",AD$3)"),2076.55)</f>
        <v>2076.55</v>
      </c>
      <c r="AE520" s="18">
        <f>IFERROR(__xludf.DUMMYFUNCTION("IMPORTRANGE(""https://docs.google.com/spreadsheets/d/""&amp;$A520&amp;""/edit#gid=156619080"",AE$3)"),2023.2)</f>
        <v>2023.2</v>
      </c>
      <c r="AF520" s="2">
        <f>IFERROR(__xludf.DUMMYFUNCTION("IMPORTRANGE(""https://docs.google.com/spreadsheets/d/""&amp;$A520&amp;""/edit#gid=156619080"",AF$3)"),1969.85)</f>
        <v>1969.85</v>
      </c>
      <c r="AG520" s="2">
        <f>IFERROR(__xludf.DUMMYFUNCTION("IMPORTRANGE(""https://docs.google.com/spreadsheets/d/""&amp;$A520&amp;""/edit#gid=156619080"",AG$3)"),1956.51)</f>
        <v>1956.51</v>
      </c>
      <c r="AH520" s="2">
        <f>IFERROR(__xludf.DUMMYFUNCTION("IMPORTRANGE(""https://docs.google.com/spreadsheets/d/""&amp;$A520&amp;""/edit#gid=156619080"",AH$3)"),1943.18)</f>
        <v>1943.18</v>
      </c>
      <c r="AI520" s="2">
        <f>IFERROR(__xludf.DUMMYFUNCTION("IMPORTRANGE(""https://docs.google.com/spreadsheets/d/""&amp;$A520&amp;""/edit#gid=156619080"",AI$3)"),1929.84)</f>
        <v>1929.84</v>
      </c>
      <c r="AJ520" s="2">
        <f>IFERROR(__xludf.DUMMYFUNCTION("IMPORTRANGE(""https://docs.google.com/spreadsheets/d/""&amp;$A520&amp;""/edit#gid=156619080"",AJ$3)"),1916.5)</f>
        <v>1916.5</v>
      </c>
      <c r="AK520" s="2" t="str">
        <f>IFERROR(__xludf.DUMMYFUNCTION("IMPORTRANGE(""https://docs.google.com/spreadsheets/d/""&amp;$A520&amp;""/edit#gid=156619080"",AK$3)"),"")</f>
        <v/>
      </c>
      <c r="AL520" s="2">
        <f>IFERROR(__xludf.DUMMYFUNCTION("IMPORTRANGE(""https://docs.google.com/spreadsheets/d/""&amp;$A520&amp;""/edit#gid=156619080"",AL$3)"),-1.0)</f>
        <v>-1</v>
      </c>
      <c r="AM520" s="2" t="str">
        <f>IFERROR(__xludf.DUMMYFUNCTION("IMPORTRANGE(""https://docs.google.com/spreadsheets/d/""&amp;$A520&amp;""/edit#gid=156619080"",AM$3)"),"")</f>
        <v/>
      </c>
      <c r="AN520" s="2">
        <f>IFERROR(__xludf.DUMMYFUNCTION("IMPORTRANGE(""https://docs.google.com/spreadsheets/d/""&amp;$A520&amp;""/edit#gid=156619080"",AN$3)"),-1.0)</f>
        <v>-1</v>
      </c>
      <c r="AO520" s="2" t="str">
        <f>IFERROR(__xludf.DUMMYFUNCTION("IMPORTRANGE(""https://docs.google.com/spreadsheets/d/""&amp;$A520&amp;""/edit#gid=156619080"",AO$3)"),"")</f>
        <v/>
      </c>
      <c r="AP520" s="2">
        <f>IFERROR(__xludf.DUMMYFUNCTION("IMPORTRANGE(""https://docs.google.com/spreadsheets/d/""&amp;$A520&amp;""/edit#gid=156619080"",AP$3)"),1.0)</f>
        <v>1</v>
      </c>
      <c r="AQ520" s="2" t="str">
        <f>IFERROR(__xludf.DUMMYFUNCTION("IMPORTRANGE(""https://docs.google.com/spreadsheets/d/""&amp;$A520&amp;""/edit#gid=156619080"",AQ$3)"),"")</f>
        <v/>
      </c>
      <c r="AR520" s="18">
        <f>IFERROR(__xludf.DUMMYFUNCTION("IMPORTRANGE(""https://docs.google.com/spreadsheets/d/""&amp;$A520&amp;""/edit#gid=156619080"",AR$3)"),19.999999999999996)</f>
        <v>20</v>
      </c>
      <c r="AS520" s="19" t="str">
        <f>IFERROR(__xludf.DUMMYFUNCTION("IMPORTRANGE(""https://docs.google.com/spreadsheets/d/""&amp;$A520&amp;""/edit#gid=156619080"",AS$3)"),"-100
-100
-70
-10
")</f>
        <v>-100
-100
-70
-10
</v>
      </c>
      <c r="AT520" s="18">
        <f>IFERROR(__xludf.DUMMYFUNCTION("IMPORTRANGE(""https://docs.google.com/spreadsheets/d/""&amp;$A520&amp;""/edit#gid=156619080"",AT$3)"),-53.846153846153854)</f>
        <v>-53.84615385</v>
      </c>
      <c r="AU520" s="3" t="str">
        <f>IFERROR(__xludf.DUMMYFUNCTION("IMPORTRANGE(""https://docs.google.com/spreadsheets/d/""&amp;$A520&amp;""/edit#gid=156619080"",AU$3)"),"60.99
25.27
2.2
-18.13
")</f>
        <v>60.99
25.27
2.2
-18.13
</v>
      </c>
      <c r="AV520" s="18">
        <f>IFERROR(__xludf.DUMMYFUNCTION("IMPORTRANGE(""https://docs.google.com/spreadsheets/d/""&amp;$A520&amp;""/edit#gid=156619080"",AV$3)"),39.35064935064935)</f>
        <v>39.35064935</v>
      </c>
      <c r="AW520" s="19" t="str">
        <f>IFERROR(__xludf.DUMMYFUNCTION("IMPORTRANGE(""https://docs.google.com/spreadsheets/d/""&amp;$A520&amp;""/edit#gid=156619080"",AW$3)"),"65.97
42.08
44.81
45.58
")</f>
        <v>65.97
42.08
44.81
45.58
</v>
      </c>
      <c r="AX520" s="2">
        <f>IFERROR(__xludf.DUMMYFUNCTION("IMPORTRANGE(""https://docs.google.com/spreadsheets/d/""&amp;$A520&amp;""/edit#gid=156619080"",AX$3)"),35.07)</f>
        <v>35.07</v>
      </c>
      <c r="AY520" s="2">
        <f>IFERROR(__xludf.DUMMYFUNCTION("IMPORTRANGE(""https://docs.google.com/spreadsheets/d/""&amp;$A520&amp;""/edit#gid=156619080"",AY$3)"),47.32)</f>
        <v>47.32</v>
      </c>
      <c r="AZ520" s="2">
        <f>IFERROR(__xludf.DUMMYFUNCTION("IMPORTRANGE(""https://docs.google.com/spreadsheets/d/""&amp;$A520&amp;""/edit#gid=156619080"",AZ$3)"),2016.83)</f>
        <v>2016.83</v>
      </c>
      <c r="BA520" s="2">
        <f>IFERROR(__xludf.DUMMYFUNCTION("IMPORTRANGE(""https://docs.google.com/spreadsheets/d/""&amp;$A520&amp;""/edit#gid=156619080"",BA$3)"),-11.710000000000036)</f>
        <v>-11.71</v>
      </c>
      <c r="BB520" s="2">
        <f>IFERROR(__xludf.DUMMYFUNCTION("IMPORTRANGE(""https://docs.google.com/spreadsheets/d/""&amp;$A520&amp;""/edit#gid=156619080"",BB$3)"),5.37)</f>
        <v>5.37</v>
      </c>
      <c r="BC520" s="2" t="str">
        <f>IFERROR(__xludf.DUMMYFUNCTION("IMPORTRANGE(""https://docs.google.com/spreadsheets/d/""&amp;$A520&amp;""/edit#gid=156619080"",BC$3)"),"DC→DC")</f>
        <v>DC→DC</v>
      </c>
    </row>
    <row r="521" ht="51.0" customHeight="1">
      <c r="A521" s="7" t="str">
        <f t="shared" si="5"/>
        <v>1SCWpJmxSizyrByWd1MPLHtkgLx1R4V1Tvi_3FjYPl2Q</v>
      </c>
      <c r="B521" s="1" t="s">
        <v>548</v>
      </c>
      <c r="C521" s="2">
        <f>IFERROR(__xludf.DUMMYFUNCTION("IMPORTRANGE(""https://docs.google.com/spreadsheets/d/""&amp;$A521&amp;""/edit#gid=156619080"",C$3)"),87.0)</f>
        <v>87</v>
      </c>
      <c r="D521" s="2">
        <f>IFERROR(__xludf.DUMMYFUNCTION("IMPORTRANGE(""https://docs.google.com/spreadsheets/d/""&amp;$A521&amp;""/edit#gid=156619080"",D$3)"),4669.0)</f>
        <v>4669</v>
      </c>
      <c r="E521" s="15">
        <f>IFERROR(__xludf.DUMMYFUNCTION("IMPORTRANGE(""https://docs.google.com/spreadsheets/d/""&amp;$A521&amp;""/edit#gid=156619080"",E$3)"),43882.0)</f>
        <v>43882</v>
      </c>
      <c r="F521" s="2">
        <f>IFERROR(__xludf.DUMMYFUNCTION("IMPORTRANGE(""https://docs.google.com/spreadsheets/d/""&amp;$A521&amp;""/edit#gid=156619080"",F$3)"),-1.0)</f>
        <v>-1</v>
      </c>
      <c r="G521" s="16">
        <f>IFERROR(__xludf.DUMMYFUNCTION("IMPORTRANGE(""https://docs.google.com/spreadsheets/d/""&amp;$A521&amp;""/edit#gid=156619080"",G$3)"),-0.13)</f>
        <v>-0.13</v>
      </c>
      <c r="H521" s="16">
        <f>IFERROR(__xludf.DUMMYFUNCTION("IMPORTRANGE(""https://docs.google.com/spreadsheets/d/""&amp;$A521&amp;""/edit#gid=156619080"",H$3)"),784.0)</f>
        <v>784</v>
      </c>
      <c r="I521" s="16">
        <f>IFERROR(__xludf.DUMMYFUNCTION("IMPORTRANGE(""https://docs.google.com/spreadsheets/d/""&amp;$A521&amp;""/edit#gid=156619080"",I$3)"),-6.0)</f>
        <v>-6</v>
      </c>
      <c r="J521" s="16">
        <f>IFERROR(__xludf.DUMMYFUNCTION("IMPORTRANGE(""https://docs.google.com/spreadsheets/d/""&amp;$A521&amp;""/edit#gid=156619080"",J$3)"),784.0)</f>
        <v>784</v>
      </c>
      <c r="K521" s="16">
        <f>IFERROR(__xludf.DUMMYFUNCTION("IMPORTRANGE(""https://docs.google.com/spreadsheets/d/""&amp;$A521&amp;""/edit#gid=156619080"",K$3)"),0.41180555555555554)</f>
        <v>0.4118055556</v>
      </c>
      <c r="L521" s="16">
        <f>IFERROR(__xludf.DUMMYFUNCTION("IMPORTRANGE(""https://docs.google.com/spreadsheets/d/""&amp;$A521&amp;""/edit#gid=156619080"",L$3)"),774.0)</f>
        <v>774</v>
      </c>
      <c r="M521" s="16">
        <f>IFERROR(__xludf.DUMMYFUNCTION("IMPORTRANGE(""https://docs.google.com/spreadsheets/d/""&amp;$A521&amp;""/edit#gid=156619080"",M$3)"),0.41944444444444445)</f>
        <v>0.4194444444</v>
      </c>
      <c r="N521" s="16">
        <f>IFERROR(__xludf.DUMMYFUNCTION("IMPORTRANGE(""https://docs.google.com/spreadsheets/d/""&amp;$A521&amp;""/edit#gid=156619080"",N$3)"),778.0)</f>
        <v>778</v>
      </c>
      <c r="O521" s="16" t="str">
        <f>IFERROR(__xludf.DUMMYFUNCTION("IMPORTRANGE(""https://docs.google.com/spreadsheets/d/""&amp;$A521&amp;""/edit#gid=156619080"",O$3)"),"1200株")</f>
        <v>1200株</v>
      </c>
      <c r="P521" s="16" t="str">
        <f>IFERROR(__xludf.DUMMYFUNCTION("IMPORTRANGE(""https://docs.google.com/spreadsheets/d/""&amp;$A521&amp;""/edit#gid=156619080"",P$3)"),"1百万円")</f>
        <v>1百万円</v>
      </c>
      <c r="Q521" s="16" t="str">
        <f>IFERROR(__xludf.DUMMYFUNCTION("IMPORTRANGE(""https://docs.google.com/spreadsheets/d/""&amp;$A521&amp;""/edit#gid=156619080"",Q$3)"),"8回")</f>
        <v>8回</v>
      </c>
      <c r="R521" s="16" t="str">
        <f>IFERROR(__xludf.DUMMYFUNCTION("IMPORTRANGE(""https://docs.google.com/spreadsheets/d/""&amp;$A521&amp;""/edit#gid=156619080"",R$3)"),"17.7億円")</f>
        <v>17.7億円</v>
      </c>
      <c r="S521" s="16" t="str">
        <f>IFERROR(__xludf.DUMMYFUNCTION("IMPORTRANGE(""https://docs.google.com/spreadsheets/d/""&amp;$A521&amp;""/edit#gid=156619080"",S$3)"),"陰線")</f>
        <v>陰線</v>
      </c>
      <c r="T521" s="16" t="str">
        <f>IFERROR(__xludf.DUMMYFUNCTION("IMPORTRANGE(""https://docs.google.com/spreadsheets/d/""&amp;$A521&amp;""/edit#gid=156619080"",T$3)"),"#VALUE!")</f>
        <v>#VALUE!</v>
      </c>
      <c r="U521" s="16">
        <f>IFERROR(__xludf.DUMMYFUNCTION("IMPORTRANGE(""https://docs.google.com/spreadsheets/d/""&amp;$A521&amp;""/edit#gid=156619080"",U$3)"),776.6)</f>
        <v>776.6</v>
      </c>
      <c r="V521" s="16">
        <f>IFERROR(__xludf.DUMMYFUNCTION("IMPORTRANGE(""https://docs.google.com/spreadsheets/d/""&amp;$A521&amp;""/edit#gid=156619080"",V$3)"),768.0)</f>
        <v>768</v>
      </c>
      <c r="W521" s="16">
        <f>IFERROR(__xludf.DUMMYFUNCTION("IMPORTRANGE(""https://docs.google.com/spreadsheets/d/""&amp;$A521&amp;""/edit#gid=156619080"",W$3)"),695.0)</f>
        <v>695</v>
      </c>
      <c r="X521" s="2" t="str">
        <f>IFERROR(__xludf.DUMMYFUNCTION("IMPORTRANGE(""https://docs.google.com/spreadsheets/d/""&amp;$A521&amp;""/edit#gid=156619080"",X$3)"),"")</f>
        <v/>
      </c>
      <c r="Y521" s="17">
        <f>IFERROR(__xludf.DUMMYFUNCTION("IMPORTRANGE(""https://docs.google.com/spreadsheets/d/""&amp;$A521&amp;""/edit#gid=156619080"",Y$3)"),0.0018027298480555978)</f>
        <v>0.001802729848</v>
      </c>
      <c r="Z521" s="2">
        <f>IFERROR(__xludf.DUMMYFUNCTION("IMPORTRANGE(""https://docs.google.com/spreadsheets/d/""&amp;$A521&amp;""/edit#gid=156619080"",Z$3)"),713.11)</f>
        <v>713.11</v>
      </c>
      <c r="AA521" s="2">
        <f>IFERROR(__xludf.DUMMYFUNCTION("IMPORTRANGE(""https://docs.google.com/spreadsheets/d/""&amp;$A521&amp;""/edit#gid=156619080"",AA$3)"),710.85)</f>
        <v>710.85</v>
      </c>
      <c r="AB521" s="2">
        <f>IFERROR(__xludf.DUMMYFUNCTION("IMPORTRANGE(""https://docs.google.com/spreadsheets/d/""&amp;$A521&amp;""/edit#gid=156619080"",AB$3)"),708.58)</f>
        <v>708.58</v>
      </c>
      <c r="AC521" s="18">
        <f>IFERROR(__xludf.DUMMYFUNCTION("IMPORTRANGE(""https://docs.google.com/spreadsheets/d/""&amp;$A521&amp;""/edit#gid=156619080"",AC$3)"),706.32)</f>
        <v>706.32</v>
      </c>
      <c r="AD521" s="18">
        <f>IFERROR(__xludf.DUMMYFUNCTION("IMPORTRANGE(""https://docs.google.com/spreadsheets/d/""&amp;$A521&amp;""/edit#gid=156619080"",AD$3)"),704.05)</f>
        <v>704.05</v>
      </c>
      <c r="AE521" s="18">
        <f>IFERROR(__xludf.DUMMYFUNCTION("IMPORTRANGE(""https://docs.google.com/spreadsheets/d/""&amp;$A521&amp;""/edit#gid=156619080"",AE$3)"),695.0)</f>
        <v>695</v>
      </c>
      <c r="AF521" s="2">
        <f>IFERROR(__xludf.DUMMYFUNCTION("IMPORTRANGE(""https://docs.google.com/spreadsheets/d/""&amp;$A521&amp;""/edit#gid=156619080"",AF$3)"),685.95)</f>
        <v>685.95</v>
      </c>
      <c r="AG521" s="2">
        <f>IFERROR(__xludf.DUMMYFUNCTION("IMPORTRANGE(""https://docs.google.com/spreadsheets/d/""&amp;$A521&amp;""/edit#gid=156619080"",AG$3)"),683.68)</f>
        <v>683.68</v>
      </c>
      <c r="AH521" s="2">
        <f>IFERROR(__xludf.DUMMYFUNCTION("IMPORTRANGE(""https://docs.google.com/spreadsheets/d/""&amp;$A521&amp;""/edit#gid=156619080"",AH$3)"),681.42)</f>
        <v>681.42</v>
      </c>
      <c r="AI521" s="2">
        <f>IFERROR(__xludf.DUMMYFUNCTION("IMPORTRANGE(""https://docs.google.com/spreadsheets/d/""&amp;$A521&amp;""/edit#gid=156619080"",AI$3)"),679.15)</f>
        <v>679.15</v>
      </c>
      <c r="AJ521" s="2">
        <f>IFERROR(__xludf.DUMMYFUNCTION("IMPORTRANGE(""https://docs.google.com/spreadsheets/d/""&amp;$A521&amp;""/edit#gid=156619080"",AJ$3)"),676.89)</f>
        <v>676.89</v>
      </c>
      <c r="AK521" s="2" t="str">
        <f>IFERROR(__xludf.DUMMYFUNCTION("IMPORTRANGE(""https://docs.google.com/spreadsheets/d/""&amp;$A521&amp;""/edit#gid=156619080"",AK$3)"),"2σ以上")</f>
        <v>2σ以上</v>
      </c>
      <c r="AL521" s="2">
        <f>IFERROR(__xludf.DUMMYFUNCTION("IMPORTRANGE(""https://docs.google.com/spreadsheets/d/""&amp;$A521&amp;""/edit#gid=156619080"",AL$3)"),1.0)</f>
        <v>1</v>
      </c>
      <c r="AM521" s="2" t="str">
        <f>IFERROR(__xludf.DUMMYFUNCTION("IMPORTRANGE(""https://docs.google.com/spreadsheets/d/""&amp;$A521&amp;""/edit#gid=156619080"",AM$3)"),"")</f>
        <v/>
      </c>
      <c r="AN521" s="2">
        <f>IFERROR(__xludf.DUMMYFUNCTION("IMPORTRANGE(""https://docs.google.com/spreadsheets/d/""&amp;$A521&amp;""/edit#gid=156619080"",AN$3)"),1.0)</f>
        <v>1</v>
      </c>
      <c r="AO521" s="2" t="str">
        <f>IFERROR(__xludf.DUMMYFUNCTION("IMPORTRANGE(""https://docs.google.com/spreadsheets/d/""&amp;$A521&amp;""/edit#gid=156619080"",AO$3)"),"")</f>
        <v/>
      </c>
      <c r="AP521" s="2">
        <f>IFERROR(__xludf.DUMMYFUNCTION("IMPORTRANGE(""https://docs.google.com/spreadsheets/d/""&amp;$A521&amp;""/edit#gid=156619080"",AP$3)"),1.0)</f>
        <v>1</v>
      </c>
      <c r="AQ521" s="2" t="str">
        <f>IFERROR(__xludf.DUMMYFUNCTION("IMPORTRANGE(""https://docs.google.com/spreadsheets/d/""&amp;$A521&amp;""/edit#gid=156619080"",AQ$3)"),"")</f>
        <v/>
      </c>
      <c r="AR521" s="18">
        <f>IFERROR(__xludf.DUMMYFUNCTION("IMPORTRANGE(""https://docs.google.com/spreadsheets/d/""&amp;$A521&amp;""/edit#gid=156619080"",AR$3)"),15.000000000000002)</f>
        <v>15</v>
      </c>
      <c r="AS521" s="19" t="str">
        <f>IFERROR(__xludf.DUMMYFUNCTION("IMPORTRANGE(""https://docs.google.com/spreadsheets/d/""&amp;$A521&amp;""/edit#gid=156619080"",AS$3)"),"65
95
95
65
")</f>
        <v>65
95
95
65
</v>
      </c>
      <c r="AT521" s="18">
        <f>IFERROR(__xludf.DUMMYFUNCTION("IMPORTRANGE(""https://docs.google.com/spreadsheets/d/""&amp;$A521&amp;""/edit#gid=156619080"",AT$3)"),72.39010989010988)</f>
        <v>72.39010989</v>
      </c>
      <c r="AU521" s="3" t="str">
        <f>IFERROR(__xludf.DUMMYFUNCTION("IMPORTRANGE(""https://docs.google.com/spreadsheets/d/""&amp;$A521&amp;""/edit#gid=156619080"",AU$3)"),"-11.26
-13.46
22.25
63.46
")</f>
        <v>-11.26
-13.46
22.25
63.46
</v>
      </c>
      <c r="AV521" s="18" t="str">
        <f>IFERROR(__xludf.DUMMYFUNCTION("IMPORTRANGE(""https://docs.google.com/spreadsheets/d/""&amp;$A521&amp;""/edit#gid=156619080"",AV$3)"),"#VALUE!")</f>
        <v>#VALUE!</v>
      </c>
      <c r="AW521" s="19" t="str">
        <f>IFERROR(__xludf.DUMMYFUNCTION("IMPORTRANGE(""https://docs.google.com/spreadsheets/d/""&amp;$A521&amp;""/edit#gid=156619080"",AW$3)"),"#VALUE!")</f>
        <v>#VALUE!</v>
      </c>
      <c r="AX521" s="2">
        <f>IFERROR(__xludf.DUMMYFUNCTION("IMPORTRANGE(""https://docs.google.com/spreadsheets/d/""&amp;$A521&amp;""/edit#gid=156619080"",AX$3)"),90.91)</f>
        <v>90.91</v>
      </c>
      <c r="AY521" s="2" t="str">
        <f>IFERROR(__xludf.DUMMYFUNCTION("IMPORTRANGE(""https://docs.google.com/spreadsheets/d/""&amp;$A521&amp;""/edit#gid=156619080"",AY$3)"),"#VALUE!")</f>
        <v>#VALUE!</v>
      </c>
      <c r="AZ521" s="2" t="str">
        <f>IFERROR(__xludf.DUMMYFUNCTION("IMPORTRANGE(""https://docs.google.com/spreadsheets/d/""&amp;$A521&amp;""/edit#gid=156619080"",AZ$3)"),"#VALUE!")</f>
        <v>#VALUE!</v>
      </c>
      <c r="BA521" s="2" t="str">
        <f>IFERROR(__xludf.DUMMYFUNCTION("IMPORTRANGE(""https://docs.google.com/spreadsheets/d/""&amp;$A521&amp;""/edit#gid=156619080"",BA$3)"),"#VALUE!")</f>
        <v>#VALUE!</v>
      </c>
      <c r="BB521" s="2" t="str">
        <f>IFERROR(__xludf.DUMMYFUNCTION("IMPORTRANGE(""https://docs.google.com/spreadsheets/d/""&amp;$A521&amp;""/edit#gid=156619080"",BB$3)"),"#VALUE!")</f>
        <v>#VALUE!</v>
      </c>
      <c r="BC521" s="2" t="str">
        <f>IFERROR(__xludf.DUMMYFUNCTION("IMPORTRANGE(""https://docs.google.com/spreadsheets/d/""&amp;$A521&amp;""/edit#gid=156619080"",BC$3)"),"#VALUE!")</f>
        <v>#VALUE!</v>
      </c>
    </row>
    <row r="522" ht="51.0" customHeight="1">
      <c r="A522" s="7" t="str">
        <f t="shared" si="5"/>
        <v>1SGIGUuxEBlNwu5aOxRtM_-aPBuxh-N-BtYI6BgT-aMk</v>
      </c>
      <c r="B522" s="1" t="s">
        <v>549</v>
      </c>
      <c r="C522" s="2">
        <f>IFERROR(__xludf.DUMMYFUNCTION("IMPORTRANGE(""https://docs.google.com/spreadsheets/d/""&amp;$A522&amp;""/edit#gid=156619080"",C$3)"),45.0)</f>
        <v>45</v>
      </c>
      <c r="D522" s="2">
        <f>IFERROR(__xludf.DUMMYFUNCTION("IMPORTRANGE(""https://docs.google.com/spreadsheets/d/""&amp;$A522&amp;""/edit#gid=156619080"",D$3)"),4707.0)</f>
        <v>4707</v>
      </c>
      <c r="E522" s="15">
        <f>IFERROR(__xludf.DUMMYFUNCTION("IMPORTRANGE(""https://docs.google.com/spreadsheets/d/""&amp;$A522&amp;""/edit#gid=156619080"",E$3)"),43882.0)</f>
        <v>43882</v>
      </c>
      <c r="F522" s="2">
        <f>IFERROR(__xludf.DUMMYFUNCTION("IMPORTRANGE(""https://docs.google.com/spreadsheets/d/""&amp;$A522&amp;""/edit#gid=156619080"",F$3)"),-3.0)</f>
        <v>-3</v>
      </c>
      <c r="G522" s="16">
        <f>IFERROR(__xludf.DUMMYFUNCTION("IMPORTRANGE(""https://docs.google.com/spreadsheets/d/""&amp;$A522&amp;""/edit#gid=156619080"",G$3)"),-0.8)</f>
        <v>-0.8</v>
      </c>
      <c r="H522" s="16">
        <f>IFERROR(__xludf.DUMMYFUNCTION("IMPORTRANGE(""https://docs.google.com/spreadsheets/d/""&amp;$A522&amp;""/edit#gid=156619080"",H$3)"),373.0)</f>
        <v>373</v>
      </c>
      <c r="I522" s="16">
        <f>IFERROR(__xludf.DUMMYFUNCTION("IMPORTRANGE(""https://docs.google.com/spreadsheets/d/""&amp;$A522&amp;""/edit#gid=156619080"",I$3)"),1.0)</f>
        <v>1</v>
      </c>
      <c r="J522" s="16">
        <f>IFERROR(__xludf.DUMMYFUNCTION("IMPORTRANGE(""https://docs.google.com/spreadsheets/d/""&amp;$A522&amp;""/edit#gid=156619080"",J$3)"),373.0)</f>
        <v>373</v>
      </c>
      <c r="K522" s="16">
        <f>IFERROR(__xludf.DUMMYFUNCTION("IMPORTRANGE(""https://docs.google.com/spreadsheets/d/""&amp;$A522&amp;""/edit#gid=156619080"",K$3)"),0.3875)</f>
        <v>0.3875</v>
      </c>
      <c r="L522" s="16">
        <f>IFERROR(__xludf.DUMMYFUNCTION("IMPORTRANGE(""https://docs.google.com/spreadsheets/d/""&amp;$A522&amp;""/edit#gid=156619080"",L$3)"),366.0)</f>
        <v>366</v>
      </c>
      <c r="M522" s="16">
        <f>IFERROR(__xludf.DUMMYFUNCTION("IMPORTRANGE(""https://docs.google.com/spreadsheets/d/""&amp;$A522&amp;""/edit#gid=156619080"",M$3)"),0.6006944444444444)</f>
        <v>0.6006944444</v>
      </c>
      <c r="N522" s="16">
        <f>IFERROR(__xludf.DUMMYFUNCTION("IMPORTRANGE(""https://docs.google.com/spreadsheets/d/""&amp;$A522&amp;""/edit#gid=156619080"",N$3)"),371.0)</f>
        <v>371</v>
      </c>
      <c r="O522" s="16" t="str">
        <f>IFERROR(__xludf.DUMMYFUNCTION("IMPORTRANGE(""https://docs.google.com/spreadsheets/d/""&amp;$A522&amp;""/edit#gid=156619080"",O$3)"),"5900株")</f>
        <v>5900株</v>
      </c>
      <c r="P522" s="16" t="str">
        <f>IFERROR(__xludf.DUMMYFUNCTION("IMPORTRANGE(""https://docs.google.com/spreadsheets/d/""&amp;$A522&amp;""/edit#gid=156619080"",P$3)"),"2百万円")</f>
        <v>2百万円</v>
      </c>
      <c r="Q522" s="16" t="str">
        <f>IFERROR(__xludf.DUMMYFUNCTION("IMPORTRANGE(""https://docs.google.com/spreadsheets/d/""&amp;$A522&amp;""/edit#gid=156619080"",Q$3)"),"41回")</f>
        <v>41回</v>
      </c>
      <c r="R522" s="16" t="str">
        <f>IFERROR(__xludf.DUMMYFUNCTION("IMPORTRANGE(""https://docs.google.com/spreadsheets/d/""&amp;$A522&amp;""/edit#gid=156619080"",R$3)"),"22.2億円")</f>
        <v>22.2億円</v>
      </c>
      <c r="S522" s="16" t="str">
        <f>IFERROR(__xludf.DUMMYFUNCTION("IMPORTRANGE(""https://docs.google.com/spreadsheets/d/""&amp;$A522&amp;""/edit#gid=156619080"",S$3)"),"陰線")</f>
        <v>陰線</v>
      </c>
      <c r="T522" s="16" t="str">
        <f>IFERROR(__xludf.DUMMYFUNCTION("IMPORTRANGE(""https://docs.google.com/spreadsheets/d/""&amp;$A522&amp;""/edit#gid=156619080"",T$3)"),"")</f>
        <v/>
      </c>
      <c r="U522" s="16">
        <f>IFERROR(__xludf.DUMMYFUNCTION("IMPORTRANGE(""https://docs.google.com/spreadsheets/d/""&amp;$A522&amp;""/edit#gid=156619080"",U$3)"),374.6)</f>
        <v>374.6</v>
      </c>
      <c r="V522" s="16">
        <f>IFERROR(__xludf.DUMMYFUNCTION("IMPORTRANGE(""https://docs.google.com/spreadsheets/d/""&amp;$A522&amp;""/edit#gid=156619080"",V$3)"),375.6)</f>
        <v>375.6</v>
      </c>
      <c r="W522" s="16">
        <f>IFERROR(__xludf.DUMMYFUNCTION("IMPORTRANGE(""https://docs.google.com/spreadsheets/d/""&amp;$A522&amp;""/edit#gid=156619080"",W$3)"),378.1)</f>
        <v>378.1</v>
      </c>
      <c r="X522" s="2" t="str">
        <f>IFERROR(__xludf.DUMMYFUNCTION("IMPORTRANGE(""https://docs.google.com/spreadsheets/d/""&amp;$A522&amp;""/edit#gid=156619080"",X$3)"),"")</f>
        <v/>
      </c>
      <c r="Y522" s="17">
        <f>IFERROR(__xludf.DUMMYFUNCTION("IMPORTRANGE(""https://docs.google.com/spreadsheets/d/""&amp;$A522&amp;""/edit#gid=156619080"",Y$3)"),-0.009610250934330012)</f>
        <v>-0.009610250934</v>
      </c>
      <c r="Z522" s="2">
        <f>IFERROR(__xludf.DUMMYFUNCTION("IMPORTRANGE(""https://docs.google.com/spreadsheets/d/""&amp;$A522&amp;""/edit#gid=156619080"",Z$3)"),394.84)</f>
        <v>394.84</v>
      </c>
      <c r="AA522" s="2">
        <f>IFERROR(__xludf.DUMMYFUNCTION("IMPORTRANGE(""https://docs.google.com/spreadsheets/d/""&amp;$A522&amp;""/edit#gid=156619080"",AA$3)"),392.75)</f>
        <v>392.75</v>
      </c>
      <c r="AB522" s="2">
        <f>IFERROR(__xludf.DUMMYFUNCTION("IMPORTRANGE(""https://docs.google.com/spreadsheets/d/""&amp;$A522&amp;""/edit#gid=156619080"",AB$3)"),390.66)</f>
        <v>390.66</v>
      </c>
      <c r="AC522" s="18">
        <f>IFERROR(__xludf.DUMMYFUNCTION("IMPORTRANGE(""https://docs.google.com/spreadsheets/d/""&amp;$A522&amp;""/edit#gid=156619080"",AC$3)"),388.56)</f>
        <v>388.56</v>
      </c>
      <c r="AD522" s="18">
        <f>IFERROR(__xludf.DUMMYFUNCTION("IMPORTRANGE(""https://docs.google.com/spreadsheets/d/""&amp;$A522&amp;""/edit#gid=156619080"",AD$3)"),386.47)</f>
        <v>386.47</v>
      </c>
      <c r="AE522" s="18">
        <f>IFERROR(__xludf.DUMMYFUNCTION("IMPORTRANGE(""https://docs.google.com/spreadsheets/d/""&amp;$A522&amp;""/edit#gid=156619080"",AE$3)"),378.1)</f>
        <v>378.1</v>
      </c>
      <c r="AF522" s="2">
        <f>IFERROR(__xludf.DUMMYFUNCTION("IMPORTRANGE(""https://docs.google.com/spreadsheets/d/""&amp;$A522&amp;""/edit#gid=156619080"",AF$3)"),369.73)</f>
        <v>369.73</v>
      </c>
      <c r="AG522" s="2">
        <f>IFERROR(__xludf.DUMMYFUNCTION("IMPORTRANGE(""https://docs.google.com/spreadsheets/d/""&amp;$A522&amp;""/edit#gid=156619080"",AG$3)"),367.64)</f>
        <v>367.64</v>
      </c>
      <c r="AH522" s="2">
        <f>IFERROR(__xludf.DUMMYFUNCTION("IMPORTRANGE(""https://docs.google.com/spreadsheets/d/""&amp;$A522&amp;""/edit#gid=156619080"",AH$3)"),365.54)</f>
        <v>365.54</v>
      </c>
      <c r="AI522" s="2">
        <f>IFERROR(__xludf.DUMMYFUNCTION("IMPORTRANGE(""https://docs.google.com/spreadsheets/d/""&amp;$A522&amp;""/edit#gid=156619080"",AI$3)"),363.45)</f>
        <v>363.45</v>
      </c>
      <c r="AJ522" s="2">
        <f>IFERROR(__xludf.DUMMYFUNCTION("IMPORTRANGE(""https://docs.google.com/spreadsheets/d/""&amp;$A522&amp;""/edit#gid=156619080"",AJ$3)"),361.36)</f>
        <v>361.36</v>
      </c>
      <c r="AK522" s="2" t="str">
        <f>IFERROR(__xludf.DUMMYFUNCTION("IMPORTRANGE(""https://docs.google.com/spreadsheets/d/""&amp;$A522&amp;""/edit#gid=156619080"",AK$3)"),"")</f>
        <v/>
      </c>
      <c r="AL522" s="2">
        <f>IFERROR(__xludf.DUMMYFUNCTION("IMPORTRANGE(""https://docs.google.com/spreadsheets/d/""&amp;$A522&amp;""/edit#gid=156619080"",AL$3)"),-1.0)</f>
        <v>-1</v>
      </c>
      <c r="AM522" s="2" t="str">
        <f>IFERROR(__xludf.DUMMYFUNCTION("IMPORTRANGE(""https://docs.google.com/spreadsheets/d/""&amp;$A522&amp;""/edit#gid=156619080"",AM$3)"),"")</f>
        <v/>
      </c>
      <c r="AN522" s="2">
        <f>IFERROR(__xludf.DUMMYFUNCTION("IMPORTRANGE(""https://docs.google.com/spreadsheets/d/""&amp;$A522&amp;""/edit#gid=156619080"",AN$3)"),-1.0)</f>
        <v>-1</v>
      </c>
      <c r="AO522" s="2" t="str">
        <f>IFERROR(__xludf.DUMMYFUNCTION("IMPORTRANGE(""https://docs.google.com/spreadsheets/d/""&amp;$A522&amp;""/edit#gid=156619080"",AO$3)"),"")</f>
        <v/>
      </c>
      <c r="AP522" s="2">
        <f>IFERROR(__xludf.DUMMYFUNCTION("IMPORTRANGE(""https://docs.google.com/spreadsheets/d/""&amp;$A522&amp;""/edit#gid=156619080"",AP$3)"),-1.0)</f>
        <v>-1</v>
      </c>
      <c r="AQ522" s="2" t="str">
        <f>IFERROR(__xludf.DUMMYFUNCTION("IMPORTRANGE(""https://docs.google.com/spreadsheets/d/""&amp;$A522&amp;""/edit#gid=156619080"",AQ$3)"),"")</f>
        <v/>
      </c>
      <c r="AR522" s="18">
        <f>IFERROR(__xludf.DUMMYFUNCTION("IMPORTRANGE(""https://docs.google.com/spreadsheets/d/""&amp;$A522&amp;""/edit#gid=156619080"",AR$3)"),-89.99999999999999)</f>
        <v>-90</v>
      </c>
      <c r="AS522" s="19" t="str">
        <f>IFERROR(__xludf.DUMMYFUNCTION("IMPORTRANGE(""https://docs.google.com/spreadsheets/d/""&amp;$A522&amp;""/edit#gid=156619080"",AS$3)"),"72.5
42.5
-57.5
-37.5
")</f>
        <v>72.5
42.5
-57.5
-37.5
</v>
      </c>
      <c r="AT522" s="18">
        <f>IFERROR(__xludf.DUMMYFUNCTION("IMPORTRANGE(""https://docs.google.com/spreadsheets/d/""&amp;$A522&amp;""/edit#gid=156619080"",AT$3)"),-25.96153846153846)</f>
        <v>-25.96153846</v>
      </c>
      <c r="AU522" s="3" t="str">
        <f>IFERROR(__xludf.DUMMYFUNCTION("IMPORTRANGE(""https://docs.google.com/spreadsheets/d/""&amp;$A522&amp;""/edit#gid=156619080"",AU$3)"),"16.62
45.74
22.53
11.26
")</f>
        <v>16.62
45.74
22.53
11.26
</v>
      </c>
      <c r="AV522" s="18">
        <f>IFERROR(__xludf.DUMMYFUNCTION("IMPORTRANGE(""https://docs.google.com/spreadsheets/d/""&amp;$A522&amp;""/edit#gid=156619080"",AV$3)"),-44.1883116883117)</f>
        <v>-44.18831169</v>
      </c>
      <c r="AW522" s="19" t="str">
        <f>IFERROR(__xludf.DUMMYFUNCTION("IMPORTRANGE(""https://docs.google.com/spreadsheets/d/""&amp;$A522&amp;""/edit#gid=156619080"",AW$3)"),"-66.69
-60.71
-57.37
-49.16
")</f>
        <v>-66.69
-60.71
-57.37
-49.16
</v>
      </c>
      <c r="AX522" s="2">
        <f>IFERROR(__xludf.DUMMYFUNCTION("IMPORTRANGE(""https://docs.google.com/spreadsheets/d/""&amp;$A522&amp;""/edit#gid=156619080"",AX$3)"),40.0)</f>
        <v>40</v>
      </c>
      <c r="AY522" s="2">
        <f>IFERROR(__xludf.DUMMYFUNCTION("IMPORTRANGE(""https://docs.google.com/spreadsheets/d/""&amp;$A522&amp;""/edit#gid=156619080"",AY$3)"),38.519999999999996)</f>
        <v>38.52</v>
      </c>
      <c r="AZ522" s="2">
        <f>IFERROR(__xludf.DUMMYFUNCTION("IMPORTRANGE(""https://docs.google.com/spreadsheets/d/""&amp;$A522&amp;""/edit#gid=156619080"",AZ$3)"),373.57)</f>
        <v>373.57</v>
      </c>
      <c r="BA522" s="2">
        <f>IFERROR(__xludf.DUMMYFUNCTION("IMPORTRANGE(""https://docs.google.com/spreadsheets/d/""&amp;$A522&amp;""/edit#gid=156619080"",BA$3)"),-5.319999999999993)</f>
        <v>-5.32</v>
      </c>
      <c r="BB522" s="2">
        <f>IFERROR(__xludf.DUMMYFUNCTION("IMPORTRANGE(""https://docs.google.com/spreadsheets/d/""&amp;$A522&amp;""/edit#gid=156619080"",BB$3)"),-5.95)</f>
        <v>-5.95</v>
      </c>
      <c r="BC522" s="2" t="str">
        <f>IFERROR(__xludf.DUMMYFUNCTION("IMPORTRANGE(""https://docs.google.com/spreadsheets/d/""&amp;$A522&amp;""/edit#gid=156619080"",BC$3)"),"GC→GC")</f>
        <v>GC→GC</v>
      </c>
    </row>
    <row r="523" ht="51.0" customHeight="1">
      <c r="A523" s="7" t="str">
        <f t="shared" si="5"/>
        <v>1PvP9E5OaAB_jlxqGugs1x-1bez46RKmbCAmkNiyORAc</v>
      </c>
      <c r="B523" s="1" t="s">
        <v>550</v>
      </c>
      <c r="C523" s="2">
        <f>IFERROR(__xludf.DUMMYFUNCTION("IMPORTRANGE(""https://docs.google.com/spreadsheets/d/""&amp;$A523&amp;""/edit#gid=156619080"",C$3)"),45.0)</f>
        <v>45</v>
      </c>
      <c r="D523" s="2">
        <f>IFERROR(__xludf.DUMMYFUNCTION("IMPORTRANGE(""https://docs.google.com/spreadsheets/d/""&amp;$A523&amp;""/edit#gid=156619080"",D$3)"),5186.0)</f>
        <v>5186</v>
      </c>
      <c r="E523" s="15">
        <f>IFERROR(__xludf.DUMMYFUNCTION("IMPORTRANGE(""https://docs.google.com/spreadsheets/d/""&amp;$A523&amp;""/edit#gid=156619080"",E$3)"),43882.0)</f>
        <v>43882</v>
      </c>
      <c r="F523" s="2">
        <f>IFERROR(__xludf.DUMMYFUNCTION("IMPORTRANGE(""https://docs.google.com/spreadsheets/d/""&amp;$A523&amp;""/edit#gid=156619080"",F$3)"),-52.0)</f>
        <v>-52</v>
      </c>
      <c r="G523" s="16">
        <f>IFERROR(__xludf.DUMMYFUNCTION("IMPORTRANGE(""https://docs.google.com/spreadsheets/d/""&amp;$A523&amp;""/edit#gid=156619080"",G$3)"),-1.8)</f>
        <v>-1.8</v>
      </c>
      <c r="H523" s="16">
        <f>IFERROR(__xludf.DUMMYFUNCTION("IMPORTRANGE(""https://docs.google.com/spreadsheets/d/""&amp;$A523&amp;""/edit#gid=156619080"",H$3)"),2852.0)</f>
        <v>2852</v>
      </c>
      <c r="I523" s="16">
        <f>IFERROR(__xludf.DUMMYFUNCTION("IMPORTRANGE(""https://docs.google.com/spreadsheets/d/""&amp;$A523&amp;""/edit#gid=156619080"",I$3)"),29.0)</f>
        <v>29</v>
      </c>
      <c r="J523" s="16">
        <f>IFERROR(__xludf.DUMMYFUNCTION("IMPORTRANGE(""https://docs.google.com/spreadsheets/d/""&amp;$A523&amp;""/edit#gid=156619080"",J$3)"),2885.0)</f>
        <v>2885</v>
      </c>
      <c r="K523" s="16">
        <f>IFERROR(__xludf.DUMMYFUNCTION("IMPORTRANGE(""https://docs.google.com/spreadsheets/d/""&amp;$A523&amp;""/edit#gid=156619080"",K$3)"),0.4)</f>
        <v>0.4</v>
      </c>
      <c r="L523" s="16">
        <f>IFERROR(__xludf.DUMMYFUNCTION("IMPORTRANGE(""https://docs.google.com/spreadsheets/d/""&amp;$A523&amp;""/edit#gid=156619080"",L$3)"),2803.0)</f>
        <v>2803</v>
      </c>
      <c r="M523" s="16">
        <f>IFERROR(__xludf.DUMMYFUNCTION("IMPORTRANGE(""https://docs.google.com/spreadsheets/d/""&amp;$A523&amp;""/edit#gid=156619080"",M$3)"),0.6069444444444444)</f>
        <v>0.6069444444</v>
      </c>
      <c r="N523" s="16">
        <f>IFERROR(__xludf.DUMMYFUNCTION("IMPORTRANGE(""https://docs.google.com/spreadsheets/d/""&amp;$A523&amp;""/edit#gid=156619080"",N$3)"),2829.0)</f>
        <v>2829</v>
      </c>
      <c r="O523" s="16" t="str">
        <f>IFERROR(__xludf.DUMMYFUNCTION("IMPORTRANGE(""https://docs.google.com/spreadsheets/d/""&amp;$A523&amp;""/edit#gid=156619080"",O$3)"),"33000株")</f>
        <v>33000株</v>
      </c>
      <c r="P523" s="16" t="str">
        <f>IFERROR(__xludf.DUMMYFUNCTION("IMPORTRANGE(""https://docs.google.com/spreadsheets/d/""&amp;$A523&amp;""/edit#gid=156619080"",P$3)"),"94百万円")</f>
        <v>94百万円</v>
      </c>
      <c r="Q523" s="16" t="str">
        <f>IFERROR(__xludf.DUMMYFUNCTION("IMPORTRANGE(""https://docs.google.com/spreadsheets/d/""&amp;$A523&amp;""/edit#gid=156619080"",Q$3)"),"202回")</f>
        <v>202回</v>
      </c>
      <c r="R523" s="16" t="str">
        <f>IFERROR(__xludf.DUMMYFUNCTION("IMPORTRANGE(""https://docs.google.com/spreadsheets/d/""&amp;$A523&amp;""/edit#gid=156619080"",R$3)"),"856億円")</f>
        <v>856億円</v>
      </c>
      <c r="S523" s="16" t="str">
        <f>IFERROR(__xludf.DUMMYFUNCTION("IMPORTRANGE(""https://docs.google.com/spreadsheets/d/""&amp;$A523&amp;""/edit#gid=156619080"",S$3)"),"陰線")</f>
        <v>陰線</v>
      </c>
      <c r="T523" s="16" t="str">
        <f>IFERROR(__xludf.DUMMYFUNCTION("IMPORTRANGE(""https://docs.google.com/spreadsheets/d/""&amp;$A523&amp;""/edit#gid=156619080"",T$3)"),"")</f>
        <v/>
      </c>
      <c r="U523" s="16">
        <f>IFERROR(__xludf.DUMMYFUNCTION("IMPORTRANGE(""https://docs.google.com/spreadsheets/d/""&amp;$A523&amp;""/edit#gid=156619080"",U$3)"),2933.2)</f>
        <v>2933.2</v>
      </c>
      <c r="V523" s="16">
        <f>IFERROR(__xludf.DUMMYFUNCTION("IMPORTRANGE(""https://docs.google.com/spreadsheets/d/""&amp;$A523&amp;""/edit#gid=156619080"",V$3)"),3083.2)</f>
        <v>3083.2</v>
      </c>
      <c r="W523" s="16">
        <f>IFERROR(__xludf.DUMMYFUNCTION("IMPORTRANGE(""https://docs.google.com/spreadsheets/d/""&amp;$A523&amp;""/edit#gid=156619080"",W$3)"),3082.2)</f>
        <v>3082.2</v>
      </c>
      <c r="X523" s="2" t="str">
        <f>IFERROR(__xludf.DUMMYFUNCTION("IMPORTRANGE(""https://docs.google.com/spreadsheets/d/""&amp;$A523&amp;""/edit#gid=156619080"",X$3)"),"")</f>
        <v/>
      </c>
      <c r="Y523" s="17">
        <f>IFERROR(__xludf.DUMMYFUNCTION("IMPORTRANGE(""https://docs.google.com/spreadsheets/d/""&amp;$A523&amp;""/edit#gid=156619080"",Y$3)"),-0.0355243420155461)</f>
        <v>-0.03552434202</v>
      </c>
      <c r="Z523" s="2">
        <f>IFERROR(__xludf.DUMMYFUNCTION("IMPORTRANGE(""https://docs.google.com/spreadsheets/d/""&amp;$A523&amp;""/edit#gid=156619080"",Z$3)"),3310.63)</f>
        <v>3310.63</v>
      </c>
      <c r="AA523" s="2">
        <f>IFERROR(__xludf.DUMMYFUNCTION("IMPORTRANGE(""https://docs.google.com/spreadsheets/d/""&amp;$A523&amp;""/edit#gid=156619080"",AA$3)"),3282.08)</f>
        <v>3282.08</v>
      </c>
      <c r="AB523" s="2">
        <f>IFERROR(__xludf.DUMMYFUNCTION("IMPORTRANGE(""https://docs.google.com/spreadsheets/d/""&amp;$A523&amp;""/edit#gid=156619080"",AB$3)"),3253.52)</f>
        <v>3253.52</v>
      </c>
      <c r="AC523" s="18">
        <f>IFERROR(__xludf.DUMMYFUNCTION("IMPORTRANGE(""https://docs.google.com/spreadsheets/d/""&amp;$A523&amp;""/edit#gid=156619080"",AC$3)"),3224.97)</f>
        <v>3224.97</v>
      </c>
      <c r="AD523" s="18">
        <f>IFERROR(__xludf.DUMMYFUNCTION("IMPORTRANGE(""https://docs.google.com/spreadsheets/d/""&amp;$A523&amp;""/edit#gid=156619080"",AD$3)"),3196.42)</f>
        <v>3196.42</v>
      </c>
      <c r="AE523" s="18">
        <f>IFERROR(__xludf.DUMMYFUNCTION("IMPORTRANGE(""https://docs.google.com/spreadsheets/d/""&amp;$A523&amp;""/edit#gid=156619080"",AE$3)"),3082.2)</f>
        <v>3082.2</v>
      </c>
      <c r="AF523" s="2">
        <f>IFERROR(__xludf.DUMMYFUNCTION("IMPORTRANGE(""https://docs.google.com/spreadsheets/d/""&amp;$A523&amp;""/edit#gid=156619080"",AF$3)"),2967.98)</f>
        <v>2967.98</v>
      </c>
      <c r="AG523" s="2">
        <f>IFERROR(__xludf.DUMMYFUNCTION("IMPORTRANGE(""https://docs.google.com/spreadsheets/d/""&amp;$A523&amp;""/edit#gid=156619080"",AG$3)"),2939.43)</f>
        <v>2939.43</v>
      </c>
      <c r="AH523" s="2">
        <f>IFERROR(__xludf.DUMMYFUNCTION("IMPORTRANGE(""https://docs.google.com/spreadsheets/d/""&amp;$A523&amp;""/edit#gid=156619080"",AH$3)"),2910.88)</f>
        <v>2910.88</v>
      </c>
      <c r="AI523" s="2">
        <f>IFERROR(__xludf.DUMMYFUNCTION("IMPORTRANGE(""https://docs.google.com/spreadsheets/d/""&amp;$A523&amp;""/edit#gid=156619080"",AI$3)"),2882.32)</f>
        <v>2882.32</v>
      </c>
      <c r="AJ523" s="2">
        <f>IFERROR(__xludf.DUMMYFUNCTION("IMPORTRANGE(""https://docs.google.com/spreadsheets/d/""&amp;$A523&amp;""/edit#gid=156619080"",AJ$3)"),2853.77)</f>
        <v>2853.77</v>
      </c>
      <c r="AK523" s="2" t="str">
        <f>IFERROR(__xludf.DUMMYFUNCTION("IMPORTRANGE(""https://docs.google.com/spreadsheets/d/""&amp;$A523&amp;""/edit#gid=156619080"",AK$3)"),"-2σ以下")</f>
        <v>-2σ以下</v>
      </c>
      <c r="AL523" s="2">
        <f>IFERROR(__xludf.DUMMYFUNCTION("IMPORTRANGE(""https://docs.google.com/spreadsheets/d/""&amp;$A523&amp;""/edit#gid=156619080"",AL$3)"),-1.0)</f>
        <v>-1</v>
      </c>
      <c r="AM523" s="2" t="str">
        <f>IFERROR(__xludf.DUMMYFUNCTION("IMPORTRANGE(""https://docs.google.com/spreadsheets/d/""&amp;$A523&amp;""/edit#gid=156619080"",AM$3)"),"")</f>
        <v/>
      </c>
      <c r="AN523" s="2">
        <f>IFERROR(__xludf.DUMMYFUNCTION("IMPORTRANGE(""https://docs.google.com/spreadsheets/d/""&amp;$A523&amp;""/edit#gid=156619080"",AN$3)"),-1.0)</f>
        <v>-1</v>
      </c>
      <c r="AO523" s="2" t="str">
        <f>IFERROR(__xludf.DUMMYFUNCTION("IMPORTRANGE(""https://docs.google.com/spreadsheets/d/""&amp;$A523&amp;""/edit#gid=156619080"",AO$3)"),"")</f>
        <v/>
      </c>
      <c r="AP523" s="2">
        <f>IFERROR(__xludf.DUMMYFUNCTION("IMPORTRANGE(""https://docs.google.com/spreadsheets/d/""&amp;$A523&amp;""/edit#gid=156619080"",AP$3)"),1.0)</f>
        <v>1</v>
      </c>
      <c r="AQ523" s="2" t="str">
        <f>IFERROR(__xludf.DUMMYFUNCTION("IMPORTRANGE(""https://docs.google.com/spreadsheets/d/""&amp;$A523&amp;""/edit#gid=156619080"",AQ$3)"),"")</f>
        <v/>
      </c>
      <c r="AR523" s="18">
        <f>IFERROR(__xludf.DUMMYFUNCTION("IMPORTRANGE(""https://docs.google.com/spreadsheets/d/""&amp;$A523&amp;""/edit#gid=156619080"",AR$3)"),-100.0)</f>
        <v>-100</v>
      </c>
      <c r="AS523" s="19" t="str">
        <f>IFERROR(__xludf.DUMMYFUNCTION("IMPORTRANGE(""https://docs.google.com/spreadsheets/d/""&amp;$A523&amp;""/edit#gid=156619080"",AS$3)"),"-90
-90
-100
-100
")</f>
        <v>-90
-90
-100
-100
</v>
      </c>
      <c r="AT523" s="18">
        <f>IFERROR(__xludf.DUMMYFUNCTION("IMPORTRANGE(""https://docs.google.com/spreadsheets/d/""&amp;$A523&amp;""/edit#gid=156619080"",AT$3)"),-89.01098901098901)</f>
        <v>-89.01098901</v>
      </c>
      <c r="AU523" s="3" t="str">
        <f>IFERROR(__xludf.DUMMYFUNCTION("IMPORTRANGE(""https://docs.google.com/spreadsheets/d/""&amp;$A523&amp;""/edit#gid=156619080"",AU$3)"),"7.69
-28.57
-55.91
-71.29
")</f>
        <v>7.69
-28.57
-55.91
-71.29
</v>
      </c>
      <c r="AV523" s="18">
        <f>IFERROR(__xludf.DUMMYFUNCTION("IMPORTRANGE(""https://docs.google.com/spreadsheets/d/""&amp;$A523&amp;""/edit#gid=156619080"",AV$3)"),-34.837662337662344)</f>
        <v>-34.83766234</v>
      </c>
      <c r="AW523" s="19" t="str">
        <f>IFERROR(__xludf.DUMMYFUNCTION("IMPORTRANGE(""https://docs.google.com/spreadsheets/d/""&amp;$A523&amp;""/edit#gid=156619080"",AW$3)"),"-1.04
-15.1
-21.17
-28.86
")</f>
        <v>-1.04
-15.1
-21.17
-28.86
</v>
      </c>
      <c r="AX523" s="2">
        <f>IFERROR(__xludf.DUMMYFUNCTION("IMPORTRANGE(""https://docs.google.com/spreadsheets/d/""&amp;$A523&amp;""/edit#gid=156619080"",AX$3)"),0.0)</f>
        <v>0</v>
      </c>
      <c r="AY523" s="2">
        <f>IFERROR(__xludf.DUMMYFUNCTION("IMPORTRANGE(""https://docs.google.com/spreadsheets/d/""&amp;$A523&amp;""/edit#gid=156619080"",AY$3)"),34.99)</f>
        <v>34.99</v>
      </c>
      <c r="AZ523" s="2">
        <f>IFERROR(__xludf.DUMMYFUNCTION("IMPORTRANGE(""https://docs.google.com/spreadsheets/d/""&amp;$A523&amp;""/edit#gid=156619080"",AZ$3)"),2924.63)</f>
        <v>2924.63</v>
      </c>
      <c r="BA523" s="2">
        <f>IFERROR(__xludf.DUMMYFUNCTION("IMPORTRANGE(""https://docs.google.com/spreadsheets/d/""&amp;$A523&amp;""/edit#gid=156619080"",BA$3)"),-142.35999999999967)</f>
        <v>-142.36</v>
      </c>
      <c r="BB523" s="2">
        <f>IFERROR(__xludf.DUMMYFUNCTION("IMPORTRANGE(""https://docs.google.com/spreadsheets/d/""&amp;$A523&amp;""/edit#gid=156619080"",BB$3)"),-64.27)</f>
        <v>-64.27</v>
      </c>
      <c r="BC523" s="2" t="str">
        <f>IFERROR(__xludf.DUMMYFUNCTION("IMPORTRANGE(""https://docs.google.com/spreadsheets/d/""&amp;$A523&amp;""/edit#gid=156619080"",BC$3)"),"DC→DC")</f>
        <v>DC→DC</v>
      </c>
    </row>
    <row r="524" ht="51.0" customHeight="1">
      <c r="A524" s="7" t="str">
        <f t="shared" si="5"/>
        <v>1XebSiNcENha-j0WA16uVMj3Hx_m9SSAvoerph8HI7uc</v>
      </c>
      <c r="B524" s="1" t="s">
        <v>551</v>
      </c>
      <c r="C524" s="2">
        <f>IFERROR(__xludf.DUMMYFUNCTION("IMPORTRANGE(""https://docs.google.com/spreadsheets/d/""&amp;$A524&amp;""/edit#gid=156619080"",C$3)"),87.0)</f>
        <v>87</v>
      </c>
      <c r="D524" s="2">
        <f>IFERROR(__xludf.DUMMYFUNCTION("IMPORTRANGE(""https://docs.google.com/spreadsheets/d/""&amp;$A524&amp;""/edit#gid=156619080"",D$3)"),5911.0)</f>
        <v>5911</v>
      </c>
      <c r="E524" s="15">
        <f>IFERROR(__xludf.DUMMYFUNCTION("IMPORTRANGE(""https://docs.google.com/spreadsheets/d/""&amp;$A524&amp;""/edit#gid=156619080"",E$3)"),43882.0)</f>
        <v>43882</v>
      </c>
      <c r="F524" s="2">
        <f>IFERROR(__xludf.DUMMYFUNCTION("IMPORTRANGE(""https://docs.google.com/spreadsheets/d/""&amp;$A524&amp;""/edit#gid=156619080"",F$3)"),-43.0)</f>
        <v>-43</v>
      </c>
      <c r="G524" s="16">
        <f>IFERROR(__xludf.DUMMYFUNCTION("IMPORTRANGE(""https://docs.google.com/spreadsheets/d/""&amp;$A524&amp;""/edit#gid=156619080"",G$3)"),-1.94)</f>
        <v>-1.94</v>
      </c>
      <c r="H524" s="16">
        <f>IFERROR(__xludf.DUMMYFUNCTION("IMPORTRANGE(""https://docs.google.com/spreadsheets/d/""&amp;$A524&amp;""/edit#gid=156619080"",H$3)"),2208.0)</f>
        <v>2208</v>
      </c>
      <c r="I524" s="16">
        <f>IFERROR(__xludf.DUMMYFUNCTION("IMPORTRANGE(""https://docs.google.com/spreadsheets/d/""&amp;$A524&amp;""/edit#gid=156619080"",I$3)"),-33.0)</f>
        <v>-33</v>
      </c>
      <c r="J524" s="16">
        <f>IFERROR(__xludf.DUMMYFUNCTION("IMPORTRANGE(""https://docs.google.com/spreadsheets/d/""&amp;$A524&amp;""/edit#gid=156619080"",J$3)"),2227.0)</f>
        <v>2227</v>
      </c>
      <c r="K524" s="16">
        <f>IFERROR(__xludf.DUMMYFUNCTION("IMPORTRANGE(""https://docs.google.com/spreadsheets/d/""&amp;$A524&amp;""/edit#gid=156619080"",K$3)"),0.3798611111111111)</f>
        <v>0.3798611111</v>
      </c>
      <c r="L524" s="16">
        <f>IFERROR(__xludf.DUMMYFUNCTION("IMPORTRANGE(""https://docs.google.com/spreadsheets/d/""&amp;$A524&amp;""/edit#gid=156619080"",L$3)"),2169.0)</f>
        <v>2169</v>
      </c>
      <c r="M524" s="16">
        <f>IFERROR(__xludf.DUMMYFUNCTION("IMPORTRANGE(""https://docs.google.com/spreadsheets/d/""&amp;$A524&amp;""/edit#gid=156619080"",M$3)"),0.6194444444444445)</f>
        <v>0.6194444444</v>
      </c>
      <c r="N524" s="16">
        <f>IFERROR(__xludf.DUMMYFUNCTION("IMPORTRANGE(""https://docs.google.com/spreadsheets/d/""&amp;$A524&amp;""/edit#gid=156619080"",N$3)"),2175.0)</f>
        <v>2175</v>
      </c>
      <c r="O524" s="16" t="str">
        <f>IFERROR(__xludf.DUMMYFUNCTION("IMPORTRANGE(""https://docs.google.com/spreadsheets/d/""&amp;$A524&amp;""/edit#gid=156619080"",O$3)"),"163700株")</f>
        <v>163700株</v>
      </c>
      <c r="P524" s="16" t="str">
        <f>IFERROR(__xludf.DUMMYFUNCTION("IMPORTRANGE(""https://docs.google.com/spreadsheets/d/""&amp;$A524&amp;""/edit#gid=156619080"",P$3)"),"358百万円")</f>
        <v>358百万円</v>
      </c>
      <c r="Q524" s="16" t="str">
        <f>IFERROR(__xludf.DUMMYFUNCTION("IMPORTRANGE(""https://docs.google.com/spreadsheets/d/""&amp;$A524&amp;""/edit#gid=156619080"",Q$3)"),"792回")</f>
        <v>792回</v>
      </c>
      <c r="R524" s="16" t="str">
        <f>IFERROR(__xludf.DUMMYFUNCTION("IMPORTRANGE(""https://docs.google.com/spreadsheets/d/""&amp;$A524&amp;""/edit#gid=156619080"",R$3)"),"991億円")</f>
        <v>991億円</v>
      </c>
      <c r="S524" s="16" t="str">
        <f>IFERROR(__xludf.DUMMYFUNCTION("IMPORTRANGE(""https://docs.google.com/spreadsheets/d/""&amp;$A524&amp;""/edit#gid=156619080"",S$3)"),"陰線")</f>
        <v>陰線</v>
      </c>
      <c r="T524" s="16" t="str">
        <f>IFERROR(__xludf.DUMMYFUNCTION("IMPORTRANGE(""https://docs.google.com/spreadsheets/d/""&amp;$A524&amp;""/edit#gid=156619080"",T$3)"),"")</f>
        <v/>
      </c>
      <c r="U524" s="16">
        <f>IFERROR(__xludf.DUMMYFUNCTION("IMPORTRANGE(""https://docs.google.com/spreadsheets/d/""&amp;$A524&amp;""/edit#gid=156619080"",U$3)"),2198.2)</f>
        <v>2198.2</v>
      </c>
      <c r="V524" s="16">
        <f>IFERROR(__xludf.DUMMYFUNCTION("IMPORTRANGE(""https://docs.google.com/spreadsheets/d/""&amp;$A524&amp;""/edit#gid=156619080"",V$3)"),2193.0)</f>
        <v>2193</v>
      </c>
      <c r="W524" s="16">
        <f>IFERROR(__xludf.DUMMYFUNCTION("IMPORTRANGE(""https://docs.google.com/spreadsheets/d/""&amp;$A524&amp;""/edit#gid=156619080"",W$3)"),2210.2)</f>
        <v>2210.2</v>
      </c>
      <c r="X524" s="2" t="str">
        <f>IFERROR(__xludf.DUMMYFUNCTION("IMPORTRANGE(""https://docs.google.com/spreadsheets/d/""&amp;$A524&amp;""/edit#gid=156619080"",X$3)"),"")</f>
        <v/>
      </c>
      <c r="Y524" s="17">
        <f>IFERROR(__xludf.DUMMYFUNCTION("IMPORTRANGE(""https://docs.google.com/spreadsheets/d/""&amp;$A524&amp;""/edit#gid=156619080"",Y$3)"),-0.010554089709762451)</f>
        <v>-0.01055408971</v>
      </c>
      <c r="Z524" s="2">
        <f>IFERROR(__xludf.DUMMYFUNCTION("IMPORTRANGE(""https://docs.google.com/spreadsheets/d/""&amp;$A524&amp;""/edit#gid=156619080"",Z$3)"),2285.95)</f>
        <v>2285.95</v>
      </c>
      <c r="AA524" s="2">
        <f>IFERROR(__xludf.DUMMYFUNCTION("IMPORTRANGE(""https://docs.google.com/spreadsheets/d/""&amp;$A524&amp;""/edit#gid=156619080"",AA$3)"),2276.48)</f>
        <v>2276.48</v>
      </c>
      <c r="AB524" s="2">
        <f>IFERROR(__xludf.DUMMYFUNCTION("IMPORTRANGE(""https://docs.google.com/spreadsheets/d/""&amp;$A524&amp;""/edit#gid=156619080"",AB$3)"),2267.01)</f>
        <v>2267.01</v>
      </c>
      <c r="AC524" s="18">
        <f>IFERROR(__xludf.DUMMYFUNCTION("IMPORTRANGE(""https://docs.google.com/spreadsheets/d/""&amp;$A524&amp;""/edit#gid=156619080"",AC$3)"),2257.54)</f>
        <v>2257.54</v>
      </c>
      <c r="AD524" s="18">
        <f>IFERROR(__xludf.DUMMYFUNCTION("IMPORTRANGE(""https://docs.google.com/spreadsheets/d/""&amp;$A524&amp;""/edit#gid=156619080"",AD$3)"),2248.08)</f>
        <v>2248.08</v>
      </c>
      <c r="AE524" s="18">
        <f>IFERROR(__xludf.DUMMYFUNCTION("IMPORTRANGE(""https://docs.google.com/spreadsheets/d/""&amp;$A524&amp;""/edit#gid=156619080"",AE$3)"),2210.2)</f>
        <v>2210.2</v>
      </c>
      <c r="AF524" s="2">
        <f>IFERROR(__xludf.DUMMYFUNCTION("IMPORTRANGE(""https://docs.google.com/spreadsheets/d/""&amp;$A524&amp;""/edit#gid=156619080"",AF$3)"),2172.32)</f>
        <v>2172.32</v>
      </c>
      <c r="AG524" s="2">
        <f>IFERROR(__xludf.DUMMYFUNCTION("IMPORTRANGE(""https://docs.google.com/spreadsheets/d/""&amp;$A524&amp;""/edit#gid=156619080"",AG$3)"),2162.86)</f>
        <v>2162.86</v>
      </c>
      <c r="AH524" s="2">
        <f>IFERROR(__xludf.DUMMYFUNCTION("IMPORTRANGE(""https://docs.google.com/spreadsheets/d/""&amp;$A524&amp;""/edit#gid=156619080"",AH$3)"),2153.39)</f>
        <v>2153.39</v>
      </c>
      <c r="AI524" s="2">
        <f>IFERROR(__xludf.DUMMYFUNCTION("IMPORTRANGE(""https://docs.google.com/spreadsheets/d/""&amp;$A524&amp;""/edit#gid=156619080"",AI$3)"),2143.92)</f>
        <v>2143.92</v>
      </c>
      <c r="AJ524" s="2">
        <f>IFERROR(__xludf.DUMMYFUNCTION("IMPORTRANGE(""https://docs.google.com/spreadsheets/d/""&amp;$A524&amp;""/edit#gid=156619080"",AJ$3)"),2134.45)</f>
        <v>2134.45</v>
      </c>
      <c r="AK524" s="2" t="str">
        <f>IFERROR(__xludf.DUMMYFUNCTION("IMPORTRANGE(""https://docs.google.com/spreadsheets/d/""&amp;$A524&amp;""/edit#gid=156619080"",AK$3)"),"")</f>
        <v/>
      </c>
      <c r="AL524" s="2">
        <f>IFERROR(__xludf.DUMMYFUNCTION("IMPORTRANGE(""https://docs.google.com/spreadsheets/d/""&amp;$A524&amp;""/edit#gid=156619080"",AL$3)"),1.0)</f>
        <v>1</v>
      </c>
      <c r="AM524" s="2" t="str">
        <f>IFERROR(__xludf.DUMMYFUNCTION("IMPORTRANGE(""https://docs.google.com/spreadsheets/d/""&amp;$A524&amp;""/edit#gid=156619080"",AM$3)"),"")</f>
        <v/>
      </c>
      <c r="AN524" s="2">
        <f>IFERROR(__xludf.DUMMYFUNCTION("IMPORTRANGE(""https://docs.google.com/spreadsheets/d/""&amp;$A524&amp;""/edit#gid=156619080"",AN$3)"),-1.0)</f>
        <v>-1</v>
      </c>
      <c r="AO524" s="2" t="str">
        <f>IFERROR(__xludf.DUMMYFUNCTION("IMPORTRANGE(""https://docs.google.com/spreadsheets/d/""&amp;$A524&amp;""/edit#gid=156619080"",AO$3)"),"")</f>
        <v/>
      </c>
      <c r="AP524" s="2">
        <f>IFERROR(__xludf.DUMMYFUNCTION("IMPORTRANGE(""https://docs.google.com/spreadsheets/d/""&amp;$A524&amp;""/edit#gid=156619080"",AP$3)"),-1.0)</f>
        <v>-1</v>
      </c>
      <c r="AQ524" s="2" t="str">
        <f>IFERROR(__xludf.DUMMYFUNCTION("IMPORTRANGE(""https://docs.google.com/spreadsheets/d/""&amp;$A524&amp;""/edit#gid=156619080"",AQ$3)"),"")</f>
        <v/>
      </c>
      <c r="AR524" s="18">
        <f>IFERROR(__xludf.DUMMYFUNCTION("IMPORTRANGE(""https://docs.google.com/spreadsheets/d/""&amp;$A524&amp;""/edit#gid=156619080"",AR$3)"),-55.00000000000001)</f>
        <v>-55</v>
      </c>
      <c r="AS524" s="19" t="str">
        <f>IFERROR(__xludf.DUMMYFUNCTION("IMPORTRANGE(""https://docs.google.com/spreadsheets/d/""&amp;$A524&amp;""/edit#gid=156619080"",AS$3)"),"65
95
95
-5
")</f>
        <v>65
95
95
-5
</v>
      </c>
      <c r="AT524" s="18">
        <f>IFERROR(__xludf.DUMMYFUNCTION("IMPORTRANGE(""https://docs.google.com/spreadsheets/d/""&amp;$A524&amp;""/edit#gid=156619080"",AT$3)"),13.049450549450547)</f>
        <v>13.04945055</v>
      </c>
      <c r="AU524" s="3" t="str">
        <f>IFERROR(__xludf.DUMMYFUNCTION("IMPORTRANGE(""https://docs.google.com/spreadsheets/d/""&amp;$A524&amp;""/edit#gid=156619080"",AU$3)"),"-15.11
27.75
46.98
38.74
")</f>
        <v>-15.11
27.75
46.98
38.74
</v>
      </c>
      <c r="AV524" s="18">
        <f>IFERROR(__xludf.DUMMYFUNCTION("IMPORTRANGE(""https://docs.google.com/spreadsheets/d/""&amp;$A524&amp;""/edit#gid=156619080"",AV$3)"),-47.987012987012974)</f>
        <v>-47.98701299</v>
      </c>
      <c r="AW524" s="19" t="str">
        <f>IFERROR(__xludf.DUMMYFUNCTION("IMPORTRANGE(""https://docs.google.com/spreadsheets/d/""&amp;$A524&amp;""/edit#gid=156619080"",AW$3)"),"-45
-62.14
-53.96
-52.27
")</f>
        <v>-45
-62.14
-53.96
-52.27
</v>
      </c>
      <c r="AX524" s="2">
        <f>IFERROR(__xludf.DUMMYFUNCTION("IMPORTRANGE(""https://docs.google.com/spreadsheets/d/""&amp;$A524&amp;""/edit#gid=156619080"",AX$3)"),23.21)</f>
        <v>23.21</v>
      </c>
      <c r="AY524" s="2">
        <f>IFERROR(__xludf.DUMMYFUNCTION("IMPORTRANGE(""https://docs.google.com/spreadsheets/d/""&amp;$A524&amp;""/edit#gid=156619080"",AY$3)"),31.97)</f>
        <v>31.97</v>
      </c>
      <c r="AZ524" s="2">
        <f>IFERROR(__xludf.DUMMYFUNCTION("IMPORTRANGE(""https://docs.google.com/spreadsheets/d/""&amp;$A524&amp;""/edit#gid=156619080"",AZ$3)"),2189.45)</f>
        <v>2189.45</v>
      </c>
      <c r="BA524" s="2">
        <f>IFERROR(__xludf.DUMMYFUNCTION("IMPORTRANGE(""https://docs.google.com/spreadsheets/d/""&amp;$A524&amp;""/edit#gid=156619080"",BA$3)"),6.1599999999998545)</f>
        <v>6.16</v>
      </c>
      <c r="BB524" s="2">
        <f>IFERROR(__xludf.DUMMYFUNCTION("IMPORTRANGE(""https://docs.google.com/spreadsheets/d/""&amp;$A524&amp;""/edit#gid=156619080"",BB$3)"),26.25)</f>
        <v>26.25</v>
      </c>
      <c r="BC524" s="2" t="str">
        <f>IFERROR(__xludf.DUMMYFUNCTION("IMPORTRANGE(""https://docs.google.com/spreadsheets/d/""&amp;$A524&amp;""/edit#gid=156619080"",BC$3)"),"DC→DC")</f>
        <v>DC→DC</v>
      </c>
    </row>
    <row r="525" ht="51.0" customHeight="1">
      <c r="A525" s="7" t="str">
        <f t="shared" si="5"/>
        <v>1eBgET7hOeOVq-vEgaBpWwarf4kcRa2YdFXhyGLawePw</v>
      </c>
      <c r="B525" s="1" t="s">
        <v>552</v>
      </c>
      <c r="C525" s="2">
        <f>IFERROR(__xludf.DUMMYFUNCTION("IMPORTRANGE(""https://docs.google.com/spreadsheets/d/""&amp;$A525&amp;""/edit#gid=156619080"",C$3)"),87.0)</f>
        <v>87</v>
      </c>
      <c r="D525" s="2">
        <f>IFERROR(__xludf.DUMMYFUNCTION("IMPORTRANGE(""https://docs.google.com/spreadsheets/d/""&amp;$A525&amp;""/edit#gid=156619080"",D$3)"),5912.0)</f>
        <v>5912</v>
      </c>
      <c r="E525" s="15">
        <f>IFERROR(__xludf.DUMMYFUNCTION("IMPORTRANGE(""https://docs.google.com/spreadsheets/d/""&amp;$A525&amp;""/edit#gid=156619080"",E$3)"),43882.0)</f>
        <v>43882</v>
      </c>
      <c r="F525" s="2">
        <f>IFERROR(__xludf.DUMMYFUNCTION("IMPORTRANGE(""https://docs.google.com/spreadsheets/d/""&amp;$A525&amp;""/edit#gid=156619080"",F$3)"),0.0)</f>
        <v>0</v>
      </c>
      <c r="G525" s="16">
        <f>IFERROR(__xludf.DUMMYFUNCTION("IMPORTRANGE(""https://docs.google.com/spreadsheets/d/""&amp;$A525&amp;""/edit#gid=156619080"",G$3)"),0.0)</f>
        <v>0</v>
      </c>
      <c r="H525" s="16">
        <f>IFERROR(__xludf.DUMMYFUNCTION("IMPORTRANGE(""https://docs.google.com/spreadsheets/d/""&amp;$A525&amp;""/edit#gid=156619080"",H$3)"),263.0)</f>
        <v>263</v>
      </c>
      <c r="I525" s="16">
        <f>IFERROR(__xludf.DUMMYFUNCTION("IMPORTRANGE(""https://docs.google.com/spreadsheets/d/""&amp;$A525&amp;""/edit#gid=156619080"",I$3)"),1.0)</f>
        <v>1</v>
      </c>
      <c r="J525" s="16">
        <f>IFERROR(__xludf.DUMMYFUNCTION("IMPORTRANGE(""https://docs.google.com/spreadsheets/d/""&amp;$A525&amp;""/edit#gid=156619080"",J$3)"),267.0)</f>
        <v>267</v>
      </c>
      <c r="K525" s="16">
        <f>IFERROR(__xludf.DUMMYFUNCTION("IMPORTRANGE(""https://docs.google.com/spreadsheets/d/""&amp;$A525&amp;""/edit#gid=156619080"",K$3)"),0.5333333333333333)</f>
        <v>0.5333333333</v>
      </c>
      <c r="L525" s="16">
        <f>IFERROR(__xludf.DUMMYFUNCTION("IMPORTRANGE(""https://docs.google.com/spreadsheets/d/""&amp;$A525&amp;""/edit#gid=156619080"",L$3)"),263.0)</f>
        <v>263</v>
      </c>
      <c r="M525" s="16">
        <f>IFERROR(__xludf.DUMMYFUNCTION("IMPORTRANGE(""https://docs.google.com/spreadsheets/d/""&amp;$A525&amp;""/edit#gid=156619080"",M$3)"),0.375)</f>
        <v>0.375</v>
      </c>
      <c r="N525" s="16">
        <f>IFERROR(__xludf.DUMMYFUNCTION("IMPORTRANGE(""https://docs.google.com/spreadsheets/d/""&amp;$A525&amp;""/edit#gid=156619080"",N$3)"),264.0)</f>
        <v>264</v>
      </c>
      <c r="O525" s="16" t="str">
        <f>IFERROR(__xludf.DUMMYFUNCTION("IMPORTRANGE(""https://docs.google.com/spreadsheets/d/""&amp;$A525&amp;""/edit#gid=156619080"",O$3)"),"524000株")</f>
        <v>524000株</v>
      </c>
      <c r="P525" s="16" t="str">
        <f>IFERROR(__xludf.DUMMYFUNCTION("IMPORTRANGE(""https://docs.google.com/spreadsheets/d/""&amp;$A525&amp;""/edit#gid=156619080"",P$3)"),"139百万円")</f>
        <v>139百万円</v>
      </c>
      <c r="Q525" s="16" t="str">
        <f>IFERROR(__xludf.DUMMYFUNCTION("IMPORTRANGE(""https://docs.google.com/spreadsheets/d/""&amp;$A525&amp;""/edit#gid=156619080"",Q$3)"),"410回")</f>
        <v>410回</v>
      </c>
      <c r="R525" s="16" t="str">
        <f>IFERROR(__xludf.DUMMYFUNCTION("IMPORTRANGE(""https://docs.google.com/spreadsheets/d/""&amp;$A525&amp;""/edit#gid=156619080"",R$3)"),"323億円")</f>
        <v>323億円</v>
      </c>
      <c r="S525" s="16" t="str">
        <f>IFERROR(__xludf.DUMMYFUNCTION("IMPORTRANGE(""https://docs.google.com/spreadsheets/d/""&amp;$A525&amp;""/edit#gid=156619080"",S$3)"),"陽線")</f>
        <v>陽線</v>
      </c>
      <c r="T525" s="16" t="str">
        <f>IFERROR(__xludf.DUMMYFUNCTION("IMPORTRANGE(""https://docs.google.com/spreadsheets/d/""&amp;$A525&amp;""/edit#gid=156619080"",T$3)"),"")</f>
        <v/>
      </c>
      <c r="U525" s="16">
        <f>IFERROR(__xludf.DUMMYFUNCTION("IMPORTRANGE(""https://docs.google.com/spreadsheets/d/""&amp;$A525&amp;""/edit#gid=156619080"",U$3)"),263.8)</f>
        <v>263.8</v>
      </c>
      <c r="V525" s="16">
        <f>IFERROR(__xludf.DUMMYFUNCTION("IMPORTRANGE(""https://docs.google.com/spreadsheets/d/""&amp;$A525&amp;""/edit#gid=156619080"",V$3)"),265.5)</f>
        <v>265.5</v>
      </c>
      <c r="W525" s="16">
        <f>IFERROR(__xludf.DUMMYFUNCTION("IMPORTRANGE(""https://docs.google.com/spreadsheets/d/""&amp;$A525&amp;""/edit#gid=156619080"",W$3)"),271.9)</f>
        <v>271.9</v>
      </c>
      <c r="X525" s="2" t="str">
        <f>IFERROR(__xludf.DUMMYFUNCTION("IMPORTRANGE(""https://docs.google.com/spreadsheets/d/""&amp;$A525&amp;""/edit#gid=156619080"",X$3)"),"")</f>
        <v/>
      </c>
      <c r="Y525" s="17">
        <f>IFERROR(__xludf.DUMMYFUNCTION("IMPORTRANGE(""https://docs.google.com/spreadsheets/d/""&amp;$A525&amp;""/edit#gid=156619080"",Y$3)"),7.581501137224739E-4)</f>
        <v>0.0007581501137</v>
      </c>
      <c r="Z525" s="2">
        <f>IFERROR(__xludf.DUMMYFUNCTION("IMPORTRANGE(""https://docs.google.com/spreadsheets/d/""&amp;$A525&amp;""/edit#gid=156619080"",Z$3)"),289.97)</f>
        <v>289.97</v>
      </c>
      <c r="AA525" s="2">
        <f>IFERROR(__xludf.DUMMYFUNCTION("IMPORTRANGE(""https://docs.google.com/spreadsheets/d/""&amp;$A525&amp;""/edit#gid=156619080"",AA$3)"),287.71)</f>
        <v>287.71</v>
      </c>
      <c r="AB525" s="2">
        <f>IFERROR(__xludf.DUMMYFUNCTION("IMPORTRANGE(""https://docs.google.com/spreadsheets/d/""&amp;$A525&amp;""/edit#gid=156619080"",AB$3)"),285.45)</f>
        <v>285.45</v>
      </c>
      <c r="AC525" s="18">
        <f>IFERROR(__xludf.DUMMYFUNCTION("IMPORTRANGE(""https://docs.google.com/spreadsheets/d/""&amp;$A525&amp;""/edit#gid=156619080"",AC$3)"),283.19)</f>
        <v>283.19</v>
      </c>
      <c r="AD525" s="18">
        <f>IFERROR(__xludf.DUMMYFUNCTION("IMPORTRANGE(""https://docs.google.com/spreadsheets/d/""&amp;$A525&amp;""/edit#gid=156619080"",AD$3)"),280.94)</f>
        <v>280.94</v>
      </c>
      <c r="AE525" s="18">
        <f>IFERROR(__xludf.DUMMYFUNCTION("IMPORTRANGE(""https://docs.google.com/spreadsheets/d/""&amp;$A525&amp;""/edit#gid=156619080"",AE$3)"),271.9)</f>
        <v>271.9</v>
      </c>
      <c r="AF525" s="2">
        <f>IFERROR(__xludf.DUMMYFUNCTION("IMPORTRANGE(""https://docs.google.com/spreadsheets/d/""&amp;$A525&amp;""/edit#gid=156619080"",AF$3)"),262.86)</f>
        <v>262.86</v>
      </c>
      <c r="AG525" s="2">
        <f>IFERROR(__xludf.DUMMYFUNCTION("IMPORTRANGE(""https://docs.google.com/spreadsheets/d/""&amp;$A525&amp;""/edit#gid=156619080"",AG$3)"),260.61)</f>
        <v>260.61</v>
      </c>
      <c r="AH525" s="2">
        <f>IFERROR(__xludf.DUMMYFUNCTION("IMPORTRANGE(""https://docs.google.com/spreadsheets/d/""&amp;$A525&amp;""/edit#gid=156619080"",AH$3)"),258.35)</f>
        <v>258.35</v>
      </c>
      <c r="AI525" s="2">
        <f>IFERROR(__xludf.DUMMYFUNCTION("IMPORTRANGE(""https://docs.google.com/spreadsheets/d/""&amp;$A525&amp;""/edit#gid=156619080"",AI$3)"),256.09)</f>
        <v>256.09</v>
      </c>
      <c r="AJ525" s="2">
        <f>IFERROR(__xludf.DUMMYFUNCTION("IMPORTRANGE(""https://docs.google.com/spreadsheets/d/""&amp;$A525&amp;""/edit#gid=156619080"",AJ$3)"),253.83)</f>
        <v>253.83</v>
      </c>
      <c r="AK525" s="2" t="str">
        <f>IFERROR(__xludf.DUMMYFUNCTION("IMPORTRANGE(""https://docs.google.com/spreadsheets/d/""&amp;$A525&amp;""/edit#gid=156619080"",AK$3)"),"")</f>
        <v/>
      </c>
      <c r="AL525" s="2">
        <f>IFERROR(__xludf.DUMMYFUNCTION("IMPORTRANGE(""https://docs.google.com/spreadsheets/d/""&amp;$A525&amp;""/edit#gid=156619080"",AL$3)"),-1.0)</f>
        <v>-1</v>
      </c>
      <c r="AM525" s="2" t="str">
        <f>IFERROR(__xludf.DUMMYFUNCTION("IMPORTRANGE(""https://docs.google.com/spreadsheets/d/""&amp;$A525&amp;""/edit#gid=156619080"",AM$3)"),"")</f>
        <v/>
      </c>
      <c r="AN525" s="2">
        <f>IFERROR(__xludf.DUMMYFUNCTION("IMPORTRANGE(""https://docs.google.com/spreadsheets/d/""&amp;$A525&amp;""/edit#gid=156619080"",AN$3)"),-1.0)</f>
        <v>-1</v>
      </c>
      <c r="AO525" s="2" t="str">
        <f>IFERROR(__xludf.DUMMYFUNCTION("IMPORTRANGE(""https://docs.google.com/spreadsheets/d/""&amp;$A525&amp;""/edit#gid=156619080"",AO$3)"),"")</f>
        <v/>
      </c>
      <c r="AP525" s="2">
        <f>IFERROR(__xludf.DUMMYFUNCTION("IMPORTRANGE(""https://docs.google.com/spreadsheets/d/""&amp;$A525&amp;""/edit#gid=156619080"",AP$3)"),-1.0)</f>
        <v>-1</v>
      </c>
      <c r="AQ525" s="2" t="str">
        <f>IFERROR(__xludf.DUMMYFUNCTION("IMPORTRANGE(""https://docs.google.com/spreadsheets/d/""&amp;$A525&amp;""/edit#gid=156619080"",AQ$3)"),"")</f>
        <v/>
      </c>
      <c r="AR525" s="18">
        <f>IFERROR(__xludf.DUMMYFUNCTION("IMPORTRANGE(""https://docs.google.com/spreadsheets/d/""&amp;$A525&amp;""/edit#gid=156619080"",AR$3)"),75.0)</f>
        <v>75</v>
      </c>
      <c r="AS525" s="19" t="str">
        <f>IFERROR(__xludf.DUMMYFUNCTION("IMPORTRANGE(""https://docs.google.com/spreadsheets/d/""&amp;$A525&amp;""/edit#gid=156619080"",AS$3)"),"-5
95
95
87.5
")</f>
        <v>-5
95
95
87.5
</v>
      </c>
      <c r="AT525" s="18">
        <f>IFERROR(__xludf.DUMMYFUNCTION("IMPORTRANGE(""https://docs.google.com/spreadsheets/d/""&amp;$A525&amp;""/edit#gid=156619080"",AT$3)"),-54.67032967032968)</f>
        <v>-54.67032967</v>
      </c>
      <c r="AU525" s="3" t="str">
        <f>IFERROR(__xludf.DUMMYFUNCTION("IMPORTRANGE(""https://docs.google.com/spreadsheets/d/""&amp;$A525&amp;""/edit#gid=156619080"",AU$3)"),"-93.13
-87.64
-79.95
-68.82
")</f>
        <v>-93.13
-87.64
-79.95
-68.82
</v>
      </c>
      <c r="AV525" s="18">
        <f>IFERROR(__xludf.DUMMYFUNCTION("IMPORTRANGE(""https://docs.google.com/spreadsheets/d/""&amp;$A525&amp;""/edit#gid=156619080"",AV$3)"),-88.8961038961039)</f>
        <v>-88.8961039</v>
      </c>
      <c r="AW525" s="19" t="str">
        <f>IFERROR(__xludf.DUMMYFUNCTION("IMPORTRANGE(""https://docs.google.com/spreadsheets/d/""&amp;$A525&amp;""/edit#gid=156619080"",AW$3)"),"-89.64
-94.35
-93.93
-92.24
")</f>
        <v>-89.64
-94.35
-93.93
-92.24
</v>
      </c>
      <c r="AX525" s="2">
        <f>IFERROR(__xludf.DUMMYFUNCTION("IMPORTRANGE(""https://docs.google.com/spreadsheets/d/""&amp;$A525&amp;""/edit#gid=156619080"",AX$3)"),100.0)</f>
        <v>100</v>
      </c>
      <c r="AY525" s="2">
        <f>IFERROR(__xludf.DUMMYFUNCTION("IMPORTRANGE(""https://docs.google.com/spreadsheets/d/""&amp;$A525&amp;""/edit#gid=156619080"",AY$3)"),10.34)</f>
        <v>10.34</v>
      </c>
      <c r="AZ525" s="2">
        <f>IFERROR(__xludf.DUMMYFUNCTION("IMPORTRANGE(""https://docs.google.com/spreadsheets/d/""&amp;$A525&amp;""/edit#gid=156619080"",AZ$3)"),263.97)</f>
        <v>263.97</v>
      </c>
      <c r="BA525" s="2">
        <f>IFERROR(__xludf.DUMMYFUNCTION("IMPORTRANGE(""https://docs.google.com/spreadsheets/d/""&amp;$A525&amp;""/edit#gid=156619080"",BA$3)"),-4.919999999999959)</f>
        <v>-4.92</v>
      </c>
      <c r="BB525" s="2">
        <f>IFERROR(__xludf.DUMMYFUNCTION("IMPORTRANGE(""https://docs.google.com/spreadsheets/d/""&amp;$A525&amp;""/edit#gid=156619080"",BB$3)"),-4.69)</f>
        <v>-4.69</v>
      </c>
      <c r="BC525" s="2" t="str">
        <f>IFERROR(__xludf.DUMMYFUNCTION("IMPORTRANGE(""https://docs.google.com/spreadsheets/d/""&amp;$A525&amp;""/edit#gid=156619080"",BC$3)"),"DC→DC")</f>
        <v>DC→DC</v>
      </c>
    </row>
    <row r="526" ht="51.0" customHeight="1">
      <c r="A526" s="7" t="str">
        <f t="shared" si="5"/>
        <v>1OuhP519oYLkBvn-ocNc7ygLKsc5_jFZwlCFOHfCu2EA</v>
      </c>
      <c r="B526" s="1" t="s">
        <v>553</v>
      </c>
      <c r="C526" s="2">
        <f>IFERROR(__xludf.DUMMYFUNCTION("IMPORTRANGE(""https://docs.google.com/spreadsheets/d/""&amp;$A526&amp;""/edit#gid=156619080"",C$3)"),45.0)</f>
        <v>45</v>
      </c>
      <c r="D526" s="2">
        <f>IFERROR(__xludf.DUMMYFUNCTION("IMPORTRANGE(""https://docs.google.com/spreadsheets/d/""&amp;$A526&amp;""/edit#gid=156619080"",D$3)"),5915.0)</f>
        <v>5915</v>
      </c>
      <c r="E526" s="15">
        <f>IFERROR(__xludf.DUMMYFUNCTION("IMPORTRANGE(""https://docs.google.com/spreadsheets/d/""&amp;$A526&amp;""/edit#gid=156619080"",E$3)"),43882.0)</f>
        <v>43882</v>
      </c>
      <c r="F526" s="2">
        <f>IFERROR(__xludf.DUMMYFUNCTION("IMPORTRANGE(""https://docs.google.com/spreadsheets/d/""&amp;$A526&amp;""/edit#gid=156619080"",F$3)"),28.0)</f>
        <v>28</v>
      </c>
      <c r="G526" s="16">
        <f>IFERROR(__xludf.DUMMYFUNCTION("IMPORTRANGE(""https://docs.google.com/spreadsheets/d/""&amp;$A526&amp;""/edit#gid=156619080"",G$3)"),1.67)</f>
        <v>1.67</v>
      </c>
      <c r="H526" s="16">
        <f>IFERROR(__xludf.DUMMYFUNCTION("IMPORTRANGE(""https://docs.google.com/spreadsheets/d/""&amp;$A526&amp;""/edit#gid=156619080"",H$3)"),1675.0)</f>
        <v>1675</v>
      </c>
      <c r="I526" s="16">
        <f>IFERROR(__xludf.DUMMYFUNCTION("IMPORTRANGE(""https://docs.google.com/spreadsheets/d/""&amp;$A526&amp;""/edit#gid=156619080"",I$3)"),-1.0)</f>
        <v>-1</v>
      </c>
      <c r="J526" s="16">
        <f>IFERROR(__xludf.DUMMYFUNCTION("IMPORTRANGE(""https://docs.google.com/spreadsheets/d/""&amp;$A526&amp;""/edit#gid=156619080"",J$3)"),1702.0)</f>
        <v>1702</v>
      </c>
      <c r="K526" s="16">
        <f>IFERROR(__xludf.DUMMYFUNCTION("IMPORTRANGE(""https://docs.google.com/spreadsheets/d/""&amp;$A526&amp;""/edit#gid=156619080"",K$3)"),0.625)</f>
        <v>0.625</v>
      </c>
      <c r="L526" s="16">
        <f>IFERROR(__xludf.DUMMYFUNCTION("IMPORTRANGE(""https://docs.google.com/spreadsheets/d/""&amp;$A526&amp;""/edit#gid=156619080"",L$3)"),1675.0)</f>
        <v>1675</v>
      </c>
      <c r="M526" s="16">
        <f>IFERROR(__xludf.DUMMYFUNCTION("IMPORTRANGE(""https://docs.google.com/spreadsheets/d/""&amp;$A526&amp;""/edit#gid=156619080"",M$3)"),0.375)</f>
        <v>0.375</v>
      </c>
      <c r="N526" s="16">
        <f>IFERROR(__xludf.DUMMYFUNCTION("IMPORTRANGE(""https://docs.google.com/spreadsheets/d/""&amp;$A526&amp;""/edit#gid=156619080"",N$3)"),1702.0)</f>
        <v>1702</v>
      </c>
      <c r="O526" s="16" t="str">
        <f>IFERROR(__xludf.DUMMYFUNCTION("IMPORTRANGE(""https://docs.google.com/spreadsheets/d/""&amp;$A526&amp;""/edit#gid=156619080"",O$3)"),"2900株")</f>
        <v>2900株</v>
      </c>
      <c r="P526" s="16" t="str">
        <f>IFERROR(__xludf.DUMMYFUNCTION("IMPORTRANGE(""https://docs.google.com/spreadsheets/d/""&amp;$A526&amp;""/edit#gid=156619080"",P$3)"),"5百万円")</f>
        <v>5百万円</v>
      </c>
      <c r="Q526" s="16" t="str">
        <f>IFERROR(__xludf.DUMMYFUNCTION("IMPORTRANGE(""https://docs.google.com/spreadsheets/d/""&amp;$A526&amp;""/edit#gid=156619080"",Q$3)"),"18回")</f>
        <v>18回</v>
      </c>
      <c r="R526" s="16" t="str">
        <f>IFERROR(__xludf.DUMMYFUNCTION("IMPORTRANGE(""https://docs.google.com/spreadsheets/d/""&amp;$A526&amp;""/edit#gid=156619080"",R$3)"),"84.6億円")</f>
        <v>84.6億円</v>
      </c>
      <c r="S526" s="16" t="str">
        <f>IFERROR(__xludf.DUMMYFUNCTION("IMPORTRANGE(""https://docs.google.com/spreadsheets/d/""&amp;$A526&amp;""/edit#gid=156619080"",S$3)"),"陽線")</f>
        <v>陽線</v>
      </c>
      <c r="T526" s="16" t="str">
        <f>IFERROR(__xludf.DUMMYFUNCTION("IMPORTRANGE(""https://docs.google.com/spreadsheets/d/""&amp;$A526&amp;""/edit#gid=156619080"",T$3)"),"")</f>
        <v/>
      </c>
      <c r="U526" s="16">
        <f>IFERROR(__xludf.DUMMYFUNCTION("IMPORTRANGE(""https://docs.google.com/spreadsheets/d/""&amp;$A526&amp;""/edit#gid=156619080"",U$3)"),1682.0)</f>
        <v>1682</v>
      </c>
      <c r="V526" s="16">
        <f>IFERROR(__xludf.DUMMYFUNCTION("IMPORTRANGE(""https://docs.google.com/spreadsheets/d/""&amp;$A526&amp;""/edit#gid=156619080"",V$3)"),1778.3)</f>
        <v>1778.3</v>
      </c>
      <c r="W526" s="16">
        <f>IFERROR(__xludf.DUMMYFUNCTION("IMPORTRANGE(""https://docs.google.com/spreadsheets/d/""&amp;$A526&amp;""/edit#gid=156619080"",W$3)"),1820.3)</f>
        <v>1820.3</v>
      </c>
      <c r="X526" s="2" t="str">
        <f>IFERROR(__xludf.DUMMYFUNCTION("IMPORTRANGE(""https://docs.google.com/spreadsheets/d/""&amp;$A526&amp;""/edit#gid=156619080"",X$3)"),"")</f>
        <v/>
      </c>
      <c r="Y526" s="17">
        <f>IFERROR(__xludf.DUMMYFUNCTION("IMPORTRANGE(""https://docs.google.com/spreadsheets/d/""&amp;$A526&amp;""/edit#gid=156619080"",Y$3)"),0.011890606420927468)</f>
        <v>0.01189060642</v>
      </c>
      <c r="Z526" s="2">
        <f>IFERROR(__xludf.DUMMYFUNCTION("IMPORTRANGE(""https://docs.google.com/spreadsheets/d/""&amp;$A526&amp;""/edit#gid=156619080"",Z$3)"),1999.13)</f>
        <v>1999.13</v>
      </c>
      <c r="AA526" s="2">
        <f>IFERROR(__xludf.DUMMYFUNCTION("IMPORTRANGE(""https://docs.google.com/spreadsheets/d/""&amp;$A526&amp;""/edit#gid=156619080"",AA$3)"),1976.77)</f>
        <v>1976.77</v>
      </c>
      <c r="AB526" s="2">
        <f>IFERROR(__xludf.DUMMYFUNCTION("IMPORTRANGE(""https://docs.google.com/spreadsheets/d/""&amp;$A526&amp;""/edit#gid=156619080"",AB$3)"),1954.42)</f>
        <v>1954.42</v>
      </c>
      <c r="AC526" s="18">
        <f>IFERROR(__xludf.DUMMYFUNCTION("IMPORTRANGE(""https://docs.google.com/spreadsheets/d/""&amp;$A526&amp;""/edit#gid=156619080"",AC$3)"),1932.07)</f>
        <v>1932.07</v>
      </c>
      <c r="AD526" s="18">
        <f>IFERROR(__xludf.DUMMYFUNCTION("IMPORTRANGE(""https://docs.google.com/spreadsheets/d/""&amp;$A526&amp;""/edit#gid=156619080"",AD$3)"),1909.71)</f>
        <v>1909.71</v>
      </c>
      <c r="AE526" s="18">
        <f>IFERROR(__xludf.DUMMYFUNCTION("IMPORTRANGE(""https://docs.google.com/spreadsheets/d/""&amp;$A526&amp;""/edit#gid=156619080"",AE$3)"),1820.3)</f>
        <v>1820.3</v>
      </c>
      <c r="AF526" s="2">
        <f>IFERROR(__xludf.DUMMYFUNCTION("IMPORTRANGE(""https://docs.google.com/spreadsheets/d/""&amp;$A526&amp;""/edit#gid=156619080"",AF$3)"),1730.89)</f>
        <v>1730.89</v>
      </c>
      <c r="AG526" s="2">
        <f>IFERROR(__xludf.DUMMYFUNCTION("IMPORTRANGE(""https://docs.google.com/spreadsheets/d/""&amp;$A526&amp;""/edit#gid=156619080"",AG$3)"),1708.53)</f>
        <v>1708.53</v>
      </c>
      <c r="AH526" s="2">
        <f>IFERROR(__xludf.DUMMYFUNCTION("IMPORTRANGE(""https://docs.google.com/spreadsheets/d/""&amp;$A526&amp;""/edit#gid=156619080"",AH$3)"),1686.18)</f>
        <v>1686.18</v>
      </c>
      <c r="AI526" s="2">
        <f>IFERROR(__xludf.DUMMYFUNCTION("IMPORTRANGE(""https://docs.google.com/spreadsheets/d/""&amp;$A526&amp;""/edit#gid=156619080"",AI$3)"),1663.83)</f>
        <v>1663.83</v>
      </c>
      <c r="AJ526" s="2">
        <f>IFERROR(__xludf.DUMMYFUNCTION("IMPORTRANGE(""https://docs.google.com/spreadsheets/d/""&amp;$A526&amp;""/edit#gid=156619080"",AJ$3)"),1641.47)</f>
        <v>1641.47</v>
      </c>
      <c r="AK526" s="2" t="str">
        <f>IFERROR(__xludf.DUMMYFUNCTION("IMPORTRANGE(""https://docs.google.com/spreadsheets/d/""&amp;$A526&amp;""/edit#gid=156619080"",AK$3)"),"-1.25σ〜-1.5σ")</f>
        <v>-1.25σ〜-1.5σ</v>
      </c>
      <c r="AL526" s="2">
        <f>IFERROR(__xludf.DUMMYFUNCTION("IMPORTRANGE(""https://docs.google.com/spreadsheets/d/""&amp;$A526&amp;""/edit#gid=156619080"",AL$3)"),-1.0)</f>
        <v>-1</v>
      </c>
      <c r="AM526" s="2" t="str">
        <f>IFERROR(__xludf.DUMMYFUNCTION("IMPORTRANGE(""https://docs.google.com/spreadsheets/d/""&amp;$A526&amp;""/edit#gid=156619080"",AM$3)"),"")</f>
        <v/>
      </c>
      <c r="AN526" s="2">
        <f>IFERROR(__xludf.DUMMYFUNCTION("IMPORTRANGE(""https://docs.google.com/spreadsheets/d/""&amp;$A526&amp;""/edit#gid=156619080"",AN$3)"),-1.0)</f>
        <v>-1</v>
      </c>
      <c r="AO526" s="2" t="str">
        <f>IFERROR(__xludf.DUMMYFUNCTION("IMPORTRANGE(""https://docs.google.com/spreadsheets/d/""&amp;$A526&amp;""/edit#gid=156619080"",AO$3)"),"")</f>
        <v/>
      </c>
      <c r="AP526" s="2">
        <f>IFERROR(__xludf.DUMMYFUNCTION("IMPORTRANGE(""https://docs.google.com/spreadsheets/d/""&amp;$A526&amp;""/edit#gid=156619080"",AP$3)"),-1.0)</f>
        <v>-1</v>
      </c>
      <c r="AQ526" s="2" t="str">
        <f>IFERROR(__xludf.DUMMYFUNCTION("IMPORTRANGE(""https://docs.google.com/spreadsheets/d/""&amp;$A526&amp;""/edit#gid=156619080"",AQ$3)"),"")</f>
        <v/>
      </c>
      <c r="AR526" s="18">
        <f>IFERROR(__xludf.DUMMYFUNCTION("IMPORTRANGE(""https://docs.google.com/spreadsheets/d/""&amp;$A526&amp;""/edit#gid=156619080"",AR$3)"),40.0)</f>
        <v>40</v>
      </c>
      <c r="AS526" s="19" t="str">
        <f>IFERROR(__xludf.DUMMYFUNCTION("IMPORTRANGE(""https://docs.google.com/spreadsheets/d/""&amp;$A526&amp;""/edit#gid=156619080"",AS$3)"),"-100
-90
-60
-60
")</f>
        <v>-100
-90
-60
-60
</v>
      </c>
      <c r="AT526" s="18">
        <f>IFERROR(__xludf.DUMMYFUNCTION("IMPORTRANGE(""https://docs.google.com/spreadsheets/d/""&amp;$A526&amp;""/edit#gid=156619080"",AT$3)"),-88.32417582417582)</f>
        <v>-88.32417582</v>
      </c>
      <c r="AU526" s="3" t="str">
        <f>IFERROR(__xludf.DUMMYFUNCTION("IMPORTRANGE(""https://docs.google.com/spreadsheets/d/""&amp;$A526&amp;""/edit#gid=156619080"",AU$3)"),"-68.41
-67.86
-78.43
-87.23
")</f>
        <v>-68.41
-67.86
-78.43
-87.23
</v>
      </c>
      <c r="AV526" s="18">
        <f>IFERROR(__xludf.DUMMYFUNCTION("IMPORTRANGE(""https://docs.google.com/spreadsheets/d/""&amp;$A526&amp;""/edit#gid=156619080"",AV$3)"),-87.24025974025975)</f>
        <v>-87.24025974</v>
      </c>
      <c r="AW526" s="19" t="str">
        <f>IFERROR(__xludf.DUMMYFUNCTION("IMPORTRANGE(""https://docs.google.com/spreadsheets/d/""&amp;$A526&amp;""/edit#gid=156619080"",AW$3)"),"-85.94
-87.76
-88.15
-88.54
")</f>
        <v>-85.94
-87.76
-88.15
-88.54
</v>
      </c>
      <c r="AX526" s="2">
        <f>IFERROR(__xludf.DUMMYFUNCTION("IMPORTRANGE(""https://docs.google.com/spreadsheets/d/""&amp;$A526&amp;""/edit#gid=156619080"",AX$3)"),31.069999999999997)</f>
        <v>31.07</v>
      </c>
      <c r="AY526" s="2">
        <f>IFERROR(__xludf.DUMMYFUNCTION("IMPORTRANGE(""https://docs.google.com/spreadsheets/d/""&amp;$A526&amp;""/edit#gid=156619080"",AY$3)"),18.94)</f>
        <v>18.94</v>
      </c>
      <c r="AZ526" s="2">
        <f>IFERROR(__xludf.DUMMYFUNCTION("IMPORTRANGE(""https://docs.google.com/spreadsheets/d/""&amp;$A526&amp;""/edit#gid=156619080"",AZ$3)"),1701.06)</f>
        <v>1701.06</v>
      </c>
      <c r="BA526" s="2">
        <f>IFERROR(__xludf.DUMMYFUNCTION("IMPORTRANGE(""https://docs.google.com/spreadsheets/d/""&amp;$A526&amp;""/edit#gid=156619080"",BA$3)"),-90.17000000000007)</f>
        <v>-90.17</v>
      </c>
      <c r="BB526" s="2">
        <f>IFERROR(__xludf.DUMMYFUNCTION("IMPORTRANGE(""https://docs.google.com/spreadsheets/d/""&amp;$A526&amp;""/edit#gid=156619080"",BB$3)"),-57.33)</f>
        <v>-57.33</v>
      </c>
      <c r="BC526" s="2" t="str">
        <f>IFERROR(__xludf.DUMMYFUNCTION("IMPORTRANGE(""https://docs.google.com/spreadsheets/d/""&amp;$A526&amp;""/edit#gid=156619080"",BC$3)"),"DC→DC")</f>
        <v>DC→DC</v>
      </c>
    </row>
    <row r="527" ht="51.0" customHeight="1">
      <c r="A527" s="7" t="str">
        <f t="shared" si="5"/>
        <v>1jguepO0xLpBlIoCmqUC8JFIE6wJKa8apNdyIN0moH7s</v>
      </c>
      <c r="B527" s="1" t="s">
        <v>554</v>
      </c>
      <c r="C527" s="2">
        <f>IFERROR(__xludf.DUMMYFUNCTION("IMPORTRANGE(""https://docs.google.com/spreadsheets/d/""&amp;$A527&amp;""/edit#gid=156619080"",C$3)"),45.0)</f>
        <v>45</v>
      </c>
      <c r="D527" s="2">
        <f>IFERROR(__xludf.DUMMYFUNCTION("IMPORTRANGE(""https://docs.google.com/spreadsheets/d/""&amp;$A527&amp;""/edit#gid=156619080"",D$3)"),5933.0)</f>
        <v>5933</v>
      </c>
      <c r="E527" s="15">
        <f>IFERROR(__xludf.DUMMYFUNCTION("IMPORTRANGE(""https://docs.google.com/spreadsheets/d/""&amp;$A527&amp;""/edit#gid=156619080"",E$3)"),43882.0)</f>
        <v>43882</v>
      </c>
      <c r="F527" s="2">
        <f>IFERROR(__xludf.DUMMYFUNCTION("IMPORTRANGE(""https://docs.google.com/spreadsheets/d/""&amp;$A527&amp;""/edit#gid=156619080"",F$3)"),-16.0)</f>
        <v>-16</v>
      </c>
      <c r="G527" s="16">
        <f>IFERROR(__xludf.DUMMYFUNCTION("IMPORTRANGE(""https://docs.google.com/spreadsheets/d/""&amp;$A527&amp;""/edit#gid=156619080"",G$3)"),-1.47)</f>
        <v>-1.47</v>
      </c>
      <c r="H527" s="16">
        <f>IFERROR(__xludf.DUMMYFUNCTION("IMPORTRANGE(""https://docs.google.com/spreadsheets/d/""&amp;$A527&amp;""/edit#gid=156619080"",H$3)"),1082.0)</f>
        <v>1082</v>
      </c>
      <c r="I527" s="16">
        <f>IFERROR(__xludf.DUMMYFUNCTION("IMPORTRANGE(""https://docs.google.com/spreadsheets/d/""&amp;$A527&amp;""/edit#gid=156619080"",I$3)"),9.0)</f>
        <v>9</v>
      </c>
      <c r="J527" s="16">
        <f>IFERROR(__xludf.DUMMYFUNCTION("IMPORTRANGE(""https://docs.google.com/spreadsheets/d/""&amp;$A527&amp;""/edit#gid=156619080"",J$3)"),1092.0)</f>
        <v>1092</v>
      </c>
      <c r="K527" s="16">
        <f>IFERROR(__xludf.DUMMYFUNCTION("IMPORTRANGE(""https://docs.google.com/spreadsheets/d/""&amp;$A527&amp;""/edit#gid=156619080"",K$3)"),0.3861111111111111)</f>
        <v>0.3861111111</v>
      </c>
      <c r="L527" s="16">
        <f>IFERROR(__xludf.DUMMYFUNCTION("IMPORTRANGE(""https://docs.google.com/spreadsheets/d/""&amp;$A527&amp;""/edit#gid=156619080"",L$3)"),1073.0)</f>
        <v>1073</v>
      </c>
      <c r="M527" s="16">
        <f>IFERROR(__xludf.DUMMYFUNCTION("IMPORTRANGE(""https://docs.google.com/spreadsheets/d/""&amp;$A527&amp;""/edit#gid=156619080"",M$3)"),0.6104166666666667)</f>
        <v>0.6104166667</v>
      </c>
      <c r="N527" s="16">
        <f>IFERROR(__xludf.DUMMYFUNCTION("IMPORTRANGE(""https://docs.google.com/spreadsheets/d/""&amp;$A527&amp;""/edit#gid=156619080"",N$3)"),1075.0)</f>
        <v>1075</v>
      </c>
      <c r="O527" s="16" t="str">
        <f>IFERROR(__xludf.DUMMYFUNCTION("IMPORTRANGE(""https://docs.google.com/spreadsheets/d/""&amp;$A527&amp;""/edit#gid=156619080"",O$3)"),"32500株")</f>
        <v>32500株</v>
      </c>
      <c r="P527" s="16" t="str">
        <f>IFERROR(__xludf.DUMMYFUNCTION("IMPORTRANGE(""https://docs.google.com/spreadsheets/d/""&amp;$A527&amp;""/edit#gid=156619080"",P$3)"),"35百万円")</f>
        <v>35百万円</v>
      </c>
      <c r="Q527" s="16" t="str">
        <f>IFERROR(__xludf.DUMMYFUNCTION("IMPORTRANGE(""https://docs.google.com/spreadsheets/d/""&amp;$A527&amp;""/edit#gid=156619080"",Q$3)"),"169回")</f>
        <v>169回</v>
      </c>
      <c r="R527" s="16" t="str">
        <f>IFERROR(__xludf.DUMMYFUNCTION("IMPORTRANGE(""https://docs.google.com/spreadsheets/d/""&amp;$A527&amp;""/edit#gid=156619080"",R$3)"),"226億円")</f>
        <v>226億円</v>
      </c>
      <c r="S527" s="16" t="str">
        <f>IFERROR(__xludf.DUMMYFUNCTION("IMPORTRANGE(""https://docs.google.com/spreadsheets/d/""&amp;$A527&amp;""/edit#gid=156619080"",S$3)"),"陰線")</f>
        <v>陰線</v>
      </c>
      <c r="T527" s="16" t="str">
        <f>IFERROR(__xludf.DUMMYFUNCTION("IMPORTRANGE(""https://docs.google.com/spreadsheets/d/""&amp;$A527&amp;""/edit#gid=156619080"",T$3)"),"")</f>
        <v/>
      </c>
      <c r="U527" s="16">
        <f>IFERROR(__xludf.DUMMYFUNCTION("IMPORTRANGE(""https://docs.google.com/spreadsheets/d/""&amp;$A527&amp;""/edit#gid=156619080"",U$3)"),1098.6)</f>
        <v>1098.6</v>
      </c>
      <c r="V527" s="16">
        <f>IFERROR(__xludf.DUMMYFUNCTION("IMPORTRANGE(""https://docs.google.com/spreadsheets/d/""&amp;$A527&amp;""/edit#gid=156619080"",V$3)"),1141.2)</f>
        <v>1141.2</v>
      </c>
      <c r="W527" s="16">
        <f>IFERROR(__xludf.DUMMYFUNCTION("IMPORTRANGE(""https://docs.google.com/spreadsheets/d/""&amp;$A527&amp;""/edit#gid=156619080"",W$3)"),1169.2)</f>
        <v>1169.2</v>
      </c>
      <c r="X527" s="2" t="str">
        <f>IFERROR(__xludf.DUMMYFUNCTION("IMPORTRANGE(""https://docs.google.com/spreadsheets/d/""&amp;$A527&amp;""/edit#gid=156619080"",X$3)"),"")</f>
        <v/>
      </c>
      <c r="Y527" s="17">
        <f>IFERROR(__xludf.DUMMYFUNCTION("IMPORTRANGE(""https://docs.google.com/spreadsheets/d/""&amp;$A527&amp;""/edit#gid=156619080"",Y$3)"),-0.021481886036773996)</f>
        <v>-0.02148188604</v>
      </c>
      <c r="Z527" s="2">
        <f>IFERROR(__xludf.DUMMYFUNCTION("IMPORTRANGE(""https://docs.google.com/spreadsheets/d/""&amp;$A527&amp;""/edit#gid=156619080"",Z$3)"),1265.02)</f>
        <v>1265.02</v>
      </c>
      <c r="AA527" s="2">
        <f>IFERROR(__xludf.DUMMYFUNCTION("IMPORTRANGE(""https://docs.google.com/spreadsheets/d/""&amp;$A527&amp;""/edit#gid=156619080"",AA$3)"),1253.04)</f>
        <v>1253.04</v>
      </c>
      <c r="AB527" s="2">
        <f>IFERROR(__xludf.DUMMYFUNCTION("IMPORTRANGE(""https://docs.google.com/spreadsheets/d/""&amp;$A527&amp;""/edit#gid=156619080"",AB$3)"),1241.06)</f>
        <v>1241.06</v>
      </c>
      <c r="AC527" s="18">
        <f>IFERROR(__xludf.DUMMYFUNCTION("IMPORTRANGE(""https://docs.google.com/spreadsheets/d/""&amp;$A527&amp;""/edit#gid=156619080"",AC$3)"),1229.08)</f>
        <v>1229.08</v>
      </c>
      <c r="AD527" s="18">
        <f>IFERROR(__xludf.DUMMYFUNCTION("IMPORTRANGE(""https://docs.google.com/spreadsheets/d/""&amp;$A527&amp;""/edit#gid=156619080"",AD$3)"),1217.11)</f>
        <v>1217.11</v>
      </c>
      <c r="AE527" s="18">
        <f>IFERROR(__xludf.DUMMYFUNCTION("IMPORTRANGE(""https://docs.google.com/spreadsheets/d/""&amp;$A527&amp;""/edit#gid=156619080"",AE$3)"),1169.2)</f>
        <v>1169.2</v>
      </c>
      <c r="AF527" s="2">
        <f>IFERROR(__xludf.DUMMYFUNCTION("IMPORTRANGE(""https://docs.google.com/spreadsheets/d/""&amp;$A527&amp;""/edit#gid=156619080"",AF$3)"),1121.29)</f>
        <v>1121.29</v>
      </c>
      <c r="AG527" s="2">
        <f>IFERROR(__xludf.DUMMYFUNCTION("IMPORTRANGE(""https://docs.google.com/spreadsheets/d/""&amp;$A527&amp;""/edit#gid=156619080"",AG$3)"),1109.32)</f>
        <v>1109.32</v>
      </c>
      <c r="AH527" s="2">
        <f>IFERROR(__xludf.DUMMYFUNCTION("IMPORTRANGE(""https://docs.google.com/spreadsheets/d/""&amp;$A527&amp;""/edit#gid=156619080"",AH$3)"),1097.34)</f>
        <v>1097.34</v>
      </c>
      <c r="AI527" s="2">
        <f>IFERROR(__xludf.DUMMYFUNCTION("IMPORTRANGE(""https://docs.google.com/spreadsheets/d/""&amp;$A527&amp;""/edit#gid=156619080"",AI$3)"),1085.36)</f>
        <v>1085.36</v>
      </c>
      <c r="AJ527" s="2">
        <f>IFERROR(__xludf.DUMMYFUNCTION("IMPORTRANGE(""https://docs.google.com/spreadsheets/d/""&amp;$A527&amp;""/edit#gid=156619080"",AJ$3)"),1073.38)</f>
        <v>1073.38</v>
      </c>
      <c r="AK527" s="2" t="str">
        <f>IFERROR(__xludf.DUMMYFUNCTION("IMPORTRANGE(""https://docs.google.com/spreadsheets/d/""&amp;$A527&amp;""/edit#gid=156619080"",AK$3)"),"-1.75σ〜-2σ")</f>
        <v>-1.75σ〜-2σ</v>
      </c>
      <c r="AL527" s="2">
        <f>IFERROR(__xludf.DUMMYFUNCTION("IMPORTRANGE(""https://docs.google.com/spreadsheets/d/""&amp;$A527&amp;""/edit#gid=156619080"",AL$3)"),-1.0)</f>
        <v>-1</v>
      </c>
      <c r="AM527" s="2" t="str">
        <f>IFERROR(__xludf.DUMMYFUNCTION("IMPORTRANGE(""https://docs.google.com/spreadsheets/d/""&amp;$A527&amp;""/edit#gid=156619080"",AM$3)"),"")</f>
        <v/>
      </c>
      <c r="AN527" s="2">
        <f>IFERROR(__xludf.DUMMYFUNCTION("IMPORTRANGE(""https://docs.google.com/spreadsheets/d/""&amp;$A527&amp;""/edit#gid=156619080"",AN$3)"),-1.0)</f>
        <v>-1</v>
      </c>
      <c r="AO527" s="2" t="str">
        <f>IFERROR(__xludf.DUMMYFUNCTION("IMPORTRANGE(""https://docs.google.com/spreadsheets/d/""&amp;$A527&amp;""/edit#gid=156619080"",AO$3)"),"")</f>
        <v/>
      </c>
      <c r="AP527" s="2">
        <f>IFERROR(__xludf.DUMMYFUNCTION("IMPORTRANGE(""https://docs.google.com/spreadsheets/d/""&amp;$A527&amp;""/edit#gid=156619080"",AP$3)"),-1.0)</f>
        <v>-1</v>
      </c>
      <c r="AQ527" s="2" t="str">
        <f>IFERROR(__xludf.DUMMYFUNCTION("IMPORTRANGE(""https://docs.google.com/spreadsheets/d/""&amp;$A527&amp;""/edit#gid=156619080"",AQ$3)"),"")</f>
        <v/>
      </c>
      <c r="AR527" s="18">
        <f>IFERROR(__xludf.DUMMYFUNCTION("IMPORTRANGE(""https://docs.google.com/spreadsheets/d/""&amp;$A527&amp;""/edit#gid=156619080"",AR$3)"),-100.0)</f>
        <v>-100</v>
      </c>
      <c r="AS527" s="19" t="str">
        <f>IFERROR(__xludf.DUMMYFUNCTION("IMPORTRANGE(""https://docs.google.com/spreadsheets/d/""&amp;$A527&amp;""/edit#gid=156619080"",AS$3)"),"-100
-100
-100
-100
")</f>
        <v>-100
-100
-100
-100
</v>
      </c>
      <c r="AT527" s="18">
        <f>IFERROR(__xludf.DUMMYFUNCTION("IMPORTRANGE(""https://docs.google.com/spreadsheets/d/""&amp;$A527&amp;""/edit#gid=156619080"",AT$3)"),-96.15384615384615)</f>
        <v>-96.15384615</v>
      </c>
      <c r="AU527" s="3" t="str">
        <f>IFERROR(__xludf.DUMMYFUNCTION("IMPORTRANGE(""https://docs.google.com/spreadsheets/d/""&amp;$A527&amp;""/edit#gid=156619080"",AU$3)"),"-90.11
-90.11
-94.51
-94.51
")</f>
        <v>-90.11
-90.11
-94.51
-94.51
</v>
      </c>
      <c r="AV527" s="18">
        <f>IFERROR(__xludf.DUMMYFUNCTION("IMPORTRANGE(""https://docs.google.com/spreadsheets/d/""&amp;$A527&amp;""/edit#gid=156619080"",AV$3)"),-97.27272727272727)</f>
        <v>-97.27272727</v>
      </c>
      <c r="AW527" s="19" t="str">
        <f>IFERROR(__xludf.DUMMYFUNCTION("IMPORTRANGE(""https://docs.google.com/spreadsheets/d/""&amp;$A527&amp;""/edit#gid=156619080"",AW$3)"),"-96.1
-96.88
-97.27
-97.27
")</f>
        <v>-96.1
-96.88
-97.27
-97.27
</v>
      </c>
      <c r="AX527" s="2">
        <f>IFERROR(__xludf.DUMMYFUNCTION("IMPORTRANGE(""https://docs.google.com/spreadsheets/d/""&amp;$A527&amp;""/edit#gid=156619080"",AX$3)"),0.0)</f>
        <v>0</v>
      </c>
      <c r="AY527" s="2">
        <f>IFERROR(__xludf.DUMMYFUNCTION("IMPORTRANGE(""https://docs.google.com/spreadsheets/d/""&amp;$A527&amp;""/edit#gid=156619080"",AY$3)"),15.68)</f>
        <v>15.68</v>
      </c>
      <c r="AZ527" s="2">
        <f>IFERROR(__xludf.DUMMYFUNCTION("IMPORTRANGE(""https://docs.google.com/spreadsheets/d/""&amp;$A527&amp;""/edit#gid=156619080"",AZ$3)"),1099.49)</f>
        <v>1099.49</v>
      </c>
      <c r="BA527" s="2">
        <f>IFERROR(__xludf.DUMMYFUNCTION("IMPORTRANGE(""https://docs.google.com/spreadsheets/d/""&amp;$A527&amp;""/edit#gid=156619080"",BA$3)"),-62.22000000000003)</f>
        <v>-62.22</v>
      </c>
      <c r="BB527" s="2">
        <f>IFERROR(__xludf.DUMMYFUNCTION("IMPORTRANGE(""https://docs.google.com/spreadsheets/d/""&amp;$A527&amp;""/edit#gid=156619080"",BB$3)"),-47.52)</f>
        <v>-47.52</v>
      </c>
      <c r="BC527" s="2" t="str">
        <f>IFERROR(__xludf.DUMMYFUNCTION("IMPORTRANGE(""https://docs.google.com/spreadsheets/d/""&amp;$A527&amp;""/edit#gid=156619080"",BC$3)"),"DC→DC")</f>
        <v>DC→DC</v>
      </c>
    </row>
    <row r="528" ht="51.0" customHeight="1">
      <c r="A528" s="7" t="str">
        <f t="shared" si="5"/>
        <v>18RC7pf4AXbrDKTNJ0gccJYRhpdI3qmL9xHXATdGkRVU</v>
      </c>
      <c r="B528" s="1" t="s">
        <v>555</v>
      </c>
      <c r="C528" s="2">
        <f>IFERROR(__xludf.DUMMYFUNCTION("IMPORTRANGE(""https://docs.google.com/spreadsheets/d/""&amp;$A528&amp;""/edit#gid=156619080"",C$3)"),45.0)</f>
        <v>45</v>
      </c>
      <c r="D528" s="2">
        <f>IFERROR(__xludf.DUMMYFUNCTION("IMPORTRANGE(""https://docs.google.com/spreadsheets/d/""&amp;$A528&amp;""/edit#gid=156619080"",D$3)"),6282.0)</f>
        <v>6282</v>
      </c>
      <c r="E528" s="15">
        <f>IFERROR(__xludf.DUMMYFUNCTION("IMPORTRANGE(""https://docs.google.com/spreadsheets/d/""&amp;$A528&amp;""/edit#gid=156619080"",E$3)"),43882.0)</f>
        <v>43882</v>
      </c>
      <c r="F528" s="2">
        <f>IFERROR(__xludf.DUMMYFUNCTION("IMPORTRANGE(""https://docs.google.com/spreadsheets/d/""&amp;$A528&amp;""/edit#gid=156619080"",F$3)"),-15.0)</f>
        <v>-15</v>
      </c>
      <c r="G528" s="16">
        <f>IFERROR(__xludf.DUMMYFUNCTION("IMPORTRANGE(""https://docs.google.com/spreadsheets/d/""&amp;$A528&amp;""/edit#gid=156619080"",G$3)"),-0.97)</f>
        <v>-0.97</v>
      </c>
      <c r="H528" s="16">
        <f>IFERROR(__xludf.DUMMYFUNCTION("IMPORTRANGE(""https://docs.google.com/spreadsheets/d/""&amp;$A528&amp;""/edit#gid=156619080"",H$3)"),1531.0)</f>
        <v>1531</v>
      </c>
      <c r="I528" s="16">
        <f>IFERROR(__xludf.DUMMYFUNCTION("IMPORTRANGE(""https://docs.google.com/spreadsheets/d/""&amp;$A528&amp;""/edit#gid=156619080"",I$3)"),13.0)</f>
        <v>13</v>
      </c>
      <c r="J528" s="16">
        <f>IFERROR(__xludf.DUMMYFUNCTION("IMPORTRANGE(""https://docs.google.com/spreadsheets/d/""&amp;$A528&amp;""/edit#gid=156619080"",J$3)"),1535.0)</f>
        <v>1535</v>
      </c>
      <c r="K528" s="16">
        <f>IFERROR(__xludf.DUMMYFUNCTION("IMPORTRANGE(""https://docs.google.com/spreadsheets/d/""&amp;$A528&amp;""/edit#gid=156619080"",K$3)"),0.375)</f>
        <v>0.375</v>
      </c>
      <c r="L528" s="16">
        <f>IFERROR(__xludf.DUMMYFUNCTION("IMPORTRANGE(""https://docs.google.com/spreadsheets/d/""&amp;$A528&amp;""/edit#gid=156619080"",L$3)"),1525.0)</f>
        <v>1525</v>
      </c>
      <c r="M528" s="16">
        <f>IFERROR(__xludf.DUMMYFUNCTION("IMPORTRANGE(""https://docs.google.com/spreadsheets/d/""&amp;$A528&amp;""/edit#gid=156619080"",M$3)"),0.5256944444444445)</f>
        <v>0.5256944444</v>
      </c>
      <c r="N528" s="16">
        <f>IFERROR(__xludf.DUMMYFUNCTION("IMPORTRANGE(""https://docs.google.com/spreadsheets/d/""&amp;$A528&amp;""/edit#gid=156619080"",N$3)"),1529.0)</f>
        <v>1529</v>
      </c>
      <c r="O528" s="16" t="str">
        <f>IFERROR(__xludf.DUMMYFUNCTION("IMPORTRANGE(""https://docs.google.com/spreadsheets/d/""&amp;$A528&amp;""/edit#gid=156619080"",O$3)"),"103700株")</f>
        <v>103700株</v>
      </c>
      <c r="P528" s="16" t="str">
        <f>IFERROR(__xludf.DUMMYFUNCTION("IMPORTRANGE(""https://docs.google.com/spreadsheets/d/""&amp;$A528&amp;""/edit#gid=156619080"",P$3)"),"159百万円")</f>
        <v>159百万円</v>
      </c>
      <c r="Q528" s="16" t="str">
        <f>IFERROR(__xludf.DUMMYFUNCTION("IMPORTRANGE(""https://docs.google.com/spreadsheets/d/""&amp;$A528&amp;""/edit#gid=156619080"",Q$3)"),"275回")</f>
        <v>275回</v>
      </c>
      <c r="R528" s="16" t="str">
        <f>IFERROR(__xludf.DUMMYFUNCTION("IMPORTRANGE(""https://docs.google.com/spreadsheets/d/""&amp;$A528&amp;""/edit#gid=156619080"",R$3)"),"524億円")</f>
        <v>524億円</v>
      </c>
      <c r="S528" s="16" t="str">
        <f>IFERROR(__xludf.DUMMYFUNCTION("IMPORTRANGE(""https://docs.google.com/spreadsheets/d/""&amp;$A528&amp;""/edit#gid=156619080"",S$3)"),"陰線")</f>
        <v>陰線</v>
      </c>
      <c r="T528" s="16" t="str">
        <f>IFERROR(__xludf.DUMMYFUNCTION("IMPORTRANGE(""https://docs.google.com/spreadsheets/d/""&amp;$A528&amp;""/edit#gid=156619080"",T$3)"),"")</f>
        <v/>
      </c>
      <c r="U528" s="16">
        <f>IFERROR(__xludf.DUMMYFUNCTION("IMPORTRANGE(""https://docs.google.com/spreadsheets/d/""&amp;$A528&amp;""/edit#gid=156619080"",U$3)"),1542.0)</f>
        <v>1542</v>
      </c>
      <c r="V528" s="16">
        <f>IFERROR(__xludf.DUMMYFUNCTION("IMPORTRANGE(""https://docs.google.com/spreadsheets/d/""&amp;$A528&amp;""/edit#gid=156619080"",V$3)"),1568.8)</f>
        <v>1568.8</v>
      </c>
      <c r="W528" s="16">
        <f>IFERROR(__xludf.DUMMYFUNCTION("IMPORTRANGE(""https://docs.google.com/spreadsheets/d/""&amp;$A528&amp;""/edit#gid=156619080"",W$3)"),1568.6)</f>
        <v>1568.6</v>
      </c>
      <c r="X528" s="2" t="str">
        <f>IFERROR(__xludf.DUMMYFUNCTION("IMPORTRANGE(""https://docs.google.com/spreadsheets/d/""&amp;$A528&amp;""/edit#gid=156619080"",X$3)"),"")</f>
        <v/>
      </c>
      <c r="Y528" s="17">
        <f>IFERROR(__xludf.DUMMYFUNCTION("IMPORTRANGE(""https://docs.google.com/spreadsheets/d/""&amp;$A528&amp;""/edit#gid=156619080"",Y$3)"),-0.008430609597924773)</f>
        <v>-0.008430609598</v>
      </c>
      <c r="Z528" s="2">
        <f>IFERROR(__xludf.DUMMYFUNCTION("IMPORTRANGE(""https://docs.google.com/spreadsheets/d/""&amp;$A528&amp;""/edit#gid=156619080"",Z$3)"),1629.79)</f>
        <v>1629.79</v>
      </c>
      <c r="AA528" s="2">
        <f>IFERROR(__xludf.DUMMYFUNCTION("IMPORTRANGE(""https://docs.google.com/spreadsheets/d/""&amp;$A528&amp;""/edit#gid=156619080"",AA$3)"),1622.14)</f>
        <v>1622.14</v>
      </c>
      <c r="AB528" s="2">
        <f>IFERROR(__xludf.DUMMYFUNCTION("IMPORTRANGE(""https://docs.google.com/spreadsheets/d/""&amp;$A528&amp;""/edit#gid=156619080"",AB$3)"),1614.49)</f>
        <v>1614.49</v>
      </c>
      <c r="AC528" s="18">
        <f>IFERROR(__xludf.DUMMYFUNCTION("IMPORTRANGE(""https://docs.google.com/spreadsheets/d/""&amp;$A528&amp;""/edit#gid=156619080"",AC$3)"),1606.85)</f>
        <v>1606.85</v>
      </c>
      <c r="AD528" s="18">
        <f>IFERROR(__xludf.DUMMYFUNCTION("IMPORTRANGE(""https://docs.google.com/spreadsheets/d/""&amp;$A528&amp;""/edit#gid=156619080"",AD$3)"),1599.2)</f>
        <v>1599.2</v>
      </c>
      <c r="AE528" s="18">
        <f>IFERROR(__xludf.DUMMYFUNCTION("IMPORTRANGE(""https://docs.google.com/spreadsheets/d/""&amp;$A528&amp;""/edit#gid=156619080"",AE$3)"),1568.6)</f>
        <v>1568.6</v>
      </c>
      <c r="AF528" s="2">
        <f>IFERROR(__xludf.DUMMYFUNCTION("IMPORTRANGE(""https://docs.google.com/spreadsheets/d/""&amp;$A528&amp;""/edit#gid=156619080"",AF$3)"),1538.0)</f>
        <v>1538</v>
      </c>
      <c r="AG528" s="2">
        <f>IFERROR(__xludf.DUMMYFUNCTION("IMPORTRANGE(""https://docs.google.com/spreadsheets/d/""&amp;$A528&amp;""/edit#gid=156619080"",AG$3)"),1530.35)</f>
        <v>1530.35</v>
      </c>
      <c r="AH528" s="2">
        <f>IFERROR(__xludf.DUMMYFUNCTION("IMPORTRANGE(""https://docs.google.com/spreadsheets/d/""&amp;$A528&amp;""/edit#gid=156619080"",AH$3)"),1522.71)</f>
        <v>1522.71</v>
      </c>
      <c r="AI528" s="2">
        <f>IFERROR(__xludf.DUMMYFUNCTION("IMPORTRANGE(""https://docs.google.com/spreadsheets/d/""&amp;$A528&amp;""/edit#gid=156619080"",AI$3)"),1515.06)</f>
        <v>1515.06</v>
      </c>
      <c r="AJ528" s="2">
        <f>IFERROR(__xludf.DUMMYFUNCTION("IMPORTRANGE(""https://docs.google.com/spreadsheets/d/""&amp;$A528&amp;""/edit#gid=156619080"",AJ$3)"),1507.41)</f>
        <v>1507.41</v>
      </c>
      <c r="AK528" s="2" t="str">
        <f>IFERROR(__xludf.DUMMYFUNCTION("IMPORTRANGE(""https://docs.google.com/spreadsheets/d/""&amp;$A528&amp;""/edit#gid=156619080"",AK$3)"),"-1.25σ〜-1.5σ")</f>
        <v>-1.25σ〜-1.5σ</v>
      </c>
      <c r="AL528" s="2">
        <f>IFERROR(__xludf.DUMMYFUNCTION("IMPORTRANGE(""https://docs.google.com/spreadsheets/d/""&amp;$A528&amp;""/edit#gid=156619080"",AL$3)"),-1.0)</f>
        <v>-1</v>
      </c>
      <c r="AM528" s="2" t="str">
        <f>IFERROR(__xludf.DUMMYFUNCTION("IMPORTRANGE(""https://docs.google.com/spreadsheets/d/""&amp;$A528&amp;""/edit#gid=156619080"",AM$3)"),"")</f>
        <v/>
      </c>
      <c r="AN528" s="2">
        <f>IFERROR(__xludf.DUMMYFUNCTION("IMPORTRANGE(""https://docs.google.com/spreadsheets/d/""&amp;$A528&amp;""/edit#gid=156619080"",AN$3)"),-1.0)</f>
        <v>-1</v>
      </c>
      <c r="AO528" s="2" t="str">
        <f>IFERROR(__xludf.DUMMYFUNCTION("IMPORTRANGE(""https://docs.google.com/spreadsheets/d/""&amp;$A528&amp;""/edit#gid=156619080"",AO$3)"),"")</f>
        <v/>
      </c>
      <c r="AP528" s="2">
        <f>IFERROR(__xludf.DUMMYFUNCTION("IMPORTRANGE(""https://docs.google.com/spreadsheets/d/""&amp;$A528&amp;""/edit#gid=156619080"",AP$3)"),1.0)</f>
        <v>1</v>
      </c>
      <c r="AQ528" s="2" t="str">
        <f>IFERROR(__xludf.DUMMYFUNCTION("IMPORTRANGE(""https://docs.google.com/spreadsheets/d/""&amp;$A528&amp;""/edit#gid=156619080"",AQ$3)"),"ws3")</f>
        <v>ws3</v>
      </c>
      <c r="AR528" s="18">
        <f>IFERROR(__xludf.DUMMYFUNCTION("IMPORTRANGE(""https://docs.google.com/spreadsheets/d/""&amp;$A528&amp;""/edit#gid=156619080"",AR$3)"),-70.0)</f>
        <v>-70</v>
      </c>
      <c r="AS528" s="19" t="str">
        <f>IFERROR(__xludf.DUMMYFUNCTION("IMPORTRANGE(""https://docs.google.com/spreadsheets/d/""&amp;$A528&amp;""/edit#gid=156619080"",AS$3)"),"-100
-100
-100
-70
")</f>
        <v>-100
-100
-100
-70
</v>
      </c>
      <c r="AT528" s="18">
        <f>IFERROR(__xludf.DUMMYFUNCTION("IMPORTRANGE(""https://docs.google.com/spreadsheets/d/""&amp;$A528&amp;""/edit#gid=156619080"",AT$3)"),-43.81868131868132)</f>
        <v>-43.81868132</v>
      </c>
      <c r="AU528" s="3" t="str">
        <f>IFERROR(__xludf.DUMMYFUNCTION("IMPORTRANGE(""https://docs.google.com/spreadsheets/d/""&amp;$A528&amp;""/edit#gid=156619080"",AU$3)"),"53.3
23.63
-1.65
-13.05
")</f>
        <v>53.3
23.63
-1.65
-13.05
</v>
      </c>
      <c r="AV528" s="18">
        <f>IFERROR(__xludf.DUMMYFUNCTION("IMPORTRANGE(""https://docs.google.com/spreadsheets/d/""&amp;$A528&amp;""/edit#gid=156619080"",AV$3)"),-34.123376623376636)</f>
        <v>-34.12337662</v>
      </c>
      <c r="AW528" s="19" t="str">
        <f>IFERROR(__xludf.DUMMYFUNCTION("IMPORTRANGE(""https://docs.google.com/spreadsheets/d/""&amp;$A528&amp;""/edit#gid=156619080"",AW$3)"),"-41.69
-41.04
-39.74
-34.12
")</f>
        <v>-41.69
-41.04
-39.74
-34.12
</v>
      </c>
      <c r="AX528" s="2">
        <f>IFERROR(__xludf.DUMMYFUNCTION("IMPORTRANGE(""https://docs.google.com/spreadsheets/d/""&amp;$A528&amp;""/edit#gid=156619080"",AX$3)"),14.93)</f>
        <v>14.93</v>
      </c>
      <c r="AY528" s="2">
        <f>IFERROR(__xludf.DUMMYFUNCTION("IMPORTRANGE(""https://docs.google.com/spreadsheets/d/""&amp;$A528&amp;""/edit#gid=156619080"",AY$3)"),34.02)</f>
        <v>34.02</v>
      </c>
      <c r="AZ528" s="2">
        <f>IFERROR(__xludf.DUMMYFUNCTION("IMPORTRANGE(""https://docs.google.com/spreadsheets/d/""&amp;$A528&amp;""/edit#gid=156619080"",AZ$3)"),1544.1)</f>
        <v>1544.1</v>
      </c>
      <c r="BA528" s="2">
        <f>IFERROR(__xludf.DUMMYFUNCTION("IMPORTRANGE(""https://docs.google.com/spreadsheets/d/""&amp;$A528&amp;""/edit#gid=156619080"",BA$3)"),-32.090000000000146)</f>
        <v>-32.09</v>
      </c>
      <c r="BB528" s="2">
        <f>IFERROR(__xludf.DUMMYFUNCTION("IMPORTRANGE(""https://docs.google.com/spreadsheets/d/""&amp;$A528&amp;""/edit#gid=156619080"",BB$3)"),-25.47)</f>
        <v>-25.47</v>
      </c>
      <c r="BC528" s="2" t="str">
        <f>IFERROR(__xludf.DUMMYFUNCTION("IMPORTRANGE(""https://docs.google.com/spreadsheets/d/""&amp;$A528&amp;""/edit#gid=156619080"",BC$3)"),"DC→DC")</f>
        <v>DC→DC</v>
      </c>
    </row>
    <row r="529" ht="51.0" customHeight="1">
      <c r="A529" s="7" t="str">
        <f t="shared" si="5"/>
        <v>1uLTmRrqm0GhGpCdpfuLg8CqYhCEc7eQfU6BvMs0Iqrc</v>
      </c>
      <c r="B529" s="1" t="s">
        <v>556</v>
      </c>
      <c r="C529" s="2">
        <f>IFERROR(__xludf.DUMMYFUNCTION("IMPORTRANGE(""https://docs.google.com/spreadsheets/d/""&amp;$A529&amp;""/edit#gid=156619080"",C$3)"),45.0)</f>
        <v>45</v>
      </c>
      <c r="D529" s="2">
        <f>IFERROR(__xludf.DUMMYFUNCTION("IMPORTRANGE(""https://docs.google.com/spreadsheets/d/""&amp;$A529&amp;""/edit#gid=156619080"",D$3)"),6289.0)</f>
        <v>6289</v>
      </c>
      <c r="E529" s="15">
        <f>IFERROR(__xludf.DUMMYFUNCTION("IMPORTRANGE(""https://docs.google.com/spreadsheets/d/""&amp;$A529&amp;""/edit#gid=156619080"",E$3)"),43882.0)</f>
        <v>43882</v>
      </c>
      <c r="F529" s="2">
        <f>IFERROR(__xludf.DUMMYFUNCTION("IMPORTRANGE(""https://docs.google.com/spreadsheets/d/""&amp;$A529&amp;""/edit#gid=156619080"",F$3)"),-100.0)</f>
        <v>-100</v>
      </c>
      <c r="G529" s="16">
        <f>IFERROR(__xludf.DUMMYFUNCTION("IMPORTRANGE(""https://docs.google.com/spreadsheets/d/""&amp;$A529&amp;""/edit#gid=156619080"",G$3)"),-2.27)</f>
        <v>-2.27</v>
      </c>
      <c r="H529" s="16">
        <f>IFERROR(__xludf.DUMMYFUNCTION("IMPORTRANGE(""https://docs.google.com/spreadsheets/d/""&amp;$A529&amp;""/edit#gid=156619080"",H$3)"),4415.0)</f>
        <v>4415</v>
      </c>
      <c r="I529" s="16">
        <f>IFERROR(__xludf.DUMMYFUNCTION("IMPORTRANGE(""https://docs.google.com/spreadsheets/d/""&amp;$A529&amp;""/edit#gid=156619080"",I$3)"),0.0)</f>
        <v>0</v>
      </c>
      <c r="J529" s="16">
        <f>IFERROR(__xludf.DUMMYFUNCTION("IMPORTRANGE(""https://docs.google.com/spreadsheets/d/""&amp;$A529&amp;""/edit#gid=156619080"",J$3)"),4460.0)</f>
        <v>4460</v>
      </c>
      <c r="K529" s="16">
        <f>IFERROR(__xludf.DUMMYFUNCTION("IMPORTRANGE(""https://docs.google.com/spreadsheets/d/""&amp;$A529&amp;""/edit#gid=156619080"",K$3)"),0.3763888888888889)</f>
        <v>0.3763888889</v>
      </c>
      <c r="L529" s="16">
        <f>IFERROR(__xludf.DUMMYFUNCTION("IMPORTRANGE(""https://docs.google.com/spreadsheets/d/""&amp;$A529&amp;""/edit#gid=156619080"",L$3)"),4295.0)</f>
        <v>4295</v>
      </c>
      <c r="M529" s="16">
        <f>IFERROR(__xludf.DUMMYFUNCTION("IMPORTRANGE(""https://docs.google.com/spreadsheets/d/""&amp;$A529&amp;""/edit#gid=156619080"",M$3)"),0.6194444444444445)</f>
        <v>0.6194444444</v>
      </c>
      <c r="N529" s="16">
        <f>IFERROR(__xludf.DUMMYFUNCTION("IMPORTRANGE(""https://docs.google.com/spreadsheets/d/""&amp;$A529&amp;""/edit#gid=156619080"",N$3)"),4315.0)</f>
        <v>4315</v>
      </c>
      <c r="O529" s="16" t="str">
        <f>IFERROR(__xludf.DUMMYFUNCTION("IMPORTRANGE(""https://docs.google.com/spreadsheets/d/""&amp;$A529&amp;""/edit#gid=156619080"",O$3)"),"223000株")</f>
        <v>223000株</v>
      </c>
      <c r="P529" s="16" t="str">
        <f>IFERROR(__xludf.DUMMYFUNCTION("IMPORTRANGE(""https://docs.google.com/spreadsheets/d/""&amp;$A529&amp;""/edit#gid=156619080"",P$3)"),"967百万円")</f>
        <v>967百万円</v>
      </c>
      <c r="Q529" s="16" t="str">
        <f>IFERROR(__xludf.DUMMYFUNCTION("IMPORTRANGE(""https://docs.google.com/spreadsheets/d/""&amp;$A529&amp;""/edit#gid=156619080"",Q$3)"),"786回")</f>
        <v>786回</v>
      </c>
      <c r="R529" s="16" t="str">
        <f>IFERROR(__xludf.DUMMYFUNCTION("IMPORTRANGE(""https://docs.google.com/spreadsheets/d/""&amp;$A529&amp;""/edit#gid=156619080"",R$3)"),"1209億円")</f>
        <v>1209億円</v>
      </c>
      <c r="S529" s="16" t="str">
        <f>IFERROR(__xludf.DUMMYFUNCTION("IMPORTRANGE(""https://docs.google.com/spreadsheets/d/""&amp;$A529&amp;""/edit#gid=156619080"",S$3)"),"陰線")</f>
        <v>陰線</v>
      </c>
      <c r="T529" s="16" t="str">
        <f>IFERROR(__xludf.DUMMYFUNCTION("IMPORTRANGE(""https://docs.google.com/spreadsheets/d/""&amp;$A529&amp;""/edit#gid=156619080"",T$3)"),"")</f>
        <v/>
      </c>
      <c r="U529" s="16">
        <f>IFERROR(__xludf.DUMMYFUNCTION("IMPORTRANGE(""https://docs.google.com/spreadsheets/d/""&amp;$A529&amp;""/edit#gid=156619080"",U$3)"),4462.0)</f>
        <v>4462</v>
      </c>
      <c r="V529" s="16">
        <f>IFERROR(__xludf.DUMMYFUNCTION("IMPORTRANGE(""https://docs.google.com/spreadsheets/d/""&amp;$A529&amp;""/edit#gid=156619080"",V$3)"),4705.4)</f>
        <v>4705.4</v>
      </c>
      <c r="W529" s="16">
        <f>IFERROR(__xludf.DUMMYFUNCTION("IMPORTRANGE(""https://docs.google.com/spreadsheets/d/""&amp;$A529&amp;""/edit#gid=156619080"",W$3)"),4739.3)</f>
        <v>4739.3</v>
      </c>
      <c r="X529" s="2" t="str">
        <f>IFERROR(__xludf.DUMMYFUNCTION("IMPORTRANGE(""https://docs.google.com/spreadsheets/d/""&amp;$A529&amp;""/edit#gid=156619080"",X$3)"),"")</f>
        <v/>
      </c>
      <c r="Y529" s="17">
        <f>IFERROR(__xludf.DUMMYFUNCTION("IMPORTRANGE(""https://docs.google.com/spreadsheets/d/""&amp;$A529&amp;""/edit#gid=156619080"",Y$3)"),-0.032944867772299415)</f>
        <v>-0.03294486777</v>
      </c>
      <c r="Z529" s="2">
        <f>IFERROR(__xludf.DUMMYFUNCTION("IMPORTRANGE(""https://docs.google.com/spreadsheets/d/""&amp;$A529&amp;""/edit#gid=156619080"",Z$3)"),5083.09)</f>
        <v>5083.09</v>
      </c>
      <c r="AA529" s="2">
        <f>IFERROR(__xludf.DUMMYFUNCTION("IMPORTRANGE(""https://docs.google.com/spreadsheets/d/""&amp;$A529&amp;""/edit#gid=156619080"",AA$3)"),5040.12)</f>
        <v>5040.12</v>
      </c>
      <c r="AB529" s="2">
        <f>IFERROR(__xludf.DUMMYFUNCTION("IMPORTRANGE(""https://docs.google.com/spreadsheets/d/""&amp;$A529&amp;""/edit#gid=156619080"",AB$3)"),4997.14)</f>
        <v>4997.14</v>
      </c>
      <c r="AC529" s="18">
        <f>IFERROR(__xludf.DUMMYFUNCTION("IMPORTRANGE(""https://docs.google.com/spreadsheets/d/""&amp;$A529&amp;""/edit#gid=156619080"",AC$3)"),4954.17)</f>
        <v>4954.17</v>
      </c>
      <c r="AD529" s="18">
        <f>IFERROR(__xludf.DUMMYFUNCTION("IMPORTRANGE(""https://docs.google.com/spreadsheets/d/""&amp;$A529&amp;""/edit#gid=156619080"",AD$3)"),4911.2)</f>
        <v>4911.2</v>
      </c>
      <c r="AE529" s="18">
        <f>IFERROR(__xludf.DUMMYFUNCTION("IMPORTRANGE(""https://docs.google.com/spreadsheets/d/""&amp;$A529&amp;""/edit#gid=156619080"",AE$3)"),4739.3)</f>
        <v>4739.3</v>
      </c>
      <c r="AF529" s="2">
        <f>IFERROR(__xludf.DUMMYFUNCTION("IMPORTRANGE(""https://docs.google.com/spreadsheets/d/""&amp;$A529&amp;""/edit#gid=156619080"",AF$3)"),4567.4)</f>
        <v>4567.4</v>
      </c>
      <c r="AG529" s="2">
        <f>IFERROR(__xludf.DUMMYFUNCTION("IMPORTRANGE(""https://docs.google.com/spreadsheets/d/""&amp;$A529&amp;""/edit#gid=156619080"",AG$3)"),4524.43)</f>
        <v>4524.43</v>
      </c>
      <c r="AH529" s="2">
        <f>IFERROR(__xludf.DUMMYFUNCTION("IMPORTRANGE(""https://docs.google.com/spreadsheets/d/""&amp;$A529&amp;""/edit#gid=156619080"",AH$3)"),4481.46)</f>
        <v>4481.46</v>
      </c>
      <c r="AI529" s="2">
        <f>IFERROR(__xludf.DUMMYFUNCTION("IMPORTRANGE(""https://docs.google.com/spreadsheets/d/""&amp;$A529&amp;""/edit#gid=156619080"",AI$3)"),4438.48)</f>
        <v>4438.48</v>
      </c>
      <c r="AJ529" s="2">
        <f>IFERROR(__xludf.DUMMYFUNCTION("IMPORTRANGE(""https://docs.google.com/spreadsheets/d/""&amp;$A529&amp;""/edit#gid=156619080"",AJ$3)"),4395.51)</f>
        <v>4395.51</v>
      </c>
      <c r="AK529" s="2" t="str">
        <f>IFERROR(__xludf.DUMMYFUNCTION("IMPORTRANGE(""https://docs.google.com/spreadsheets/d/""&amp;$A529&amp;""/edit#gid=156619080"",AK$3)"),"-2σ以下")</f>
        <v>-2σ以下</v>
      </c>
      <c r="AL529" s="2">
        <f>IFERROR(__xludf.DUMMYFUNCTION("IMPORTRANGE(""https://docs.google.com/spreadsheets/d/""&amp;$A529&amp;""/edit#gid=156619080"",AL$3)"),-1.0)</f>
        <v>-1</v>
      </c>
      <c r="AM529" s="2" t="str">
        <f>IFERROR(__xludf.DUMMYFUNCTION("IMPORTRANGE(""https://docs.google.com/spreadsheets/d/""&amp;$A529&amp;""/edit#gid=156619080"",AM$3)"),"")</f>
        <v/>
      </c>
      <c r="AN529" s="2">
        <f>IFERROR(__xludf.DUMMYFUNCTION("IMPORTRANGE(""https://docs.google.com/spreadsheets/d/""&amp;$A529&amp;""/edit#gid=156619080"",AN$3)"),-1.0)</f>
        <v>-1</v>
      </c>
      <c r="AO529" s="2" t="str">
        <f>IFERROR(__xludf.DUMMYFUNCTION("IMPORTRANGE(""https://docs.google.com/spreadsheets/d/""&amp;$A529&amp;""/edit#gid=156619080"",AO$3)"),"")</f>
        <v/>
      </c>
      <c r="AP529" s="2">
        <f>IFERROR(__xludf.DUMMYFUNCTION("IMPORTRANGE(""https://docs.google.com/spreadsheets/d/""&amp;$A529&amp;""/edit#gid=156619080"",AP$3)"),-1.0)</f>
        <v>-1</v>
      </c>
      <c r="AQ529" s="2" t="str">
        <f>IFERROR(__xludf.DUMMYFUNCTION("IMPORTRANGE(""https://docs.google.com/spreadsheets/d/""&amp;$A529&amp;""/edit#gid=156619080"",AQ$3)"),"")</f>
        <v/>
      </c>
      <c r="AR529" s="18">
        <f>IFERROR(__xludf.DUMMYFUNCTION("IMPORTRANGE(""https://docs.google.com/spreadsheets/d/""&amp;$A529&amp;""/edit#gid=156619080"",AR$3)"),-89.99999999999999)</f>
        <v>-90</v>
      </c>
      <c r="AS529" s="19" t="str">
        <f>IFERROR(__xludf.DUMMYFUNCTION("IMPORTRANGE(""https://docs.google.com/spreadsheets/d/""&amp;$A529&amp;""/edit#gid=156619080"",AS$3)"),"-70
-100
-90
-90
")</f>
        <v>-70
-100
-90
-90
</v>
      </c>
      <c r="AT529" s="18">
        <f>IFERROR(__xludf.DUMMYFUNCTION("IMPORTRANGE(""https://docs.google.com/spreadsheets/d/""&amp;$A529&amp;""/edit#gid=156619080"",AT$3)"),-89.42307692307692)</f>
        <v>-89.42307692</v>
      </c>
      <c r="AU529" s="3" t="str">
        <f>IFERROR(__xludf.DUMMYFUNCTION("IMPORTRANGE(""https://docs.google.com/spreadsheets/d/""&amp;$A529&amp;""/edit#gid=156619080"",AU$3)"),"-14.97
-35.16
-64.84
-75.27
")</f>
        <v>-14.97
-35.16
-64.84
-75.27
</v>
      </c>
      <c r="AV529" s="18">
        <f>IFERROR(__xludf.DUMMYFUNCTION("IMPORTRANGE(""https://docs.google.com/spreadsheets/d/""&amp;$A529&amp;""/edit#gid=156619080"",AV$3)"),-36.81818181818181)</f>
        <v>-36.81818182</v>
      </c>
      <c r="AW529" s="19" t="str">
        <f>IFERROR(__xludf.DUMMYFUNCTION("IMPORTRANGE(""https://docs.google.com/spreadsheets/d/""&amp;$A529&amp;""/edit#gid=156619080"",AW$3)"),"47.79
21.79
0.62
-19.25
")</f>
        <v>47.79
21.79
0.62
-19.25
</v>
      </c>
      <c r="AX529" s="2">
        <f>IFERROR(__xludf.DUMMYFUNCTION("IMPORTRANGE(""https://docs.google.com/spreadsheets/d/""&amp;$A529&amp;""/edit#gid=156619080"",AX$3)"),7.960000000000001)</f>
        <v>7.96</v>
      </c>
      <c r="AY529" s="2">
        <f>IFERROR(__xludf.DUMMYFUNCTION("IMPORTRANGE(""https://docs.google.com/spreadsheets/d/""&amp;$A529&amp;""/edit#gid=156619080"",AY$3)"),34.57)</f>
        <v>34.57</v>
      </c>
      <c r="AZ529" s="2">
        <f>IFERROR(__xludf.DUMMYFUNCTION("IMPORTRANGE(""https://docs.google.com/spreadsheets/d/""&amp;$A529&amp;""/edit#gid=156619080"",AZ$3)"),4464.87)</f>
        <v>4464.87</v>
      </c>
      <c r="BA529" s="2">
        <f>IFERROR(__xludf.DUMMYFUNCTION("IMPORTRANGE(""https://docs.google.com/spreadsheets/d/""&amp;$A529&amp;""/edit#gid=156619080"",BA$3)"),-230.48000000000047)</f>
        <v>-230.48</v>
      </c>
      <c r="BB529" s="2">
        <f>IFERROR(__xludf.DUMMYFUNCTION("IMPORTRANGE(""https://docs.google.com/spreadsheets/d/""&amp;$A529&amp;""/edit#gid=156619080"",BB$3)"),-106.05)</f>
        <v>-106.05</v>
      </c>
      <c r="BC529" s="2" t="str">
        <f>IFERROR(__xludf.DUMMYFUNCTION("IMPORTRANGE(""https://docs.google.com/spreadsheets/d/""&amp;$A529&amp;""/edit#gid=156619080"",BC$3)"),"DC→DC")</f>
        <v>DC→DC</v>
      </c>
    </row>
    <row r="530" ht="51.0" customHeight="1">
      <c r="A530" s="7" t="str">
        <f t="shared" si="5"/>
        <v>1O6eROJCpRMr54MNLRFT2_ls4n1TctsY2BsRW7NKulY0</v>
      </c>
      <c r="B530" s="1" t="s">
        <v>557</v>
      </c>
      <c r="C530" s="2">
        <f>IFERROR(__xludf.DUMMYFUNCTION("IMPORTRANGE(""https://docs.google.com/spreadsheets/d/""&amp;$A530&amp;""/edit#gid=156619080"",C$3)"),87.0)</f>
        <v>87</v>
      </c>
      <c r="D530" s="2">
        <f>IFERROR(__xludf.DUMMYFUNCTION("IMPORTRANGE(""https://docs.google.com/spreadsheets/d/""&amp;$A530&amp;""/edit#gid=156619080"",D$3)"),6358.0)</f>
        <v>6358</v>
      </c>
      <c r="E530" s="15">
        <f>IFERROR(__xludf.DUMMYFUNCTION("IMPORTRANGE(""https://docs.google.com/spreadsheets/d/""&amp;$A530&amp;""/edit#gid=156619080"",E$3)"),43882.0)</f>
        <v>43882</v>
      </c>
      <c r="F530" s="2">
        <f>IFERROR(__xludf.DUMMYFUNCTION("IMPORTRANGE(""https://docs.google.com/spreadsheets/d/""&amp;$A530&amp;""/edit#gid=156619080"",F$3)"),-57.0)</f>
        <v>-57</v>
      </c>
      <c r="G530" s="16">
        <f>IFERROR(__xludf.DUMMYFUNCTION("IMPORTRANGE(""https://docs.google.com/spreadsheets/d/""&amp;$A530&amp;""/edit#gid=156619080"",G$3)"),-2.18)</f>
        <v>-2.18</v>
      </c>
      <c r="H530" s="16">
        <f>IFERROR(__xludf.DUMMYFUNCTION("IMPORTRANGE(""https://docs.google.com/spreadsheets/d/""&amp;$A530&amp;""/edit#gid=156619080"",H$3)"),2620.0)</f>
        <v>2620</v>
      </c>
      <c r="I530" s="16">
        <f>IFERROR(__xludf.DUMMYFUNCTION("IMPORTRANGE(""https://docs.google.com/spreadsheets/d/""&amp;$A530&amp;""/edit#gid=156619080"",I$3)"),-57.0)</f>
        <v>-57</v>
      </c>
      <c r="J530" s="16">
        <f>IFERROR(__xludf.DUMMYFUNCTION("IMPORTRANGE(""https://docs.google.com/spreadsheets/d/""&amp;$A530&amp;""/edit#gid=156619080"",J$3)"),2632.0)</f>
        <v>2632</v>
      </c>
      <c r="K530" s="16">
        <f>IFERROR(__xludf.DUMMYFUNCTION("IMPORTRANGE(""https://docs.google.com/spreadsheets/d/""&amp;$A530&amp;""/edit#gid=156619080"",K$3)"),0.38263888888888886)</f>
        <v>0.3826388889</v>
      </c>
      <c r="L530" s="16">
        <f>IFERROR(__xludf.DUMMYFUNCTION("IMPORTRANGE(""https://docs.google.com/spreadsheets/d/""&amp;$A530&amp;""/edit#gid=156619080"",L$3)"),2541.0)</f>
        <v>2541</v>
      </c>
      <c r="M530" s="16">
        <f>IFERROR(__xludf.DUMMYFUNCTION("IMPORTRANGE(""https://docs.google.com/spreadsheets/d/""&amp;$A530&amp;""/edit#gid=156619080"",M$3)"),0.39652777777777776)</f>
        <v>0.3965277778</v>
      </c>
      <c r="N530" s="16">
        <f>IFERROR(__xludf.DUMMYFUNCTION("IMPORTRANGE(""https://docs.google.com/spreadsheets/d/""&amp;$A530&amp;""/edit#gid=156619080"",N$3)"),2563.0)</f>
        <v>2563</v>
      </c>
      <c r="O530" s="16" t="str">
        <f>IFERROR(__xludf.DUMMYFUNCTION("IMPORTRANGE(""https://docs.google.com/spreadsheets/d/""&amp;$A530&amp;""/edit#gid=156619080"",O$3)"),"18300株")</f>
        <v>18300株</v>
      </c>
      <c r="P530" s="16" t="str">
        <f>IFERROR(__xludf.DUMMYFUNCTION("IMPORTRANGE(""https://docs.google.com/spreadsheets/d/""&amp;$A530&amp;""/edit#gid=156619080"",P$3)"),"47百万円")</f>
        <v>47百万円</v>
      </c>
      <c r="Q530" s="16" t="str">
        <f>IFERROR(__xludf.DUMMYFUNCTION("IMPORTRANGE(""https://docs.google.com/spreadsheets/d/""&amp;$A530&amp;""/edit#gid=156619080"",Q$3)"),"128回")</f>
        <v>128回</v>
      </c>
      <c r="R530" s="16" t="str">
        <f>IFERROR(__xludf.DUMMYFUNCTION("IMPORTRANGE(""https://docs.google.com/spreadsheets/d/""&amp;$A530&amp;""/edit#gid=156619080"",R$3)"),"111億円")</f>
        <v>111億円</v>
      </c>
      <c r="S530" s="16" t="str">
        <f>IFERROR(__xludf.DUMMYFUNCTION("IMPORTRANGE(""https://docs.google.com/spreadsheets/d/""&amp;$A530&amp;""/edit#gid=156619080"",S$3)"),"陰線")</f>
        <v>陰線</v>
      </c>
      <c r="T530" s="16" t="str">
        <f>IFERROR(__xludf.DUMMYFUNCTION("IMPORTRANGE(""https://docs.google.com/spreadsheets/d/""&amp;$A530&amp;""/edit#gid=156619080"",T$3)"),"")</f>
        <v/>
      </c>
      <c r="U530" s="16">
        <f>IFERROR(__xludf.DUMMYFUNCTION("IMPORTRANGE(""https://docs.google.com/spreadsheets/d/""&amp;$A530&amp;""/edit#gid=156619080"",U$3)"),2598.2)</f>
        <v>2598.2</v>
      </c>
      <c r="V530" s="16">
        <f>IFERROR(__xludf.DUMMYFUNCTION("IMPORTRANGE(""https://docs.google.com/spreadsheets/d/""&amp;$A530&amp;""/edit#gid=156619080"",V$3)"),2630.7)</f>
        <v>2630.7</v>
      </c>
      <c r="W530" s="16">
        <f>IFERROR(__xludf.DUMMYFUNCTION("IMPORTRANGE(""https://docs.google.com/spreadsheets/d/""&amp;$A530&amp;""/edit#gid=156619080"",W$3)"),2664.2)</f>
        <v>2664.2</v>
      </c>
      <c r="X530" s="2" t="str">
        <f>IFERROR(__xludf.DUMMYFUNCTION("IMPORTRANGE(""https://docs.google.com/spreadsheets/d/""&amp;$A530&amp;""/edit#gid=156619080"",X$3)"),"")</f>
        <v/>
      </c>
      <c r="Y530" s="17">
        <f>IFERROR(__xludf.DUMMYFUNCTION("IMPORTRANGE(""https://docs.google.com/spreadsheets/d/""&amp;$A530&amp;""/edit#gid=156619080"",Y$3)"),-0.013547840812870379)</f>
        <v>-0.01354784081</v>
      </c>
      <c r="Z530" s="2">
        <f>IFERROR(__xludf.DUMMYFUNCTION("IMPORTRANGE(""https://docs.google.com/spreadsheets/d/""&amp;$A530&amp;""/edit#gid=156619080"",Z$3)"),2778.49)</f>
        <v>2778.49</v>
      </c>
      <c r="AA530" s="2">
        <f>IFERROR(__xludf.DUMMYFUNCTION("IMPORTRANGE(""https://docs.google.com/spreadsheets/d/""&amp;$A530&amp;""/edit#gid=156619080"",AA$3)"),2764.21)</f>
        <v>2764.21</v>
      </c>
      <c r="AB530" s="2">
        <f>IFERROR(__xludf.DUMMYFUNCTION("IMPORTRANGE(""https://docs.google.com/spreadsheets/d/""&amp;$A530&amp;""/edit#gid=156619080"",AB$3)"),2749.92)</f>
        <v>2749.92</v>
      </c>
      <c r="AC530" s="18">
        <f>IFERROR(__xludf.DUMMYFUNCTION("IMPORTRANGE(""https://docs.google.com/spreadsheets/d/""&amp;$A530&amp;""/edit#gid=156619080"",AC$3)"),2735.63)</f>
        <v>2735.63</v>
      </c>
      <c r="AD530" s="18">
        <f>IFERROR(__xludf.DUMMYFUNCTION("IMPORTRANGE(""https://docs.google.com/spreadsheets/d/""&amp;$A530&amp;""/edit#gid=156619080"",AD$3)"),2721.35)</f>
        <v>2721.35</v>
      </c>
      <c r="AE530" s="18">
        <f>IFERROR(__xludf.DUMMYFUNCTION("IMPORTRANGE(""https://docs.google.com/spreadsheets/d/""&amp;$A530&amp;""/edit#gid=156619080"",AE$3)"),2664.2)</f>
        <v>2664.2</v>
      </c>
      <c r="AF530" s="2">
        <f>IFERROR(__xludf.DUMMYFUNCTION("IMPORTRANGE(""https://docs.google.com/spreadsheets/d/""&amp;$A530&amp;""/edit#gid=156619080"",AF$3)"),2607.05)</f>
        <v>2607.05</v>
      </c>
      <c r="AG530" s="2">
        <f>IFERROR(__xludf.DUMMYFUNCTION("IMPORTRANGE(""https://docs.google.com/spreadsheets/d/""&amp;$A530&amp;""/edit#gid=156619080"",AG$3)"),2592.77)</f>
        <v>2592.77</v>
      </c>
      <c r="AH530" s="2">
        <f>IFERROR(__xludf.DUMMYFUNCTION("IMPORTRANGE(""https://docs.google.com/spreadsheets/d/""&amp;$A530&amp;""/edit#gid=156619080"",AH$3)"),2578.48)</f>
        <v>2578.48</v>
      </c>
      <c r="AI530" s="2">
        <f>IFERROR(__xludf.DUMMYFUNCTION("IMPORTRANGE(""https://docs.google.com/spreadsheets/d/""&amp;$A530&amp;""/edit#gid=156619080"",AI$3)"),2564.19)</f>
        <v>2564.19</v>
      </c>
      <c r="AJ530" s="2">
        <f>IFERROR(__xludf.DUMMYFUNCTION("IMPORTRANGE(""https://docs.google.com/spreadsheets/d/""&amp;$A530&amp;""/edit#gid=156619080"",AJ$3)"),2549.91)</f>
        <v>2549.91</v>
      </c>
      <c r="AK530" s="2" t="str">
        <f>IFERROR(__xludf.DUMMYFUNCTION("IMPORTRANGE(""https://docs.google.com/spreadsheets/d/""&amp;$A530&amp;""/edit#gid=156619080"",AK$3)"),"-1.75σ〜-2σ")</f>
        <v>-1.75σ〜-2σ</v>
      </c>
      <c r="AL530" s="2">
        <f>IFERROR(__xludf.DUMMYFUNCTION("IMPORTRANGE(""https://docs.google.com/spreadsheets/d/""&amp;$A530&amp;""/edit#gid=156619080"",AL$3)"),-1.0)</f>
        <v>-1</v>
      </c>
      <c r="AM530" s="2" t="str">
        <f>IFERROR(__xludf.DUMMYFUNCTION("IMPORTRANGE(""https://docs.google.com/spreadsheets/d/""&amp;$A530&amp;""/edit#gid=156619080"",AM$3)"),"")</f>
        <v/>
      </c>
      <c r="AN530" s="2">
        <f>IFERROR(__xludf.DUMMYFUNCTION("IMPORTRANGE(""https://docs.google.com/spreadsheets/d/""&amp;$A530&amp;""/edit#gid=156619080"",AN$3)"),-1.0)</f>
        <v>-1</v>
      </c>
      <c r="AO530" s="2" t="str">
        <f>IFERROR(__xludf.DUMMYFUNCTION("IMPORTRANGE(""https://docs.google.com/spreadsheets/d/""&amp;$A530&amp;""/edit#gid=156619080"",AO$3)"),"")</f>
        <v/>
      </c>
      <c r="AP530" s="2">
        <f>IFERROR(__xludf.DUMMYFUNCTION("IMPORTRANGE(""https://docs.google.com/spreadsheets/d/""&amp;$A530&amp;""/edit#gid=156619080"",AP$3)"),-1.0)</f>
        <v>-1</v>
      </c>
      <c r="AQ530" s="2" t="str">
        <f>IFERROR(__xludf.DUMMYFUNCTION("IMPORTRANGE(""https://docs.google.com/spreadsheets/d/""&amp;$A530&amp;""/edit#gid=156619080"",AQ$3)"),"")</f>
        <v/>
      </c>
      <c r="AR530" s="18">
        <f>IFERROR(__xludf.DUMMYFUNCTION("IMPORTRANGE(""https://docs.google.com/spreadsheets/d/""&amp;$A530&amp;""/edit#gid=156619080"",AR$3)"),-85.00000000000001)</f>
        <v>-85</v>
      </c>
      <c r="AS530" s="19" t="str">
        <f>IFERROR(__xludf.DUMMYFUNCTION("IMPORTRANGE(""https://docs.google.com/spreadsheets/d/""&amp;$A530&amp;""/edit#gid=156619080"",AS$3)"),"-5
65
15
-85
")</f>
        <v>-5
65
15
-85
</v>
      </c>
      <c r="AT530" s="18">
        <f>IFERROR(__xludf.DUMMYFUNCTION("IMPORTRANGE(""https://docs.google.com/spreadsheets/d/""&amp;$A530&amp;""/edit#gid=156619080"",AT$3)"),-84.34065934065933)</f>
        <v>-84.34065934</v>
      </c>
      <c r="AU530" s="3" t="str">
        <f>IFERROR(__xludf.DUMMYFUNCTION("IMPORTRANGE(""https://docs.google.com/spreadsheets/d/""&amp;$A530&amp;""/edit#gid=156619080"",AU$3)"),"-79.4
-79.4
-80.36
-84.34
")</f>
        <v>-79.4
-79.4
-80.36
-84.34
</v>
      </c>
      <c r="AV530" s="18">
        <f>IFERROR(__xludf.DUMMYFUNCTION("IMPORTRANGE(""https://docs.google.com/spreadsheets/d/""&amp;$A530&amp;""/edit#gid=156619080"",AV$3)"),-91.1038961038961)</f>
        <v>-91.1038961</v>
      </c>
      <c r="AW530" s="19" t="str">
        <f>IFERROR(__xludf.DUMMYFUNCTION("IMPORTRANGE(""https://docs.google.com/spreadsheets/d/""&amp;$A530&amp;""/edit#gid=156619080"",AW$3)"),"-70.58
-83.31
-86.69
-90.45
")</f>
        <v>-70.58
-83.31
-86.69
-90.45
</v>
      </c>
      <c r="AX530" s="2">
        <f>IFERROR(__xludf.DUMMYFUNCTION("IMPORTRANGE(""https://docs.google.com/spreadsheets/d/""&amp;$A530&amp;""/edit#gid=156619080"",AX$3)"),0.0)</f>
        <v>0</v>
      </c>
      <c r="AY530" s="2">
        <f>IFERROR(__xludf.DUMMYFUNCTION("IMPORTRANGE(""https://docs.google.com/spreadsheets/d/""&amp;$A530&amp;""/edit#gid=156619080"",AY$3)"),14.12)</f>
        <v>14.12</v>
      </c>
      <c r="AZ530" s="2">
        <f>IFERROR(__xludf.DUMMYFUNCTION("IMPORTRANGE(""https://docs.google.com/spreadsheets/d/""&amp;$A530&amp;""/edit#gid=156619080"",AZ$3)"),2590.07)</f>
        <v>2590.07</v>
      </c>
      <c r="BA530" s="2">
        <f>IFERROR(__xludf.DUMMYFUNCTION("IMPORTRANGE(""https://docs.google.com/spreadsheets/d/""&amp;$A530&amp;""/edit#gid=156619080"",BA$3)"),-54.83999999999969)</f>
        <v>-54.84</v>
      </c>
      <c r="BB530" s="2">
        <f>IFERROR(__xludf.DUMMYFUNCTION("IMPORTRANGE(""https://docs.google.com/spreadsheets/d/""&amp;$A530&amp;""/edit#gid=156619080"",BB$3)"),-36.22)</f>
        <v>-36.22</v>
      </c>
      <c r="BC530" s="2" t="str">
        <f>IFERROR(__xludf.DUMMYFUNCTION("IMPORTRANGE(""https://docs.google.com/spreadsheets/d/""&amp;$A530&amp;""/edit#gid=156619080"",BC$3)"),"DC→DC")</f>
        <v>DC→DC</v>
      </c>
    </row>
    <row r="531" ht="51.0" customHeight="1">
      <c r="A531" s="7" t="str">
        <f t="shared" si="5"/>
        <v>1mgfDdCYYP81cwpaaGJoCCs6QtF2hMnxDxOztRFxgkm0</v>
      </c>
      <c r="B531" s="1" t="s">
        <v>558</v>
      </c>
      <c r="C531" s="2">
        <f>IFERROR(__xludf.DUMMYFUNCTION("IMPORTRANGE(""https://docs.google.com/spreadsheets/d/""&amp;$A531&amp;""/edit#gid=156619080"",C$3)"),87.0)</f>
        <v>87</v>
      </c>
      <c r="D531" s="2">
        <f>IFERROR(__xludf.DUMMYFUNCTION("IMPORTRANGE(""https://docs.google.com/spreadsheets/d/""&amp;$A531&amp;""/edit#gid=156619080"",D$3)"),6395.0)</f>
        <v>6395</v>
      </c>
      <c r="E531" s="15">
        <f>IFERROR(__xludf.DUMMYFUNCTION("IMPORTRANGE(""https://docs.google.com/spreadsheets/d/""&amp;$A531&amp;""/edit#gid=156619080"",E$3)"),43882.0)</f>
        <v>43882</v>
      </c>
      <c r="F531" s="2">
        <f>IFERROR(__xludf.DUMMYFUNCTION("IMPORTRANGE(""https://docs.google.com/spreadsheets/d/""&amp;$A531&amp;""/edit#gid=156619080"",F$3)"),4.0)</f>
        <v>4</v>
      </c>
      <c r="G531" s="16">
        <f>IFERROR(__xludf.DUMMYFUNCTION("IMPORTRANGE(""https://docs.google.com/spreadsheets/d/""&amp;$A531&amp;""/edit#gid=156619080"",G$3)"),0.39)</f>
        <v>0.39</v>
      </c>
      <c r="H531" s="16">
        <f>IFERROR(__xludf.DUMMYFUNCTION("IMPORTRANGE(""https://docs.google.com/spreadsheets/d/""&amp;$A531&amp;""/edit#gid=156619080"",H$3)"),1014.0)</f>
        <v>1014</v>
      </c>
      <c r="I531" s="16">
        <f>IFERROR(__xludf.DUMMYFUNCTION("IMPORTRANGE(""https://docs.google.com/spreadsheets/d/""&amp;$A531&amp;""/edit#gid=156619080"",I$3)"),4.0)</f>
        <v>4</v>
      </c>
      <c r="J531" s="16">
        <f>IFERROR(__xludf.DUMMYFUNCTION("IMPORTRANGE(""https://docs.google.com/spreadsheets/d/""&amp;$A531&amp;""/edit#gid=156619080"",J$3)"),1024.0)</f>
        <v>1024</v>
      </c>
      <c r="K531" s="16">
        <f>IFERROR(__xludf.DUMMYFUNCTION("IMPORTRANGE(""https://docs.google.com/spreadsheets/d/""&amp;$A531&amp;""/edit#gid=156619080"",K$3)"),0.5208333333333334)</f>
        <v>0.5208333333</v>
      </c>
      <c r="L531" s="16">
        <f>IFERROR(__xludf.DUMMYFUNCTION("IMPORTRANGE(""https://docs.google.com/spreadsheets/d/""&amp;$A531&amp;""/edit#gid=156619080"",L$3)"),1012.0)</f>
        <v>1012</v>
      </c>
      <c r="M531" s="16">
        <f>IFERROR(__xludf.DUMMYFUNCTION("IMPORTRANGE(""https://docs.google.com/spreadsheets/d/""&amp;$A531&amp;""/edit#gid=156619080"",M$3)"),0.375)</f>
        <v>0.375</v>
      </c>
      <c r="N531" s="16">
        <f>IFERROR(__xludf.DUMMYFUNCTION("IMPORTRANGE(""https://docs.google.com/spreadsheets/d/""&amp;$A531&amp;""/edit#gid=156619080"",N$3)"),1018.0)</f>
        <v>1018</v>
      </c>
      <c r="O531" s="16" t="str">
        <f>IFERROR(__xludf.DUMMYFUNCTION("IMPORTRANGE(""https://docs.google.com/spreadsheets/d/""&amp;$A531&amp;""/edit#gid=156619080"",O$3)"),"438500株")</f>
        <v>438500株</v>
      </c>
      <c r="P531" s="16" t="str">
        <f>IFERROR(__xludf.DUMMYFUNCTION("IMPORTRANGE(""https://docs.google.com/spreadsheets/d/""&amp;$A531&amp;""/edit#gid=156619080"",P$3)"),"446百万円")</f>
        <v>446百万円</v>
      </c>
      <c r="Q531" s="16" t="str">
        <f>IFERROR(__xludf.DUMMYFUNCTION("IMPORTRANGE(""https://docs.google.com/spreadsheets/d/""&amp;$A531&amp;""/edit#gid=156619080"",Q$3)"),"795回")</f>
        <v>795回</v>
      </c>
      <c r="R531" s="16" t="str">
        <f>IFERROR(__xludf.DUMMYFUNCTION("IMPORTRANGE(""https://docs.google.com/spreadsheets/d/""&amp;$A531&amp;""/edit#gid=156619080"",R$3)"),"1318億円")</f>
        <v>1318億円</v>
      </c>
      <c r="S531" s="16" t="str">
        <f>IFERROR(__xludf.DUMMYFUNCTION("IMPORTRANGE(""https://docs.google.com/spreadsheets/d/""&amp;$A531&amp;""/edit#gid=156619080"",S$3)"),"陽線")</f>
        <v>陽線</v>
      </c>
      <c r="T531" s="16" t="str">
        <f>IFERROR(__xludf.DUMMYFUNCTION("IMPORTRANGE(""https://docs.google.com/spreadsheets/d/""&amp;$A531&amp;""/edit#gid=156619080"",T$3)"),"")</f>
        <v/>
      </c>
      <c r="U531" s="16">
        <f>IFERROR(__xludf.DUMMYFUNCTION("IMPORTRANGE(""https://docs.google.com/spreadsheets/d/""&amp;$A531&amp;""/edit#gid=156619080"",U$3)"),1016.6)</f>
        <v>1016.6</v>
      </c>
      <c r="V531" s="16">
        <f>IFERROR(__xludf.DUMMYFUNCTION("IMPORTRANGE(""https://docs.google.com/spreadsheets/d/""&amp;$A531&amp;""/edit#gid=156619080"",V$3)"),1042.6)</f>
        <v>1042.6</v>
      </c>
      <c r="W531" s="16">
        <f>IFERROR(__xludf.DUMMYFUNCTION("IMPORTRANGE(""https://docs.google.com/spreadsheets/d/""&amp;$A531&amp;""/edit#gid=156619080"",W$3)"),1052.0)</f>
        <v>1052</v>
      </c>
      <c r="X531" s="2" t="str">
        <f>IFERROR(__xludf.DUMMYFUNCTION("IMPORTRANGE(""https://docs.google.com/spreadsheets/d/""&amp;$A531&amp;""/edit#gid=156619080"",X$3)"),"")</f>
        <v/>
      </c>
      <c r="Y531" s="17">
        <f>IFERROR(__xludf.DUMMYFUNCTION("IMPORTRANGE(""https://docs.google.com/spreadsheets/d/""&amp;$A531&amp;""/edit#gid=156619080"",Y$3)"),0.001377139484556342)</f>
        <v>0.001377139485</v>
      </c>
      <c r="Z531" s="2">
        <f>IFERROR(__xludf.DUMMYFUNCTION("IMPORTRANGE(""https://docs.google.com/spreadsheets/d/""&amp;$A531&amp;""/edit#gid=156619080"",Z$3)"),1099.87)</f>
        <v>1099.87</v>
      </c>
      <c r="AA531" s="2">
        <f>IFERROR(__xludf.DUMMYFUNCTION("IMPORTRANGE(""https://docs.google.com/spreadsheets/d/""&amp;$A531&amp;""/edit#gid=156619080"",AA$3)"),1093.89)</f>
        <v>1093.89</v>
      </c>
      <c r="AB531" s="2">
        <f>IFERROR(__xludf.DUMMYFUNCTION("IMPORTRANGE(""https://docs.google.com/spreadsheets/d/""&amp;$A531&amp;""/edit#gid=156619080"",AB$3)"),1087.91)</f>
        <v>1087.91</v>
      </c>
      <c r="AC531" s="18">
        <f>IFERROR(__xludf.DUMMYFUNCTION("IMPORTRANGE(""https://docs.google.com/spreadsheets/d/""&amp;$A531&amp;""/edit#gid=156619080"",AC$3)"),1081.92)</f>
        <v>1081.92</v>
      </c>
      <c r="AD531" s="18">
        <f>IFERROR(__xludf.DUMMYFUNCTION("IMPORTRANGE(""https://docs.google.com/spreadsheets/d/""&amp;$A531&amp;""/edit#gid=156619080"",AD$3)"),1075.94)</f>
        <v>1075.94</v>
      </c>
      <c r="AE531" s="18">
        <f>IFERROR(__xludf.DUMMYFUNCTION("IMPORTRANGE(""https://docs.google.com/spreadsheets/d/""&amp;$A531&amp;""/edit#gid=156619080"",AE$3)"),1052.0)</f>
        <v>1052</v>
      </c>
      <c r="AF531" s="2">
        <f>IFERROR(__xludf.DUMMYFUNCTION("IMPORTRANGE(""https://docs.google.com/spreadsheets/d/""&amp;$A531&amp;""/edit#gid=156619080"",AF$3)"),1028.06)</f>
        <v>1028.06</v>
      </c>
      <c r="AG531" s="2">
        <f>IFERROR(__xludf.DUMMYFUNCTION("IMPORTRANGE(""https://docs.google.com/spreadsheets/d/""&amp;$A531&amp;""/edit#gid=156619080"",AG$3)"),1022.08)</f>
        <v>1022.08</v>
      </c>
      <c r="AH531" s="2">
        <f>IFERROR(__xludf.DUMMYFUNCTION("IMPORTRANGE(""https://docs.google.com/spreadsheets/d/""&amp;$A531&amp;""/edit#gid=156619080"",AH$3)"),1016.09)</f>
        <v>1016.09</v>
      </c>
      <c r="AI531" s="2">
        <f>IFERROR(__xludf.DUMMYFUNCTION("IMPORTRANGE(""https://docs.google.com/spreadsheets/d/""&amp;$A531&amp;""/edit#gid=156619080"",AI$3)"),1010.11)</f>
        <v>1010.11</v>
      </c>
      <c r="AJ531" s="2">
        <f>IFERROR(__xludf.DUMMYFUNCTION("IMPORTRANGE(""https://docs.google.com/spreadsheets/d/""&amp;$A531&amp;""/edit#gid=156619080"",AJ$3)"),1004.13)</f>
        <v>1004.13</v>
      </c>
      <c r="AK531" s="2" t="str">
        <f>IFERROR(__xludf.DUMMYFUNCTION("IMPORTRANGE(""https://docs.google.com/spreadsheets/d/""&amp;$A531&amp;""/edit#gid=156619080"",AK$3)"),"-1.25σ〜-1.5σ")</f>
        <v>-1.25σ〜-1.5σ</v>
      </c>
      <c r="AL531" s="2">
        <f>IFERROR(__xludf.DUMMYFUNCTION("IMPORTRANGE(""https://docs.google.com/spreadsheets/d/""&amp;$A531&amp;""/edit#gid=156619080"",AL$3)"),-1.0)</f>
        <v>-1</v>
      </c>
      <c r="AM531" s="2" t="str">
        <f>IFERROR(__xludf.DUMMYFUNCTION("IMPORTRANGE(""https://docs.google.com/spreadsheets/d/""&amp;$A531&amp;""/edit#gid=156619080"",AM$3)"),"")</f>
        <v/>
      </c>
      <c r="AN531" s="2">
        <f>IFERROR(__xludf.DUMMYFUNCTION("IMPORTRANGE(""https://docs.google.com/spreadsheets/d/""&amp;$A531&amp;""/edit#gid=156619080"",AN$3)"),-1.0)</f>
        <v>-1</v>
      </c>
      <c r="AO531" s="2" t="str">
        <f>IFERROR(__xludf.DUMMYFUNCTION("IMPORTRANGE(""https://docs.google.com/spreadsheets/d/""&amp;$A531&amp;""/edit#gid=156619080"",AO$3)"),"")</f>
        <v/>
      </c>
      <c r="AP531" s="2">
        <f>IFERROR(__xludf.DUMMYFUNCTION("IMPORTRANGE(""https://docs.google.com/spreadsheets/d/""&amp;$A531&amp;""/edit#gid=156619080"",AP$3)"),-1.0)</f>
        <v>-1</v>
      </c>
      <c r="AQ531" s="2" t="str">
        <f>IFERROR(__xludf.DUMMYFUNCTION("IMPORTRANGE(""https://docs.google.com/spreadsheets/d/""&amp;$A531&amp;""/edit#gid=156619080"",AQ$3)"),"")</f>
        <v/>
      </c>
      <c r="AR531" s="18">
        <f>IFERROR(__xludf.DUMMYFUNCTION("IMPORTRANGE(""https://docs.google.com/spreadsheets/d/""&amp;$A531&amp;""/edit#gid=156619080"",AR$3)"),-5.000000000000004)</f>
        <v>-5</v>
      </c>
      <c r="AS531" s="19" t="str">
        <f>IFERROR(__xludf.DUMMYFUNCTION("IMPORTRANGE(""https://docs.google.com/spreadsheets/d/""&amp;$A531&amp;""/edit#gid=156619080"",AS$3)"),"-85
-85
-85
-55
")</f>
        <v>-85
-85
-85
-55
</v>
      </c>
      <c r="AT531" s="18">
        <f>IFERROR(__xludf.DUMMYFUNCTION("IMPORTRANGE(""https://docs.google.com/spreadsheets/d/""&amp;$A531&amp;""/edit#gid=156619080"",AT$3)"),-89.14835164835165)</f>
        <v>-89.14835165</v>
      </c>
      <c r="AU531" s="3" t="str">
        <f>IFERROR(__xludf.DUMMYFUNCTION("IMPORTRANGE(""https://docs.google.com/spreadsheets/d/""&amp;$A531&amp;""/edit#gid=156619080"",AU$3)"),"-41.48
-61.26
-76.1
-85.99
")</f>
        <v>-41.48
-61.26
-76.1
-85.99
</v>
      </c>
      <c r="AV531" s="18">
        <f>IFERROR(__xludf.DUMMYFUNCTION("IMPORTRANGE(""https://docs.google.com/spreadsheets/d/""&amp;$A531&amp;""/edit#gid=156619080"",AV$3)"),-64.48051948051948)</f>
        <v>-64.48051948</v>
      </c>
      <c r="AW531" s="19" t="str">
        <f>IFERROR(__xludf.DUMMYFUNCTION("IMPORTRANGE(""https://docs.google.com/spreadsheets/d/""&amp;$A531&amp;""/edit#gid=156619080"",AW$3)"),"-0.84
-28.12
-47.86
-65.13
")</f>
        <v>-0.84
-28.12
-47.86
-65.13
</v>
      </c>
      <c r="AX531" s="2">
        <f>IFERROR(__xludf.DUMMYFUNCTION("IMPORTRANGE(""https://docs.google.com/spreadsheets/d/""&amp;$A531&amp;""/edit#gid=156619080"",AX$3)"),44.440000000000005)</f>
        <v>44.44</v>
      </c>
      <c r="AY531" s="2">
        <f>IFERROR(__xludf.DUMMYFUNCTION("IMPORTRANGE(""https://docs.google.com/spreadsheets/d/""&amp;$A531&amp;""/edit#gid=156619080"",AY$3)"),21.36)</f>
        <v>21.36</v>
      </c>
      <c r="AZ531" s="2">
        <f>IFERROR(__xludf.DUMMYFUNCTION("IMPORTRANGE(""https://docs.google.com/spreadsheets/d/""&amp;$A531&amp;""/edit#gid=156619080"",AZ$3)"),1020.45)</f>
        <v>1020.45</v>
      </c>
      <c r="BA531" s="2">
        <f>IFERROR(__xludf.DUMMYFUNCTION("IMPORTRANGE(""https://docs.google.com/spreadsheets/d/""&amp;$A531&amp;""/edit#gid=156619080"",BA$3)"),-14.069999999999936)</f>
        <v>-14.07</v>
      </c>
      <c r="BB531" s="2">
        <f>IFERROR(__xludf.DUMMYFUNCTION("IMPORTRANGE(""https://docs.google.com/spreadsheets/d/""&amp;$A531&amp;""/edit#gid=156619080"",BB$3)"),2.21)</f>
        <v>2.21</v>
      </c>
      <c r="BC531" s="2" t="str">
        <f>IFERROR(__xludf.DUMMYFUNCTION("IMPORTRANGE(""https://docs.google.com/spreadsheets/d/""&amp;$A531&amp;""/edit#gid=156619080"",BC$3)"),"DC→DC")</f>
        <v>DC→DC</v>
      </c>
    </row>
    <row r="532" ht="51.0" customHeight="1">
      <c r="A532" s="7" t="str">
        <f t="shared" si="5"/>
        <v>1zTMnTTZeSXFFF01RfBGQs_1AwZTNfz5l0hhlJemhNno</v>
      </c>
      <c r="B532" s="1" t="s">
        <v>559</v>
      </c>
      <c r="C532" s="2">
        <f>IFERROR(__xludf.DUMMYFUNCTION("IMPORTRANGE(""https://docs.google.com/spreadsheets/d/""&amp;$A532&amp;""/edit#gid=156619080"",C$3)"),45.0)</f>
        <v>45</v>
      </c>
      <c r="D532" s="2">
        <f>IFERROR(__xludf.DUMMYFUNCTION("IMPORTRANGE(""https://docs.google.com/spreadsheets/d/""&amp;$A532&amp;""/edit#gid=156619080"",D$3)"),7057.0)</f>
        <v>7057</v>
      </c>
      <c r="E532" s="15">
        <f>IFERROR(__xludf.DUMMYFUNCTION("IMPORTRANGE(""https://docs.google.com/spreadsheets/d/""&amp;$A532&amp;""/edit#gid=156619080"",E$3)"),43882.0)</f>
        <v>43882</v>
      </c>
      <c r="F532" s="2">
        <f>IFERROR(__xludf.DUMMYFUNCTION("IMPORTRANGE(""https://docs.google.com/spreadsheets/d/""&amp;$A532&amp;""/edit#gid=156619080"",F$3)"),41.0)</f>
        <v>41</v>
      </c>
      <c r="G532" s="16">
        <f>IFERROR(__xludf.DUMMYFUNCTION("IMPORTRANGE(""https://docs.google.com/spreadsheets/d/""&amp;$A532&amp;""/edit#gid=156619080"",G$3)"),4.34)</f>
        <v>4.34</v>
      </c>
      <c r="H532" s="16">
        <f>IFERROR(__xludf.DUMMYFUNCTION("IMPORTRANGE(""https://docs.google.com/spreadsheets/d/""&amp;$A532&amp;""/edit#gid=156619080"",H$3)"),944.0)</f>
        <v>944</v>
      </c>
      <c r="I532" s="16">
        <f>IFERROR(__xludf.DUMMYFUNCTION("IMPORTRANGE(""https://docs.google.com/spreadsheets/d/""&amp;$A532&amp;""/edit#gid=156619080"",I$3)"),1.0)</f>
        <v>1</v>
      </c>
      <c r="J532" s="16">
        <f>IFERROR(__xludf.DUMMYFUNCTION("IMPORTRANGE(""https://docs.google.com/spreadsheets/d/""&amp;$A532&amp;""/edit#gid=156619080"",J$3)"),986.0)</f>
        <v>986</v>
      </c>
      <c r="K532" s="16">
        <f>IFERROR(__xludf.DUMMYFUNCTION("IMPORTRANGE(""https://docs.google.com/spreadsheets/d/""&amp;$A532&amp;""/edit#gid=156619080"",K$3)"),0.625)</f>
        <v>0.625</v>
      </c>
      <c r="L532" s="16">
        <f>IFERROR(__xludf.DUMMYFUNCTION("IMPORTRANGE(""https://docs.google.com/spreadsheets/d/""&amp;$A532&amp;""/edit#gid=156619080"",L$3)"),944.0)</f>
        <v>944</v>
      </c>
      <c r="M532" s="16">
        <f>IFERROR(__xludf.DUMMYFUNCTION("IMPORTRANGE(""https://docs.google.com/spreadsheets/d/""&amp;$A532&amp;""/edit#gid=156619080"",M$3)"),0.375)</f>
        <v>0.375</v>
      </c>
      <c r="N532" s="16">
        <f>IFERROR(__xludf.DUMMYFUNCTION("IMPORTRANGE(""https://docs.google.com/spreadsheets/d/""&amp;$A532&amp;""/edit#gid=156619080"",N$3)"),986.0)</f>
        <v>986</v>
      </c>
      <c r="O532" s="16" t="str">
        <f>IFERROR(__xludf.DUMMYFUNCTION("IMPORTRANGE(""https://docs.google.com/spreadsheets/d/""&amp;$A532&amp;""/edit#gid=156619080"",O$3)"),"26700株")</f>
        <v>26700株</v>
      </c>
      <c r="P532" s="16" t="str">
        <f>IFERROR(__xludf.DUMMYFUNCTION("IMPORTRANGE(""https://docs.google.com/spreadsheets/d/""&amp;$A532&amp;""/edit#gid=156619080"",P$3)"),"26百万円")</f>
        <v>26百万円</v>
      </c>
      <c r="Q532" s="16" t="str">
        <f>IFERROR(__xludf.DUMMYFUNCTION("IMPORTRANGE(""https://docs.google.com/spreadsheets/d/""&amp;$A532&amp;""/edit#gid=156619080"",Q$3)"),"113回")</f>
        <v>113回</v>
      </c>
      <c r="R532" s="16" t="str">
        <f>IFERROR(__xludf.DUMMYFUNCTION("IMPORTRANGE(""https://docs.google.com/spreadsheets/d/""&amp;$A532&amp;""/edit#gid=156619080"",R$3)"),"31.7億円")</f>
        <v>31.7億円</v>
      </c>
      <c r="S532" s="16" t="str">
        <f>IFERROR(__xludf.DUMMYFUNCTION("IMPORTRANGE(""https://docs.google.com/spreadsheets/d/""&amp;$A532&amp;""/edit#gid=156619080"",S$3)"),"陽線")</f>
        <v>陽線</v>
      </c>
      <c r="T532" s="16" t="str">
        <f>IFERROR(__xludf.DUMMYFUNCTION("IMPORTRANGE(""https://docs.google.com/spreadsheets/d/""&amp;$A532&amp;""/edit#gid=156619080"",T$3)"),"")</f>
        <v/>
      </c>
      <c r="U532" s="16">
        <f>IFERROR(__xludf.DUMMYFUNCTION("IMPORTRANGE(""https://docs.google.com/spreadsheets/d/""&amp;$A532&amp;""/edit#gid=156619080"",U$3)"),931.2)</f>
        <v>931.2</v>
      </c>
      <c r="V532" s="16">
        <f>IFERROR(__xludf.DUMMYFUNCTION("IMPORTRANGE(""https://docs.google.com/spreadsheets/d/""&amp;$A532&amp;""/edit#gid=156619080"",V$3)"),1095.5)</f>
        <v>1095.5</v>
      </c>
      <c r="W532" s="16">
        <f>IFERROR(__xludf.DUMMYFUNCTION("IMPORTRANGE(""https://docs.google.com/spreadsheets/d/""&amp;$A532&amp;""/edit#gid=156619080"",W$3)"),1144.6)</f>
        <v>1144.6</v>
      </c>
      <c r="X532" s="2" t="str">
        <f>IFERROR(__xludf.DUMMYFUNCTION("IMPORTRANGE(""https://docs.google.com/spreadsheets/d/""&amp;$A532&amp;""/edit#gid=156619080"",X$3)"),"")</f>
        <v/>
      </c>
      <c r="Y532" s="17">
        <f>IFERROR(__xludf.DUMMYFUNCTION("IMPORTRANGE(""https://docs.google.com/spreadsheets/d/""&amp;$A532&amp;""/edit#gid=156619080"",Y$3)"),0.05884879725085906)</f>
        <v>0.05884879725</v>
      </c>
      <c r="Z532" s="2">
        <f>IFERROR(__xludf.DUMMYFUNCTION("IMPORTRANGE(""https://docs.google.com/spreadsheets/d/""&amp;$A532&amp;""/edit#gid=156619080"",Z$3)"),1412.48)</f>
        <v>1412.48</v>
      </c>
      <c r="AA532" s="2">
        <f>IFERROR(__xludf.DUMMYFUNCTION("IMPORTRANGE(""https://docs.google.com/spreadsheets/d/""&amp;$A532&amp;""/edit#gid=156619080"",AA$3)"),1378.99)</f>
        <v>1378.99</v>
      </c>
      <c r="AB532" s="2">
        <f>IFERROR(__xludf.DUMMYFUNCTION("IMPORTRANGE(""https://docs.google.com/spreadsheets/d/""&amp;$A532&amp;""/edit#gid=156619080"",AB$3)"),1345.51)</f>
        <v>1345.51</v>
      </c>
      <c r="AC532" s="18">
        <f>IFERROR(__xludf.DUMMYFUNCTION("IMPORTRANGE(""https://docs.google.com/spreadsheets/d/""&amp;$A532&amp;""/edit#gid=156619080"",AC$3)"),1312.02)</f>
        <v>1312.02</v>
      </c>
      <c r="AD532" s="18">
        <f>IFERROR(__xludf.DUMMYFUNCTION("IMPORTRANGE(""https://docs.google.com/spreadsheets/d/""&amp;$A532&amp;""/edit#gid=156619080"",AD$3)"),1278.54)</f>
        <v>1278.54</v>
      </c>
      <c r="AE532" s="18">
        <f>IFERROR(__xludf.DUMMYFUNCTION("IMPORTRANGE(""https://docs.google.com/spreadsheets/d/""&amp;$A532&amp;""/edit#gid=156619080"",AE$3)"),1144.6)</f>
        <v>1144.6</v>
      </c>
      <c r="AF532" s="2">
        <f>IFERROR(__xludf.DUMMYFUNCTION("IMPORTRANGE(""https://docs.google.com/spreadsheets/d/""&amp;$A532&amp;""/edit#gid=156619080"",AF$3)"),1010.66)</f>
        <v>1010.66</v>
      </c>
      <c r="AG532" s="2">
        <f>IFERROR(__xludf.DUMMYFUNCTION("IMPORTRANGE(""https://docs.google.com/spreadsheets/d/""&amp;$A532&amp;""/edit#gid=156619080"",AG$3)"),977.18)</f>
        <v>977.18</v>
      </c>
      <c r="AH532" s="2">
        <f>IFERROR(__xludf.DUMMYFUNCTION("IMPORTRANGE(""https://docs.google.com/spreadsheets/d/""&amp;$A532&amp;""/edit#gid=156619080"",AH$3)"),943.69)</f>
        <v>943.69</v>
      </c>
      <c r="AI532" s="2">
        <f>IFERROR(__xludf.DUMMYFUNCTION("IMPORTRANGE(""https://docs.google.com/spreadsheets/d/""&amp;$A532&amp;""/edit#gid=156619080"",AI$3)"),910.21)</f>
        <v>910.21</v>
      </c>
      <c r="AJ532" s="2">
        <f>IFERROR(__xludf.DUMMYFUNCTION("IMPORTRANGE(""https://docs.google.com/spreadsheets/d/""&amp;$A532&amp;""/edit#gid=156619080"",AJ$3)"),876.72)</f>
        <v>876.72</v>
      </c>
      <c r="AK532" s="2" t="str">
        <f>IFERROR(__xludf.DUMMYFUNCTION("IMPORTRANGE(""https://docs.google.com/spreadsheets/d/""&amp;$A532&amp;""/edit#gid=156619080"",AK$3)"),"-1〜-1.25σ")</f>
        <v>-1〜-1.25σ</v>
      </c>
      <c r="AL532" s="2">
        <f>IFERROR(__xludf.DUMMYFUNCTION("IMPORTRANGE(""https://docs.google.com/spreadsheets/d/""&amp;$A532&amp;""/edit#gid=156619080"",AL$3)"),-1.0)</f>
        <v>-1</v>
      </c>
      <c r="AM532" s="2" t="str">
        <f>IFERROR(__xludf.DUMMYFUNCTION("IMPORTRANGE(""https://docs.google.com/spreadsheets/d/""&amp;$A532&amp;""/edit#gid=156619080"",AM$3)"),"")</f>
        <v/>
      </c>
      <c r="AN532" s="2">
        <f>IFERROR(__xludf.DUMMYFUNCTION("IMPORTRANGE(""https://docs.google.com/spreadsheets/d/""&amp;$A532&amp;""/edit#gid=156619080"",AN$3)"),-1.0)</f>
        <v>-1</v>
      </c>
      <c r="AO532" s="2" t="str">
        <f>IFERROR(__xludf.DUMMYFUNCTION("IMPORTRANGE(""https://docs.google.com/spreadsheets/d/""&amp;$A532&amp;""/edit#gid=156619080"",AO$3)"),"")</f>
        <v/>
      </c>
      <c r="AP532" s="2">
        <f>IFERROR(__xludf.DUMMYFUNCTION("IMPORTRANGE(""https://docs.google.com/spreadsheets/d/""&amp;$A532&amp;""/edit#gid=156619080"",AP$3)"),-1.0)</f>
        <v>-1</v>
      </c>
      <c r="AQ532" s="2" t="str">
        <f>IFERROR(__xludf.DUMMYFUNCTION("IMPORTRANGE(""https://docs.google.com/spreadsheets/d/""&amp;$A532&amp;""/edit#gid=156619080"",AQ$3)"),"")</f>
        <v/>
      </c>
      <c r="AR532" s="18">
        <f>IFERROR(__xludf.DUMMYFUNCTION("IMPORTRANGE(""https://docs.google.com/spreadsheets/d/""&amp;$A532&amp;""/edit#gid=156619080"",AR$3)"),90.0)</f>
        <v>90</v>
      </c>
      <c r="AS532" s="19" t="str">
        <f>IFERROR(__xludf.DUMMYFUNCTION("IMPORTRANGE(""https://docs.google.com/spreadsheets/d/""&amp;$A532&amp;""/edit#gid=156619080"",AS$3)"),"-90
-100
-70
-10
")</f>
        <v>-90
-100
-70
-10
</v>
      </c>
      <c r="AT532" s="18">
        <f>IFERROR(__xludf.DUMMYFUNCTION("IMPORTRANGE(""https://docs.google.com/spreadsheets/d/""&amp;$A532&amp;""/edit#gid=156619080"",AT$3)"),-78.57142857142858)</f>
        <v>-78.57142857</v>
      </c>
      <c r="AU532" s="3" t="str">
        <f>IFERROR(__xludf.DUMMYFUNCTION("IMPORTRANGE(""https://docs.google.com/spreadsheets/d/""&amp;$A532&amp;""/edit#gid=156619080"",AU$3)"),"-22.94
-47.12
-70.19
-78.02
")</f>
        <v>-22.94
-47.12
-70.19
-78.02
</v>
      </c>
      <c r="AV532" s="18">
        <f>IFERROR(__xludf.DUMMYFUNCTION("IMPORTRANGE(""https://docs.google.com/spreadsheets/d/""&amp;$A532&amp;""/edit#gid=156619080"",AV$3)"),-67.75974025974025)</f>
        <v>-67.75974026</v>
      </c>
      <c r="AW532" s="19" t="str">
        <f>IFERROR(__xludf.DUMMYFUNCTION("IMPORTRANGE(""https://docs.google.com/spreadsheets/d/""&amp;$A532&amp;""/edit#gid=156619080"",AW$3)"),"-69.84
-70.1
-70.49
-69.71
")</f>
        <v>-69.84
-70.1
-70.49
-69.71
</v>
      </c>
      <c r="AX532" s="2">
        <f>IFERROR(__xludf.DUMMYFUNCTION("IMPORTRANGE(""https://docs.google.com/spreadsheets/d/""&amp;$A532&amp;""/edit#gid=156619080"",AX$3)"),54.65)</f>
        <v>54.65</v>
      </c>
      <c r="AY532" s="2">
        <f>IFERROR(__xludf.DUMMYFUNCTION("IMPORTRANGE(""https://docs.google.com/spreadsheets/d/""&amp;$A532&amp;""/edit#gid=156619080"",AY$3)"),29.160000000000004)</f>
        <v>29.16</v>
      </c>
      <c r="AZ532" s="2">
        <f>IFERROR(__xludf.DUMMYFUNCTION("IMPORTRANGE(""https://docs.google.com/spreadsheets/d/""&amp;$A532&amp;""/edit#gid=156619080"",AZ$3)"),972.81)</f>
        <v>972.81</v>
      </c>
      <c r="BA532" s="2">
        <f>IFERROR(__xludf.DUMMYFUNCTION("IMPORTRANGE(""https://docs.google.com/spreadsheets/d/""&amp;$A532&amp;""/edit#gid=156619080"",BA$3)"),-133.51999999999998)</f>
        <v>-133.52</v>
      </c>
      <c r="BB532" s="2">
        <f>IFERROR(__xludf.DUMMYFUNCTION("IMPORTRANGE(""https://docs.google.com/spreadsheets/d/""&amp;$A532&amp;""/edit#gid=156619080"",BB$3)"),-84.17)</f>
        <v>-84.17</v>
      </c>
      <c r="BC532" s="2" t="str">
        <f>IFERROR(__xludf.DUMMYFUNCTION("IMPORTRANGE(""https://docs.google.com/spreadsheets/d/""&amp;$A532&amp;""/edit#gid=156619080"",BC$3)"),"DC→DC")</f>
        <v>DC→DC</v>
      </c>
    </row>
    <row r="533" ht="51.0" customHeight="1">
      <c r="A533" s="7" t="str">
        <f t="shared" si="5"/>
        <v>1RSn9qmDaSN3L-OrfN3WEYJMJVBLvYhORhIJxwpPtyDM</v>
      </c>
      <c r="B533" s="1" t="s">
        <v>560</v>
      </c>
      <c r="C533" s="2">
        <f>IFERROR(__xludf.DUMMYFUNCTION("IMPORTRANGE(""https://docs.google.com/spreadsheets/d/""&amp;$A533&amp;""/edit#gid=156619080"",C$3)"),45.0)</f>
        <v>45</v>
      </c>
      <c r="D533" s="2">
        <f>IFERROR(__xludf.DUMMYFUNCTION("IMPORTRANGE(""https://docs.google.com/spreadsheets/d/""&amp;$A533&amp;""/edit#gid=156619080"",D$3)"),7224.0)</f>
        <v>7224</v>
      </c>
      <c r="E533" s="15">
        <f>IFERROR(__xludf.DUMMYFUNCTION("IMPORTRANGE(""https://docs.google.com/spreadsheets/d/""&amp;$A533&amp;""/edit#gid=156619080"",E$3)"),43882.0)</f>
        <v>43882</v>
      </c>
      <c r="F533" s="2">
        <f>IFERROR(__xludf.DUMMYFUNCTION("IMPORTRANGE(""https://docs.google.com/spreadsheets/d/""&amp;$A533&amp;""/edit#gid=156619080"",F$3)"),5.0)</f>
        <v>5</v>
      </c>
      <c r="G533" s="16">
        <f>IFERROR(__xludf.DUMMYFUNCTION("IMPORTRANGE(""https://docs.google.com/spreadsheets/d/""&amp;$A533&amp;""/edit#gid=156619080"",G$3)"),0.39)</f>
        <v>0.39</v>
      </c>
      <c r="H533" s="16">
        <f>IFERROR(__xludf.DUMMYFUNCTION("IMPORTRANGE(""https://docs.google.com/spreadsheets/d/""&amp;$A533&amp;""/edit#gid=156619080"",H$3)"),1286.0)</f>
        <v>1286</v>
      </c>
      <c r="I533" s="16">
        <f>IFERROR(__xludf.DUMMYFUNCTION("IMPORTRANGE(""https://docs.google.com/spreadsheets/d/""&amp;$A533&amp;""/edit#gid=156619080"",I$3)"),0.0)</f>
        <v>0</v>
      </c>
      <c r="J533" s="16">
        <f>IFERROR(__xludf.DUMMYFUNCTION("IMPORTRANGE(""https://docs.google.com/spreadsheets/d/""&amp;$A533&amp;""/edit#gid=156619080"",J$3)"),1296.0)</f>
        <v>1296</v>
      </c>
      <c r="K533" s="16">
        <f>IFERROR(__xludf.DUMMYFUNCTION("IMPORTRANGE(""https://docs.google.com/spreadsheets/d/""&amp;$A533&amp;""/edit#gid=156619080"",K$3)"),0.39444444444444443)</f>
        <v>0.3944444444</v>
      </c>
      <c r="L533" s="16">
        <f>IFERROR(__xludf.DUMMYFUNCTION("IMPORTRANGE(""https://docs.google.com/spreadsheets/d/""&amp;$A533&amp;""/edit#gid=156619080"",L$3)"),1286.0)</f>
        <v>1286</v>
      </c>
      <c r="M533" s="16">
        <f>IFERROR(__xludf.DUMMYFUNCTION("IMPORTRANGE(""https://docs.google.com/spreadsheets/d/""&amp;$A533&amp;""/edit#gid=156619080"",M$3)"),0.375)</f>
        <v>0.375</v>
      </c>
      <c r="N533" s="16">
        <f>IFERROR(__xludf.DUMMYFUNCTION("IMPORTRANGE(""https://docs.google.com/spreadsheets/d/""&amp;$A533&amp;""/edit#gid=156619080"",N$3)"),1291.0)</f>
        <v>1291</v>
      </c>
      <c r="O533" s="16" t="str">
        <f>IFERROR(__xludf.DUMMYFUNCTION("IMPORTRANGE(""https://docs.google.com/spreadsheets/d/""&amp;$A533&amp;""/edit#gid=156619080"",O$3)"),"252700株")</f>
        <v>252700株</v>
      </c>
      <c r="P533" s="16" t="str">
        <f>IFERROR(__xludf.DUMMYFUNCTION("IMPORTRANGE(""https://docs.google.com/spreadsheets/d/""&amp;$A533&amp;""/edit#gid=156619080"",P$3)"),"326百万円")</f>
        <v>326百万円</v>
      </c>
      <c r="Q533" s="16" t="str">
        <f>IFERROR(__xludf.DUMMYFUNCTION("IMPORTRANGE(""https://docs.google.com/spreadsheets/d/""&amp;$A533&amp;""/edit#gid=156619080"",Q$3)"),"691回")</f>
        <v>691回</v>
      </c>
      <c r="R533" s="16" t="str">
        <f>IFERROR(__xludf.DUMMYFUNCTION("IMPORTRANGE(""https://docs.google.com/spreadsheets/d/""&amp;$A533&amp;""/edit#gid=156619080"",R$3)"),"904億円")</f>
        <v>904億円</v>
      </c>
      <c r="S533" s="16" t="str">
        <f>IFERROR(__xludf.DUMMYFUNCTION("IMPORTRANGE(""https://docs.google.com/spreadsheets/d/""&amp;$A533&amp;""/edit#gid=156619080"",S$3)"),"陽線")</f>
        <v>陽線</v>
      </c>
      <c r="T533" s="16" t="str">
        <f>IFERROR(__xludf.DUMMYFUNCTION("IMPORTRANGE(""https://docs.google.com/spreadsheets/d/""&amp;$A533&amp;""/edit#gid=156619080"",T$3)"),"")</f>
        <v/>
      </c>
      <c r="U533" s="16">
        <f>IFERROR(__xludf.DUMMYFUNCTION("IMPORTRANGE(""https://docs.google.com/spreadsheets/d/""&amp;$A533&amp;""/edit#gid=156619080"",U$3)"),1295.8)</f>
        <v>1295.8</v>
      </c>
      <c r="V533" s="16">
        <f>IFERROR(__xludf.DUMMYFUNCTION("IMPORTRANGE(""https://docs.google.com/spreadsheets/d/""&amp;$A533&amp;""/edit#gid=156619080"",V$3)"),1322.7)</f>
        <v>1322.7</v>
      </c>
      <c r="W533" s="16">
        <f>IFERROR(__xludf.DUMMYFUNCTION("IMPORTRANGE(""https://docs.google.com/spreadsheets/d/""&amp;$A533&amp;""/edit#gid=156619080"",W$3)"),1370.1)</f>
        <v>1370.1</v>
      </c>
      <c r="X533" s="2" t="str">
        <f>IFERROR(__xludf.DUMMYFUNCTION("IMPORTRANGE(""https://docs.google.com/spreadsheets/d/""&amp;$A533&amp;""/edit#gid=156619080"",X$3)"),"")</f>
        <v/>
      </c>
      <c r="Y533" s="17">
        <f>IFERROR(__xludf.DUMMYFUNCTION("IMPORTRANGE(""https://docs.google.com/spreadsheets/d/""&amp;$A533&amp;""/edit#gid=156619080"",Y$3)"),-0.0037042753511343993)</f>
        <v>-0.003704275351</v>
      </c>
      <c r="Z533" s="2">
        <f>IFERROR(__xludf.DUMMYFUNCTION("IMPORTRANGE(""https://docs.google.com/spreadsheets/d/""&amp;$A533&amp;""/edit#gid=156619080"",Z$3)"),1507.03)</f>
        <v>1507.03</v>
      </c>
      <c r="AA533" s="2">
        <f>IFERROR(__xludf.DUMMYFUNCTION("IMPORTRANGE(""https://docs.google.com/spreadsheets/d/""&amp;$A533&amp;""/edit#gid=156619080"",AA$3)"),1489.91)</f>
        <v>1489.91</v>
      </c>
      <c r="AB533" s="2">
        <f>IFERROR(__xludf.DUMMYFUNCTION("IMPORTRANGE(""https://docs.google.com/spreadsheets/d/""&amp;$A533&amp;""/edit#gid=156619080"",AB$3)"),1472.8)</f>
        <v>1472.8</v>
      </c>
      <c r="AC533" s="18">
        <f>IFERROR(__xludf.DUMMYFUNCTION("IMPORTRANGE(""https://docs.google.com/spreadsheets/d/""&amp;$A533&amp;""/edit#gid=156619080"",AC$3)"),1455.68)</f>
        <v>1455.68</v>
      </c>
      <c r="AD533" s="18">
        <f>IFERROR(__xludf.DUMMYFUNCTION("IMPORTRANGE(""https://docs.google.com/spreadsheets/d/""&amp;$A533&amp;""/edit#gid=156619080"",AD$3)"),1438.57)</f>
        <v>1438.57</v>
      </c>
      <c r="AE533" s="18">
        <f>IFERROR(__xludf.DUMMYFUNCTION("IMPORTRANGE(""https://docs.google.com/spreadsheets/d/""&amp;$A533&amp;""/edit#gid=156619080"",AE$3)"),1370.1)</f>
        <v>1370.1</v>
      </c>
      <c r="AF533" s="2">
        <f>IFERROR(__xludf.DUMMYFUNCTION("IMPORTRANGE(""https://docs.google.com/spreadsheets/d/""&amp;$A533&amp;""/edit#gid=156619080"",AF$3)"),1301.63)</f>
        <v>1301.63</v>
      </c>
      <c r="AG533" s="2">
        <f>IFERROR(__xludf.DUMMYFUNCTION("IMPORTRANGE(""https://docs.google.com/spreadsheets/d/""&amp;$A533&amp;""/edit#gid=156619080"",AG$3)"),1284.52)</f>
        <v>1284.52</v>
      </c>
      <c r="AH533" s="2">
        <f>IFERROR(__xludf.DUMMYFUNCTION("IMPORTRANGE(""https://docs.google.com/spreadsheets/d/""&amp;$A533&amp;""/edit#gid=156619080"",AH$3)"),1267.4)</f>
        <v>1267.4</v>
      </c>
      <c r="AI533" s="2">
        <f>IFERROR(__xludf.DUMMYFUNCTION("IMPORTRANGE(""https://docs.google.com/spreadsheets/d/""&amp;$A533&amp;""/edit#gid=156619080"",AI$3)"),1250.29)</f>
        <v>1250.29</v>
      </c>
      <c r="AJ533" s="2">
        <f>IFERROR(__xludf.DUMMYFUNCTION("IMPORTRANGE(""https://docs.google.com/spreadsheets/d/""&amp;$A533&amp;""/edit#gid=156619080"",AJ$3)"),1233.17)</f>
        <v>1233.17</v>
      </c>
      <c r="AK533" s="2" t="str">
        <f>IFERROR(__xludf.DUMMYFUNCTION("IMPORTRANGE(""https://docs.google.com/spreadsheets/d/""&amp;$A533&amp;""/edit#gid=156619080"",AK$3)"),"-1〜-1.25σ")</f>
        <v>-1〜-1.25σ</v>
      </c>
      <c r="AL533" s="2">
        <f>IFERROR(__xludf.DUMMYFUNCTION("IMPORTRANGE(""https://docs.google.com/spreadsheets/d/""&amp;$A533&amp;""/edit#gid=156619080"",AL$3)"),-1.0)</f>
        <v>-1</v>
      </c>
      <c r="AM533" s="2" t="str">
        <f>IFERROR(__xludf.DUMMYFUNCTION("IMPORTRANGE(""https://docs.google.com/spreadsheets/d/""&amp;$A533&amp;""/edit#gid=156619080"",AM$3)"),"")</f>
        <v/>
      </c>
      <c r="AN533" s="2">
        <f>IFERROR(__xludf.DUMMYFUNCTION("IMPORTRANGE(""https://docs.google.com/spreadsheets/d/""&amp;$A533&amp;""/edit#gid=156619080"",AN$3)"),-1.0)</f>
        <v>-1</v>
      </c>
      <c r="AO533" s="2" t="str">
        <f>IFERROR(__xludf.DUMMYFUNCTION("IMPORTRANGE(""https://docs.google.com/spreadsheets/d/""&amp;$A533&amp;""/edit#gid=156619080"",AO$3)"),"")</f>
        <v/>
      </c>
      <c r="AP533" s="2">
        <f>IFERROR(__xludf.DUMMYFUNCTION("IMPORTRANGE(""https://docs.google.com/spreadsheets/d/""&amp;$A533&amp;""/edit#gid=156619080"",AP$3)"),-1.0)</f>
        <v>-1</v>
      </c>
      <c r="AQ533" s="2" t="str">
        <f>IFERROR(__xludf.DUMMYFUNCTION("IMPORTRANGE(""https://docs.google.com/spreadsheets/d/""&amp;$A533&amp;""/edit#gid=156619080"",AQ$3)"),"")</f>
        <v/>
      </c>
      <c r="AR533" s="18">
        <f>IFERROR(__xludf.DUMMYFUNCTION("IMPORTRANGE(""https://docs.google.com/spreadsheets/d/""&amp;$A533&amp;""/edit#gid=156619080"",AR$3)"),-70.0)</f>
        <v>-70</v>
      </c>
      <c r="AS533" s="19" t="str">
        <f>IFERROR(__xludf.DUMMYFUNCTION("IMPORTRANGE(""https://docs.google.com/spreadsheets/d/""&amp;$A533&amp;""/edit#gid=156619080"",AS$3)"),"-50
-70
-100
-100
")</f>
        <v>-50
-70
-100
-100
</v>
      </c>
      <c r="AT533" s="18">
        <f>IFERROR(__xludf.DUMMYFUNCTION("IMPORTRANGE(""https://docs.google.com/spreadsheets/d/""&amp;$A533&amp;""/edit#gid=156619080"",AT$3)"),-89.97252747252746)</f>
        <v>-89.97252747</v>
      </c>
      <c r="AU533" s="3" t="str">
        <f>IFERROR(__xludf.DUMMYFUNCTION("IMPORTRANGE(""https://docs.google.com/spreadsheets/d/""&amp;$A533&amp;""/edit#gid=156619080"",AU$3)"),"-89.97
-89.97
-89.97
-89.97
")</f>
        <v>-89.97
-89.97
-89.97
-89.97
</v>
      </c>
      <c r="AV533" s="18">
        <f>IFERROR(__xludf.DUMMYFUNCTION("IMPORTRANGE(""https://docs.google.com/spreadsheets/d/""&amp;$A533&amp;""/edit#gid=156619080"",AV$3)"),-97.24025974025975)</f>
        <v>-97.24025974</v>
      </c>
      <c r="AW533" s="19" t="str">
        <f>IFERROR(__xludf.DUMMYFUNCTION("IMPORTRANGE(""https://docs.google.com/spreadsheets/d/""&amp;$A533&amp;""/edit#gid=156619080"",AW$3)"),"-95.03
-96.98
-97.24
-97.63
")</f>
        <v>-95.03
-96.98
-97.24
-97.63
</v>
      </c>
      <c r="AX533" s="2">
        <f>IFERROR(__xludf.DUMMYFUNCTION("IMPORTRANGE(""https://docs.google.com/spreadsheets/d/""&amp;$A533&amp;""/edit#gid=156619080"",AX$3)"),10.42)</f>
        <v>10.42</v>
      </c>
      <c r="AY533" s="2">
        <f>IFERROR(__xludf.DUMMYFUNCTION("IMPORTRANGE(""https://docs.google.com/spreadsheets/d/""&amp;$A533&amp;""/edit#gid=156619080"",AY$3)"),14.97)</f>
        <v>14.97</v>
      </c>
      <c r="AZ533" s="2">
        <f>IFERROR(__xludf.DUMMYFUNCTION("IMPORTRANGE(""https://docs.google.com/spreadsheets/d/""&amp;$A533&amp;""/edit#gid=156619080"",AZ$3)"),1298.05)</f>
        <v>1298.05</v>
      </c>
      <c r="BA533" s="2">
        <f>IFERROR(__xludf.DUMMYFUNCTION("IMPORTRANGE(""https://docs.google.com/spreadsheets/d/""&amp;$A533&amp;""/edit#gid=156619080"",BA$3)"),-59.25)</f>
        <v>-59.25</v>
      </c>
      <c r="BB533" s="2">
        <f>IFERROR(__xludf.DUMMYFUNCTION("IMPORTRANGE(""https://docs.google.com/spreadsheets/d/""&amp;$A533&amp;""/edit#gid=156619080"",BB$3)"),-53.09)</f>
        <v>-53.09</v>
      </c>
      <c r="BC533" s="2" t="str">
        <f>IFERROR(__xludf.DUMMYFUNCTION("IMPORTRANGE(""https://docs.google.com/spreadsheets/d/""&amp;$A533&amp;""/edit#gid=156619080"",BC$3)"),"DC→DC")</f>
        <v>DC→DC</v>
      </c>
    </row>
    <row r="534" ht="51.0" customHeight="1">
      <c r="A534" s="7" t="str">
        <f t="shared" si="5"/>
        <v>1kNre211-EuIcd21h4S851wQ3_OyB2SzeAHso55hRG38</v>
      </c>
      <c r="B534" s="1" t="s">
        <v>561</v>
      </c>
      <c r="C534" s="2">
        <f>IFERROR(__xludf.DUMMYFUNCTION("IMPORTRANGE(""https://docs.google.com/spreadsheets/d/""&amp;$A534&amp;""/edit#gid=156619080"",C$3)"),45.0)</f>
        <v>45</v>
      </c>
      <c r="D534" s="2">
        <f>IFERROR(__xludf.DUMMYFUNCTION("IMPORTRANGE(""https://docs.google.com/spreadsheets/d/""&amp;$A534&amp;""/edit#gid=156619080"",D$3)"),7226.0)</f>
        <v>7226</v>
      </c>
      <c r="E534" s="15">
        <f>IFERROR(__xludf.DUMMYFUNCTION("IMPORTRANGE(""https://docs.google.com/spreadsheets/d/""&amp;$A534&amp;""/edit#gid=156619080"",E$3)"),43882.0)</f>
        <v>43882</v>
      </c>
      <c r="F534" s="2">
        <f>IFERROR(__xludf.DUMMYFUNCTION("IMPORTRANGE(""https://docs.google.com/spreadsheets/d/""&amp;$A534&amp;""/edit#gid=156619080"",F$3)"),2.0)</f>
        <v>2</v>
      </c>
      <c r="G534" s="16">
        <f>IFERROR(__xludf.DUMMYFUNCTION("IMPORTRANGE(""https://docs.google.com/spreadsheets/d/""&amp;$A534&amp;""/edit#gid=156619080"",G$3)"),0.14)</f>
        <v>0.14</v>
      </c>
      <c r="H534" s="16">
        <f>IFERROR(__xludf.DUMMYFUNCTION("IMPORTRANGE(""https://docs.google.com/spreadsheets/d/""&amp;$A534&amp;""/edit#gid=156619080"",H$3)"),1385.0)</f>
        <v>1385</v>
      </c>
      <c r="I534" s="16">
        <f>IFERROR(__xludf.DUMMYFUNCTION("IMPORTRANGE(""https://docs.google.com/spreadsheets/d/""&amp;$A534&amp;""/edit#gid=156619080"",I$3)"),0.0)</f>
        <v>0</v>
      </c>
      <c r="J534" s="16">
        <f>IFERROR(__xludf.DUMMYFUNCTION("IMPORTRANGE(""https://docs.google.com/spreadsheets/d/""&amp;$A534&amp;""/edit#gid=156619080"",J$3)"),1403.0)</f>
        <v>1403</v>
      </c>
      <c r="K534" s="16">
        <f>IFERROR(__xludf.DUMMYFUNCTION("IMPORTRANGE(""https://docs.google.com/spreadsheets/d/""&amp;$A534&amp;""/edit#gid=156619080"",K$3)"),0.4048611111111111)</f>
        <v>0.4048611111</v>
      </c>
      <c r="L534" s="16">
        <f>IFERROR(__xludf.DUMMYFUNCTION("IMPORTRANGE(""https://docs.google.com/spreadsheets/d/""&amp;$A534&amp;""/edit#gid=156619080"",L$3)"),1382.0)</f>
        <v>1382</v>
      </c>
      <c r="M534" s="16">
        <f>IFERROR(__xludf.DUMMYFUNCTION("IMPORTRANGE(""https://docs.google.com/spreadsheets/d/""&amp;$A534&amp;""/edit#gid=156619080"",M$3)"),0.375)</f>
        <v>0.375</v>
      </c>
      <c r="N534" s="16">
        <f>IFERROR(__xludf.DUMMYFUNCTION("IMPORTRANGE(""https://docs.google.com/spreadsheets/d/""&amp;$A534&amp;""/edit#gid=156619080"",N$3)"),1387.0)</f>
        <v>1387</v>
      </c>
      <c r="O534" s="16" t="str">
        <f>IFERROR(__xludf.DUMMYFUNCTION("IMPORTRANGE(""https://docs.google.com/spreadsheets/d/""&amp;$A534&amp;""/edit#gid=156619080"",O$3)"),"46000株")</f>
        <v>46000株</v>
      </c>
      <c r="P534" s="16" t="str">
        <f>IFERROR(__xludf.DUMMYFUNCTION("IMPORTRANGE(""https://docs.google.com/spreadsheets/d/""&amp;$A534&amp;""/edit#gid=156619080"",P$3)"),"64百万円")</f>
        <v>64百万円</v>
      </c>
      <c r="Q534" s="16" t="str">
        <f>IFERROR(__xludf.DUMMYFUNCTION("IMPORTRANGE(""https://docs.google.com/spreadsheets/d/""&amp;$A534&amp;""/edit#gid=156619080"",Q$3)"),"217回")</f>
        <v>217回</v>
      </c>
      <c r="R534" s="16" t="str">
        <f>IFERROR(__xludf.DUMMYFUNCTION("IMPORTRANGE(""https://docs.google.com/spreadsheets/d/""&amp;$A534&amp;""/edit#gid=156619080"",R$3)"),"593億円")</f>
        <v>593億円</v>
      </c>
      <c r="S534" s="16" t="str">
        <f>IFERROR(__xludf.DUMMYFUNCTION("IMPORTRANGE(""https://docs.google.com/spreadsheets/d/""&amp;$A534&amp;""/edit#gid=156619080"",S$3)"),"陽線")</f>
        <v>陽線</v>
      </c>
      <c r="T534" s="16" t="str">
        <f>IFERROR(__xludf.DUMMYFUNCTION("IMPORTRANGE(""https://docs.google.com/spreadsheets/d/""&amp;$A534&amp;""/edit#gid=156619080"",T$3)"),"")</f>
        <v/>
      </c>
      <c r="U534" s="16">
        <f>IFERROR(__xludf.DUMMYFUNCTION("IMPORTRANGE(""https://docs.google.com/spreadsheets/d/""&amp;$A534&amp;""/edit#gid=156619080"",U$3)"),1378.6)</f>
        <v>1378.6</v>
      </c>
      <c r="V534" s="16">
        <f>IFERROR(__xludf.DUMMYFUNCTION("IMPORTRANGE(""https://docs.google.com/spreadsheets/d/""&amp;$A534&amp;""/edit#gid=156619080"",V$3)"),1412.9)</f>
        <v>1412.9</v>
      </c>
      <c r="W534" s="16">
        <f>IFERROR(__xludf.DUMMYFUNCTION("IMPORTRANGE(""https://docs.google.com/spreadsheets/d/""&amp;$A534&amp;""/edit#gid=156619080"",W$3)"),1443.5)</f>
        <v>1443.5</v>
      </c>
      <c r="X534" s="2" t="str">
        <f>IFERROR(__xludf.DUMMYFUNCTION("IMPORTRANGE(""https://docs.google.com/spreadsheets/d/""&amp;$A534&amp;""/edit#gid=156619080"",X$3)"),"")</f>
        <v/>
      </c>
      <c r="Y534" s="17">
        <f>IFERROR(__xludf.DUMMYFUNCTION("IMPORTRANGE(""https://docs.google.com/spreadsheets/d/""&amp;$A534&amp;""/edit#gid=156619080"",Y$3)"),0.006093137966052584)</f>
        <v>0.006093137966</v>
      </c>
      <c r="Z534" s="2">
        <f>IFERROR(__xludf.DUMMYFUNCTION("IMPORTRANGE(""https://docs.google.com/spreadsheets/d/""&amp;$A534&amp;""/edit#gid=156619080"",Z$3)"),1557.79)</f>
        <v>1557.79</v>
      </c>
      <c r="AA534" s="2">
        <f>IFERROR(__xludf.DUMMYFUNCTION("IMPORTRANGE(""https://docs.google.com/spreadsheets/d/""&amp;$A534&amp;""/edit#gid=156619080"",AA$3)"),1543.51)</f>
        <v>1543.51</v>
      </c>
      <c r="AB534" s="2">
        <f>IFERROR(__xludf.DUMMYFUNCTION("IMPORTRANGE(""https://docs.google.com/spreadsheets/d/""&amp;$A534&amp;""/edit#gid=156619080"",AB$3)"),1529.22)</f>
        <v>1529.22</v>
      </c>
      <c r="AC534" s="18">
        <f>IFERROR(__xludf.DUMMYFUNCTION("IMPORTRANGE(""https://docs.google.com/spreadsheets/d/""&amp;$A534&amp;""/edit#gid=156619080"",AC$3)"),1514.93)</f>
        <v>1514.93</v>
      </c>
      <c r="AD534" s="18">
        <f>IFERROR(__xludf.DUMMYFUNCTION("IMPORTRANGE(""https://docs.google.com/spreadsheets/d/""&amp;$A534&amp;""/edit#gid=156619080"",AD$3)"),1500.65)</f>
        <v>1500.65</v>
      </c>
      <c r="AE534" s="18">
        <f>IFERROR(__xludf.DUMMYFUNCTION("IMPORTRANGE(""https://docs.google.com/spreadsheets/d/""&amp;$A534&amp;""/edit#gid=156619080"",AE$3)"),1443.5)</f>
        <v>1443.5</v>
      </c>
      <c r="AF534" s="2">
        <f>IFERROR(__xludf.DUMMYFUNCTION("IMPORTRANGE(""https://docs.google.com/spreadsheets/d/""&amp;$A534&amp;""/edit#gid=156619080"",AF$3)"),1386.35)</f>
        <v>1386.35</v>
      </c>
      <c r="AG534" s="2">
        <f>IFERROR(__xludf.DUMMYFUNCTION("IMPORTRANGE(""https://docs.google.com/spreadsheets/d/""&amp;$A534&amp;""/edit#gid=156619080"",AG$3)"),1372.07)</f>
        <v>1372.07</v>
      </c>
      <c r="AH534" s="2">
        <f>IFERROR(__xludf.DUMMYFUNCTION("IMPORTRANGE(""https://docs.google.com/spreadsheets/d/""&amp;$A534&amp;""/edit#gid=156619080"",AH$3)"),1357.78)</f>
        <v>1357.78</v>
      </c>
      <c r="AI534" s="2">
        <f>IFERROR(__xludf.DUMMYFUNCTION("IMPORTRANGE(""https://docs.google.com/spreadsheets/d/""&amp;$A534&amp;""/edit#gid=156619080"",AI$3)"),1343.49)</f>
        <v>1343.49</v>
      </c>
      <c r="AJ534" s="2">
        <f>IFERROR(__xludf.DUMMYFUNCTION("IMPORTRANGE(""https://docs.google.com/spreadsheets/d/""&amp;$A534&amp;""/edit#gid=156619080"",AJ$3)"),1329.21)</f>
        <v>1329.21</v>
      </c>
      <c r="AK534" s="2" t="str">
        <f>IFERROR(__xludf.DUMMYFUNCTION("IMPORTRANGE(""https://docs.google.com/spreadsheets/d/""&amp;$A534&amp;""/edit#gid=156619080"",AK$3)"),"")</f>
        <v/>
      </c>
      <c r="AL534" s="2">
        <f>IFERROR(__xludf.DUMMYFUNCTION("IMPORTRANGE(""https://docs.google.com/spreadsheets/d/""&amp;$A534&amp;""/edit#gid=156619080"",AL$3)"),-1.0)</f>
        <v>-1</v>
      </c>
      <c r="AM534" s="2" t="str">
        <f>IFERROR(__xludf.DUMMYFUNCTION("IMPORTRANGE(""https://docs.google.com/spreadsheets/d/""&amp;$A534&amp;""/edit#gid=156619080"",AM$3)"),"")</f>
        <v/>
      </c>
      <c r="AN534" s="2">
        <f>IFERROR(__xludf.DUMMYFUNCTION("IMPORTRANGE(""https://docs.google.com/spreadsheets/d/""&amp;$A534&amp;""/edit#gid=156619080"",AN$3)"),-1.0)</f>
        <v>-1</v>
      </c>
      <c r="AO534" s="2" t="str">
        <f>IFERROR(__xludf.DUMMYFUNCTION("IMPORTRANGE(""https://docs.google.com/spreadsheets/d/""&amp;$A534&amp;""/edit#gid=156619080"",AO$3)"),"")</f>
        <v/>
      </c>
      <c r="AP534" s="2">
        <f>IFERROR(__xludf.DUMMYFUNCTION("IMPORTRANGE(""https://docs.google.com/spreadsheets/d/""&amp;$A534&amp;""/edit#gid=156619080"",AP$3)"),-1.0)</f>
        <v>-1</v>
      </c>
      <c r="AQ534" s="2" t="str">
        <f>IFERROR(__xludf.DUMMYFUNCTION("IMPORTRANGE(""https://docs.google.com/spreadsheets/d/""&amp;$A534&amp;""/edit#gid=156619080"",AQ$3)"),"")</f>
        <v/>
      </c>
      <c r="AR534" s="18">
        <f>IFERROR(__xludf.DUMMYFUNCTION("IMPORTRANGE(""https://docs.google.com/spreadsheets/d/""&amp;$A534&amp;""/edit#gid=156619080"",AR$3)"),60.0)</f>
        <v>60</v>
      </c>
      <c r="AS534" s="19" t="str">
        <f>IFERROR(__xludf.DUMMYFUNCTION("IMPORTRANGE(""https://docs.google.com/spreadsheets/d/""&amp;$A534&amp;""/edit#gid=156619080"",AS$3)"),"-70
-70
-90
-40
")</f>
        <v>-70
-70
-90
-40
</v>
      </c>
      <c r="AT534" s="18">
        <f>IFERROR(__xludf.DUMMYFUNCTION("IMPORTRANGE(""https://docs.google.com/spreadsheets/d/""&amp;$A534&amp;""/edit#gid=156619080"",AT$3)"),-76.37362637362637)</f>
        <v>-76.37362637</v>
      </c>
      <c r="AU534" s="3" t="str">
        <f>IFERROR(__xludf.DUMMYFUNCTION("IMPORTRANGE(""https://docs.google.com/spreadsheets/d/""&amp;$A534&amp;""/edit#gid=156619080"",AU$3)"),"-53.85
-53.85
-57.14
-62.09
")</f>
        <v>-53.85
-53.85
-57.14
-62.09
</v>
      </c>
      <c r="AV534" s="18">
        <f>IFERROR(__xludf.DUMMYFUNCTION("IMPORTRANGE(""https://docs.google.com/spreadsheets/d/""&amp;$A534&amp;""/edit#gid=156619080"",AV$3)"),-86.75324675324676)</f>
        <v>-86.75324675</v>
      </c>
      <c r="AW534" s="19" t="str">
        <f>IFERROR(__xludf.DUMMYFUNCTION("IMPORTRANGE(""https://docs.google.com/spreadsheets/d/""&amp;$A534&amp;""/edit#gid=156619080"",AW$3)"),"-86.36
-88.31
-88.7
-88.05
")</f>
        <v>-86.36
-88.31
-88.7
-88.05
</v>
      </c>
      <c r="AX534" s="2">
        <f>IFERROR(__xludf.DUMMYFUNCTION("IMPORTRANGE(""https://docs.google.com/spreadsheets/d/""&amp;$A534&amp;""/edit#gid=156619080"",AX$3)"),25.330000000000002)</f>
        <v>25.33</v>
      </c>
      <c r="AY534" s="2">
        <f>IFERROR(__xludf.DUMMYFUNCTION("IMPORTRANGE(""https://docs.google.com/spreadsheets/d/""&amp;$A534&amp;""/edit#gid=156619080"",AY$3)"),27.779999999999998)</f>
        <v>27.78</v>
      </c>
      <c r="AZ534" s="2">
        <f>IFERROR(__xludf.DUMMYFUNCTION("IMPORTRANGE(""https://docs.google.com/spreadsheets/d/""&amp;$A534&amp;""/edit#gid=156619080"",AZ$3)"),1387.45)</f>
        <v>1387.45</v>
      </c>
      <c r="BA534" s="2">
        <f>IFERROR(__xludf.DUMMYFUNCTION("IMPORTRANGE(""https://docs.google.com/spreadsheets/d/""&amp;$A534&amp;""/edit#gid=156619080"",BA$3)"),-54.899999999999864)</f>
        <v>-54.9</v>
      </c>
      <c r="BB534" s="2">
        <f>IFERROR(__xludf.DUMMYFUNCTION("IMPORTRANGE(""https://docs.google.com/spreadsheets/d/""&amp;$A534&amp;""/edit#gid=156619080"",BB$3)"),-56.91)</f>
        <v>-56.91</v>
      </c>
      <c r="BC534" s="2" t="str">
        <f>IFERROR(__xludf.DUMMYFUNCTION("IMPORTRANGE(""https://docs.google.com/spreadsheets/d/""&amp;$A534&amp;""/edit#gid=156619080"",BC$3)"),"DC→GC")</f>
        <v>DC→GC</v>
      </c>
    </row>
    <row r="535" ht="51.0" customHeight="1">
      <c r="A535" s="7" t="str">
        <f t="shared" si="5"/>
        <v>1KRXYUegRDPMu-fWyD4dqBh2Y-Cx2AaoX5Q1qQ5vi6EA</v>
      </c>
      <c r="B535" s="1" t="s">
        <v>562</v>
      </c>
      <c r="C535" s="2">
        <f>IFERROR(__xludf.DUMMYFUNCTION("IMPORTRANGE(""https://docs.google.com/spreadsheets/d/""&amp;$A535&amp;""/edit#gid=156619080"",C$3)"),87.0)</f>
        <v>87</v>
      </c>
      <c r="D535" s="2">
        <f>IFERROR(__xludf.DUMMYFUNCTION("IMPORTRANGE(""https://docs.google.com/spreadsheets/d/""&amp;$A535&amp;""/edit#gid=156619080"",D$3)"),7821.0)</f>
        <v>7821</v>
      </c>
      <c r="E535" s="15">
        <f>IFERROR(__xludf.DUMMYFUNCTION("IMPORTRANGE(""https://docs.google.com/spreadsheets/d/""&amp;$A535&amp;""/edit#gid=156619080"",E$3)"),43882.0)</f>
        <v>43882</v>
      </c>
      <c r="F535" s="2">
        <f>IFERROR(__xludf.DUMMYFUNCTION("IMPORTRANGE(""https://docs.google.com/spreadsheets/d/""&amp;$A535&amp;""/edit#gid=156619080"",F$3)"),91.0)</f>
        <v>91</v>
      </c>
      <c r="G535" s="16">
        <f>IFERROR(__xludf.DUMMYFUNCTION("IMPORTRANGE(""https://docs.google.com/spreadsheets/d/""&amp;$A535&amp;""/edit#gid=156619080"",G$3)"),4.27)</f>
        <v>4.27</v>
      </c>
      <c r="H535" s="16">
        <f>IFERROR(__xludf.DUMMYFUNCTION("IMPORTRANGE(""https://docs.google.com/spreadsheets/d/""&amp;$A535&amp;""/edit#gid=156619080"",H$3)"),2112.0)</f>
        <v>2112</v>
      </c>
      <c r="I535" s="16">
        <f>IFERROR(__xludf.DUMMYFUNCTION("IMPORTRANGE(""https://docs.google.com/spreadsheets/d/""&amp;$A535&amp;""/edit#gid=156619080"",I$3)"),110.0)</f>
        <v>110</v>
      </c>
      <c r="J535" s="16">
        <f>IFERROR(__xludf.DUMMYFUNCTION("IMPORTRANGE(""https://docs.google.com/spreadsheets/d/""&amp;$A535&amp;""/edit#gid=156619080"",J$3)"),2230.0)</f>
        <v>2230</v>
      </c>
      <c r="K535" s="16">
        <f>IFERROR(__xludf.DUMMYFUNCTION("IMPORTRANGE(""https://docs.google.com/spreadsheets/d/""&amp;$A535&amp;""/edit#gid=156619080"",K$3)"),0.6104166666666667)</f>
        <v>0.6104166667</v>
      </c>
      <c r="L535" s="16">
        <f>IFERROR(__xludf.DUMMYFUNCTION("IMPORTRANGE(""https://docs.google.com/spreadsheets/d/""&amp;$A535&amp;""/edit#gid=156619080"",L$3)"),2110.0)</f>
        <v>2110</v>
      </c>
      <c r="M535" s="16">
        <f>IFERROR(__xludf.DUMMYFUNCTION("IMPORTRANGE(""https://docs.google.com/spreadsheets/d/""&amp;$A535&amp;""/edit#gid=156619080"",M$3)"),0.375)</f>
        <v>0.375</v>
      </c>
      <c r="N535" s="16">
        <f>IFERROR(__xludf.DUMMYFUNCTION("IMPORTRANGE(""https://docs.google.com/spreadsheets/d/""&amp;$A535&amp;""/edit#gid=156619080"",N$3)"),2222.0)</f>
        <v>2222</v>
      </c>
      <c r="O535" s="16" t="str">
        <f>IFERROR(__xludf.DUMMYFUNCTION("IMPORTRANGE(""https://docs.google.com/spreadsheets/d/""&amp;$A535&amp;""/edit#gid=156619080"",O$3)"),"170900株")</f>
        <v>170900株</v>
      </c>
      <c r="P535" s="16" t="str">
        <f>IFERROR(__xludf.DUMMYFUNCTION("IMPORTRANGE(""https://docs.google.com/spreadsheets/d/""&amp;$A535&amp;""/edit#gid=156619080"",P$3)"),"376百万円")</f>
        <v>376百万円</v>
      </c>
      <c r="Q535" s="16" t="str">
        <f>IFERROR(__xludf.DUMMYFUNCTION("IMPORTRANGE(""https://docs.google.com/spreadsheets/d/""&amp;$A535&amp;""/edit#gid=156619080"",Q$3)"),"814回")</f>
        <v>814回</v>
      </c>
      <c r="R535" s="16" t="str">
        <f>IFERROR(__xludf.DUMMYFUNCTION("IMPORTRANGE(""https://docs.google.com/spreadsheets/d/""&amp;$A535&amp;""/edit#gid=156619080"",R$3)"),"717億円")</f>
        <v>717億円</v>
      </c>
      <c r="S535" s="16" t="str">
        <f>IFERROR(__xludf.DUMMYFUNCTION("IMPORTRANGE(""https://docs.google.com/spreadsheets/d/""&amp;$A535&amp;""/edit#gid=156619080"",S$3)"),"陽線")</f>
        <v>陽線</v>
      </c>
      <c r="T535" s="16" t="str">
        <f>IFERROR(__xludf.DUMMYFUNCTION("IMPORTRANGE(""https://docs.google.com/spreadsheets/d/""&amp;$A535&amp;""/edit#gid=156619080"",T$3)"),"")</f>
        <v/>
      </c>
      <c r="U535" s="16">
        <f>IFERROR(__xludf.DUMMYFUNCTION("IMPORTRANGE(""https://docs.google.com/spreadsheets/d/""&amp;$A535&amp;""/edit#gid=156619080"",U$3)"),2163.8)</f>
        <v>2163.8</v>
      </c>
      <c r="V535" s="16">
        <f>IFERROR(__xludf.DUMMYFUNCTION("IMPORTRANGE(""https://docs.google.com/spreadsheets/d/""&amp;$A535&amp;""/edit#gid=156619080"",V$3)"),2169.8)</f>
        <v>2169.8</v>
      </c>
      <c r="W535" s="16">
        <f>IFERROR(__xludf.DUMMYFUNCTION("IMPORTRANGE(""https://docs.google.com/spreadsheets/d/""&amp;$A535&amp;""/edit#gid=156619080"",W$3)"),2202.0)</f>
        <v>2202</v>
      </c>
      <c r="X535" s="2" t="str">
        <f>IFERROR(__xludf.DUMMYFUNCTION("IMPORTRANGE(""https://docs.google.com/spreadsheets/d/""&amp;$A535&amp;""/edit#gid=156619080"",X$3)"),"")</f>
        <v/>
      </c>
      <c r="Y535" s="17">
        <f>IFERROR(__xludf.DUMMYFUNCTION("IMPORTRANGE(""https://docs.google.com/spreadsheets/d/""&amp;$A535&amp;""/edit#gid=156619080"",Y$3)"),0.02689712542748859)</f>
        <v>0.02689712543</v>
      </c>
      <c r="Z535" s="2">
        <f>IFERROR(__xludf.DUMMYFUNCTION("IMPORTRANGE(""https://docs.google.com/spreadsheets/d/""&amp;$A535&amp;""/edit#gid=156619080"",Z$3)"),2343.85)</f>
        <v>2343.85</v>
      </c>
      <c r="AA535" s="2">
        <f>IFERROR(__xludf.DUMMYFUNCTION("IMPORTRANGE(""https://docs.google.com/spreadsheets/d/""&amp;$A535&amp;""/edit#gid=156619080"",AA$3)"),2326.12)</f>
        <v>2326.12</v>
      </c>
      <c r="AB535" s="2">
        <f>IFERROR(__xludf.DUMMYFUNCTION("IMPORTRANGE(""https://docs.google.com/spreadsheets/d/""&amp;$A535&amp;""/edit#gid=156619080"",AB$3)"),2308.38)</f>
        <v>2308.38</v>
      </c>
      <c r="AC535" s="18">
        <f>IFERROR(__xludf.DUMMYFUNCTION("IMPORTRANGE(""https://docs.google.com/spreadsheets/d/""&amp;$A535&amp;""/edit#gid=156619080"",AC$3)"),2290.65)</f>
        <v>2290.65</v>
      </c>
      <c r="AD535" s="18">
        <f>IFERROR(__xludf.DUMMYFUNCTION("IMPORTRANGE(""https://docs.google.com/spreadsheets/d/""&amp;$A535&amp;""/edit#gid=156619080"",AD$3)"),2272.92)</f>
        <v>2272.92</v>
      </c>
      <c r="AE535" s="18">
        <f>IFERROR(__xludf.DUMMYFUNCTION("IMPORTRANGE(""https://docs.google.com/spreadsheets/d/""&amp;$A535&amp;""/edit#gid=156619080"",AE$3)"),2202.0)</f>
        <v>2202</v>
      </c>
      <c r="AF535" s="2">
        <f>IFERROR(__xludf.DUMMYFUNCTION("IMPORTRANGE(""https://docs.google.com/spreadsheets/d/""&amp;$A535&amp;""/edit#gid=156619080"",AF$3)"),2131.08)</f>
        <v>2131.08</v>
      </c>
      <c r="AG535" s="2">
        <f>IFERROR(__xludf.DUMMYFUNCTION("IMPORTRANGE(""https://docs.google.com/spreadsheets/d/""&amp;$A535&amp;""/edit#gid=156619080"",AG$3)"),2113.35)</f>
        <v>2113.35</v>
      </c>
      <c r="AH535" s="2">
        <f>IFERROR(__xludf.DUMMYFUNCTION("IMPORTRANGE(""https://docs.google.com/spreadsheets/d/""&amp;$A535&amp;""/edit#gid=156619080"",AH$3)"),2095.62)</f>
        <v>2095.62</v>
      </c>
      <c r="AI535" s="2">
        <f>IFERROR(__xludf.DUMMYFUNCTION("IMPORTRANGE(""https://docs.google.com/spreadsheets/d/""&amp;$A535&amp;""/edit#gid=156619080"",AI$3)"),2077.88)</f>
        <v>2077.88</v>
      </c>
      <c r="AJ535" s="2">
        <f>IFERROR(__xludf.DUMMYFUNCTION("IMPORTRANGE(""https://docs.google.com/spreadsheets/d/""&amp;$A535&amp;""/edit#gid=156619080"",AJ$3)"),2060.15)</f>
        <v>2060.15</v>
      </c>
      <c r="AK535" s="2" t="str">
        <f>IFERROR(__xludf.DUMMYFUNCTION("IMPORTRANGE(""https://docs.google.com/spreadsheets/d/""&amp;$A535&amp;""/edit#gid=156619080"",AK$3)"),"")</f>
        <v/>
      </c>
      <c r="AL535" s="2">
        <f>IFERROR(__xludf.DUMMYFUNCTION("IMPORTRANGE(""https://docs.google.com/spreadsheets/d/""&amp;$A535&amp;""/edit#gid=156619080"",AL$3)"),-1.0)</f>
        <v>-1</v>
      </c>
      <c r="AM535" s="2" t="str">
        <f>IFERROR(__xludf.DUMMYFUNCTION("IMPORTRANGE(""https://docs.google.com/spreadsheets/d/""&amp;$A535&amp;""/edit#gid=156619080"",AM$3)"),"")</f>
        <v/>
      </c>
      <c r="AN535" s="2">
        <f>IFERROR(__xludf.DUMMYFUNCTION("IMPORTRANGE(""https://docs.google.com/spreadsheets/d/""&amp;$A535&amp;""/edit#gid=156619080"",AN$3)"),-1.0)</f>
        <v>-1</v>
      </c>
      <c r="AO535" s="2" t="str">
        <f>IFERROR(__xludf.DUMMYFUNCTION("IMPORTRANGE(""https://docs.google.com/spreadsheets/d/""&amp;$A535&amp;""/edit#gid=156619080"",AO$3)"),"")</f>
        <v/>
      </c>
      <c r="AP535" s="2">
        <f>IFERROR(__xludf.DUMMYFUNCTION("IMPORTRANGE(""https://docs.google.com/spreadsheets/d/""&amp;$A535&amp;""/edit#gid=156619080"",AP$3)"),-1.0)</f>
        <v>-1</v>
      </c>
      <c r="AQ535" s="2" t="str">
        <f>IFERROR(__xludf.DUMMYFUNCTION("IMPORTRANGE(""https://docs.google.com/spreadsheets/d/""&amp;$A535&amp;""/edit#gid=156619080"",AQ$3)"),"")</f>
        <v/>
      </c>
      <c r="AR535" s="18">
        <f>IFERROR(__xludf.DUMMYFUNCTION("IMPORTRANGE(""https://docs.google.com/spreadsheets/d/""&amp;$A535&amp;""/edit#gid=156619080"",AR$3)"),95.0)</f>
        <v>95</v>
      </c>
      <c r="AS535" s="19" t="str">
        <f>IFERROR(__xludf.DUMMYFUNCTION("IMPORTRANGE(""https://docs.google.com/spreadsheets/d/""&amp;$A535&amp;""/edit#gid=156619080"",AS$3)"),"-5
95
95
95
")</f>
        <v>-5
95
95
95
</v>
      </c>
      <c r="AT535" s="18">
        <f>IFERROR(__xludf.DUMMYFUNCTION("IMPORTRANGE(""https://docs.google.com/spreadsheets/d/""&amp;$A535&amp;""/edit#gid=156619080"",AT$3)"),-35.98901098901099)</f>
        <v>-35.98901099</v>
      </c>
      <c r="AU535" s="3" t="str">
        <f>IFERROR(__xludf.DUMMYFUNCTION("IMPORTRANGE(""https://docs.google.com/spreadsheets/d/""&amp;$A535&amp;""/edit#gid=156619080"",AU$3)"),"-68.41
-74.45
-74.45
-60.16
")</f>
        <v>-68.41
-74.45
-74.45
-60.16
</v>
      </c>
      <c r="AV535" s="18">
        <f>IFERROR(__xludf.DUMMYFUNCTION("IMPORTRANGE(""https://docs.google.com/spreadsheets/d/""&amp;$A535&amp;""/edit#gid=156619080"",AV$3)"),-57.98701298701299)</f>
        <v>-57.98701299</v>
      </c>
      <c r="AW535" s="19" t="str">
        <f>IFERROR(__xludf.DUMMYFUNCTION("IMPORTRANGE(""https://docs.google.com/spreadsheets/d/""&amp;$A535&amp;""/edit#gid=156619080"",AW$3)"),"-30.32
-42.66
-51.36
-55.91
")</f>
        <v>-30.32
-42.66
-51.36
-55.91
</v>
      </c>
      <c r="AX535" s="2">
        <f>IFERROR(__xludf.DUMMYFUNCTION("IMPORTRANGE(""https://docs.google.com/spreadsheets/d/""&amp;$A535&amp;""/edit#gid=156619080"",AX$3)"),100.0)</f>
        <v>100</v>
      </c>
      <c r="AY535" s="2">
        <f>IFERROR(__xludf.DUMMYFUNCTION("IMPORTRANGE(""https://docs.google.com/spreadsheets/d/""&amp;$A535&amp;""/edit#gid=156619080"",AY$3)"),47.370000000000005)</f>
        <v>47.37</v>
      </c>
      <c r="AZ535" s="2">
        <f>IFERROR(__xludf.DUMMYFUNCTION("IMPORTRANGE(""https://docs.google.com/spreadsheets/d/""&amp;$A535&amp;""/edit#gid=156619080"",AZ$3)"),2179.61)</f>
        <v>2179.61</v>
      </c>
      <c r="BA535" s="2">
        <f>IFERROR(__xludf.DUMMYFUNCTION("IMPORTRANGE(""https://docs.google.com/spreadsheets/d/""&amp;$A535&amp;""/edit#gid=156619080"",BA$3)"),-2.799999999999727)</f>
        <v>-2.8</v>
      </c>
      <c r="BB535" s="2">
        <f>IFERROR(__xludf.DUMMYFUNCTION("IMPORTRANGE(""https://docs.google.com/spreadsheets/d/""&amp;$A535&amp;""/edit#gid=156619080"",BB$3)"),-23.1)</f>
        <v>-23.1</v>
      </c>
      <c r="BC535" s="2" t="str">
        <f>IFERROR(__xludf.DUMMYFUNCTION("IMPORTRANGE(""https://docs.google.com/spreadsheets/d/""&amp;$A535&amp;""/edit#gid=156619080"",BC$3)"),"GC→GC")</f>
        <v>GC→GC</v>
      </c>
    </row>
    <row r="536" ht="51.0" customHeight="1">
      <c r="A536" s="7" t="str">
        <f t="shared" si="5"/>
        <v>1vmfsevV4TWIzGWFfn76aGgMOo6gJHZtWkdXi_HLezdU</v>
      </c>
      <c r="B536" s="1" t="s">
        <v>563</v>
      </c>
      <c r="C536" s="2">
        <f>IFERROR(__xludf.DUMMYFUNCTION("IMPORTRANGE(""https://docs.google.com/spreadsheets/d/""&amp;$A536&amp;""/edit#gid=156619080"",C$3)"),45.0)</f>
        <v>45</v>
      </c>
      <c r="D536" s="2">
        <f>IFERROR(__xludf.DUMMYFUNCTION("IMPORTRANGE(""https://docs.google.com/spreadsheets/d/""&amp;$A536&amp;""/edit#gid=156619080"",D$3)"),9991.0)</f>
        <v>9991</v>
      </c>
      <c r="E536" s="15">
        <f>IFERROR(__xludf.DUMMYFUNCTION("IMPORTRANGE(""https://docs.google.com/spreadsheets/d/""&amp;$A536&amp;""/edit#gid=156619080"",E$3)"),43882.0)</f>
        <v>43882</v>
      </c>
      <c r="F536" s="2">
        <f>IFERROR(__xludf.DUMMYFUNCTION("IMPORTRANGE(""https://docs.google.com/spreadsheets/d/""&amp;$A536&amp;""/edit#gid=156619080"",F$3)"),7.0)</f>
        <v>7</v>
      </c>
      <c r="G536" s="16">
        <f>IFERROR(__xludf.DUMMYFUNCTION("IMPORTRANGE(""https://docs.google.com/spreadsheets/d/""&amp;$A536&amp;""/edit#gid=156619080"",G$3)"),0.68)</f>
        <v>0.68</v>
      </c>
      <c r="H536" s="16">
        <f>IFERROR(__xludf.DUMMYFUNCTION("IMPORTRANGE(""https://docs.google.com/spreadsheets/d/""&amp;$A536&amp;""/edit#gid=156619080"",H$3)"),1031.0)</f>
        <v>1031</v>
      </c>
      <c r="I536" s="16">
        <f>IFERROR(__xludf.DUMMYFUNCTION("IMPORTRANGE(""https://docs.google.com/spreadsheets/d/""&amp;$A536&amp;""/edit#gid=156619080"",I$3)"),3.0)</f>
        <v>3</v>
      </c>
      <c r="J536" s="16">
        <f>IFERROR(__xludf.DUMMYFUNCTION("IMPORTRANGE(""https://docs.google.com/spreadsheets/d/""&amp;$A536&amp;""/edit#gid=156619080"",J$3)"),1050.0)</f>
        <v>1050</v>
      </c>
      <c r="K536" s="16">
        <f>IFERROR(__xludf.DUMMYFUNCTION("IMPORTRANGE(""https://docs.google.com/spreadsheets/d/""&amp;$A536&amp;""/edit#gid=156619080"",K$3)"),0.3840277777777778)</f>
        <v>0.3840277778</v>
      </c>
      <c r="L536" s="16">
        <f>IFERROR(__xludf.DUMMYFUNCTION("IMPORTRANGE(""https://docs.google.com/spreadsheets/d/""&amp;$A536&amp;""/edit#gid=156619080"",L$3)"),1031.0)</f>
        <v>1031</v>
      </c>
      <c r="M536" s="16">
        <f>IFERROR(__xludf.DUMMYFUNCTION("IMPORTRANGE(""https://docs.google.com/spreadsheets/d/""&amp;$A536&amp;""/edit#gid=156619080"",M$3)"),0.375)</f>
        <v>0.375</v>
      </c>
      <c r="N536" s="16">
        <f>IFERROR(__xludf.DUMMYFUNCTION("IMPORTRANGE(""https://docs.google.com/spreadsheets/d/""&amp;$A536&amp;""/edit#gid=156619080"",N$3)"),1041.0)</f>
        <v>1041</v>
      </c>
      <c r="O536" s="16" t="str">
        <f>IFERROR(__xludf.DUMMYFUNCTION("IMPORTRANGE(""https://docs.google.com/spreadsheets/d/""&amp;$A536&amp;""/edit#gid=156619080"",O$3)"),"28000株")</f>
        <v>28000株</v>
      </c>
      <c r="P536" s="16" t="str">
        <f>IFERROR(__xludf.DUMMYFUNCTION("IMPORTRANGE(""https://docs.google.com/spreadsheets/d/""&amp;$A536&amp;""/edit#gid=156619080"",P$3)"),"29百万円")</f>
        <v>29百万円</v>
      </c>
      <c r="Q536" s="16" t="str">
        <f>IFERROR(__xludf.DUMMYFUNCTION("IMPORTRANGE(""https://docs.google.com/spreadsheets/d/""&amp;$A536&amp;""/edit#gid=156619080"",Q$3)"),"133回")</f>
        <v>133回</v>
      </c>
      <c r="R536" s="16" t="str">
        <f>IFERROR(__xludf.DUMMYFUNCTION("IMPORTRANGE(""https://docs.google.com/spreadsheets/d/""&amp;$A536&amp;""/edit#gid=156619080"",R$3)"),"379億円")</f>
        <v>379億円</v>
      </c>
      <c r="S536" s="16" t="str">
        <f>IFERROR(__xludf.DUMMYFUNCTION("IMPORTRANGE(""https://docs.google.com/spreadsheets/d/""&amp;$A536&amp;""/edit#gid=156619080"",S$3)"),"陽線")</f>
        <v>陽線</v>
      </c>
      <c r="T536" s="16" t="str">
        <f>IFERROR(__xludf.DUMMYFUNCTION("IMPORTRANGE(""https://docs.google.com/spreadsheets/d/""&amp;$A536&amp;""/edit#gid=156619080"",T$3)"),"")</f>
        <v/>
      </c>
      <c r="U536" s="16">
        <f>IFERROR(__xludf.DUMMYFUNCTION("IMPORTRANGE(""https://docs.google.com/spreadsheets/d/""&amp;$A536&amp;""/edit#gid=156619080"",U$3)"),1027.4)</f>
        <v>1027.4</v>
      </c>
      <c r="V536" s="16">
        <f>IFERROR(__xludf.DUMMYFUNCTION("IMPORTRANGE(""https://docs.google.com/spreadsheets/d/""&amp;$A536&amp;""/edit#gid=156619080"",V$3)"),1054.9)</f>
        <v>1054.9</v>
      </c>
      <c r="W536" s="16">
        <f>IFERROR(__xludf.DUMMYFUNCTION("IMPORTRANGE(""https://docs.google.com/spreadsheets/d/""&amp;$A536&amp;""/edit#gid=156619080"",W$3)"),1068.7)</f>
        <v>1068.7</v>
      </c>
      <c r="X536" s="2" t="str">
        <f>IFERROR(__xludf.DUMMYFUNCTION("IMPORTRANGE(""https://docs.google.com/spreadsheets/d/""&amp;$A536&amp;""/edit#gid=156619080"",X$3)"),"")</f>
        <v/>
      </c>
      <c r="Y536" s="17">
        <f>IFERROR(__xludf.DUMMYFUNCTION("IMPORTRANGE(""https://docs.google.com/spreadsheets/d/""&amp;$A536&amp;""/edit#gid=156619080"",Y$3)"),0.01323729803387182)</f>
        <v>0.01323729803</v>
      </c>
      <c r="Z536" s="2">
        <f>IFERROR(__xludf.DUMMYFUNCTION("IMPORTRANGE(""https://docs.google.com/spreadsheets/d/""&amp;$A536&amp;""/edit#gid=156619080"",Z$3)"),1127.21)</f>
        <v>1127.21</v>
      </c>
      <c r="AA536" s="2">
        <f>IFERROR(__xludf.DUMMYFUNCTION("IMPORTRANGE(""https://docs.google.com/spreadsheets/d/""&amp;$A536&amp;""/edit#gid=156619080"",AA$3)"),1119.9)</f>
        <v>1119.9</v>
      </c>
      <c r="AB536" s="2">
        <f>IFERROR(__xludf.DUMMYFUNCTION("IMPORTRANGE(""https://docs.google.com/spreadsheets/d/""&amp;$A536&amp;""/edit#gid=156619080"",AB$3)"),1112.58)</f>
        <v>1112.58</v>
      </c>
      <c r="AC536" s="18">
        <f>IFERROR(__xludf.DUMMYFUNCTION("IMPORTRANGE(""https://docs.google.com/spreadsheets/d/""&amp;$A536&amp;""/edit#gid=156619080"",AC$3)"),1105.27)</f>
        <v>1105.27</v>
      </c>
      <c r="AD536" s="18">
        <f>IFERROR(__xludf.DUMMYFUNCTION("IMPORTRANGE(""https://docs.google.com/spreadsheets/d/""&amp;$A536&amp;""/edit#gid=156619080"",AD$3)"),1097.96)</f>
        <v>1097.96</v>
      </c>
      <c r="AE536" s="18">
        <f>IFERROR(__xludf.DUMMYFUNCTION("IMPORTRANGE(""https://docs.google.com/spreadsheets/d/""&amp;$A536&amp;""/edit#gid=156619080"",AE$3)"),1068.7)</f>
        <v>1068.7</v>
      </c>
      <c r="AF536" s="2">
        <f>IFERROR(__xludf.DUMMYFUNCTION("IMPORTRANGE(""https://docs.google.com/spreadsheets/d/""&amp;$A536&amp;""/edit#gid=156619080"",AF$3)"),1039.44)</f>
        <v>1039.44</v>
      </c>
      <c r="AG536" s="2">
        <f>IFERROR(__xludf.DUMMYFUNCTION("IMPORTRANGE(""https://docs.google.com/spreadsheets/d/""&amp;$A536&amp;""/edit#gid=156619080"",AG$3)"),1032.13)</f>
        <v>1032.13</v>
      </c>
      <c r="AH536" s="2">
        <f>IFERROR(__xludf.DUMMYFUNCTION("IMPORTRANGE(""https://docs.google.com/spreadsheets/d/""&amp;$A536&amp;""/edit#gid=156619080"",AH$3)"),1024.82)</f>
        <v>1024.82</v>
      </c>
      <c r="AI536" s="2">
        <f>IFERROR(__xludf.DUMMYFUNCTION("IMPORTRANGE(""https://docs.google.com/spreadsheets/d/""&amp;$A536&amp;""/edit#gid=156619080"",AI$3)"),1017.5)</f>
        <v>1017.5</v>
      </c>
      <c r="AJ536" s="2">
        <f>IFERROR(__xludf.DUMMYFUNCTION("IMPORTRANGE(""https://docs.google.com/spreadsheets/d/""&amp;$A536&amp;""/edit#gid=156619080"",AJ$3)"),1010.19)</f>
        <v>1010.19</v>
      </c>
      <c r="AK536" s="2" t="str">
        <f>IFERROR(__xludf.DUMMYFUNCTION("IMPORTRANGE(""https://docs.google.com/spreadsheets/d/""&amp;$A536&amp;""/edit#gid=156619080"",AK$3)"),"")</f>
        <v/>
      </c>
      <c r="AL536" s="2">
        <f>IFERROR(__xludf.DUMMYFUNCTION("IMPORTRANGE(""https://docs.google.com/spreadsheets/d/""&amp;$A536&amp;""/edit#gid=156619080"",AL$3)"),-1.0)</f>
        <v>-1</v>
      </c>
      <c r="AM536" s="2" t="str">
        <f>IFERROR(__xludf.DUMMYFUNCTION("IMPORTRANGE(""https://docs.google.com/spreadsheets/d/""&amp;$A536&amp;""/edit#gid=156619080"",AM$3)"),"")</f>
        <v/>
      </c>
      <c r="AN536" s="2">
        <f>IFERROR(__xludf.DUMMYFUNCTION("IMPORTRANGE(""https://docs.google.com/spreadsheets/d/""&amp;$A536&amp;""/edit#gid=156619080"",AN$3)"),-1.0)</f>
        <v>-1</v>
      </c>
      <c r="AO536" s="2" t="str">
        <f>IFERROR(__xludf.DUMMYFUNCTION("IMPORTRANGE(""https://docs.google.com/spreadsheets/d/""&amp;$A536&amp;""/edit#gid=156619080"",AO$3)"),"")</f>
        <v/>
      </c>
      <c r="AP536" s="2">
        <f>IFERROR(__xludf.DUMMYFUNCTION("IMPORTRANGE(""https://docs.google.com/spreadsheets/d/""&amp;$A536&amp;""/edit#gid=156619080"",AP$3)"),-1.0)</f>
        <v>-1</v>
      </c>
      <c r="AQ536" s="2" t="str">
        <f>IFERROR(__xludf.DUMMYFUNCTION("IMPORTRANGE(""https://docs.google.com/spreadsheets/d/""&amp;$A536&amp;""/edit#gid=156619080"",AQ$3)"),"")</f>
        <v/>
      </c>
      <c r="AR536" s="18">
        <f>IFERROR(__xludf.DUMMYFUNCTION("IMPORTRANGE(""https://docs.google.com/spreadsheets/d/""&amp;$A536&amp;""/edit#gid=156619080"",AR$3)"),40.0)</f>
        <v>40</v>
      </c>
      <c r="AS536" s="19" t="str">
        <f>IFERROR(__xludf.DUMMYFUNCTION("IMPORTRANGE(""https://docs.google.com/spreadsheets/d/""&amp;$A536&amp;""/edit#gid=156619080"",AS$3)"),"-100
-100
-90
-60
")</f>
        <v>-100
-100
-90
-60
</v>
      </c>
      <c r="AT536" s="18">
        <f>IFERROR(__xludf.DUMMYFUNCTION("IMPORTRANGE(""https://docs.google.com/spreadsheets/d/""&amp;$A536&amp;""/edit#gid=156619080"",AT$3)"),-70.87912087912088)</f>
        <v>-70.87912088</v>
      </c>
      <c r="AU536" s="3" t="str">
        <f>IFERROR(__xludf.DUMMYFUNCTION("IMPORTRANGE(""https://docs.google.com/spreadsheets/d/""&amp;$A536&amp;""/edit#gid=156619080"",AU$3)"),"-40.25
-40.25
-50
-56.59
")</f>
        <v>-40.25
-40.25
-50
-56.59
</v>
      </c>
      <c r="AV536" s="18">
        <f>IFERROR(__xludf.DUMMYFUNCTION("IMPORTRANGE(""https://docs.google.com/spreadsheets/d/""&amp;$A536&amp;""/edit#gid=156619080"",AV$3)"),-82.5)</f>
        <v>-82.5</v>
      </c>
      <c r="AW536" s="19" t="str">
        <f>IFERROR(__xludf.DUMMYFUNCTION("IMPORTRANGE(""https://docs.google.com/spreadsheets/d/""&amp;$A536&amp;""/edit#gid=156619080"",AW$3)"),"-80.81
-83.67
-84.06
-83.67
")</f>
        <v>-80.81
-83.67
-84.06
-83.67
</v>
      </c>
      <c r="AX536" s="2">
        <f>IFERROR(__xludf.DUMMYFUNCTION("IMPORTRANGE(""https://docs.google.com/spreadsheets/d/""&amp;$A536&amp;""/edit#gid=156619080"",AX$3)"),37.5)</f>
        <v>37.5</v>
      </c>
      <c r="AY536" s="2">
        <f>IFERROR(__xludf.DUMMYFUNCTION("IMPORTRANGE(""https://docs.google.com/spreadsheets/d/""&amp;$A536&amp;""/edit#gid=156619080"",AY$3)"),33.98)</f>
        <v>33.98</v>
      </c>
      <c r="AZ536" s="2">
        <f>IFERROR(__xludf.DUMMYFUNCTION("IMPORTRANGE(""https://docs.google.com/spreadsheets/d/""&amp;$A536&amp;""/edit#gid=156619080"",AZ$3)"),1036.07)</f>
        <v>1036.07</v>
      </c>
      <c r="BA536" s="2">
        <f>IFERROR(__xludf.DUMMYFUNCTION("IMPORTRANGE(""https://docs.google.com/spreadsheets/d/""&amp;$A536&amp;""/edit#gid=156619080"",BA$3)"),-25.62000000000012)</f>
        <v>-25.62</v>
      </c>
      <c r="BB536" s="2">
        <f>IFERROR(__xludf.DUMMYFUNCTION("IMPORTRANGE(""https://docs.google.com/spreadsheets/d/""&amp;$A536&amp;""/edit#gid=156619080"",BB$3)"),-17.85)</f>
        <v>-17.85</v>
      </c>
      <c r="BC536" s="2" t="str">
        <f>IFERROR(__xludf.DUMMYFUNCTION("IMPORTRANGE(""https://docs.google.com/spreadsheets/d/""&amp;$A536&amp;""/edit#gid=156619080"",BC$3)"),"DC→DC")</f>
        <v>DC→DC</v>
      </c>
    </row>
    <row r="537" ht="51.0" customHeight="1">
      <c r="A537" s="7" t="str">
        <f t="shared" si="5"/>
        <v>10R_v12k4-dr7DxtTax76e52f1WQH8V4zMdFWrPSzHyM</v>
      </c>
      <c r="B537" s="1" t="s">
        <v>564</v>
      </c>
      <c r="C537" s="2">
        <f>IFERROR(__xludf.DUMMYFUNCTION("IMPORTRANGE(""https://docs.google.com/spreadsheets/d/""&amp;$A537&amp;""/edit#gid=156619080"",C$3)"),45.0)</f>
        <v>45</v>
      </c>
      <c r="D537" s="2">
        <f>IFERROR(__xludf.DUMMYFUNCTION("IMPORTRANGE(""https://docs.google.com/spreadsheets/d/""&amp;$A537&amp;""/edit#gid=156619080"",D$3)"),1417.0)</f>
        <v>1417</v>
      </c>
      <c r="E537" s="15">
        <f>IFERROR(__xludf.DUMMYFUNCTION("IMPORTRANGE(""https://docs.google.com/spreadsheets/d/""&amp;$A537&amp;""/edit#gid=156619080"",E$3)"),43882.0)</f>
        <v>43882</v>
      </c>
      <c r="F537" s="2">
        <f>IFERROR(__xludf.DUMMYFUNCTION("IMPORTRANGE(""https://docs.google.com/spreadsheets/d/""&amp;$A537&amp;""/edit#gid=156619080"",F$3)"),17.0)</f>
        <v>17</v>
      </c>
      <c r="G537" s="16">
        <f>IFERROR(__xludf.DUMMYFUNCTION("IMPORTRANGE(""https://docs.google.com/spreadsheets/d/""&amp;$A537&amp;""/edit#gid=156619080"",G$3)"),1.13)</f>
        <v>1.13</v>
      </c>
      <c r="H537" s="16">
        <f>IFERROR(__xludf.DUMMYFUNCTION("IMPORTRANGE(""https://docs.google.com/spreadsheets/d/""&amp;$A537&amp;""/edit#gid=156619080"",H$3)"),1508.0)</f>
        <v>1508</v>
      </c>
      <c r="I537" s="16">
        <f>IFERROR(__xludf.DUMMYFUNCTION("IMPORTRANGE(""https://docs.google.com/spreadsheets/d/""&amp;$A537&amp;""/edit#gid=156619080"",I$3)"),2.0)</f>
        <v>2</v>
      </c>
      <c r="J537" s="16">
        <f>IFERROR(__xludf.DUMMYFUNCTION("IMPORTRANGE(""https://docs.google.com/spreadsheets/d/""&amp;$A537&amp;""/edit#gid=156619080"",J$3)"),1535.0)</f>
        <v>1535</v>
      </c>
      <c r="K537" s="16">
        <f>IFERROR(__xludf.DUMMYFUNCTION("IMPORTRANGE(""https://docs.google.com/spreadsheets/d/""&amp;$A537&amp;""/edit#gid=156619080"",K$3)"),0.5208333333333334)</f>
        <v>0.5208333333</v>
      </c>
      <c r="L537" s="16">
        <f>IFERROR(__xludf.DUMMYFUNCTION("IMPORTRANGE(""https://docs.google.com/spreadsheets/d/""&amp;$A537&amp;""/edit#gid=156619080"",L$3)"),1507.0)</f>
        <v>1507</v>
      </c>
      <c r="M537" s="16">
        <f>IFERROR(__xludf.DUMMYFUNCTION("IMPORTRANGE(""https://docs.google.com/spreadsheets/d/""&amp;$A537&amp;""/edit#gid=156619080"",M$3)"),0.3798611111111111)</f>
        <v>0.3798611111</v>
      </c>
      <c r="N537" s="16">
        <f>IFERROR(__xludf.DUMMYFUNCTION("IMPORTRANGE(""https://docs.google.com/spreadsheets/d/""&amp;$A537&amp;""/edit#gid=156619080"",N$3)"),1527.0)</f>
        <v>1527</v>
      </c>
      <c r="O537" s="16" t="str">
        <f>IFERROR(__xludf.DUMMYFUNCTION("IMPORTRANGE(""https://docs.google.com/spreadsheets/d/""&amp;$A537&amp;""/edit#gid=156619080"",O$3)"),"259600株")</f>
        <v>259600株</v>
      </c>
      <c r="P537" s="16" t="str">
        <f>IFERROR(__xludf.DUMMYFUNCTION("IMPORTRANGE(""https://docs.google.com/spreadsheets/d/""&amp;$A537&amp;""/edit#gid=156619080"",P$3)"),"396百万円")</f>
        <v>396百万円</v>
      </c>
      <c r="Q537" s="16" t="str">
        <f>IFERROR(__xludf.DUMMYFUNCTION("IMPORTRANGE(""https://docs.google.com/spreadsheets/d/""&amp;$A537&amp;""/edit#gid=156619080"",Q$3)"),"906回")</f>
        <v>906回</v>
      </c>
      <c r="R537" s="16" t="str">
        <f>IFERROR(__xludf.DUMMYFUNCTION("IMPORTRANGE(""https://docs.google.com/spreadsheets/d/""&amp;$A537&amp;""/edit#gid=156619080"",R$3)"),"1654億円")</f>
        <v>1654億円</v>
      </c>
      <c r="S537" s="16" t="str">
        <f>IFERROR(__xludf.DUMMYFUNCTION("IMPORTRANGE(""https://docs.google.com/spreadsheets/d/""&amp;$A537&amp;""/edit#gid=156619080"",S$3)"),"陽線")</f>
        <v>陽線</v>
      </c>
      <c r="T537" s="16" t="str">
        <f>IFERROR(__xludf.DUMMYFUNCTION("IMPORTRANGE(""https://docs.google.com/spreadsheets/d/""&amp;$A537&amp;""/edit#gid=156619080"",T$3)"),"")</f>
        <v/>
      </c>
      <c r="U537" s="16">
        <f>IFERROR(__xludf.DUMMYFUNCTION("IMPORTRANGE(""https://docs.google.com/spreadsheets/d/""&amp;$A537&amp;""/edit#gid=156619080"",U$3)"),1513.6)</f>
        <v>1513.6</v>
      </c>
      <c r="V537" s="16">
        <f>IFERROR(__xludf.DUMMYFUNCTION("IMPORTRANGE(""https://docs.google.com/spreadsheets/d/""&amp;$A537&amp;""/edit#gid=156619080"",V$3)"),1578.9)</f>
        <v>1578.9</v>
      </c>
      <c r="W537" s="16">
        <f>IFERROR(__xludf.DUMMYFUNCTION("IMPORTRANGE(""https://docs.google.com/spreadsheets/d/""&amp;$A537&amp;""/edit#gid=156619080"",W$3)"),1613.4)</f>
        <v>1613.4</v>
      </c>
      <c r="X537" s="2" t="str">
        <f>IFERROR(__xludf.DUMMYFUNCTION("IMPORTRANGE(""https://docs.google.com/spreadsheets/d/""&amp;$A537&amp;""/edit#gid=156619080"",X$3)"),"")</f>
        <v/>
      </c>
      <c r="Y537" s="17">
        <f>IFERROR(__xludf.DUMMYFUNCTION("IMPORTRANGE(""https://docs.google.com/spreadsheets/d/""&amp;$A537&amp;""/edit#gid=156619080"",Y$3)"),0.008853065539112111)</f>
        <v>0.008853065539</v>
      </c>
      <c r="Z537" s="2">
        <f>IFERROR(__xludf.DUMMYFUNCTION("IMPORTRANGE(""https://docs.google.com/spreadsheets/d/""&amp;$A537&amp;""/edit#gid=156619080"",Z$3)"),1746.87)</f>
        <v>1746.87</v>
      </c>
      <c r="AA537" s="2">
        <f>IFERROR(__xludf.DUMMYFUNCTION("IMPORTRANGE(""https://docs.google.com/spreadsheets/d/""&amp;$A537&amp;""/edit#gid=156619080"",AA$3)"),1730.19)</f>
        <v>1730.19</v>
      </c>
      <c r="AB537" s="2">
        <f>IFERROR(__xludf.DUMMYFUNCTION("IMPORTRANGE(""https://docs.google.com/spreadsheets/d/""&amp;$A537&amp;""/edit#gid=156619080"",AB$3)"),1713.5)</f>
        <v>1713.5</v>
      </c>
      <c r="AC537" s="18">
        <f>IFERROR(__xludf.DUMMYFUNCTION("IMPORTRANGE(""https://docs.google.com/spreadsheets/d/""&amp;$A537&amp;""/edit#gid=156619080"",AC$3)"),1696.82)</f>
        <v>1696.82</v>
      </c>
      <c r="AD537" s="18">
        <f>IFERROR(__xludf.DUMMYFUNCTION("IMPORTRANGE(""https://docs.google.com/spreadsheets/d/""&amp;$A537&amp;""/edit#gid=156619080"",AD$3)"),1680.14)</f>
        <v>1680.14</v>
      </c>
      <c r="AE537" s="18">
        <f>IFERROR(__xludf.DUMMYFUNCTION("IMPORTRANGE(""https://docs.google.com/spreadsheets/d/""&amp;$A537&amp;""/edit#gid=156619080"",AE$3)"),1613.4)</f>
        <v>1613.4</v>
      </c>
      <c r="AF537" s="2">
        <f>IFERROR(__xludf.DUMMYFUNCTION("IMPORTRANGE(""https://docs.google.com/spreadsheets/d/""&amp;$A537&amp;""/edit#gid=156619080"",AF$3)"),1546.66)</f>
        <v>1546.66</v>
      </c>
      <c r="AG537" s="2">
        <f>IFERROR(__xludf.DUMMYFUNCTION("IMPORTRANGE(""https://docs.google.com/spreadsheets/d/""&amp;$A537&amp;""/edit#gid=156619080"",AG$3)"),1529.98)</f>
        <v>1529.98</v>
      </c>
      <c r="AH537" s="2">
        <f>IFERROR(__xludf.DUMMYFUNCTION("IMPORTRANGE(""https://docs.google.com/spreadsheets/d/""&amp;$A537&amp;""/edit#gid=156619080"",AH$3)"),1513.3)</f>
        <v>1513.3</v>
      </c>
      <c r="AI537" s="2">
        <f>IFERROR(__xludf.DUMMYFUNCTION("IMPORTRANGE(""https://docs.google.com/spreadsheets/d/""&amp;$A537&amp;""/edit#gid=156619080"",AI$3)"),1496.61)</f>
        <v>1496.61</v>
      </c>
      <c r="AJ537" s="2">
        <f>IFERROR(__xludf.DUMMYFUNCTION("IMPORTRANGE(""https://docs.google.com/spreadsheets/d/""&amp;$A537&amp;""/edit#gid=156619080"",AJ$3)"),1479.93)</f>
        <v>1479.93</v>
      </c>
      <c r="AK537" s="2" t="str">
        <f>IFERROR(__xludf.DUMMYFUNCTION("IMPORTRANGE(""https://docs.google.com/spreadsheets/d/""&amp;$A537&amp;""/edit#gid=156619080"",AK$3)"),"-1.25σ〜-1.5σ")</f>
        <v>-1.25σ〜-1.5σ</v>
      </c>
      <c r="AL537" s="2">
        <f>IFERROR(__xludf.DUMMYFUNCTION("IMPORTRANGE(""https://docs.google.com/spreadsheets/d/""&amp;$A537&amp;""/edit#gid=156619080"",AL$3)"),-1.0)</f>
        <v>-1</v>
      </c>
      <c r="AM537" s="2" t="str">
        <f>IFERROR(__xludf.DUMMYFUNCTION("IMPORTRANGE(""https://docs.google.com/spreadsheets/d/""&amp;$A537&amp;""/edit#gid=156619080"",AM$3)"),"")</f>
        <v/>
      </c>
      <c r="AN537" s="2">
        <f>IFERROR(__xludf.DUMMYFUNCTION("IMPORTRANGE(""https://docs.google.com/spreadsheets/d/""&amp;$A537&amp;""/edit#gid=156619080"",AN$3)"),-1.0)</f>
        <v>-1</v>
      </c>
      <c r="AO537" s="2" t="str">
        <f>IFERROR(__xludf.DUMMYFUNCTION("IMPORTRANGE(""https://docs.google.com/spreadsheets/d/""&amp;$A537&amp;""/edit#gid=156619080"",AO$3)"),"")</f>
        <v/>
      </c>
      <c r="AP537" s="2">
        <f>IFERROR(__xludf.DUMMYFUNCTION("IMPORTRANGE(""https://docs.google.com/spreadsheets/d/""&amp;$A537&amp;""/edit#gid=156619080"",AP$3)"),-1.0)</f>
        <v>-1</v>
      </c>
      <c r="AQ537" s="2" t="str">
        <f>IFERROR(__xludf.DUMMYFUNCTION("IMPORTRANGE(""https://docs.google.com/spreadsheets/d/""&amp;$A537&amp;""/edit#gid=156619080"",AQ$3)"),"")</f>
        <v/>
      </c>
      <c r="AR537" s="18">
        <f>IFERROR(__xludf.DUMMYFUNCTION("IMPORTRANGE(""https://docs.google.com/spreadsheets/d/""&amp;$A537&amp;""/edit#gid=156619080"",AR$3)"),30.000000000000004)</f>
        <v>30</v>
      </c>
      <c r="AS537" s="19" t="str">
        <f>IFERROR(__xludf.DUMMYFUNCTION("IMPORTRANGE(""https://docs.google.com/spreadsheets/d/""&amp;$A537&amp;""/edit#gid=156619080"",AS$3)"),"-92.5
-92.5
-90
-70
")</f>
        <v>-92.5
-92.5
-90
-70
</v>
      </c>
      <c r="AT537" s="18">
        <f>IFERROR(__xludf.DUMMYFUNCTION("IMPORTRANGE(""https://docs.google.com/spreadsheets/d/""&amp;$A537&amp;""/edit#gid=156619080"",AT$3)"),-82.55494505494505)</f>
        <v>-82.55494505</v>
      </c>
      <c r="AU537" s="3" t="str">
        <f>IFERROR(__xludf.DUMMYFUNCTION("IMPORTRANGE(""https://docs.google.com/spreadsheets/d/""&amp;$A537&amp;""/edit#gid=156619080"",AU$3)"),"-70.05
-76.1
-82.14
-85.3
")</f>
        <v>-70.05
-76.1
-82.14
-85.3
</v>
      </c>
      <c r="AV537" s="18">
        <f>IFERROR(__xludf.DUMMYFUNCTION("IMPORTRANGE(""https://docs.google.com/spreadsheets/d/""&amp;$A537&amp;""/edit#gid=156619080"",AV$3)"),-89.41558441558442)</f>
        <v>-89.41558442</v>
      </c>
      <c r="AW537" s="19" t="str">
        <f>IFERROR(__xludf.DUMMYFUNCTION("IMPORTRANGE(""https://docs.google.com/spreadsheets/d/""&amp;$A537&amp;""/edit#gid=156619080"",AW$3)"),"-88.28
-90.23
-90.88
-90.71
")</f>
        <v>-88.28
-90.23
-90.88
-90.71
</v>
      </c>
      <c r="AX537" s="2">
        <f>IFERROR(__xludf.DUMMYFUNCTION("IMPORTRANGE(""https://docs.google.com/spreadsheets/d/""&amp;$A537&amp;""/edit#gid=156619080"",AX$3)"),32.35)</f>
        <v>32.35</v>
      </c>
      <c r="AY537" s="2">
        <f>IFERROR(__xludf.DUMMYFUNCTION("IMPORTRANGE(""https://docs.google.com/spreadsheets/d/""&amp;$A537&amp;""/edit#gid=156619080"",AY$3)"),28.13)</f>
        <v>28.13</v>
      </c>
      <c r="AZ537" s="2">
        <f>IFERROR(__xludf.DUMMYFUNCTION("IMPORTRANGE(""https://docs.google.com/spreadsheets/d/""&amp;$A537&amp;""/edit#gid=156619080"",AZ$3)"),1527.57)</f>
        <v>1527.57</v>
      </c>
      <c r="BA537" s="2">
        <f>IFERROR(__xludf.DUMMYFUNCTION("IMPORTRANGE(""https://docs.google.com/spreadsheets/d/""&amp;$A537&amp;""/edit#gid=156619080"",BA$3)"),-66.99000000000001)</f>
        <v>-66.99</v>
      </c>
      <c r="BB537" s="2">
        <f>IFERROR(__xludf.DUMMYFUNCTION("IMPORTRANGE(""https://docs.google.com/spreadsheets/d/""&amp;$A537&amp;""/edit#gid=156619080"",BB$3)"),-44.67)</f>
        <v>-44.67</v>
      </c>
      <c r="BC537" s="2" t="str">
        <f>IFERROR(__xludf.DUMMYFUNCTION("IMPORTRANGE(""https://docs.google.com/spreadsheets/d/""&amp;$A537&amp;""/edit#gid=156619080"",BC$3)"),"DC→DC")</f>
        <v>DC→DC</v>
      </c>
    </row>
    <row r="538" ht="51.0" customHeight="1">
      <c r="A538" s="7" t="str">
        <f t="shared" si="5"/>
        <v>17LxXRMcz8IVv2-hLgdqcY_kravLCHsjSHhbGfMDLEnI</v>
      </c>
      <c r="B538" s="1" t="s">
        <v>565</v>
      </c>
      <c r="C538" s="2">
        <f>IFERROR(__xludf.DUMMYFUNCTION("IMPORTRANGE(""https://docs.google.com/spreadsheets/d/""&amp;$A538&amp;""/edit#gid=156619080"",C$3)"),45.0)</f>
        <v>45</v>
      </c>
      <c r="D538" s="2">
        <f>IFERROR(__xludf.DUMMYFUNCTION("IMPORTRANGE(""https://docs.google.com/spreadsheets/d/""&amp;$A538&amp;""/edit#gid=156619080"",D$3)"),1789.0)</f>
        <v>1789</v>
      </c>
      <c r="E538" s="15">
        <f>IFERROR(__xludf.DUMMYFUNCTION("IMPORTRANGE(""https://docs.google.com/spreadsheets/d/""&amp;$A538&amp;""/edit#gid=156619080"",E$3)"),43882.0)</f>
        <v>43882</v>
      </c>
      <c r="F538" s="2">
        <f>IFERROR(__xludf.DUMMYFUNCTION("IMPORTRANGE(""https://docs.google.com/spreadsheets/d/""&amp;$A538&amp;""/edit#gid=156619080"",F$3)"),9.0)</f>
        <v>9</v>
      </c>
      <c r="G538" s="16">
        <f>IFERROR(__xludf.DUMMYFUNCTION("IMPORTRANGE(""https://docs.google.com/spreadsheets/d/""&amp;$A538&amp;""/edit#gid=156619080"",G$3)"),1.13)</f>
        <v>1.13</v>
      </c>
      <c r="H538" s="16">
        <f>IFERROR(__xludf.DUMMYFUNCTION("IMPORTRANGE(""https://docs.google.com/spreadsheets/d/""&amp;$A538&amp;""/edit#gid=156619080"",H$3)"),798.0)</f>
        <v>798</v>
      </c>
      <c r="I538" s="16">
        <f>IFERROR(__xludf.DUMMYFUNCTION("IMPORTRANGE(""https://docs.google.com/spreadsheets/d/""&amp;$A538&amp;""/edit#gid=156619080"",I$3)"),1.0)</f>
        <v>1</v>
      </c>
      <c r="J538" s="16">
        <f>IFERROR(__xludf.DUMMYFUNCTION("IMPORTRANGE(""https://docs.google.com/spreadsheets/d/""&amp;$A538&amp;""/edit#gid=156619080"",J$3)"),833.0)</f>
        <v>833</v>
      </c>
      <c r="K538" s="16">
        <f>IFERROR(__xludf.DUMMYFUNCTION("IMPORTRANGE(""https://docs.google.com/spreadsheets/d/""&amp;$A538&amp;""/edit#gid=156619080"",K$3)"),0.3888888888888889)</f>
        <v>0.3888888889</v>
      </c>
      <c r="L538" s="16">
        <f>IFERROR(__xludf.DUMMYFUNCTION("IMPORTRANGE(""https://docs.google.com/spreadsheets/d/""&amp;$A538&amp;""/edit#gid=156619080"",L$3)"),798.0)</f>
        <v>798</v>
      </c>
      <c r="M538" s="16">
        <f>IFERROR(__xludf.DUMMYFUNCTION("IMPORTRANGE(""https://docs.google.com/spreadsheets/d/""&amp;$A538&amp;""/edit#gid=156619080"",M$3)"),0.375)</f>
        <v>0.375</v>
      </c>
      <c r="N538" s="16">
        <f>IFERROR(__xludf.DUMMYFUNCTION("IMPORTRANGE(""https://docs.google.com/spreadsheets/d/""&amp;$A538&amp;""/edit#gid=156619080"",N$3)"),808.0)</f>
        <v>808</v>
      </c>
      <c r="O538" s="16" t="str">
        <f>IFERROR(__xludf.DUMMYFUNCTION("IMPORTRANGE(""https://docs.google.com/spreadsheets/d/""&amp;$A538&amp;""/edit#gid=156619080"",O$3)"),"28800株")</f>
        <v>28800株</v>
      </c>
      <c r="P538" s="16" t="str">
        <f>IFERROR(__xludf.DUMMYFUNCTION("IMPORTRANGE(""https://docs.google.com/spreadsheets/d/""&amp;$A538&amp;""/edit#gid=156619080"",P$3)"),"24百万円")</f>
        <v>24百万円</v>
      </c>
      <c r="Q538" s="16" t="str">
        <f>IFERROR(__xludf.DUMMYFUNCTION("IMPORTRANGE(""https://docs.google.com/spreadsheets/d/""&amp;$A538&amp;""/edit#gid=156619080"",Q$3)"),"165回")</f>
        <v>165回</v>
      </c>
      <c r="R538" s="16" t="str">
        <f>IFERROR(__xludf.DUMMYFUNCTION("IMPORTRANGE(""https://docs.google.com/spreadsheets/d/""&amp;$A538&amp;""/edit#gid=156619080"",R$3)"),"51.5億円")</f>
        <v>51.5億円</v>
      </c>
      <c r="S538" s="16" t="str">
        <f>IFERROR(__xludf.DUMMYFUNCTION("IMPORTRANGE(""https://docs.google.com/spreadsheets/d/""&amp;$A538&amp;""/edit#gid=156619080"",S$3)"),"陽線")</f>
        <v>陽線</v>
      </c>
      <c r="T538" s="16" t="str">
        <f>IFERROR(__xludf.DUMMYFUNCTION("IMPORTRANGE(""https://docs.google.com/spreadsheets/d/""&amp;$A538&amp;""/edit#gid=156619080"",T$3)"),"")</f>
        <v/>
      </c>
      <c r="U538" s="16">
        <f>IFERROR(__xludf.DUMMYFUNCTION("IMPORTRANGE(""https://docs.google.com/spreadsheets/d/""&amp;$A538&amp;""/edit#gid=156619080"",U$3)"),806.8)</f>
        <v>806.8</v>
      </c>
      <c r="V538" s="16">
        <f>IFERROR(__xludf.DUMMYFUNCTION("IMPORTRANGE(""https://docs.google.com/spreadsheets/d/""&amp;$A538&amp;""/edit#gid=156619080"",V$3)"),847.5)</f>
        <v>847.5</v>
      </c>
      <c r="W538" s="16">
        <f>IFERROR(__xludf.DUMMYFUNCTION("IMPORTRANGE(""https://docs.google.com/spreadsheets/d/""&amp;$A538&amp;""/edit#gid=156619080"",W$3)"),912.8)</f>
        <v>912.8</v>
      </c>
      <c r="X538" s="2" t="str">
        <f>IFERROR(__xludf.DUMMYFUNCTION("IMPORTRANGE(""https://docs.google.com/spreadsheets/d/""&amp;$A538&amp;""/edit#gid=156619080"",X$3)"),"")</f>
        <v/>
      </c>
      <c r="Y538" s="17">
        <f>IFERROR(__xludf.DUMMYFUNCTION("IMPORTRANGE(""https://docs.google.com/spreadsheets/d/""&amp;$A538&amp;""/edit#gid=156619080"",Y$3)"),0.0014873574615766553)</f>
        <v>0.001487357462</v>
      </c>
      <c r="Z538" s="2">
        <f>IFERROR(__xludf.DUMMYFUNCTION("IMPORTRANGE(""https://docs.google.com/spreadsheets/d/""&amp;$A538&amp;""/edit#gid=156619080"",Z$3)"),1123.53)</f>
        <v>1123.53</v>
      </c>
      <c r="AA538" s="2">
        <f>IFERROR(__xludf.DUMMYFUNCTION("IMPORTRANGE(""https://docs.google.com/spreadsheets/d/""&amp;$A538&amp;""/edit#gid=156619080"",AA$3)"),1097.19)</f>
        <v>1097.19</v>
      </c>
      <c r="AB538" s="2">
        <f>IFERROR(__xludf.DUMMYFUNCTION("IMPORTRANGE(""https://docs.google.com/spreadsheets/d/""&amp;$A538&amp;""/edit#gid=156619080"",AB$3)"),1070.85)</f>
        <v>1070.85</v>
      </c>
      <c r="AC538" s="18">
        <f>IFERROR(__xludf.DUMMYFUNCTION("IMPORTRANGE(""https://docs.google.com/spreadsheets/d/""&amp;$A538&amp;""/edit#gid=156619080"",AC$3)"),1044.51)</f>
        <v>1044.51</v>
      </c>
      <c r="AD538" s="18">
        <f>IFERROR(__xludf.DUMMYFUNCTION("IMPORTRANGE(""https://docs.google.com/spreadsheets/d/""&amp;$A538&amp;""/edit#gid=156619080"",AD$3)"),1018.16)</f>
        <v>1018.16</v>
      </c>
      <c r="AE538" s="18">
        <f>IFERROR(__xludf.DUMMYFUNCTION("IMPORTRANGE(""https://docs.google.com/spreadsheets/d/""&amp;$A538&amp;""/edit#gid=156619080"",AE$3)"),912.8)</f>
        <v>912.8</v>
      </c>
      <c r="AF538" s="2">
        <f>IFERROR(__xludf.DUMMYFUNCTION("IMPORTRANGE(""https://docs.google.com/spreadsheets/d/""&amp;$A538&amp;""/edit#gid=156619080"",AF$3)"),807.44)</f>
        <v>807.44</v>
      </c>
      <c r="AG538" s="2">
        <f>IFERROR(__xludf.DUMMYFUNCTION("IMPORTRANGE(""https://docs.google.com/spreadsheets/d/""&amp;$A538&amp;""/edit#gid=156619080"",AG$3)"),781.09)</f>
        <v>781.09</v>
      </c>
      <c r="AH538" s="2">
        <f>IFERROR(__xludf.DUMMYFUNCTION("IMPORTRANGE(""https://docs.google.com/spreadsheets/d/""&amp;$A538&amp;""/edit#gid=156619080"",AH$3)"),754.75)</f>
        <v>754.75</v>
      </c>
      <c r="AI538" s="2">
        <f>IFERROR(__xludf.DUMMYFUNCTION("IMPORTRANGE(""https://docs.google.com/spreadsheets/d/""&amp;$A538&amp;""/edit#gid=156619080"",AI$3)"),728.41)</f>
        <v>728.41</v>
      </c>
      <c r="AJ538" s="2">
        <f>IFERROR(__xludf.DUMMYFUNCTION("IMPORTRANGE(""https://docs.google.com/spreadsheets/d/""&amp;$A538&amp;""/edit#gid=156619080"",AJ$3)"),702.07)</f>
        <v>702.07</v>
      </c>
      <c r="AK538" s="2" t="str">
        <f>IFERROR(__xludf.DUMMYFUNCTION("IMPORTRANGE(""https://docs.google.com/spreadsheets/d/""&amp;$A538&amp;""/edit#gid=156619080"",AK$3)"),"")</f>
        <v/>
      </c>
      <c r="AL538" s="2">
        <f>IFERROR(__xludf.DUMMYFUNCTION("IMPORTRANGE(""https://docs.google.com/spreadsheets/d/""&amp;$A538&amp;""/edit#gid=156619080"",AL$3)"),-1.0)</f>
        <v>-1</v>
      </c>
      <c r="AM538" s="2" t="str">
        <f>IFERROR(__xludf.DUMMYFUNCTION("IMPORTRANGE(""https://docs.google.com/spreadsheets/d/""&amp;$A538&amp;""/edit#gid=156619080"",AM$3)"),"")</f>
        <v/>
      </c>
      <c r="AN538" s="2">
        <f>IFERROR(__xludf.DUMMYFUNCTION("IMPORTRANGE(""https://docs.google.com/spreadsheets/d/""&amp;$A538&amp;""/edit#gid=156619080"",AN$3)"),-1.0)</f>
        <v>-1</v>
      </c>
      <c r="AO538" s="2" t="str">
        <f>IFERROR(__xludf.DUMMYFUNCTION("IMPORTRANGE(""https://docs.google.com/spreadsheets/d/""&amp;$A538&amp;""/edit#gid=156619080"",AO$3)"),"")</f>
        <v/>
      </c>
      <c r="AP538" s="2">
        <f>IFERROR(__xludf.DUMMYFUNCTION("IMPORTRANGE(""https://docs.google.com/spreadsheets/d/""&amp;$A538&amp;""/edit#gid=156619080"",AP$3)"),-1.0)</f>
        <v>-1</v>
      </c>
      <c r="AQ538" s="2" t="str">
        <f>IFERROR(__xludf.DUMMYFUNCTION("IMPORTRANGE(""https://docs.google.com/spreadsheets/d/""&amp;$A538&amp;""/edit#gid=156619080"",AQ$3)"),"")</f>
        <v/>
      </c>
      <c r="AR538" s="18">
        <f>IFERROR(__xludf.DUMMYFUNCTION("IMPORTRANGE(""https://docs.google.com/spreadsheets/d/""&amp;$A538&amp;""/edit#gid=156619080"",AR$3)"),12.5)</f>
        <v>12.5</v>
      </c>
      <c r="AS538" s="19" t="str">
        <f>IFERROR(__xludf.DUMMYFUNCTION("IMPORTRANGE(""https://docs.google.com/spreadsheets/d/""&amp;$A538&amp;""/edit#gid=156619080"",AS$3)"),"-70
-100
-40
-20
")</f>
        <v>-70
-100
-40
-20
</v>
      </c>
      <c r="AT538" s="18">
        <f>IFERROR(__xludf.DUMMYFUNCTION("IMPORTRANGE(""https://docs.google.com/spreadsheets/d/""&amp;$A538&amp;""/edit#gid=156619080"",AT$3)"),-75.68681318681318)</f>
        <v>-75.68681319</v>
      </c>
      <c r="AU538" s="3" t="str">
        <f>IFERROR(__xludf.DUMMYFUNCTION("IMPORTRANGE(""https://docs.google.com/spreadsheets/d/""&amp;$A538&amp;""/edit#gid=156619080"",AU$3)"),"-78.71
-79.67
-77.47
-79.12
")</f>
        <v>-78.71
-79.67
-77.47
-79.12
</v>
      </c>
      <c r="AV538" s="18">
        <f>IFERROR(__xludf.DUMMYFUNCTION("IMPORTRANGE(""https://docs.google.com/spreadsheets/d/""&amp;$A538&amp;""/edit#gid=156619080"",AV$3)"),-91.2987012987013)</f>
        <v>-91.2987013</v>
      </c>
      <c r="AW538" s="19" t="str">
        <f>IFERROR(__xludf.DUMMYFUNCTION("IMPORTRANGE(""https://docs.google.com/spreadsheets/d/""&amp;$A538&amp;""/edit#gid=156619080"",AW$3)"),"-89.9
-92.76
-91.59
-92.11
")</f>
        <v>-89.9
-92.76
-91.59
-92.11
</v>
      </c>
      <c r="AX538" s="2">
        <f>IFERROR(__xludf.DUMMYFUNCTION("IMPORTRANGE(""https://docs.google.com/spreadsheets/d/""&amp;$A538&amp;""/edit#gid=156619080"",AX$3)"),44.71)</f>
        <v>44.71</v>
      </c>
      <c r="AY538" s="2">
        <f>IFERROR(__xludf.DUMMYFUNCTION("IMPORTRANGE(""https://docs.google.com/spreadsheets/d/""&amp;$A538&amp;""/edit#gid=156619080"",AY$3)"),26.3)</f>
        <v>26.3</v>
      </c>
      <c r="AZ538" s="2">
        <f>IFERROR(__xludf.DUMMYFUNCTION("IMPORTRANGE(""https://docs.google.com/spreadsheets/d/""&amp;$A538&amp;""/edit#gid=156619080"",AZ$3)"),813.6)</f>
        <v>813.6</v>
      </c>
      <c r="BA538" s="2">
        <f>IFERROR(__xludf.DUMMYFUNCTION("IMPORTRANGE(""https://docs.google.com/spreadsheets/d/""&amp;$A538&amp;""/edit#gid=156619080"",BA$3)"),-68.16999999999996)</f>
        <v>-68.17</v>
      </c>
      <c r="BB538" s="2">
        <f>IFERROR(__xludf.DUMMYFUNCTION("IMPORTRANGE(""https://docs.google.com/spreadsheets/d/""&amp;$A538&amp;""/edit#gid=156619080"",BB$3)"),-52.79)</f>
        <v>-52.79</v>
      </c>
      <c r="BC538" s="2" t="str">
        <f>IFERROR(__xludf.DUMMYFUNCTION("IMPORTRANGE(""https://docs.google.com/spreadsheets/d/""&amp;$A538&amp;""/edit#gid=156619080"",BC$3)"),"DC→DC")</f>
        <v>DC→DC</v>
      </c>
    </row>
    <row r="539" ht="51.0" customHeight="1">
      <c r="A539" s="7" t="str">
        <f t="shared" si="5"/>
        <v>1zTtwNNMCyjyzhjfjElwsCtfZ5cTy7FXfVNbh2u4A6lQ</v>
      </c>
      <c r="B539" s="1" t="s">
        <v>566</v>
      </c>
      <c r="C539" s="2">
        <f>IFERROR(__xludf.DUMMYFUNCTION("IMPORTRANGE(""https://docs.google.com/spreadsheets/d/""&amp;$A539&amp;""/edit#gid=156619080"",C$3)"),45.0)</f>
        <v>45</v>
      </c>
      <c r="D539" s="2">
        <f>IFERROR(__xludf.DUMMYFUNCTION("IMPORTRANGE(""https://docs.google.com/spreadsheets/d/""&amp;$A539&amp;""/edit#gid=156619080"",D$3)"),1951.0)</f>
        <v>1951</v>
      </c>
      <c r="E539" s="15">
        <f>IFERROR(__xludf.DUMMYFUNCTION("IMPORTRANGE(""https://docs.google.com/spreadsheets/d/""&amp;$A539&amp;""/edit#gid=156619080"",E$3)"),43882.0)</f>
        <v>43882</v>
      </c>
      <c r="F539" s="2">
        <f>IFERROR(__xludf.DUMMYFUNCTION("IMPORTRANGE(""https://docs.google.com/spreadsheets/d/""&amp;$A539&amp;""/edit#gid=156619080"",F$3)"),-4.0)</f>
        <v>-4</v>
      </c>
      <c r="G539" s="16">
        <f>IFERROR(__xludf.DUMMYFUNCTION("IMPORTRANGE(""https://docs.google.com/spreadsheets/d/""&amp;$A539&amp;""/edit#gid=156619080"",G$3)"),-0.15)</f>
        <v>-0.15</v>
      </c>
      <c r="H539" s="16">
        <f>IFERROR(__xludf.DUMMYFUNCTION("IMPORTRANGE(""https://docs.google.com/spreadsheets/d/""&amp;$A539&amp;""/edit#gid=156619080"",H$3)"),2628.0)</f>
        <v>2628</v>
      </c>
      <c r="I539" s="16">
        <f>IFERROR(__xludf.DUMMYFUNCTION("IMPORTRANGE(""https://docs.google.com/spreadsheets/d/""&amp;$A539&amp;""/edit#gid=156619080"",I$3)"),1.0)</f>
        <v>1</v>
      </c>
      <c r="J539" s="16">
        <f>IFERROR(__xludf.DUMMYFUNCTION("IMPORTRANGE(""https://docs.google.com/spreadsheets/d/""&amp;$A539&amp;""/edit#gid=156619080"",J$3)"),2672.0)</f>
        <v>2672</v>
      </c>
      <c r="K539" s="16">
        <f>IFERROR(__xludf.DUMMYFUNCTION("IMPORTRANGE(""https://docs.google.com/spreadsheets/d/""&amp;$A539&amp;""/edit#gid=156619080"",K$3)"),0.4409722222222222)</f>
        <v>0.4409722222</v>
      </c>
      <c r="L539" s="16">
        <f>IFERROR(__xludf.DUMMYFUNCTION("IMPORTRANGE(""https://docs.google.com/spreadsheets/d/""&amp;$A539&amp;""/edit#gid=156619080"",L$3)"),2618.0)</f>
        <v>2618</v>
      </c>
      <c r="M539" s="16">
        <f>IFERROR(__xludf.DUMMYFUNCTION("IMPORTRANGE(""https://docs.google.com/spreadsheets/d/""&amp;$A539&amp;""/edit#gid=156619080"",M$3)"),0.38263888888888886)</f>
        <v>0.3826388889</v>
      </c>
      <c r="N539" s="16">
        <f>IFERROR(__xludf.DUMMYFUNCTION("IMPORTRANGE(""https://docs.google.com/spreadsheets/d/""&amp;$A539&amp;""/edit#gid=156619080"",N$3)"),2625.0)</f>
        <v>2625</v>
      </c>
      <c r="O539" s="16" t="str">
        <f>IFERROR(__xludf.DUMMYFUNCTION("IMPORTRANGE(""https://docs.google.com/spreadsheets/d/""&amp;$A539&amp;""/edit#gid=156619080"",O$3)"),"619700株")</f>
        <v>619700株</v>
      </c>
      <c r="P539" s="16" t="str">
        <f>IFERROR(__xludf.DUMMYFUNCTION("IMPORTRANGE(""https://docs.google.com/spreadsheets/d/""&amp;$A539&amp;""/edit#gid=156619080"",P$3)"),"1638百万円")</f>
        <v>1638百万円</v>
      </c>
      <c r="Q539" s="16" t="str">
        <f>IFERROR(__xludf.DUMMYFUNCTION("IMPORTRANGE(""https://docs.google.com/spreadsheets/d/""&amp;$A539&amp;""/edit#gid=156619080"",Q$3)"),"1921回")</f>
        <v>1921回</v>
      </c>
      <c r="R539" s="16" t="str">
        <f>IFERROR(__xludf.DUMMYFUNCTION("IMPORTRANGE(""https://docs.google.com/spreadsheets/d/""&amp;$A539&amp;""/edit#gid=156619080"",R$3)"),"3093億円")</f>
        <v>3093億円</v>
      </c>
      <c r="S539" s="16" t="str">
        <f>IFERROR(__xludf.DUMMYFUNCTION("IMPORTRANGE(""https://docs.google.com/spreadsheets/d/""&amp;$A539&amp;""/edit#gid=156619080"",S$3)"),"陰線")</f>
        <v>陰線</v>
      </c>
      <c r="T539" s="16" t="str">
        <f>IFERROR(__xludf.DUMMYFUNCTION("IMPORTRANGE(""https://docs.google.com/spreadsheets/d/""&amp;$A539&amp;""/edit#gid=156619080"",T$3)"),"")</f>
        <v/>
      </c>
      <c r="U539" s="16">
        <f>IFERROR(__xludf.DUMMYFUNCTION("IMPORTRANGE(""https://docs.google.com/spreadsheets/d/""&amp;$A539&amp;""/edit#gid=156619080"",U$3)"),2608.8)</f>
        <v>2608.8</v>
      </c>
      <c r="V539" s="16">
        <f>IFERROR(__xludf.DUMMYFUNCTION("IMPORTRANGE(""https://docs.google.com/spreadsheets/d/""&amp;$A539&amp;""/edit#gid=156619080"",V$3)"),2684.6)</f>
        <v>2684.6</v>
      </c>
      <c r="W539" s="16">
        <f>IFERROR(__xludf.DUMMYFUNCTION("IMPORTRANGE(""https://docs.google.com/spreadsheets/d/""&amp;$A539&amp;""/edit#gid=156619080"",W$3)"),2712.9)</f>
        <v>2712.9</v>
      </c>
      <c r="X539" s="2" t="str">
        <f>IFERROR(__xludf.DUMMYFUNCTION("IMPORTRANGE(""https://docs.google.com/spreadsheets/d/""&amp;$A539&amp;""/edit#gid=156619080"",X$3)"),"")</f>
        <v/>
      </c>
      <c r="Y539" s="17">
        <f>IFERROR(__xludf.DUMMYFUNCTION("IMPORTRANGE(""https://docs.google.com/spreadsheets/d/""&amp;$A539&amp;""/edit#gid=156619080"",Y$3)"),0.006209751609935532)</f>
        <v>0.00620975161</v>
      </c>
      <c r="Z539" s="2">
        <f>IFERROR(__xludf.DUMMYFUNCTION("IMPORTRANGE(""https://docs.google.com/spreadsheets/d/""&amp;$A539&amp;""/edit#gid=156619080"",Z$3)"),2856.65)</f>
        <v>2856.65</v>
      </c>
      <c r="AA539" s="2">
        <f>IFERROR(__xludf.DUMMYFUNCTION("IMPORTRANGE(""https://docs.google.com/spreadsheets/d/""&amp;$A539&amp;""/edit#gid=156619080"",AA$3)"),2838.68)</f>
        <v>2838.68</v>
      </c>
      <c r="AB539" s="2">
        <f>IFERROR(__xludf.DUMMYFUNCTION("IMPORTRANGE(""https://docs.google.com/spreadsheets/d/""&amp;$A539&amp;""/edit#gid=156619080"",AB$3)"),2820.71)</f>
        <v>2820.71</v>
      </c>
      <c r="AC539" s="18">
        <f>IFERROR(__xludf.DUMMYFUNCTION("IMPORTRANGE(""https://docs.google.com/spreadsheets/d/""&amp;$A539&amp;""/edit#gid=156619080"",AC$3)"),2802.74)</f>
        <v>2802.74</v>
      </c>
      <c r="AD539" s="18">
        <f>IFERROR(__xludf.DUMMYFUNCTION("IMPORTRANGE(""https://docs.google.com/spreadsheets/d/""&amp;$A539&amp;""/edit#gid=156619080"",AD$3)"),2784.78)</f>
        <v>2784.78</v>
      </c>
      <c r="AE539" s="18">
        <f>IFERROR(__xludf.DUMMYFUNCTION("IMPORTRANGE(""https://docs.google.com/spreadsheets/d/""&amp;$A539&amp;""/edit#gid=156619080"",AE$3)"),2712.9)</f>
        <v>2712.9</v>
      </c>
      <c r="AF539" s="2">
        <f>IFERROR(__xludf.DUMMYFUNCTION("IMPORTRANGE(""https://docs.google.com/spreadsheets/d/""&amp;$A539&amp;""/edit#gid=156619080"",AF$3)"),2641.02)</f>
        <v>2641.02</v>
      </c>
      <c r="AG539" s="2">
        <f>IFERROR(__xludf.DUMMYFUNCTION("IMPORTRANGE(""https://docs.google.com/spreadsheets/d/""&amp;$A539&amp;""/edit#gid=156619080"",AG$3)"),2623.06)</f>
        <v>2623.06</v>
      </c>
      <c r="AH539" s="2">
        <f>IFERROR(__xludf.DUMMYFUNCTION("IMPORTRANGE(""https://docs.google.com/spreadsheets/d/""&amp;$A539&amp;""/edit#gid=156619080"",AH$3)"),2605.09)</f>
        <v>2605.09</v>
      </c>
      <c r="AI539" s="2">
        <f>IFERROR(__xludf.DUMMYFUNCTION("IMPORTRANGE(""https://docs.google.com/spreadsheets/d/""&amp;$A539&amp;""/edit#gid=156619080"",AI$3)"),2587.12)</f>
        <v>2587.12</v>
      </c>
      <c r="AJ539" s="2">
        <f>IFERROR(__xludf.DUMMYFUNCTION("IMPORTRANGE(""https://docs.google.com/spreadsheets/d/""&amp;$A539&amp;""/edit#gid=156619080"",AJ$3)"),2569.15)</f>
        <v>2569.15</v>
      </c>
      <c r="AK539" s="2" t="str">
        <f>IFERROR(__xludf.DUMMYFUNCTION("IMPORTRANGE(""https://docs.google.com/spreadsheets/d/""&amp;$A539&amp;""/edit#gid=156619080"",AK$3)"),"-1〜-1.25σ")</f>
        <v>-1〜-1.25σ</v>
      </c>
      <c r="AL539" s="2">
        <f>IFERROR(__xludf.DUMMYFUNCTION("IMPORTRANGE(""https://docs.google.com/spreadsheets/d/""&amp;$A539&amp;""/edit#gid=156619080"",AL$3)"),-1.0)</f>
        <v>-1</v>
      </c>
      <c r="AM539" s="2" t="str">
        <f>IFERROR(__xludf.DUMMYFUNCTION("IMPORTRANGE(""https://docs.google.com/spreadsheets/d/""&amp;$A539&amp;""/edit#gid=156619080"",AM$3)"),"")</f>
        <v/>
      </c>
      <c r="AN539" s="2">
        <f>IFERROR(__xludf.DUMMYFUNCTION("IMPORTRANGE(""https://docs.google.com/spreadsheets/d/""&amp;$A539&amp;""/edit#gid=156619080"",AN$3)"),-1.0)</f>
        <v>-1</v>
      </c>
      <c r="AO539" s="2" t="str">
        <f>IFERROR(__xludf.DUMMYFUNCTION("IMPORTRANGE(""https://docs.google.com/spreadsheets/d/""&amp;$A539&amp;""/edit#gid=156619080"",AO$3)"),"")</f>
        <v/>
      </c>
      <c r="AP539" s="2">
        <f>IFERROR(__xludf.DUMMYFUNCTION("IMPORTRANGE(""https://docs.google.com/spreadsheets/d/""&amp;$A539&amp;""/edit#gid=156619080"",AP$3)"),-1.0)</f>
        <v>-1</v>
      </c>
      <c r="AQ539" s="2" t="str">
        <f>IFERROR(__xludf.DUMMYFUNCTION("IMPORTRANGE(""https://docs.google.com/spreadsheets/d/""&amp;$A539&amp;""/edit#gid=156619080"",AQ$3)"),"")</f>
        <v/>
      </c>
      <c r="AR539" s="18">
        <f>IFERROR(__xludf.DUMMYFUNCTION("IMPORTRANGE(""https://docs.google.com/spreadsheets/d/""&amp;$A539&amp;""/edit#gid=156619080"",AR$3)"),60.0)</f>
        <v>60</v>
      </c>
      <c r="AS539" s="19" t="str">
        <f>IFERROR(__xludf.DUMMYFUNCTION("IMPORTRANGE(""https://docs.google.com/spreadsheets/d/""&amp;$A539&amp;""/edit#gid=156619080"",AS$3)"),"-90
-80
-60
-10
")</f>
        <v>-90
-80
-60
-10
</v>
      </c>
      <c r="AT539" s="18">
        <f>IFERROR(__xludf.DUMMYFUNCTION("IMPORTRANGE(""https://docs.google.com/spreadsheets/d/""&amp;$A539&amp;""/edit#gid=156619080"",AT$3)"),-85.71428571428572)</f>
        <v>-85.71428571</v>
      </c>
      <c r="AU539" s="3" t="str">
        <f>IFERROR(__xludf.DUMMYFUNCTION("IMPORTRANGE(""https://docs.google.com/spreadsheets/d/""&amp;$A539&amp;""/edit#gid=156619080"",AU$3)"),"-57.28
-71.98
-81.87
-85.16
")</f>
        <v>-57.28
-71.98
-81.87
-85.16
</v>
      </c>
      <c r="AV539" s="18">
        <f>IFERROR(__xludf.DUMMYFUNCTION("IMPORTRANGE(""https://docs.google.com/spreadsheets/d/""&amp;$A539&amp;""/edit#gid=156619080"",AV$3)"),-78.86363636363636)</f>
        <v>-78.86363636</v>
      </c>
      <c r="AW539" s="19" t="str">
        <f>IFERROR(__xludf.DUMMYFUNCTION("IMPORTRANGE(""https://docs.google.com/spreadsheets/d/""&amp;$A539&amp;""/edit#gid=156619080"",AW$3)"),"-76.53
-80.29
-80.29
-79.77
")</f>
        <v>-76.53
-80.29
-80.29
-79.77
</v>
      </c>
      <c r="AX539" s="2">
        <f>IFERROR(__xludf.DUMMYFUNCTION("IMPORTRANGE(""https://docs.google.com/spreadsheets/d/""&amp;$A539&amp;""/edit#gid=156619080"",AX$3)"),38.92)</f>
        <v>38.92</v>
      </c>
      <c r="AY539" s="2">
        <f>IFERROR(__xludf.DUMMYFUNCTION("IMPORTRANGE(""https://docs.google.com/spreadsheets/d/""&amp;$A539&amp;""/edit#gid=156619080"",AY$3)"),33.67)</f>
        <v>33.67</v>
      </c>
      <c r="AZ539" s="2">
        <f>IFERROR(__xludf.DUMMYFUNCTION("IMPORTRANGE(""https://docs.google.com/spreadsheets/d/""&amp;$A539&amp;""/edit#gid=156619080"",AZ$3)"),2630.44)</f>
        <v>2630.44</v>
      </c>
      <c r="BA539" s="2">
        <f>IFERROR(__xludf.DUMMYFUNCTION("IMPORTRANGE(""https://docs.google.com/spreadsheets/d/""&amp;$A539&amp;""/edit#gid=156619080"",BA$3)"),-66.07999999999993)</f>
        <v>-66.08</v>
      </c>
      <c r="BB539" s="2">
        <f>IFERROR(__xludf.DUMMYFUNCTION("IMPORTRANGE(""https://docs.google.com/spreadsheets/d/""&amp;$A539&amp;""/edit#gid=156619080"",BB$3)"),-48.89)</f>
        <v>-48.89</v>
      </c>
      <c r="BC539" s="2" t="str">
        <f>IFERROR(__xludf.DUMMYFUNCTION("IMPORTRANGE(""https://docs.google.com/spreadsheets/d/""&amp;$A539&amp;""/edit#gid=156619080"",BC$3)"),"DC→DC")</f>
        <v>DC→DC</v>
      </c>
    </row>
    <row r="540" ht="51.0" customHeight="1">
      <c r="A540" s="7" t="str">
        <f t="shared" si="5"/>
        <v>1pR9COYP__V4sDc3DQzBlnkF0vokwEQf4kkfx8Lde8hA</v>
      </c>
      <c r="B540" s="1" t="s">
        <v>567</v>
      </c>
      <c r="C540" s="2">
        <f>IFERROR(__xludf.DUMMYFUNCTION("IMPORTRANGE(""https://docs.google.com/spreadsheets/d/""&amp;$A540&amp;""/edit#gid=156619080"",C$3)"),45.0)</f>
        <v>45</v>
      </c>
      <c r="D540" s="2">
        <f>IFERROR(__xludf.DUMMYFUNCTION("IMPORTRANGE(""https://docs.google.com/spreadsheets/d/""&amp;$A540&amp;""/edit#gid=156619080"",D$3)"),1973.0)</f>
        <v>1973</v>
      </c>
      <c r="E540" s="15">
        <f>IFERROR(__xludf.DUMMYFUNCTION("IMPORTRANGE(""https://docs.google.com/spreadsheets/d/""&amp;$A540&amp;""/edit#gid=156619080"",E$3)"),43882.0)</f>
        <v>43882</v>
      </c>
      <c r="F540" s="2">
        <f>IFERROR(__xludf.DUMMYFUNCTION("IMPORTRANGE(""https://docs.google.com/spreadsheets/d/""&amp;$A540&amp;""/edit#gid=156619080"",F$3)"),-10.0)</f>
        <v>-10</v>
      </c>
      <c r="G540" s="16">
        <f>IFERROR(__xludf.DUMMYFUNCTION("IMPORTRANGE(""https://docs.google.com/spreadsheets/d/""&amp;$A540&amp;""/edit#gid=156619080"",G$3)"),-0.24)</f>
        <v>-0.24</v>
      </c>
      <c r="H540" s="16">
        <f>IFERROR(__xludf.DUMMYFUNCTION("IMPORTRANGE(""https://docs.google.com/spreadsheets/d/""&amp;$A540&amp;""/edit#gid=156619080"",H$3)"),4195.0)</f>
        <v>4195</v>
      </c>
      <c r="I540" s="16">
        <f>IFERROR(__xludf.DUMMYFUNCTION("IMPORTRANGE(""https://docs.google.com/spreadsheets/d/""&amp;$A540&amp;""/edit#gid=156619080"",I$3)"),25.0)</f>
        <v>25</v>
      </c>
      <c r="J540" s="16">
        <f>IFERROR(__xludf.DUMMYFUNCTION("IMPORTRANGE(""https://docs.google.com/spreadsheets/d/""&amp;$A540&amp;""/edit#gid=156619080"",J$3)"),4240.0)</f>
        <v>4240</v>
      </c>
      <c r="K540" s="16">
        <f>IFERROR(__xludf.DUMMYFUNCTION("IMPORTRANGE(""https://docs.google.com/spreadsheets/d/""&amp;$A540&amp;""/edit#gid=156619080"",K$3)"),0.5458333333333333)</f>
        <v>0.5458333333</v>
      </c>
      <c r="L540" s="16">
        <f>IFERROR(__xludf.DUMMYFUNCTION("IMPORTRANGE(""https://docs.google.com/spreadsheets/d/""&amp;$A540&amp;""/edit#gid=156619080"",L$3)"),4180.0)</f>
        <v>4180</v>
      </c>
      <c r="M540" s="16">
        <f>IFERROR(__xludf.DUMMYFUNCTION("IMPORTRANGE(""https://docs.google.com/spreadsheets/d/""&amp;$A540&amp;""/edit#gid=156619080"",M$3)"),0.3763888888888889)</f>
        <v>0.3763888889</v>
      </c>
      <c r="N540" s="16">
        <f>IFERROR(__xludf.DUMMYFUNCTION("IMPORTRANGE(""https://docs.google.com/spreadsheets/d/""&amp;$A540&amp;""/edit#gid=156619080"",N$3)"),4210.0)</f>
        <v>4210</v>
      </c>
      <c r="O540" s="16" t="str">
        <f>IFERROR(__xludf.DUMMYFUNCTION("IMPORTRANGE(""https://docs.google.com/spreadsheets/d/""&amp;$A540&amp;""/edit#gid=156619080"",O$3)"),"107300株")</f>
        <v>107300株</v>
      </c>
      <c r="P540" s="16" t="str">
        <f>IFERROR(__xludf.DUMMYFUNCTION("IMPORTRANGE(""https://docs.google.com/spreadsheets/d/""&amp;$A540&amp;""/edit#gid=156619080"",P$3)"),"451百万円")</f>
        <v>451百万円</v>
      </c>
      <c r="Q540" s="16" t="str">
        <f>IFERROR(__xludf.DUMMYFUNCTION("IMPORTRANGE(""https://docs.google.com/spreadsheets/d/""&amp;$A540&amp;""/edit#gid=156619080"",Q$3)"),"470回")</f>
        <v>470回</v>
      </c>
      <c r="R540" s="16" t="str">
        <f>IFERROR(__xludf.DUMMYFUNCTION("IMPORTRANGE(""https://docs.google.com/spreadsheets/d/""&amp;$A540&amp;""/edit#gid=156619080"",R$3)"),"2095億円")</f>
        <v>2095億円</v>
      </c>
      <c r="S540" s="16" t="str">
        <f>IFERROR(__xludf.DUMMYFUNCTION("IMPORTRANGE(""https://docs.google.com/spreadsheets/d/""&amp;$A540&amp;""/edit#gid=156619080"",S$3)"),"陽線")</f>
        <v>陽線</v>
      </c>
      <c r="T540" s="16" t="str">
        <f>IFERROR(__xludf.DUMMYFUNCTION("IMPORTRANGE(""https://docs.google.com/spreadsheets/d/""&amp;$A540&amp;""/edit#gid=156619080"",T$3)"),"")</f>
        <v/>
      </c>
      <c r="U540" s="16">
        <f>IFERROR(__xludf.DUMMYFUNCTION("IMPORTRANGE(""https://docs.google.com/spreadsheets/d/""&amp;$A540&amp;""/edit#gid=156619080"",U$3)"),4230.0)</f>
        <v>4230</v>
      </c>
      <c r="V540" s="16">
        <f>IFERROR(__xludf.DUMMYFUNCTION("IMPORTRANGE(""https://docs.google.com/spreadsheets/d/""&amp;$A540&amp;""/edit#gid=156619080"",V$3)"),4218.8)</f>
        <v>4218.8</v>
      </c>
      <c r="W540" s="16">
        <f>IFERROR(__xludf.DUMMYFUNCTION("IMPORTRANGE(""https://docs.google.com/spreadsheets/d/""&amp;$A540&amp;""/edit#gid=156619080"",W$3)"),4206.2)</f>
        <v>4206.2</v>
      </c>
      <c r="X540" s="2" t="str">
        <f>IFERROR(__xludf.DUMMYFUNCTION("IMPORTRANGE(""https://docs.google.com/spreadsheets/d/""&amp;$A540&amp;""/edit#gid=156619080"",X$3)"),"")</f>
        <v/>
      </c>
      <c r="Y540" s="17">
        <f>IFERROR(__xludf.DUMMYFUNCTION("IMPORTRANGE(""https://docs.google.com/spreadsheets/d/""&amp;$A540&amp;""/edit#gid=156619080"",Y$3)"),-0.004728132387706856)</f>
        <v>-0.004728132388</v>
      </c>
      <c r="Z540" s="2">
        <f>IFERROR(__xludf.DUMMYFUNCTION("IMPORTRANGE(""https://docs.google.com/spreadsheets/d/""&amp;$A540&amp;""/edit#gid=156619080"",Z$3)"),4352.16)</f>
        <v>4352.16</v>
      </c>
      <c r="AA540" s="2">
        <f>IFERROR(__xludf.DUMMYFUNCTION("IMPORTRANGE(""https://docs.google.com/spreadsheets/d/""&amp;$A540&amp;""/edit#gid=156619080"",AA$3)"),4333.91)</f>
        <v>4333.91</v>
      </c>
      <c r="AB540" s="2">
        <f>IFERROR(__xludf.DUMMYFUNCTION("IMPORTRANGE(""https://docs.google.com/spreadsheets/d/""&amp;$A540&amp;""/edit#gid=156619080"",AB$3)"),4315.67)</f>
        <v>4315.67</v>
      </c>
      <c r="AC540" s="18">
        <f>IFERROR(__xludf.DUMMYFUNCTION("IMPORTRANGE(""https://docs.google.com/spreadsheets/d/""&amp;$A540&amp;""/edit#gid=156619080"",AC$3)"),4297.42)</f>
        <v>4297.42</v>
      </c>
      <c r="AD540" s="18">
        <f>IFERROR(__xludf.DUMMYFUNCTION("IMPORTRANGE(""https://docs.google.com/spreadsheets/d/""&amp;$A540&amp;""/edit#gid=156619080"",AD$3)"),4279.18)</f>
        <v>4279.18</v>
      </c>
      <c r="AE540" s="18">
        <f>IFERROR(__xludf.DUMMYFUNCTION("IMPORTRANGE(""https://docs.google.com/spreadsheets/d/""&amp;$A540&amp;""/edit#gid=156619080"",AE$3)"),4206.2)</f>
        <v>4206.2</v>
      </c>
      <c r="AF540" s="2">
        <f>IFERROR(__xludf.DUMMYFUNCTION("IMPORTRANGE(""https://docs.google.com/spreadsheets/d/""&amp;$A540&amp;""/edit#gid=156619080"",AF$3)"),4133.22)</f>
        <v>4133.22</v>
      </c>
      <c r="AG540" s="2">
        <f>IFERROR(__xludf.DUMMYFUNCTION("IMPORTRANGE(""https://docs.google.com/spreadsheets/d/""&amp;$A540&amp;""/edit#gid=156619080"",AG$3)"),4114.98)</f>
        <v>4114.98</v>
      </c>
      <c r="AH540" s="2">
        <f>IFERROR(__xludf.DUMMYFUNCTION("IMPORTRANGE(""https://docs.google.com/spreadsheets/d/""&amp;$A540&amp;""/edit#gid=156619080"",AH$3)"),4096.73)</f>
        <v>4096.73</v>
      </c>
      <c r="AI540" s="2">
        <f>IFERROR(__xludf.DUMMYFUNCTION("IMPORTRANGE(""https://docs.google.com/spreadsheets/d/""&amp;$A540&amp;""/edit#gid=156619080"",AI$3)"),4078.49)</f>
        <v>4078.49</v>
      </c>
      <c r="AJ540" s="2">
        <f>IFERROR(__xludf.DUMMYFUNCTION("IMPORTRANGE(""https://docs.google.com/spreadsheets/d/""&amp;$A540&amp;""/edit#gid=156619080"",AJ$3)"),4060.24)</f>
        <v>4060.24</v>
      </c>
      <c r="AK540" s="2" t="str">
        <f>IFERROR(__xludf.DUMMYFUNCTION("IMPORTRANGE(""https://docs.google.com/spreadsheets/d/""&amp;$A540&amp;""/edit#gid=156619080"",AK$3)"),"")</f>
        <v/>
      </c>
      <c r="AL540" s="2">
        <f>IFERROR(__xludf.DUMMYFUNCTION("IMPORTRANGE(""https://docs.google.com/spreadsheets/d/""&amp;$A540&amp;""/edit#gid=156619080"",AL$3)"),1.0)</f>
        <v>1</v>
      </c>
      <c r="AM540" s="2" t="str">
        <f>IFERROR(__xludf.DUMMYFUNCTION("IMPORTRANGE(""https://docs.google.com/spreadsheets/d/""&amp;$A540&amp;""/edit#gid=156619080"",AM$3)"),"")</f>
        <v/>
      </c>
      <c r="AN540" s="2">
        <f>IFERROR(__xludf.DUMMYFUNCTION("IMPORTRANGE(""https://docs.google.com/spreadsheets/d/""&amp;$A540&amp;""/edit#gid=156619080"",AN$3)"),1.0)</f>
        <v>1</v>
      </c>
      <c r="AO540" s="2" t="str">
        <f>IFERROR(__xludf.DUMMYFUNCTION("IMPORTRANGE(""https://docs.google.com/spreadsheets/d/""&amp;$A540&amp;""/edit#gid=156619080"",AO$3)"),"")</f>
        <v/>
      </c>
      <c r="AP540" s="2">
        <f>IFERROR(__xludf.DUMMYFUNCTION("IMPORTRANGE(""https://docs.google.com/spreadsheets/d/""&amp;$A540&amp;""/edit#gid=156619080"",AP$3)"),1.0)</f>
        <v>1</v>
      </c>
      <c r="AQ540" s="2" t="str">
        <f>IFERROR(__xludf.DUMMYFUNCTION("IMPORTRANGE(""https://docs.google.com/spreadsheets/d/""&amp;$A540&amp;""/edit#gid=156619080"",AQ$3)"),"")</f>
        <v/>
      </c>
      <c r="AR540" s="18">
        <f>IFERROR(__xludf.DUMMYFUNCTION("IMPORTRANGE(""https://docs.google.com/spreadsheets/d/""&amp;$A540&amp;""/edit#gid=156619080"",AR$3)"),-30.000000000000004)</f>
        <v>-30</v>
      </c>
      <c r="AS540" s="19" t="str">
        <f>IFERROR(__xludf.DUMMYFUNCTION("IMPORTRANGE(""https://docs.google.com/spreadsheets/d/""&amp;$A540&amp;""/edit#gid=156619080"",AS$3)"),"70
-30
-27.5
-50
")</f>
        <v>70
-30
-27.5
-50
</v>
      </c>
      <c r="AT540" s="18">
        <f>IFERROR(__xludf.DUMMYFUNCTION("IMPORTRANGE(""https://docs.google.com/spreadsheets/d/""&amp;$A540&amp;""/edit#gid=156619080"",AT$3)"),35.85164835164834)</f>
        <v>35.85164835</v>
      </c>
      <c r="AU540" s="3" t="str">
        <f>IFERROR(__xludf.DUMMYFUNCTION("IMPORTRANGE(""https://docs.google.com/spreadsheets/d/""&amp;$A540&amp;""/edit#gid=156619080"",AU$3)"),"92.86
69.78
61.68
54.53
")</f>
        <v>92.86
69.78
61.68
54.53
</v>
      </c>
      <c r="AV540" s="18">
        <f>IFERROR(__xludf.DUMMYFUNCTION("IMPORTRANGE(""https://docs.google.com/spreadsheets/d/""&amp;$A540&amp;""/edit#gid=156619080"",AV$3)"),9.870129870129873)</f>
        <v>9.87012987</v>
      </c>
      <c r="AW540" s="19" t="str">
        <f>IFERROR(__xludf.DUMMYFUNCTION("IMPORTRANGE(""https://docs.google.com/spreadsheets/d/""&amp;$A540&amp;""/edit#gid=156619080"",AW$3)"),"33.99
16.59
9.09
9.87
")</f>
        <v>33.99
16.59
9.09
9.87
</v>
      </c>
      <c r="AX540" s="2">
        <f>IFERROR(__xludf.DUMMYFUNCTION("IMPORTRANGE(""https://docs.google.com/spreadsheets/d/""&amp;$A540&amp;""/edit#gid=156619080"",AX$3)"),46.550000000000004)</f>
        <v>46.55</v>
      </c>
      <c r="AY540" s="2">
        <f>IFERROR(__xludf.DUMMYFUNCTION("IMPORTRANGE(""https://docs.google.com/spreadsheets/d/""&amp;$A540&amp;""/edit#gid=156619080"",AY$3)"),50.0)</f>
        <v>50</v>
      </c>
      <c r="AZ540" s="2">
        <f>IFERROR(__xludf.DUMMYFUNCTION("IMPORTRANGE(""https://docs.google.com/spreadsheets/d/""&amp;$A540&amp;""/edit#gid=156619080"",AZ$3)"),4218.52)</f>
        <v>4218.52</v>
      </c>
      <c r="BA540" s="2">
        <f>IFERROR(__xludf.DUMMYFUNCTION("IMPORTRANGE(""https://docs.google.com/spreadsheets/d/""&amp;$A540&amp;""/edit#gid=156619080"",BA$3)"),47.17000000000007)</f>
        <v>47.17</v>
      </c>
      <c r="BB540" s="2">
        <f>IFERROR(__xludf.DUMMYFUNCTION("IMPORTRANGE(""https://docs.google.com/spreadsheets/d/""&amp;$A540&amp;""/edit#gid=156619080"",BB$3)"),91.18)</f>
        <v>91.18</v>
      </c>
      <c r="BC540" s="2" t="str">
        <f>IFERROR(__xludf.DUMMYFUNCTION("IMPORTRANGE(""https://docs.google.com/spreadsheets/d/""&amp;$A540&amp;""/edit#gid=156619080"",BC$3)"),"DC→DC")</f>
        <v>DC→DC</v>
      </c>
    </row>
    <row r="541" ht="51.0" customHeight="1">
      <c r="A541" s="7" t="str">
        <f t="shared" si="5"/>
        <v>1KGWfePgLARw2fscsGj7y9ISDKsP9UPi401LH6EKSUP0</v>
      </c>
      <c r="B541" s="1" t="s">
        <v>568</v>
      </c>
      <c r="C541" s="2">
        <f>IFERROR(__xludf.DUMMYFUNCTION("IMPORTRANGE(""https://docs.google.com/spreadsheets/d/""&amp;$A541&amp;""/edit#gid=156619080"",C$3)"),45.0)</f>
        <v>45</v>
      </c>
      <c r="D541" s="2">
        <f>IFERROR(__xludf.DUMMYFUNCTION("IMPORTRANGE(""https://docs.google.com/spreadsheets/d/""&amp;$A541&amp;""/edit#gid=156619080"",D$3)"),2375.0)</f>
        <v>2375</v>
      </c>
      <c r="E541" s="15">
        <f>IFERROR(__xludf.DUMMYFUNCTION("IMPORTRANGE(""https://docs.google.com/spreadsheets/d/""&amp;$A541&amp;""/edit#gid=156619080"",E$3)"),43882.0)</f>
        <v>43882</v>
      </c>
      <c r="F541" s="2">
        <f>IFERROR(__xludf.DUMMYFUNCTION("IMPORTRANGE(""https://docs.google.com/spreadsheets/d/""&amp;$A541&amp;""/edit#gid=156619080"",F$3)"),17.0)</f>
        <v>17</v>
      </c>
      <c r="G541" s="16">
        <f>IFERROR(__xludf.DUMMYFUNCTION("IMPORTRANGE(""https://docs.google.com/spreadsheets/d/""&amp;$A541&amp;""/edit#gid=156619080"",G$3)"),0.96)</f>
        <v>0.96</v>
      </c>
      <c r="H541" s="16">
        <f>IFERROR(__xludf.DUMMYFUNCTION("IMPORTRANGE(""https://docs.google.com/spreadsheets/d/""&amp;$A541&amp;""/edit#gid=156619080"",H$3)"),1778.0)</f>
        <v>1778</v>
      </c>
      <c r="I541" s="16">
        <f>IFERROR(__xludf.DUMMYFUNCTION("IMPORTRANGE(""https://docs.google.com/spreadsheets/d/""&amp;$A541&amp;""/edit#gid=156619080"",I$3)"),-10.0)</f>
        <v>-10</v>
      </c>
      <c r="J541" s="16">
        <f>IFERROR(__xludf.DUMMYFUNCTION("IMPORTRANGE(""https://docs.google.com/spreadsheets/d/""&amp;$A541&amp;""/edit#gid=156619080"",J$3)"),1824.0)</f>
        <v>1824</v>
      </c>
      <c r="K541" s="16">
        <f>IFERROR(__xludf.DUMMYFUNCTION("IMPORTRANGE(""https://docs.google.com/spreadsheets/d/""&amp;$A541&amp;""/edit#gid=156619080"",K$3)"),0.38958333333333334)</f>
        <v>0.3895833333</v>
      </c>
      <c r="L541" s="16">
        <f>IFERROR(__xludf.DUMMYFUNCTION("IMPORTRANGE(""https://docs.google.com/spreadsheets/d/""&amp;$A541&amp;""/edit#gid=156619080"",L$3)"),1768.0)</f>
        <v>1768</v>
      </c>
      <c r="M541" s="16">
        <f>IFERROR(__xludf.DUMMYFUNCTION("IMPORTRANGE(""https://docs.google.com/spreadsheets/d/""&amp;$A541&amp;""/edit#gid=156619080"",M$3)"),0.375)</f>
        <v>0.375</v>
      </c>
      <c r="N541" s="16">
        <f>IFERROR(__xludf.DUMMYFUNCTION("IMPORTRANGE(""https://docs.google.com/spreadsheets/d/""&amp;$A541&amp;""/edit#gid=156619080"",N$3)"),1785.0)</f>
        <v>1785</v>
      </c>
      <c r="O541" s="16" t="str">
        <f>IFERROR(__xludf.DUMMYFUNCTION("IMPORTRANGE(""https://docs.google.com/spreadsheets/d/""&amp;$A541&amp;""/edit#gid=156619080"",O$3)"),"143800株")</f>
        <v>143800株</v>
      </c>
      <c r="P541" s="16" t="str">
        <f>IFERROR(__xludf.DUMMYFUNCTION("IMPORTRANGE(""https://docs.google.com/spreadsheets/d/""&amp;$A541&amp;""/edit#gid=156619080"",P$3)"),"258百万円")</f>
        <v>258百万円</v>
      </c>
      <c r="Q541" s="16" t="str">
        <f>IFERROR(__xludf.DUMMYFUNCTION("IMPORTRANGE(""https://docs.google.com/spreadsheets/d/""&amp;$A541&amp;""/edit#gid=156619080"",Q$3)"),"865回")</f>
        <v>865回</v>
      </c>
      <c r="R541" s="16" t="str">
        <f>IFERROR(__xludf.DUMMYFUNCTION("IMPORTRANGE(""https://docs.google.com/spreadsheets/d/""&amp;$A541&amp;""/edit#gid=156619080"",R$3)"),"129億円")</f>
        <v>129億円</v>
      </c>
      <c r="S541" s="16" t="str">
        <f>IFERROR(__xludf.DUMMYFUNCTION("IMPORTRANGE(""https://docs.google.com/spreadsheets/d/""&amp;$A541&amp;""/edit#gid=156619080"",S$3)"),"陽線")</f>
        <v>陽線</v>
      </c>
      <c r="T541" s="16" t="str">
        <f>IFERROR(__xludf.DUMMYFUNCTION("IMPORTRANGE(""https://docs.google.com/spreadsheets/d/""&amp;$A541&amp;""/edit#gid=156619080"",T$3)"),"")</f>
        <v/>
      </c>
      <c r="U541" s="16">
        <f>IFERROR(__xludf.DUMMYFUNCTION("IMPORTRANGE(""https://docs.google.com/spreadsheets/d/""&amp;$A541&amp;""/edit#gid=156619080"",U$3)"),1770.6)</f>
        <v>1770.6</v>
      </c>
      <c r="V541" s="16">
        <f>IFERROR(__xludf.DUMMYFUNCTION("IMPORTRANGE(""https://docs.google.com/spreadsheets/d/""&amp;$A541&amp;""/edit#gid=156619080"",V$3)"),1842.1)</f>
        <v>1842.1</v>
      </c>
      <c r="W541" s="16">
        <f>IFERROR(__xludf.DUMMYFUNCTION("IMPORTRANGE(""https://docs.google.com/spreadsheets/d/""&amp;$A541&amp;""/edit#gid=156619080"",W$3)"),1919.0)</f>
        <v>1919</v>
      </c>
      <c r="X541" s="2" t="str">
        <f>IFERROR(__xludf.DUMMYFUNCTION("IMPORTRANGE(""https://docs.google.com/spreadsheets/d/""&amp;$A541&amp;""/edit#gid=156619080"",X$3)"),"")</f>
        <v/>
      </c>
      <c r="Y541" s="17">
        <f>IFERROR(__xludf.DUMMYFUNCTION("IMPORTRANGE(""https://docs.google.com/spreadsheets/d/""&amp;$A541&amp;""/edit#gid=156619080"",Y$3)"),0.008132836326668978)</f>
        <v>0.008132836327</v>
      </c>
      <c r="Z541" s="2">
        <f>IFERROR(__xludf.DUMMYFUNCTION("IMPORTRANGE(""https://docs.google.com/spreadsheets/d/""&amp;$A541&amp;""/edit#gid=156619080"",Z$3)"),2235.53)</f>
        <v>2235.53</v>
      </c>
      <c r="AA541" s="2">
        <f>IFERROR(__xludf.DUMMYFUNCTION("IMPORTRANGE(""https://docs.google.com/spreadsheets/d/""&amp;$A541&amp;""/edit#gid=156619080"",AA$3)"),2195.97)</f>
        <v>2195.97</v>
      </c>
      <c r="AB541" s="2">
        <f>IFERROR(__xludf.DUMMYFUNCTION("IMPORTRANGE(""https://docs.google.com/spreadsheets/d/""&amp;$A541&amp;""/edit#gid=156619080"",AB$3)"),2156.4)</f>
        <v>2156.4</v>
      </c>
      <c r="AC541" s="18">
        <f>IFERROR(__xludf.DUMMYFUNCTION("IMPORTRANGE(""https://docs.google.com/spreadsheets/d/""&amp;$A541&amp;""/edit#gid=156619080"",AC$3)"),2116.83)</f>
        <v>2116.83</v>
      </c>
      <c r="AD541" s="18">
        <f>IFERROR(__xludf.DUMMYFUNCTION("IMPORTRANGE(""https://docs.google.com/spreadsheets/d/""&amp;$A541&amp;""/edit#gid=156619080"",AD$3)"),2077.27)</f>
        <v>2077.27</v>
      </c>
      <c r="AE541" s="18">
        <f>IFERROR(__xludf.DUMMYFUNCTION("IMPORTRANGE(""https://docs.google.com/spreadsheets/d/""&amp;$A541&amp;""/edit#gid=156619080"",AE$3)"),1919.0)</f>
        <v>1919</v>
      </c>
      <c r="AF541" s="2">
        <f>IFERROR(__xludf.DUMMYFUNCTION("IMPORTRANGE(""https://docs.google.com/spreadsheets/d/""&amp;$A541&amp;""/edit#gid=156619080"",AF$3)"),1760.73)</f>
        <v>1760.73</v>
      </c>
      <c r="AG541" s="2">
        <f>IFERROR(__xludf.DUMMYFUNCTION("IMPORTRANGE(""https://docs.google.com/spreadsheets/d/""&amp;$A541&amp;""/edit#gid=156619080"",AG$3)"),1721.17)</f>
        <v>1721.17</v>
      </c>
      <c r="AH541" s="2">
        <f>IFERROR(__xludf.DUMMYFUNCTION("IMPORTRANGE(""https://docs.google.com/spreadsheets/d/""&amp;$A541&amp;""/edit#gid=156619080"",AH$3)"),1681.6)</f>
        <v>1681.6</v>
      </c>
      <c r="AI541" s="2">
        <f>IFERROR(__xludf.DUMMYFUNCTION("IMPORTRANGE(""https://docs.google.com/spreadsheets/d/""&amp;$A541&amp;""/edit#gid=156619080"",AI$3)"),1642.03)</f>
        <v>1642.03</v>
      </c>
      <c r="AJ541" s="2">
        <f>IFERROR(__xludf.DUMMYFUNCTION("IMPORTRANGE(""https://docs.google.com/spreadsheets/d/""&amp;$A541&amp;""/edit#gid=156619080"",AJ$3)"),1602.47)</f>
        <v>1602.47</v>
      </c>
      <c r="AK541" s="2" t="str">
        <f>IFERROR(__xludf.DUMMYFUNCTION("IMPORTRANGE(""https://docs.google.com/spreadsheets/d/""&amp;$A541&amp;""/edit#gid=156619080"",AK$3)"),"")</f>
        <v/>
      </c>
      <c r="AL541" s="2">
        <f>IFERROR(__xludf.DUMMYFUNCTION("IMPORTRANGE(""https://docs.google.com/spreadsheets/d/""&amp;$A541&amp;""/edit#gid=156619080"",AL$3)"),-1.0)</f>
        <v>-1</v>
      </c>
      <c r="AM541" s="2" t="str">
        <f>IFERROR(__xludf.DUMMYFUNCTION("IMPORTRANGE(""https://docs.google.com/spreadsheets/d/""&amp;$A541&amp;""/edit#gid=156619080"",AM$3)"),"")</f>
        <v/>
      </c>
      <c r="AN541" s="2">
        <f>IFERROR(__xludf.DUMMYFUNCTION("IMPORTRANGE(""https://docs.google.com/spreadsheets/d/""&amp;$A541&amp;""/edit#gid=156619080"",AN$3)"),-1.0)</f>
        <v>-1</v>
      </c>
      <c r="AO541" s="2" t="str">
        <f>IFERROR(__xludf.DUMMYFUNCTION("IMPORTRANGE(""https://docs.google.com/spreadsheets/d/""&amp;$A541&amp;""/edit#gid=156619080"",AO$3)"),"")</f>
        <v/>
      </c>
      <c r="AP541" s="2">
        <f>IFERROR(__xludf.DUMMYFUNCTION("IMPORTRANGE(""https://docs.google.com/spreadsheets/d/""&amp;$A541&amp;""/edit#gid=156619080"",AP$3)"),-1.0)</f>
        <v>-1</v>
      </c>
      <c r="AQ541" s="2" t="str">
        <f>IFERROR(__xludf.DUMMYFUNCTION("IMPORTRANGE(""https://docs.google.com/spreadsheets/d/""&amp;$A541&amp;""/edit#gid=156619080"",AQ$3)"),"")</f>
        <v/>
      </c>
      <c r="AR541" s="18">
        <f>IFERROR(__xludf.DUMMYFUNCTION("IMPORTRANGE(""https://docs.google.com/spreadsheets/d/""&amp;$A541&amp;""/edit#gid=156619080"",AR$3)"),30.000000000000004)</f>
        <v>30</v>
      </c>
      <c r="AS541" s="19" t="str">
        <f>IFERROR(__xludf.DUMMYFUNCTION("IMPORTRANGE(""https://docs.google.com/spreadsheets/d/""&amp;$A541&amp;""/edit#gid=156619080"",AS$3)"),"-70
-100
-40
-20
")</f>
        <v>-70
-100
-40
-20
</v>
      </c>
      <c r="AT541" s="18">
        <f>IFERROR(__xludf.DUMMYFUNCTION("IMPORTRANGE(""https://docs.google.com/spreadsheets/d/""&amp;$A541&amp;""/edit#gid=156619080"",AT$3)"),-81.86813186813187)</f>
        <v>-81.86813187</v>
      </c>
      <c r="AU541" s="3" t="str">
        <f>IFERROR(__xludf.DUMMYFUNCTION("IMPORTRANGE(""https://docs.google.com/spreadsheets/d/""&amp;$A541&amp;""/edit#gid=156619080"",AU$3)"),"-30.63
-30.63
-44.37
-62.5
")</f>
        <v>-30.63
-30.63
-44.37
-62.5
</v>
      </c>
      <c r="AV541" s="18">
        <f>IFERROR(__xludf.DUMMYFUNCTION("IMPORTRANGE(""https://docs.google.com/spreadsheets/d/""&amp;$A541&amp;""/edit#gid=156619080"",AV$3)"),-79.96753246753248)</f>
        <v>-79.96753247</v>
      </c>
      <c r="AW541" s="19" t="str">
        <f>IFERROR(__xludf.DUMMYFUNCTION("IMPORTRANGE(""https://docs.google.com/spreadsheets/d/""&amp;$A541&amp;""/edit#gid=156619080"",AW$3)"),"-76.85
-78.93
-78.41
-80.1
")</f>
        <v>-76.85
-78.93
-78.41
-80.1
</v>
      </c>
      <c r="AX541" s="2">
        <f>IFERROR(__xludf.DUMMYFUNCTION("IMPORTRANGE(""https://docs.google.com/spreadsheets/d/""&amp;$A541&amp;""/edit#gid=156619080"",AX$3)"),46.52)</f>
        <v>46.52</v>
      </c>
      <c r="AY541" s="2">
        <f>IFERROR(__xludf.DUMMYFUNCTION("IMPORTRANGE(""https://docs.google.com/spreadsheets/d/""&amp;$A541&amp;""/edit#gid=156619080"",AY$3)"),35.79)</f>
        <v>35.79</v>
      </c>
      <c r="AZ541" s="2">
        <f>IFERROR(__xludf.DUMMYFUNCTION("IMPORTRANGE(""https://docs.google.com/spreadsheets/d/""&amp;$A541&amp;""/edit#gid=156619080"",AZ$3)"),1787.76)</f>
        <v>1787.76</v>
      </c>
      <c r="BA541" s="2">
        <f>IFERROR(__xludf.DUMMYFUNCTION("IMPORTRANGE(""https://docs.google.com/spreadsheets/d/""&amp;$A541&amp;""/edit#gid=156619080"",BA$3)"),-91.08999999999992)</f>
        <v>-91.09</v>
      </c>
      <c r="BB541" s="2">
        <f>IFERROR(__xludf.DUMMYFUNCTION("IMPORTRANGE(""https://docs.google.com/spreadsheets/d/""&amp;$A541&amp;""/edit#gid=156619080"",BB$3)"),-64.42)</f>
        <v>-64.42</v>
      </c>
      <c r="BC541" s="2" t="str">
        <f>IFERROR(__xludf.DUMMYFUNCTION("IMPORTRANGE(""https://docs.google.com/spreadsheets/d/""&amp;$A541&amp;""/edit#gid=156619080"",BC$3)"),"DC→DC")</f>
        <v>DC→DC</v>
      </c>
    </row>
    <row r="542" ht="51.0" customHeight="1">
      <c r="A542" s="7" t="str">
        <f t="shared" si="5"/>
        <v>1Zps6yA94RTwex581KsdyHqBRsMORNX4MTHr_dAOCEHk</v>
      </c>
      <c r="B542" s="1" t="s">
        <v>569</v>
      </c>
      <c r="C542" s="2">
        <f>IFERROR(__xludf.DUMMYFUNCTION("IMPORTRANGE(""https://docs.google.com/spreadsheets/d/""&amp;$A542&amp;""/edit#gid=156619080"",C$3)"),45.0)</f>
        <v>45</v>
      </c>
      <c r="D542" s="2">
        <f>IFERROR(__xludf.DUMMYFUNCTION("IMPORTRANGE(""https://docs.google.com/spreadsheets/d/""&amp;$A542&amp;""/edit#gid=156619080"",D$3)"),2413.0)</f>
        <v>2413</v>
      </c>
      <c r="E542" s="15">
        <f>IFERROR(__xludf.DUMMYFUNCTION("IMPORTRANGE(""https://docs.google.com/spreadsheets/d/""&amp;$A542&amp;""/edit#gid=156619080"",E$3)"),43882.0)</f>
        <v>43882</v>
      </c>
      <c r="F542" s="2">
        <f>IFERROR(__xludf.DUMMYFUNCTION("IMPORTRANGE(""https://docs.google.com/spreadsheets/d/""&amp;$A542&amp;""/edit#gid=156619080"",F$3)"),-10.0)</f>
        <v>-10</v>
      </c>
      <c r="G542" s="16">
        <f>IFERROR(__xludf.DUMMYFUNCTION("IMPORTRANGE(""https://docs.google.com/spreadsheets/d/""&amp;$A542&amp;""/edit#gid=156619080"",G$3)"),-0.33)</f>
        <v>-0.33</v>
      </c>
      <c r="H542" s="16">
        <f>IFERROR(__xludf.DUMMYFUNCTION("IMPORTRANGE(""https://docs.google.com/spreadsheets/d/""&amp;$A542&amp;""/edit#gid=156619080"",H$3)"),3050.0)</f>
        <v>3050</v>
      </c>
      <c r="I542" s="16">
        <f>IFERROR(__xludf.DUMMYFUNCTION("IMPORTRANGE(""https://docs.google.com/spreadsheets/d/""&amp;$A542&amp;""/edit#gid=156619080"",I$3)"),15.0)</f>
        <v>15</v>
      </c>
      <c r="J542" s="16">
        <f>IFERROR(__xludf.DUMMYFUNCTION("IMPORTRANGE(""https://docs.google.com/spreadsheets/d/""&amp;$A542&amp;""/edit#gid=156619080"",J$3)"),3115.0)</f>
        <v>3115</v>
      </c>
      <c r="K542" s="16">
        <f>IFERROR(__xludf.DUMMYFUNCTION("IMPORTRANGE(""https://docs.google.com/spreadsheets/d/""&amp;$A542&amp;""/edit#gid=156619080"",K$3)"),0.3958333333333333)</f>
        <v>0.3958333333</v>
      </c>
      <c r="L542" s="16">
        <f>IFERROR(__xludf.DUMMYFUNCTION("IMPORTRANGE(""https://docs.google.com/spreadsheets/d/""&amp;$A542&amp;""/edit#gid=156619080"",L$3)"),3040.0)</f>
        <v>3040</v>
      </c>
      <c r="M542" s="16">
        <f>IFERROR(__xludf.DUMMYFUNCTION("IMPORTRANGE(""https://docs.google.com/spreadsheets/d/""&amp;$A542&amp;""/edit#gid=156619080"",M$3)"),0.375)</f>
        <v>0.375</v>
      </c>
      <c r="N542" s="16">
        <f>IFERROR(__xludf.DUMMYFUNCTION("IMPORTRANGE(""https://docs.google.com/spreadsheets/d/""&amp;$A542&amp;""/edit#gid=156619080"",N$3)"),3055.0)</f>
        <v>3055</v>
      </c>
      <c r="O542" s="16" t="str">
        <f>IFERROR(__xludf.DUMMYFUNCTION("IMPORTRANGE(""https://docs.google.com/spreadsheets/d/""&amp;$A542&amp;""/edit#gid=156619080"",O$3)"),"1839200株")</f>
        <v>1839200株</v>
      </c>
      <c r="P542" s="16" t="str">
        <f>IFERROR(__xludf.DUMMYFUNCTION("IMPORTRANGE(""https://docs.google.com/spreadsheets/d/""&amp;$A542&amp;""/edit#gid=156619080"",P$3)"),"5650百万円")</f>
        <v>5650百万円</v>
      </c>
      <c r="Q542" s="16" t="str">
        <f>IFERROR(__xludf.DUMMYFUNCTION("IMPORTRANGE(""https://docs.google.com/spreadsheets/d/""&amp;$A542&amp;""/edit#gid=156619080"",Q$3)"),"2618回")</f>
        <v>2618回</v>
      </c>
      <c r="R542" s="16" t="str">
        <f>IFERROR(__xludf.DUMMYFUNCTION("IMPORTRANGE(""https://docs.google.com/spreadsheets/d/""&amp;$A542&amp;""/edit#gid=156619080"",R$3)"),"20732億円")</f>
        <v>20732億円</v>
      </c>
      <c r="S542" s="16" t="str">
        <f>IFERROR(__xludf.DUMMYFUNCTION("IMPORTRANGE(""https://docs.google.com/spreadsheets/d/""&amp;$A542&amp;""/edit#gid=156619080"",S$3)"),"陽線")</f>
        <v>陽線</v>
      </c>
      <c r="T542" s="16" t="str">
        <f>IFERROR(__xludf.DUMMYFUNCTION("IMPORTRANGE(""https://docs.google.com/spreadsheets/d/""&amp;$A542&amp;""/edit#gid=156619080"",T$3)"),"RSV1")</f>
        <v>RSV1</v>
      </c>
      <c r="U542" s="16">
        <f>IFERROR(__xludf.DUMMYFUNCTION("IMPORTRANGE(""https://docs.google.com/spreadsheets/d/""&amp;$A542&amp;""/edit#gid=156619080"",U$3)"),3086.0)</f>
        <v>3086</v>
      </c>
      <c r="V542" s="16">
        <f>IFERROR(__xludf.DUMMYFUNCTION("IMPORTRANGE(""https://docs.google.com/spreadsheets/d/""&amp;$A542&amp;""/edit#gid=156619080"",V$3)"),3165.4)</f>
        <v>3165.4</v>
      </c>
      <c r="W542" s="16">
        <f>IFERROR(__xludf.DUMMYFUNCTION("IMPORTRANGE(""https://docs.google.com/spreadsheets/d/""&amp;$A542&amp;""/edit#gid=156619080"",W$3)"),3172.4)</f>
        <v>3172.4</v>
      </c>
      <c r="X542" s="2" t="str">
        <f>IFERROR(__xludf.DUMMYFUNCTION("IMPORTRANGE(""https://docs.google.com/spreadsheets/d/""&amp;$A542&amp;""/edit#gid=156619080"",X$3)"),"")</f>
        <v/>
      </c>
      <c r="Y542" s="17">
        <f>IFERROR(__xludf.DUMMYFUNCTION("IMPORTRANGE(""https://docs.google.com/spreadsheets/d/""&amp;$A542&amp;""/edit#gid=156619080"",Y$3)"),-0.010045366169799093)</f>
        <v>-0.01004536617</v>
      </c>
      <c r="Z542" s="2">
        <f>IFERROR(__xludf.DUMMYFUNCTION("IMPORTRANGE(""https://docs.google.com/spreadsheets/d/""&amp;$A542&amp;""/edit#gid=156619080"",Z$3)"),3302.51)</f>
        <v>3302.51</v>
      </c>
      <c r="AA542" s="2">
        <f>IFERROR(__xludf.DUMMYFUNCTION("IMPORTRANGE(""https://docs.google.com/spreadsheets/d/""&amp;$A542&amp;""/edit#gid=156619080"",AA$3)"),3286.25)</f>
        <v>3286.25</v>
      </c>
      <c r="AB542" s="2">
        <f>IFERROR(__xludf.DUMMYFUNCTION("IMPORTRANGE(""https://docs.google.com/spreadsheets/d/""&amp;$A542&amp;""/edit#gid=156619080"",AB$3)"),3269.99)</f>
        <v>3269.99</v>
      </c>
      <c r="AC542" s="18">
        <f>IFERROR(__xludf.DUMMYFUNCTION("IMPORTRANGE(""https://docs.google.com/spreadsheets/d/""&amp;$A542&amp;""/edit#gid=156619080"",AC$3)"),3253.72)</f>
        <v>3253.72</v>
      </c>
      <c r="AD542" s="18">
        <f>IFERROR(__xludf.DUMMYFUNCTION("IMPORTRANGE(""https://docs.google.com/spreadsheets/d/""&amp;$A542&amp;""/edit#gid=156619080"",AD$3)"),3237.46)</f>
        <v>3237.46</v>
      </c>
      <c r="AE542" s="18">
        <f>IFERROR(__xludf.DUMMYFUNCTION("IMPORTRANGE(""https://docs.google.com/spreadsheets/d/""&amp;$A542&amp;""/edit#gid=156619080"",AE$3)"),3172.4)</f>
        <v>3172.4</v>
      </c>
      <c r="AF542" s="2">
        <f>IFERROR(__xludf.DUMMYFUNCTION("IMPORTRANGE(""https://docs.google.com/spreadsheets/d/""&amp;$A542&amp;""/edit#gid=156619080"",AF$3)"),3107.34)</f>
        <v>3107.34</v>
      </c>
      <c r="AG542" s="2">
        <f>IFERROR(__xludf.DUMMYFUNCTION("IMPORTRANGE(""https://docs.google.com/spreadsheets/d/""&amp;$A542&amp;""/edit#gid=156619080"",AG$3)"),3091.08)</f>
        <v>3091.08</v>
      </c>
      <c r="AH542" s="2">
        <f>IFERROR(__xludf.DUMMYFUNCTION("IMPORTRANGE(""https://docs.google.com/spreadsheets/d/""&amp;$A542&amp;""/edit#gid=156619080"",AH$3)"),3074.81)</f>
        <v>3074.81</v>
      </c>
      <c r="AI542" s="2">
        <f>IFERROR(__xludf.DUMMYFUNCTION("IMPORTRANGE(""https://docs.google.com/spreadsheets/d/""&amp;$A542&amp;""/edit#gid=156619080"",AI$3)"),3058.55)</f>
        <v>3058.55</v>
      </c>
      <c r="AJ542" s="2">
        <f>IFERROR(__xludf.DUMMYFUNCTION("IMPORTRANGE(""https://docs.google.com/spreadsheets/d/""&amp;$A542&amp;""/edit#gid=156619080"",AJ$3)"),3042.29)</f>
        <v>3042.29</v>
      </c>
      <c r="AK542" s="2" t="str">
        <f>IFERROR(__xludf.DUMMYFUNCTION("IMPORTRANGE(""https://docs.google.com/spreadsheets/d/""&amp;$A542&amp;""/edit#gid=156619080"",AK$3)"),"-1.75σ〜-2σ")</f>
        <v>-1.75σ〜-2σ</v>
      </c>
      <c r="AL542" s="2">
        <f>IFERROR(__xludf.DUMMYFUNCTION("IMPORTRANGE(""https://docs.google.com/spreadsheets/d/""&amp;$A542&amp;""/edit#gid=156619080"",AL$3)"),-1.0)</f>
        <v>-1</v>
      </c>
      <c r="AM542" s="2" t="str">
        <f>IFERROR(__xludf.DUMMYFUNCTION("IMPORTRANGE(""https://docs.google.com/spreadsheets/d/""&amp;$A542&amp;""/edit#gid=156619080"",AM$3)"),"")</f>
        <v/>
      </c>
      <c r="AN542" s="2">
        <f>IFERROR(__xludf.DUMMYFUNCTION("IMPORTRANGE(""https://docs.google.com/spreadsheets/d/""&amp;$A542&amp;""/edit#gid=156619080"",AN$3)"),-1.0)</f>
        <v>-1</v>
      </c>
      <c r="AO542" s="2" t="str">
        <f>IFERROR(__xludf.DUMMYFUNCTION("IMPORTRANGE(""https://docs.google.com/spreadsheets/d/""&amp;$A542&amp;""/edit#gid=156619080"",AO$3)"),"")</f>
        <v/>
      </c>
      <c r="AP542" s="2">
        <f>IFERROR(__xludf.DUMMYFUNCTION("IMPORTRANGE(""https://docs.google.com/spreadsheets/d/""&amp;$A542&amp;""/edit#gid=156619080"",AP$3)"),-1.0)</f>
        <v>-1</v>
      </c>
      <c r="AQ542" s="2" t="str">
        <f>IFERROR(__xludf.DUMMYFUNCTION("IMPORTRANGE(""https://docs.google.com/spreadsheets/d/""&amp;$A542&amp;""/edit#gid=156619080"",AQ$3)"),"")</f>
        <v/>
      </c>
      <c r="AR542" s="18">
        <f>IFERROR(__xludf.DUMMYFUNCTION("IMPORTRANGE(""https://docs.google.com/spreadsheets/d/""&amp;$A542&amp;""/edit#gid=156619080"",AR$3)"),-39.99999999999999)</f>
        <v>-40</v>
      </c>
      <c r="AS542" s="19" t="str">
        <f>IFERROR(__xludf.DUMMYFUNCTION("IMPORTRANGE(""https://docs.google.com/spreadsheets/d/""&amp;$A542&amp;""/edit#gid=156619080"",AS$3)"),"60
-40
-90
-70
")</f>
        <v>60
-40
-90
-70
</v>
      </c>
      <c r="AT542" s="18">
        <f>IFERROR(__xludf.DUMMYFUNCTION("IMPORTRANGE(""https://docs.google.com/spreadsheets/d/""&amp;$A542&amp;""/edit#gid=156619080"",AT$3)"),-57.005494505494504)</f>
        <v>-57.00549451</v>
      </c>
      <c r="AU542" s="3" t="str">
        <f>IFERROR(__xludf.DUMMYFUNCTION("IMPORTRANGE(""https://docs.google.com/spreadsheets/d/""&amp;$A542&amp;""/edit#gid=156619080"",AU$3)"),"24.31
10.99
-24.73
-36.13
")</f>
        <v>24.31
10.99
-24.73
-36.13
</v>
      </c>
      <c r="AV542" s="18">
        <f>IFERROR(__xludf.DUMMYFUNCTION("IMPORTRANGE(""https://docs.google.com/spreadsheets/d/""&amp;$A542&amp;""/edit#gid=156619080"",AV$3)"),-25.974025974025984)</f>
        <v>-25.97402597</v>
      </c>
      <c r="AW542" s="19" t="str">
        <f>IFERROR(__xludf.DUMMYFUNCTION("IMPORTRANGE(""https://docs.google.com/spreadsheets/d/""&amp;$A542&amp;""/edit#gid=156619080"",AW$3)"),"-16.85
-16.98
-16.85
-23.34
")</f>
        <v>-16.85
-16.98
-16.85
-23.34
</v>
      </c>
      <c r="AX542" s="2">
        <f>IFERROR(__xludf.DUMMYFUNCTION("IMPORTRANGE(""https://docs.google.com/spreadsheets/d/""&amp;$A542&amp;""/edit#gid=156619080"",AX$3)"),14.04)</f>
        <v>14.04</v>
      </c>
      <c r="AY542" s="2">
        <f>IFERROR(__xludf.DUMMYFUNCTION("IMPORTRANGE(""https://docs.google.com/spreadsheets/d/""&amp;$A542&amp;""/edit#gid=156619080"",AY$3)"),39.489999999999995)</f>
        <v>39.49</v>
      </c>
      <c r="AZ542" s="2">
        <f>IFERROR(__xludf.DUMMYFUNCTION("IMPORTRANGE(""https://docs.google.com/spreadsheets/d/""&amp;$A542&amp;""/edit#gid=156619080"",AZ$3)"),3091.05)</f>
        <v>3091.05</v>
      </c>
      <c r="BA542" s="2">
        <f>IFERROR(__xludf.DUMMYFUNCTION("IMPORTRANGE(""https://docs.google.com/spreadsheets/d/""&amp;$A542&amp;""/edit#gid=156619080"",BA$3)"),-78.08999999999969)</f>
        <v>-78.09</v>
      </c>
      <c r="BB542" s="2">
        <f>IFERROR(__xludf.DUMMYFUNCTION("IMPORTRANGE(""https://docs.google.com/spreadsheets/d/""&amp;$A542&amp;""/edit#gid=156619080"",BB$3)"),-39.28)</f>
        <v>-39.28</v>
      </c>
      <c r="BC542" s="2" t="str">
        <f>IFERROR(__xludf.DUMMYFUNCTION("IMPORTRANGE(""https://docs.google.com/spreadsheets/d/""&amp;$A542&amp;""/edit#gid=156619080"",BC$3)"),"DC→DC")</f>
        <v>DC→DC</v>
      </c>
    </row>
    <row r="543" ht="51.0" customHeight="1">
      <c r="A543" s="7" t="str">
        <f t="shared" si="5"/>
        <v>1-sdqjjpL4X5ZgxL0bEgU-WYjCE1rAEdiUdyyiCM_74Q</v>
      </c>
      <c r="B543" s="1" t="s">
        <v>570</v>
      </c>
      <c r="C543" s="2">
        <f>IFERROR(__xludf.DUMMYFUNCTION("IMPORTRANGE(""https://docs.google.com/spreadsheets/d/""&amp;$A543&amp;""/edit#gid=156619080"",C$3)"),45.0)</f>
        <v>45</v>
      </c>
      <c r="D543" s="2">
        <f>IFERROR(__xludf.DUMMYFUNCTION("IMPORTRANGE(""https://docs.google.com/spreadsheets/d/""&amp;$A543&amp;""/edit#gid=156619080"",D$3)"),3040.0)</f>
        <v>3040</v>
      </c>
      <c r="E543" s="15">
        <f>IFERROR(__xludf.DUMMYFUNCTION("IMPORTRANGE(""https://docs.google.com/spreadsheets/d/""&amp;$A543&amp;""/edit#gid=156619080"",E$3)"),43882.0)</f>
        <v>43882</v>
      </c>
      <c r="F543" s="2">
        <f>IFERROR(__xludf.DUMMYFUNCTION("IMPORTRANGE(""https://docs.google.com/spreadsheets/d/""&amp;$A543&amp;""/edit#gid=156619080"",F$3)"),-47.0)</f>
        <v>-47</v>
      </c>
      <c r="G543" s="16">
        <f>IFERROR(__xludf.DUMMYFUNCTION("IMPORTRANGE(""https://docs.google.com/spreadsheets/d/""&amp;$A543&amp;""/edit#gid=156619080"",G$3)"),-3.99)</f>
        <v>-3.99</v>
      </c>
      <c r="H543" s="16">
        <f>IFERROR(__xludf.DUMMYFUNCTION("IMPORTRANGE(""https://docs.google.com/spreadsheets/d/""&amp;$A543&amp;""/edit#gid=156619080"",H$3)"),1157.0)</f>
        <v>1157</v>
      </c>
      <c r="I543" s="16">
        <f>IFERROR(__xludf.DUMMYFUNCTION("IMPORTRANGE(""https://docs.google.com/spreadsheets/d/""&amp;$A543&amp;""/edit#gid=156619080"",I$3)"),21.0)</f>
        <v>21</v>
      </c>
      <c r="J543" s="16">
        <f>IFERROR(__xludf.DUMMYFUNCTION("IMPORTRANGE(""https://docs.google.com/spreadsheets/d/""&amp;$A543&amp;""/edit#gid=156619080"",J$3)"),1176.0)</f>
        <v>1176</v>
      </c>
      <c r="K543" s="16">
        <f>IFERROR(__xludf.DUMMYFUNCTION("IMPORTRANGE(""https://docs.google.com/spreadsheets/d/""&amp;$A543&amp;""/edit#gid=156619080"",K$3)"),0.3888888888888889)</f>
        <v>0.3888888889</v>
      </c>
      <c r="L543" s="16">
        <f>IFERROR(__xludf.DUMMYFUNCTION("IMPORTRANGE(""https://docs.google.com/spreadsheets/d/""&amp;$A543&amp;""/edit#gid=156619080"",L$3)"),1106.0)</f>
        <v>1106</v>
      </c>
      <c r="M543" s="16">
        <f>IFERROR(__xludf.DUMMYFUNCTION("IMPORTRANGE(""https://docs.google.com/spreadsheets/d/""&amp;$A543&amp;""/edit#gid=156619080"",M$3)"),0.3958333333333333)</f>
        <v>0.3958333333</v>
      </c>
      <c r="N543" s="16">
        <f>IFERROR(__xludf.DUMMYFUNCTION("IMPORTRANGE(""https://docs.google.com/spreadsheets/d/""&amp;$A543&amp;""/edit#gid=156619080"",N$3)"),1131.0)</f>
        <v>1131</v>
      </c>
      <c r="O543" s="16" t="str">
        <f>IFERROR(__xludf.DUMMYFUNCTION("IMPORTRANGE(""https://docs.google.com/spreadsheets/d/""&amp;$A543&amp;""/edit#gid=156619080"",O$3)"),"522200株")</f>
        <v>522200株</v>
      </c>
      <c r="P543" s="16" t="str">
        <f>IFERROR(__xludf.DUMMYFUNCTION("IMPORTRANGE(""https://docs.google.com/spreadsheets/d/""&amp;$A543&amp;""/edit#gid=156619080"",P$3)"),"595百万円")</f>
        <v>595百万円</v>
      </c>
      <c r="Q543" s="16" t="str">
        <f>IFERROR(__xludf.DUMMYFUNCTION("IMPORTRANGE(""https://docs.google.com/spreadsheets/d/""&amp;$A543&amp;""/edit#gid=156619080"",Q$3)"),"2139回")</f>
        <v>2139回</v>
      </c>
      <c r="R543" s="16" t="str">
        <f>IFERROR(__xludf.DUMMYFUNCTION("IMPORTRANGE(""https://docs.google.com/spreadsheets/d/""&amp;$A543&amp;""/edit#gid=156619080"",R$3)"),"223億円")</f>
        <v>223億円</v>
      </c>
      <c r="S543" s="16" t="str">
        <f>IFERROR(__xludf.DUMMYFUNCTION("IMPORTRANGE(""https://docs.google.com/spreadsheets/d/""&amp;$A543&amp;""/edit#gid=156619080"",S$3)"),"陰線")</f>
        <v>陰線</v>
      </c>
      <c r="T543" s="16" t="str">
        <f>IFERROR(__xludf.DUMMYFUNCTION("IMPORTRANGE(""https://docs.google.com/spreadsheets/d/""&amp;$A543&amp;""/edit#gid=156619080"",T$3)"),"")</f>
        <v/>
      </c>
      <c r="U543" s="16">
        <f>IFERROR(__xludf.DUMMYFUNCTION("IMPORTRANGE(""https://docs.google.com/spreadsheets/d/""&amp;$A543&amp;""/edit#gid=156619080"",U$3)"),1109.8)</f>
        <v>1109.8</v>
      </c>
      <c r="V543" s="16">
        <f>IFERROR(__xludf.DUMMYFUNCTION("IMPORTRANGE(""https://docs.google.com/spreadsheets/d/""&amp;$A543&amp;""/edit#gid=156619080"",V$3)"),1189.9)</f>
        <v>1189.9</v>
      </c>
      <c r="W543" s="16">
        <f>IFERROR(__xludf.DUMMYFUNCTION("IMPORTRANGE(""https://docs.google.com/spreadsheets/d/""&amp;$A543&amp;""/edit#gid=156619080"",W$3)"),1204.4)</f>
        <v>1204.4</v>
      </c>
      <c r="X543" s="2" t="str">
        <f>IFERROR(__xludf.DUMMYFUNCTION("IMPORTRANGE(""https://docs.google.com/spreadsheets/d/""&amp;$A543&amp;""/edit#gid=156619080"",X$3)"),"")</f>
        <v/>
      </c>
      <c r="Y543" s="17">
        <f>IFERROR(__xludf.DUMMYFUNCTION("IMPORTRANGE(""https://docs.google.com/spreadsheets/d/""&amp;$A543&amp;""/edit#gid=156619080"",Y$3)"),0.019102540998378128)</f>
        <v>0.019102541</v>
      </c>
      <c r="Z543" s="2">
        <f>IFERROR(__xludf.DUMMYFUNCTION("IMPORTRANGE(""https://docs.google.com/spreadsheets/d/""&amp;$A543&amp;""/edit#gid=156619080"",Z$3)"),1363.4)</f>
        <v>1363.4</v>
      </c>
      <c r="AA543" s="2">
        <f>IFERROR(__xludf.DUMMYFUNCTION("IMPORTRANGE(""https://docs.google.com/spreadsheets/d/""&amp;$A543&amp;""/edit#gid=156619080"",AA$3)"),1343.52)</f>
        <v>1343.52</v>
      </c>
      <c r="AB543" s="2">
        <f>IFERROR(__xludf.DUMMYFUNCTION("IMPORTRANGE(""https://docs.google.com/spreadsheets/d/""&amp;$A543&amp;""/edit#gid=156619080"",AB$3)"),1323.65)</f>
        <v>1323.65</v>
      </c>
      <c r="AC543" s="18">
        <f>IFERROR(__xludf.DUMMYFUNCTION("IMPORTRANGE(""https://docs.google.com/spreadsheets/d/""&amp;$A543&amp;""/edit#gid=156619080"",AC$3)"),1303.77)</f>
        <v>1303.77</v>
      </c>
      <c r="AD543" s="18">
        <f>IFERROR(__xludf.DUMMYFUNCTION("IMPORTRANGE(""https://docs.google.com/spreadsheets/d/""&amp;$A543&amp;""/edit#gid=156619080"",AD$3)"),1283.9)</f>
        <v>1283.9</v>
      </c>
      <c r="AE543" s="18">
        <f>IFERROR(__xludf.DUMMYFUNCTION("IMPORTRANGE(""https://docs.google.com/spreadsheets/d/""&amp;$A543&amp;""/edit#gid=156619080"",AE$3)"),1204.4)</f>
        <v>1204.4</v>
      </c>
      <c r="AF543" s="2">
        <f>IFERROR(__xludf.DUMMYFUNCTION("IMPORTRANGE(""https://docs.google.com/spreadsheets/d/""&amp;$A543&amp;""/edit#gid=156619080"",AF$3)"),1124.9)</f>
        <v>1124.9</v>
      </c>
      <c r="AG543" s="2">
        <f>IFERROR(__xludf.DUMMYFUNCTION("IMPORTRANGE(""https://docs.google.com/spreadsheets/d/""&amp;$A543&amp;""/edit#gid=156619080"",AG$3)"),1105.03)</f>
        <v>1105.03</v>
      </c>
      <c r="AH543" s="2">
        <f>IFERROR(__xludf.DUMMYFUNCTION("IMPORTRANGE(""https://docs.google.com/spreadsheets/d/""&amp;$A543&amp;""/edit#gid=156619080"",AH$3)"),1085.15)</f>
        <v>1085.15</v>
      </c>
      <c r="AI543" s="2">
        <f>IFERROR(__xludf.DUMMYFUNCTION("IMPORTRANGE(""https://docs.google.com/spreadsheets/d/""&amp;$A543&amp;""/edit#gid=156619080"",AI$3)"),1065.28)</f>
        <v>1065.28</v>
      </c>
      <c r="AJ543" s="2">
        <f>IFERROR(__xludf.DUMMYFUNCTION("IMPORTRANGE(""https://docs.google.com/spreadsheets/d/""&amp;$A543&amp;""/edit#gid=156619080"",AJ$3)"),1045.4)</f>
        <v>1045.4</v>
      </c>
      <c r="AK543" s="2" t="str">
        <f>IFERROR(__xludf.DUMMYFUNCTION("IMPORTRANGE(""https://docs.google.com/spreadsheets/d/""&amp;$A543&amp;""/edit#gid=156619080"",AK$3)"),"")</f>
        <v/>
      </c>
      <c r="AL543" s="2">
        <f>IFERROR(__xludf.DUMMYFUNCTION("IMPORTRANGE(""https://docs.google.com/spreadsheets/d/""&amp;$A543&amp;""/edit#gid=156619080"",AL$3)"),-1.0)</f>
        <v>-1</v>
      </c>
      <c r="AM543" s="2" t="str">
        <f>IFERROR(__xludf.DUMMYFUNCTION("IMPORTRANGE(""https://docs.google.com/spreadsheets/d/""&amp;$A543&amp;""/edit#gid=156619080"",AM$3)"),"")</f>
        <v/>
      </c>
      <c r="AN543" s="2">
        <f>IFERROR(__xludf.DUMMYFUNCTION("IMPORTRANGE(""https://docs.google.com/spreadsheets/d/""&amp;$A543&amp;""/edit#gid=156619080"",AN$3)"),-1.0)</f>
        <v>-1</v>
      </c>
      <c r="AO543" s="2" t="str">
        <f>IFERROR(__xludf.DUMMYFUNCTION("IMPORTRANGE(""https://docs.google.com/spreadsheets/d/""&amp;$A543&amp;""/edit#gid=156619080"",AO$3)"),"")</f>
        <v/>
      </c>
      <c r="AP543" s="2">
        <f>IFERROR(__xludf.DUMMYFUNCTION("IMPORTRANGE(""https://docs.google.com/spreadsheets/d/""&amp;$A543&amp;""/edit#gid=156619080"",AP$3)"),-1.0)</f>
        <v>-1</v>
      </c>
      <c r="AQ543" s="2" t="str">
        <f>IFERROR(__xludf.DUMMYFUNCTION("IMPORTRANGE(""https://docs.google.com/spreadsheets/d/""&amp;$A543&amp;""/edit#gid=156619080"",AQ$3)"),"")</f>
        <v/>
      </c>
      <c r="AR543" s="18">
        <f>IFERROR(__xludf.DUMMYFUNCTION("IMPORTRANGE(""https://docs.google.com/spreadsheets/d/""&amp;$A543&amp;""/edit#gid=156619080"",AR$3)"),50.0)</f>
        <v>50</v>
      </c>
      <c r="AS543" s="19" t="str">
        <f>IFERROR(__xludf.DUMMYFUNCTION("IMPORTRANGE(""https://docs.google.com/spreadsheets/d/""&amp;$A543&amp;""/edit#gid=156619080"",AS$3)"),"-52.5
-62.5
-40
60
")</f>
        <v>-52.5
-62.5
-40
60
</v>
      </c>
      <c r="AT543" s="18">
        <f>IFERROR(__xludf.DUMMYFUNCTION("IMPORTRANGE(""https://docs.google.com/spreadsheets/d/""&amp;$A543&amp;""/edit#gid=156619080"",AT$3)"),-61.675824175824175)</f>
        <v>-61.67582418</v>
      </c>
      <c r="AU543" s="3" t="str">
        <f>IFERROR(__xludf.DUMMYFUNCTION("IMPORTRANGE(""https://docs.google.com/spreadsheets/d/""&amp;$A543&amp;""/edit#gid=156619080"",AU$3)"),"8.65
-17.17
-40.25
-53.98
")</f>
        <v>8.65
-17.17
-40.25
-53.98
</v>
      </c>
      <c r="AV543" s="18">
        <f>IFERROR(__xludf.DUMMYFUNCTION("IMPORTRANGE(""https://docs.google.com/spreadsheets/d/""&amp;$A543&amp;""/edit#gid=156619080"",AV$3)"),-41.071428571428584)</f>
        <v>-41.07142857</v>
      </c>
      <c r="AW543" s="19" t="str">
        <f>IFERROR(__xludf.DUMMYFUNCTION("IMPORTRANGE(""https://docs.google.com/spreadsheets/d/""&amp;$A543&amp;""/edit#gid=156619080"",AW$3)"),"-44.55
-44.58
-44.19
-42.89
")</f>
        <v>-44.55
-44.58
-44.19
-42.89
</v>
      </c>
      <c r="AX543" s="2">
        <f>IFERROR(__xludf.DUMMYFUNCTION("IMPORTRANGE(""https://docs.google.com/spreadsheets/d/""&amp;$A543&amp;""/edit#gid=156619080"",AX$3)"),75.21)</f>
        <v>75.21</v>
      </c>
      <c r="AY543" s="2">
        <f>IFERROR(__xludf.DUMMYFUNCTION("IMPORTRANGE(""https://docs.google.com/spreadsheets/d/""&amp;$A543&amp;""/edit#gid=156619080"",AY$3)"),39.58)</f>
        <v>39.58</v>
      </c>
      <c r="AZ543" s="2">
        <f>IFERROR(__xludf.DUMMYFUNCTION("IMPORTRANGE(""https://docs.google.com/spreadsheets/d/""&amp;$A543&amp;""/edit#gid=156619080"",AZ$3)"),1132.5)</f>
        <v>1132.5</v>
      </c>
      <c r="BA543" s="2">
        <f>IFERROR(__xludf.DUMMYFUNCTION("IMPORTRANGE(""https://docs.google.com/spreadsheets/d/""&amp;$A543&amp;""/edit#gid=156619080"",BA$3)"),-63.59999999999991)</f>
        <v>-63.6</v>
      </c>
      <c r="BB543" s="2">
        <f>IFERROR(__xludf.DUMMYFUNCTION("IMPORTRANGE(""https://docs.google.com/spreadsheets/d/""&amp;$A543&amp;""/edit#gid=156619080"",BB$3)"),-51.75)</f>
        <v>-51.75</v>
      </c>
      <c r="BC543" s="2" t="str">
        <f>IFERROR(__xludf.DUMMYFUNCTION("IMPORTRANGE(""https://docs.google.com/spreadsheets/d/""&amp;$A543&amp;""/edit#gid=156619080"",BC$3)"),"DC→DC")</f>
        <v>DC→DC</v>
      </c>
    </row>
    <row r="544" ht="51.0" customHeight="1">
      <c r="A544" s="7" t="str">
        <f t="shared" si="5"/>
        <v>1lXK6CLrbo3I59nQsCGh9EBiUnb5YldG8gwWWGlG6D_s</v>
      </c>
      <c r="B544" s="1" t="s">
        <v>571</v>
      </c>
      <c r="C544" s="2">
        <f>IFERROR(__xludf.DUMMYFUNCTION("IMPORTRANGE(""https://docs.google.com/spreadsheets/d/""&amp;$A544&amp;""/edit#gid=156619080"",C$3)"),45.0)</f>
        <v>45</v>
      </c>
      <c r="D544" s="2">
        <f>IFERROR(__xludf.DUMMYFUNCTION("IMPORTRANGE(""https://docs.google.com/spreadsheets/d/""&amp;$A544&amp;""/edit#gid=156619080"",D$3)"),3559.0)</f>
        <v>3559</v>
      </c>
      <c r="E544" s="15">
        <f>IFERROR(__xludf.DUMMYFUNCTION("IMPORTRANGE(""https://docs.google.com/spreadsheets/d/""&amp;$A544&amp;""/edit#gid=156619080"",E$3)"),43882.0)</f>
        <v>43882</v>
      </c>
      <c r="F544" s="2">
        <f>IFERROR(__xludf.DUMMYFUNCTION("IMPORTRANGE(""https://docs.google.com/spreadsheets/d/""&amp;$A544&amp;""/edit#gid=156619080"",F$3)"),32.0)</f>
        <v>32</v>
      </c>
      <c r="G544" s="16">
        <f>IFERROR(__xludf.DUMMYFUNCTION("IMPORTRANGE(""https://docs.google.com/spreadsheets/d/""&amp;$A544&amp;""/edit#gid=156619080"",G$3)"),2.78)</f>
        <v>2.78</v>
      </c>
      <c r="H544" s="16">
        <f>IFERROR(__xludf.DUMMYFUNCTION("IMPORTRANGE(""https://docs.google.com/spreadsheets/d/""&amp;$A544&amp;""/edit#gid=156619080"",H$3)"),1140.0)</f>
        <v>1140</v>
      </c>
      <c r="I544" s="16">
        <f>IFERROR(__xludf.DUMMYFUNCTION("IMPORTRANGE(""https://docs.google.com/spreadsheets/d/""&amp;$A544&amp;""/edit#gid=156619080"",I$3)"),12.0)</f>
        <v>12</v>
      </c>
      <c r="J544" s="16">
        <f>IFERROR(__xludf.DUMMYFUNCTION("IMPORTRANGE(""https://docs.google.com/spreadsheets/d/""&amp;$A544&amp;""/edit#gid=156619080"",J$3)"),1193.0)</f>
        <v>1193</v>
      </c>
      <c r="K544" s="16">
        <f>IFERROR(__xludf.DUMMYFUNCTION("IMPORTRANGE(""https://docs.google.com/spreadsheets/d/""&amp;$A544&amp;""/edit#gid=156619080"",K$3)"),0.5458333333333333)</f>
        <v>0.5458333333</v>
      </c>
      <c r="L544" s="16">
        <f>IFERROR(__xludf.DUMMYFUNCTION("IMPORTRANGE(""https://docs.google.com/spreadsheets/d/""&amp;$A544&amp;""/edit#gid=156619080"",L$3)"),1140.0)</f>
        <v>1140</v>
      </c>
      <c r="M544" s="16">
        <f>IFERROR(__xludf.DUMMYFUNCTION("IMPORTRANGE(""https://docs.google.com/spreadsheets/d/""&amp;$A544&amp;""/edit#gid=156619080"",M$3)"),0.375)</f>
        <v>0.375</v>
      </c>
      <c r="N544" s="16">
        <f>IFERROR(__xludf.DUMMYFUNCTION("IMPORTRANGE(""https://docs.google.com/spreadsheets/d/""&amp;$A544&amp;""/edit#gid=156619080"",N$3)"),1184.0)</f>
        <v>1184</v>
      </c>
      <c r="O544" s="16" t="str">
        <f>IFERROR(__xludf.DUMMYFUNCTION("IMPORTRANGE(""https://docs.google.com/spreadsheets/d/""&amp;$A544&amp;""/edit#gid=156619080"",O$3)"),"39700株")</f>
        <v>39700株</v>
      </c>
      <c r="P544" s="16" t="str">
        <f>IFERROR(__xludf.DUMMYFUNCTION("IMPORTRANGE(""https://docs.google.com/spreadsheets/d/""&amp;$A544&amp;""/edit#gid=156619080"",P$3)"),"47百万円")</f>
        <v>47百万円</v>
      </c>
      <c r="Q544" s="16" t="str">
        <f>IFERROR(__xludf.DUMMYFUNCTION("IMPORTRANGE(""https://docs.google.com/spreadsheets/d/""&amp;$A544&amp;""/edit#gid=156619080"",Q$3)"),"215回")</f>
        <v>215回</v>
      </c>
      <c r="R544" s="16" t="str">
        <f>IFERROR(__xludf.DUMMYFUNCTION("IMPORTRANGE(""https://docs.google.com/spreadsheets/d/""&amp;$A544&amp;""/edit#gid=156619080"",R$3)"),"53.2億円")</f>
        <v>53.2億円</v>
      </c>
      <c r="S544" s="16" t="str">
        <f>IFERROR(__xludf.DUMMYFUNCTION("IMPORTRANGE(""https://docs.google.com/spreadsheets/d/""&amp;$A544&amp;""/edit#gid=156619080"",S$3)"),"陽線")</f>
        <v>陽線</v>
      </c>
      <c r="T544" s="16" t="str">
        <f>IFERROR(__xludf.DUMMYFUNCTION("IMPORTRANGE(""https://docs.google.com/spreadsheets/d/""&amp;$A544&amp;""/edit#gid=156619080"",T$3)"),"")</f>
        <v/>
      </c>
      <c r="U544" s="16">
        <f>IFERROR(__xludf.DUMMYFUNCTION("IMPORTRANGE(""https://docs.google.com/spreadsheets/d/""&amp;$A544&amp;""/edit#gid=156619080"",U$3)"),1150.4)</f>
        <v>1150.4</v>
      </c>
      <c r="V544" s="16">
        <f>IFERROR(__xludf.DUMMYFUNCTION("IMPORTRANGE(""https://docs.google.com/spreadsheets/d/""&amp;$A544&amp;""/edit#gid=156619080"",V$3)"),1167.5)</f>
        <v>1167.5</v>
      </c>
      <c r="W544" s="16">
        <f>IFERROR(__xludf.DUMMYFUNCTION("IMPORTRANGE(""https://docs.google.com/spreadsheets/d/""&amp;$A544&amp;""/edit#gid=156619080"",W$3)"),1204.6)</f>
        <v>1204.6</v>
      </c>
      <c r="X544" s="2" t="str">
        <f>IFERROR(__xludf.DUMMYFUNCTION("IMPORTRANGE(""https://docs.google.com/spreadsheets/d/""&amp;$A544&amp;""/edit#gid=156619080"",X$3)"),"")</f>
        <v/>
      </c>
      <c r="Y544" s="17">
        <f>IFERROR(__xludf.DUMMYFUNCTION("IMPORTRANGE(""https://docs.google.com/spreadsheets/d/""&amp;$A544&amp;""/edit#gid=156619080"",Y$3)"),0.02920723226703747)</f>
        <v>0.02920723227</v>
      </c>
      <c r="Z544" s="2">
        <f>IFERROR(__xludf.DUMMYFUNCTION("IMPORTRANGE(""https://docs.google.com/spreadsheets/d/""&amp;$A544&amp;""/edit#gid=156619080"",Z$3)"),1329.31)</f>
        <v>1329.31</v>
      </c>
      <c r="AA544" s="2">
        <f>IFERROR(__xludf.DUMMYFUNCTION("IMPORTRANGE(""https://docs.google.com/spreadsheets/d/""&amp;$A544&amp;""/edit#gid=156619080"",AA$3)"),1313.72)</f>
        <v>1313.72</v>
      </c>
      <c r="AB544" s="2">
        <f>IFERROR(__xludf.DUMMYFUNCTION("IMPORTRANGE(""https://docs.google.com/spreadsheets/d/""&amp;$A544&amp;""/edit#gid=156619080"",AB$3)"),1298.13)</f>
        <v>1298.13</v>
      </c>
      <c r="AC544" s="18">
        <f>IFERROR(__xludf.DUMMYFUNCTION("IMPORTRANGE(""https://docs.google.com/spreadsheets/d/""&amp;$A544&amp;""/edit#gid=156619080"",AC$3)"),1282.54)</f>
        <v>1282.54</v>
      </c>
      <c r="AD544" s="18">
        <f>IFERROR(__xludf.DUMMYFUNCTION("IMPORTRANGE(""https://docs.google.com/spreadsheets/d/""&amp;$A544&amp;""/edit#gid=156619080"",AD$3)"),1266.95)</f>
        <v>1266.95</v>
      </c>
      <c r="AE544" s="18">
        <f>IFERROR(__xludf.DUMMYFUNCTION("IMPORTRANGE(""https://docs.google.com/spreadsheets/d/""&amp;$A544&amp;""/edit#gid=156619080"",AE$3)"),1204.6)</f>
        <v>1204.6</v>
      </c>
      <c r="AF544" s="2">
        <f>IFERROR(__xludf.DUMMYFUNCTION("IMPORTRANGE(""https://docs.google.com/spreadsheets/d/""&amp;$A544&amp;""/edit#gid=156619080"",AF$3)"),1142.25)</f>
        <v>1142.25</v>
      </c>
      <c r="AG544" s="2">
        <f>IFERROR(__xludf.DUMMYFUNCTION("IMPORTRANGE(""https://docs.google.com/spreadsheets/d/""&amp;$A544&amp;""/edit#gid=156619080"",AG$3)"),1126.66)</f>
        <v>1126.66</v>
      </c>
      <c r="AH544" s="2">
        <f>IFERROR(__xludf.DUMMYFUNCTION("IMPORTRANGE(""https://docs.google.com/spreadsheets/d/""&amp;$A544&amp;""/edit#gid=156619080"",AH$3)"),1111.07)</f>
        <v>1111.07</v>
      </c>
      <c r="AI544" s="2">
        <f>IFERROR(__xludf.DUMMYFUNCTION("IMPORTRANGE(""https://docs.google.com/spreadsheets/d/""&amp;$A544&amp;""/edit#gid=156619080"",AI$3)"),1095.48)</f>
        <v>1095.48</v>
      </c>
      <c r="AJ544" s="2">
        <f>IFERROR(__xludf.DUMMYFUNCTION("IMPORTRANGE(""https://docs.google.com/spreadsheets/d/""&amp;$A544&amp;""/edit#gid=156619080"",AJ$3)"),1079.89)</f>
        <v>1079.89</v>
      </c>
      <c r="AK544" s="2" t="str">
        <f>IFERROR(__xludf.DUMMYFUNCTION("IMPORTRANGE(""https://docs.google.com/spreadsheets/d/""&amp;$A544&amp;""/edit#gid=156619080"",AK$3)"),"")</f>
        <v/>
      </c>
      <c r="AL544" s="2">
        <f>IFERROR(__xludf.DUMMYFUNCTION("IMPORTRANGE(""https://docs.google.com/spreadsheets/d/""&amp;$A544&amp;""/edit#gid=156619080"",AL$3)"),-1.0)</f>
        <v>-1</v>
      </c>
      <c r="AM544" s="2" t="str">
        <f>IFERROR(__xludf.DUMMYFUNCTION("IMPORTRANGE(""https://docs.google.com/spreadsheets/d/""&amp;$A544&amp;""/edit#gid=156619080"",AM$3)"),"")</f>
        <v/>
      </c>
      <c r="AN544" s="2">
        <f>IFERROR(__xludf.DUMMYFUNCTION("IMPORTRANGE(""https://docs.google.com/spreadsheets/d/""&amp;$A544&amp;""/edit#gid=156619080"",AN$3)"),-1.0)</f>
        <v>-1</v>
      </c>
      <c r="AO544" s="2" t="str">
        <f>IFERROR(__xludf.DUMMYFUNCTION("IMPORTRANGE(""https://docs.google.com/spreadsheets/d/""&amp;$A544&amp;""/edit#gid=156619080"",AO$3)"),"")</f>
        <v/>
      </c>
      <c r="AP544" s="2">
        <f>IFERROR(__xludf.DUMMYFUNCTION("IMPORTRANGE(""https://docs.google.com/spreadsheets/d/""&amp;$A544&amp;""/edit#gid=156619080"",AP$3)"),-1.0)</f>
        <v>-1</v>
      </c>
      <c r="AQ544" s="2" t="str">
        <f>IFERROR(__xludf.DUMMYFUNCTION("IMPORTRANGE(""https://docs.google.com/spreadsheets/d/""&amp;$A544&amp;""/edit#gid=156619080"",AQ$3)"),"")</f>
        <v/>
      </c>
      <c r="AR544" s="18">
        <f>IFERROR(__xludf.DUMMYFUNCTION("IMPORTRANGE(""https://docs.google.com/spreadsheets/d/""&amp;$A544&amp;""/edit#gid=156619080"",AR$3)"),80.0)</f>
        <v>80</v>
      </c>
      <c r="AS544" s="19" t="str">
        <f>IFERROR(__xludf.DUMMYFUNCTION("IMPORTRANGE(""https://docs.google.com/spreadsheets/d/""&amp;$A544&amp;""/edit#gid=156619080"",AS$3)"),"-60
-90
-40
50
")</f>
        <v>-60
-90
-40
50
</v>
      </c>
      <c r="AT544" s="18">
        <f>IFERROR(__xludf.DUMMYFUNCTION("IMPORTRANGE(""https://docs.google.com/spreadsheets/d/""&amp;$A544&amp;""/edit#gid=156619080"",AT$3)"),-41.758241758241766)</f>
        <v>-41.75824176</v>
      </c>
      <c r="AU544" s="3" t="str">
        <f>IFERROR(__xludf.DUMMYFUNCTION("IMPORTRANGE(""https://docs.google.com/spreadsheets/d/""&amp;$A544&amp;""/edit#gid=156619080"",AU$3)"),"-67.03
-67.03
-61.54
-63.19
")</f>
        <v>-67.03
-67.03
-61.54
-63.19
</v>
      </c>
      <c r="AV544" s="18">
        <f>IFERROR(__xludf.DUMMYFUNCTION("IMPORTRANGE(""https://docs.google.com/spreadsheets/d/""&amp;$A544&amp;""/edit#gid=156619080"",AV$3)"),-81.03896103896105)</f>
        <v>-81.03896104</v>
      </c>
      <c r="AW544" s="19" t="str">
        <f>IFERROR(__xludf.DUMMYFUNCTION("IMPORTRANGE(""https://docs.google.com/spreadsheets/d/""&amp;$A544&amp;""/edit#gid=156619080"",AW$3)"),"-91.27
-91.27
-88.41
-87.53
")</f>
        <v>-91.27
-91.27
-88.41
-87.53
</v>
      </c>
      <c r="AX544" s="2">
        <f>IFERROR(__xludf.DUMMYFUNCTION("IMPORTRANGE(""https://docs.google.com/spreadsheets/d/""&amp;$A544&amp;""/edit#gid=156619080"",AX$3)"),63.93)</f>
        <v>63.93</v>
      </c>
      <c r="AY544" s="2">
        <f>IFERROR(__xludf.DUMMYFUNCTION("IMPORTRANGE(""https://docs.google.com/spreadsheets/d/""&amp;$A544&amp;""/edit#gid=156619080"",AY$3)"),36.79)</f>
        <v>36.79</v>
      </c>
      <c r="AZ544" s="2">
        <f>IFERROR(__xludf.DUMMYFUNCTION("IMPORTRANGE(""https://docs.google.com/spreadsheets/d/""&amp;$A544&amp;""/edit#gid=156619080"",AZ$3)"),1163.03)</f>
        <v>1163.03</v>
      </c>
      <c r="BA544" s="2">
        <f>IFERROR(__xludf.DUMMYFUNCTION("IMPORTRANGE(""https://docs.google.com/spreadsheets/d/""&amp;$A544&amp;""/edit#gid=156619080"",BA$3)"),-56.799999999999955)</f>
        <v>-56.8</v>
      </c>
      <c r="BB544" s="2">
        <f>IFERROR(__xludf.DUMMYFUNCTION("IMPORTRANGE(""https://docs.google.com/spreadsheets/d/""&amp;$A544&amp;""/edit#gid=156619080"",BB$3)"),-88.47)</f>
        <v>-88.47</v>
      </c>
      <c r="BC544" s="2" t="str">
        <f>IFERROR(__xludf.DUMMYFUNCTION("IMPORTRANGE(""https://docs.google.com/spreadsheets/d/""&amp;$A544&amp;""/edit#gid=156619080"",BC$3)"),"GC→GC")</f>
        <v>GC→GC</v>
      </c>
    </row>
    <row r="545" ht="51.0" customHeight="1">
      <c r="A545" s="7" t="str">
        <f t="shared" si="5"/>
        <v>1dDrpd_rFllRjjifdOl-3daxcMeoxL0RZGW8jcQoZbMI</v>
      </c>
      <c r="B545" s="1" t="s">
        <v>572</v>
      </c>
      <c r="C545" s="2">
        <f>IFERROR(__xludf.DUMMYFUNCTION("IMPORTRANGE(""https://docs.google.com/spreadsheets/d/""&amp;$A545&amp;""/edit#gid=156619080"",C$3)"),45.0)</f>
        <v>45</v>
      </c>
      <c r="D545" s="2">
        <f>IFERROR(__xludf.DUMMYFUNCTION("IMPORTRANGE(""https://docs.google.com/spreadsheets/d/""&amp;$A545&amp;""/edit#gid=156619080"",D$3)"),3661.0)</f>
        <v>3661</v>
      </c>
      <c r="E545" s="15">
        <f>IFERROR(__xludf.DUMMYFUNCTION("IMPORTRANGE(""https://docs.google.com/spreadsheets/d/""&amp;$A545&amp;""/edit#gid=156619080"",E$3)"),43882.0)</f>
        <v>43882</v>
      </c>
      <c r="F545" s="2">
        <f>IFERROR(__xludf.DUMMYFUNCTION("IMPORTRANGE(""https://docs.google.com/spreadsheets/d/""&amp;$A545&amp;""/edit#gid=156619080"",F$3)"),-30.0)</f>
        <v>-30</v>
      </c>
      <c r="G545" s="16">
        <f>IFERROR(__xludf.DUMMYFUNCTION("IMPORTRANGE(""https://docs.google.com/spreadsheets/d/""&amp;$A545&amp;""/edit#gid=156619080"",G$3)"),-1.1)</f>
        <v>-1.1</v>
      </c>
      <c r="H545" s="16">
        <f>IFERROR(__xludf.DUMMYFUNCTION("IMPORTRANGE(""https://docs.google.com/spreadsheets/d/""&amp;$A545&amp;""/edit#gid=156619080"",H$3)"),2700.0)</f>
        <v>2700</v>
      </c>
      <c r="I545" s="16">
        <f>IFERROR(__xludf.DUMMYFUNCTION("IMPORTRANGE(""https://docs.google.com/spreadsheets/d/""&amp;$A545&amp;""/edit#gid=156619080"",I$3)"),30.0)</f>
        <v>30</v>
      </c>
      <c r="J545" s="16">
        <f>IFERROR(__xludf.DUMMYFUNCTION("IMPORTRANGE(""https://docs.google.com/spreadsheets/d/""&amp;$A545&amp;""/edit#gid=156619080"",J$3)"),2718.0)</f>
        <v>2718</v>
      </c>
      <c r="K545" s="16">
        <f>IFERROR(__xludf.DUMMYFUNCTION("IMPORTRANGE(""https://docs.google.com/spreadsheets/d/""&amp;$A545&amp;""/edit#gid=156619080"",K$3)"),0.5638888888888889)</f>
        <v>0.5638888889</v>
      </c>
      <c r="L545" s="16">
        <f>IFERROR(__xludf.DUMMYFUNCTION("IMPORTRANGE(""https://docs.google.com/spreadsheets/d/""&amp;$A545&amp;""/edit#gid=156619080"",L$3)"),2644.0)</f>
        <v>2644</v>
      </c>
      <c r="M545" s="16">
        <f>IFERROR(__xludf.DUMMYFUNCTION("IMPORTRANGE(""https://docs.google.com/spreadsheets/d/""&amp;$A545&amp;""/edit#gid=156619080"",M$3)"),0.3798611111111111)</f>
        <v>0.3798611111</v>
      </c>
      <c r="N545" s="16">
        <f>IFERROR(__xludf.DUMMYFUNCTION("IMPORTRANGE(""https://docs.google.com/spreadsheets/d/""&amp;$A545&amp;""/edit#gid=156619080"",N$3)"),2700.0)</f>
        <v>2700</v>
      </c>
      <c r="O545" s="16" t="str">
        <f>IFERROR(__xludf.DUMMYFUNCTION("IMPORTRANGE(""https://docs.google.com/spreadsheets/d/""&amp;$A545&amp;""/edit#gid=156619080"",O$3)"),"219700株")</f>
        <v>219700株</v>
      </c>
      <c r="P545" s="16" t="str">
        <f>IFERROR(__xludf.DUMMYFUNCTION("IMPORTRANGE(""https://docs.google.com/spreadsheets/d/""&amp;$A545&amp;""/edit#gid=156619080"",P$3)"),"590百万円")</f>
        <v>590百万円</v>
      </c>
      <c r="Q545" s="16" t="str">
        <f>IFERROR(__xludf.DUMMYFUNCTION("IMPORTRANGE(""https://docs.google.com/spreadsheets/d/""&amp;$A545&amp;""/edit#gid=156619080"",Q$3)"),"1034回")</f>
        <v>1034回</v>
      </c>
      <c r="R545" s="16" t="str">
        <f>IFERROR(__xludf.DUMMYFUNCTION("IMPORTRANGE(""https://docs.google.com/spreadsheets/d/""&amp;$A545&amp;""/edit#gid=156619080"",R$3)"),"246億円")</f>
        <v>246億円</v>
      </c>
      <c r="S545" s="16" t="str">
        <f>IFERROR(__xludf.DUMMYFUNCTION("IMPORTRANGE(""https://docs.google.com/spreadsheets/d/""&amp;$A545&amp;""/edit#gid=156619080"",S$3)"),"一本線")</f>
        <v>一本線</v>
      </c>
      <c r="T545" s="16" t="str">
        <f>IFERROR(__xludf.DUMMYFUNCTION("IMPORTRANGE(""https://docs.google.com/spreadsheets/d/""&amp;$A545&amp;""/edit#gid=156619080"",T$3)"),"")</f>
        <v/>
      </c>
      <c r="U545" s="16">
        <f>IFERROR(__xludf.DUMMYFUNCTION("IMPORTRANGE(""https://docs.google.com/spreadsheets/d/""&amp;$A545&amp;""/edit#gid=156619080"",U$3)"),2769.4)</f>
        <v>2769.4</v>
      </c>
      <c r="V545" s="16">
        <f>IFERROR(__xludf.DUMMYFUNCTION("IMPORTRANGE(""https://docs.google.com/spreadsheets/d/""&amp;$A545&amp;""/edit#gid=156619080"",V$3)"),2902.5)</f>
        <v>2902.5</v>
      </c>
      <c r="W545" s="16">
        <f>IFERROR(__xludf.DUMMYFUNCTION("IMPORTRANGE(""https://docs.google.com/spreadsheets/d/""&amp;$A545&amp;""/edit#gid=156619080"",W$3)"),2901.1)</f>
        <v>2901.1</v>
      </c>
      <c r="X545" s="2" t="str">
        <f>IFERROR(__xludf.DUMMYFUNCTION("IMPORTRANGE(""https://docs.google.com/spreadsheets/d/""&amp;$A545&amp;""/edit#gid=156619080"",X$3)"),"")</f>
        <v/>
      </c>
      <c r="Y545" s="17">
        <f>IFERROR(__xludf.DUMMYFUNCTION("IMPORTRANGE(""https://docs.google.com/spreadsheets/d/""&amp;$A545&amp;""/edit#gid=156619080"",Y$3)"),-0.025059579692352167)</f>
        <v>-0.02505957969</v>
      </c>
      <c r="Z545" s="2">
        <f>IFERROR(__xludf.DUMMYFUNCTION("IMPORTRANGE(""https://docs.google.com/spreadsheets/d/""&amp;$A545&amp;""/edit#gid=156619080"",Z$3)"),3120.19)</f>
        <v>3120.19</v>
      </c>
      <c r="AA545" s="2">
        <f>IFERROR(__xludf.DUMMYFUNCTION("IMPORTRANGE(""https://docs.google.com/spreadsheets/d/""&amp;$A545&amp;""/edit#gid=156619080"",AA$3)"),3092.8)</f>
        <v>3092.8</v>
      </c>
      <c r="AB545" s="2">
        <f>IFERROR(__xludf.DUMMYFUNCTION("IMPORTRANGE(""https://docs.google.com/spreadsheets/d/""&amp;$A545&amp;""/edit#gid=156619080"",AB$3)"),3065.42)</f>
        <v>3065.42</v>
      </c>
      <c r="AC545" s="18">
        <f>IFERROR(__xludf.DUMMYFUNCTION("IMPORTRANGE(""https://docs.google.com/spreadsheets/d/""&amp;$A545&amp;""/edit#gid=156619080"",AC$3)"),3038.03)</f>
        <v>3038.03</v>
      </c>
      <c r="AD545" s="18">
        <f>IFERROR(__xludf.DUMMYFUNCTION("IMPORTRANGE(""https://docs.google.com/spreadsheets/d/""&amp;$A545&amp;""/edit#gid=156619080"",AD$3)"),3010.64)</f>
        <v>3010.64</v>
      </c>
      <c r="AE545" s="18">
        <f>IFERROR(__xludf.DUMMYFUNCTION("IMPORTRANGE(""https://docs.google.com/spreadsheets/d/""&amp;$A545&amp;""/edit#gid=156619080"",AE$3)"),2901.1)</f>
        <v>2901.1</v>
      </c>
      <c r="AF545" s="2">
        <f>IFERROR(__xludf.DUMMYFUNCTION("IMPORTRANGE(""https://docs.google.com/spreadsheets/d/""&amp;$A545&amp;""/edit#gid=156619080"",AF$3)"),2791.56)</f>
        <v>2791.56</v>
      </c>
      <c r="AG545" s="2">
        <f>IFERROR(__xludf.DUMMYFUNCTION("IMPORTRANGE(""https://docs.google.com/spreadsheets/d/""&amp;$A545&amp;""/edit#gid=156619080"",AG$3)"),2764.17)</f>
        <v>2764.17</v>
      </c>
      <c r="AH545" s="2">
        <f>IFERROR(__xludf.DUMMYFUNCTION("IMPORTRANGE(""https://docs.google.com/spreadsheets/d/""&amp;$A545&amp;""/edit#gid=156619080"",AH$3)"),2736.78)</f>
        <v>2736.78</v>
      </c>
      <c r="AI545" s="2">
        <f>IFERROR(__xludf.DUMMYFUNCTION("IMPORTRANGE(""https://docs.google.com/spreadsheets/d/""&amp;$A545&amp;""/edit#gid=156619080"",AI$3)"),2709.4)</f>
        <v>2709.4</v>
      </c>
      <c r="AJ545" s="2">
        <f>IFERROR(__xludf.DUMMYFUNCTION("IMPORTRANGE(""https://docs.google.com/spreadsheets/d/""&amp;$A545&amp;""/edit#gid=156619080"",AJ$3)"),2682.01)</f>
        <v>2682.01</v>
      </c>
      <c r="AK545" s="2" t="str">
        <f>IFERROR(__xludf.DUMMYFUNCTION("IMPORTRANGE(""https://docs.google.com/spreadsheets/d/""&amp;$A545&amp;""/edit#gid=156619080"",AK$3)"),"-1.75σ〜-2σ")</f>
        <v>-1.75σ〜-2σ</v>
      </c>
      <c r="AL545" s="2">
        <f>IFERROR(__xludf.DUMMYFUNCTION("IMPORTRANGE(""https://docs.google.com/spreadsheets/d/""&amp;$A545&amp;""/edit#gid=156619080"",AL$3)"),-1.0)</f>
        <v>-1</v>
      </c>
      <c r="AM545" s="2" t="str">
        <f>IFERROR(__xludf.DUMMYFUNCTION("IMPORTRANGE(""https://docs.google.com/spreadsheets/d/""&amp;$A545&amp;""/edit#gid=156619080"",AM$3)"),"")</f>
        <v/>
      </c>
      <c r="AN545" s="2">
        <f>IFERROR(__xludf.DUMMYFUNCTION("IMPORTRANGE(""https://docs.google.com/spreadsheets/d/""&amp;$A545&amp;""/edit#gid=156619080"",AN$3)"),-1.0)</f>
        <v>-1</v>
      </c>
      <c r="AO545" s="2" t="str">
        <f>IFERROR(__xludf.DUMMYFUNCTION("IMPORTRANGE(""https://docs.google.com/spreadsheets/d/""&amp;$A545&amp;""/edit#gid=156619080"",AO$3)"),"")</f>
        <v/>
      </c>
      <c r="AP545" s="2">
        <f>IFERROR(__xludf.DUMMYFUNCTION("IMPORTRANGE(""https://docs.google.com/spreadsheets/d/""&amp;$A545&amp;""/edit#gid=156619080"",AP$3)"),1.0)</f>
        <v>1</v>
      </c>
      <c r="AQ545" s="2" t="str">
        <f>IFERROR(__xludf.DUMMYFUNCTION("IMPORTRANGE(""https://docs.google.com/spreadsheets/d/""&amp;$A545&amp;""/edit#gid=156619080"",AQ$3)"),"")</f>
        <v/>
      </c>
      <c r="AR545" s="18">
        <f>IFERROR(__xludf.DUMMYFUNCTION("IMPORTRANGE(""https://docs.google.com/spreadsheets/d/""&amp;$A545&amp;""/edit#gid=156619080"",AR$3)"),-100.0)</f>
        <v>-100</v>
      </c>
      <c r="AS545" s="19" t="str">
        <f>IFERROR(__xludf.DUMMYFUNCTION("IMPORTRANGE(""https://docs.google.com/spreadsheets/d/""&amp;$A545&amp;""/edit#gid=156619080"",AS$3)"),"-80
-90
-90
-90
")</f>
        <v>-80
-90
-90
-90
</v>
      </c>
      <c r="AT545" s="18">
        <f>IFERROR(__xludf.DUMMYFUNCTION("IMPORTRANGE(""https://docs.google.com/spreadsheets/d/""&amp;$A545&amp;""/edit#gid=156619080"",AT$3)"),-91.75824175824177)</f>
        <v>-91.75824176</v>
      </c>
      <c r="AU545" s="3" t="str">
        <f>IFERROR(__xludf.DUMMYFUNCTION("IMPORTRANGE(""https://docs.google.com/spreadsheets/d/""&amp;$A545&amp;""/edit#gid=156619080"",AU$3)"),"28.57
-13.74
-50
-80.22
")</f>
        <v>28.57
-13.74
-50
-80.22
</v>
      </c>
      <c r="AV545" s="18">
        <f>IFERROR(__xludf.DUMMYFUNCTION("IMPORTRANGE(""https://docs.google.com/spreadsheets/d/""&amp;$A545&amp;""/edit#gid=156619080"",AV$3)"),-34.41558441558441)</f>
        <v>-34.41558442</v>
      </c>
      <c r="AW545" s="19" t="str">
        <f>IFERROR(__xludf.DUMMYFUNCTION("IMPORTRANGE(""https://docs.google.com/spreadsheets/d/""&amp;$A545&amp;""/edit#gid=156619080"",AW$3)"),"45.19
27.01
2.34
-19.35
")</f>
        <v>45.19
27.01
2.34
-19.35
</v>
      </c>
      <c r="AX545" s="2">
        <f>IFERROR(__xludf.DUMMYFUNCTION("IMPORTRANGE(""https://docs.google.com/spreadsheets/d/""&amp;$A545&amp;""/edit#gid=156619080"",AX$3)"),21.48)</f>
        <v>21.48</v>
      </c>
      <c r="AY545" s="2">
        <f>IFERROR(__xludf.DUMMYFUNCTION("IMPORTRANGE(""https://docs.google.com/spreadsheets/d/""&amp;$A545&amp;""/edit#gid=156619080"",AY$3)"),43.2)</f>
        <v>43.2</v>
      </c>
      <c r="AZ545" s="2">
        <f>IFERROR(__xludf.DUMMYFUNCTION("IMPORTRANGE(""https://docs.google.com/spreadsheets/d/""&amp;$A545&amp;""/edit#gid=156619080"",AZ$3)"),2764.57)</f>
        <v>2764.57</v>
      </c>
      <c r="BA545" s="2">
        <f>IFERROR(__xludf.DUMMYFUNCTION("IMPORTRANGE(""https://docs.google.com/spreadsheets/d/""&amp;$A545&amp;""/edit#gid=156619080"",BA$3)"),-88.52999999999975)</f>
        <v>-88.53</v>
      </c>
      <c r="BB545" s="2">
        <f>IFERROR(__xludf.DUMMYFUNCTION("IMPORTRANGE(""https://docs.google.com/spreadsheets/d/""&amp;$A545&amp;""/edit#gid=156619080"",BB$3)"),13.02)</f>
        <v>13.02</v>
      </c>
      <c r="BC545" s="2" t="str">
        <f>IFERROR(__xludf.DUMMYFUNCTION("IMPORTRANGE(""https://docs.google.com/spreadsheets/d/""&amp;$A545&amp;""/edit#gid=156619080"",BC$3)"),"DC→DC")</f>
        <v>DC→DC</v>
      </c>
    </row>
    <row r="546" ht="51.0" customHeight="1">
      <c r="A546" s="7" t="str">
        <f t="shared" si="5"/>
        <v>1ISC8sREKEdKJXnG5Zu23LVGW-6LeIMlHb_SStF6-oJU</v>
      </c>
      <c r="B546" s="1" t="s">
        <v>573</v>
      </c>
      <c r="C546" s="2">
        <f>IFERROR(__xludf.DUMMYFUNCTION("IMPORTRANGE(""https://docs.google.com/spreadsheets/d/""&amp;$A546&amp;""/edit#gid=156619080"",C$3)"),45.0)</f>
        <v>45</v>
      </c>
      <c r="D546" s="2">
        <f>IFERROR(__xludf.DUMMYFUNCTION("IMPORTRANGE(""https://docs.google.com/spreadsheets/d/""&amp;$A546&amp;""/edit#gid=156619080"",D$3)"),3776.0)</f>
        <v>3776</v>
      </c>
      <c r="E546" s="15">
        <f>IFERROR(__xludf.DUMMYFUNCTION("IMPORTRANGE(""https://docs.google.com/spreadsheets/d/""&amp;$A546&amp;""/edit#gid=156619080"",E$3)"),43882.0)</f>
        <v>43882</v>
      </c>
      <c r="F546" s="2">
        <f>IFERROR(__xludf.DUMMYFUNCTION("IMPORTRANGE(""https://docs.google.com/spreadsheets/d/""&amp;$A546&amp;""/edit#gid=156619080"",F$3)"),4.0)</f>
        <v>4</v>
      </c>
      <c r="G546" s="16">
        <f>IFERROR(__xludf.DUMMYFUNCTION("IMPORTRANGE(""https://docs.google.com/spreadsheets/d/""&amp;$A546&amp;""/edit#gid=156619080"",G$3)"),1.56)</f>
        <v>1.56</v>
      </c>
      <c r="H546" s="16">
        <f>IFERROR(__xludf.DUMMYFUNCTION("IMPORTRANGE(""https://docs.google.com/spreadsheets/d/""&amp;$A546&amp;""/edit#gid=156619080"",H$3)"),253.0)</f>
        <v>253</v>
      </c>
      <c r="I546" s="16">
        <f>IFERROR(__xludf.DUMMYFUNCTION("IMPORTRANGE(""https://docs.google.com/spreadsheets/d/""&amp;$A546&amp;""/edit#gid=156619080"",I$3)"),3.0)</f>
        <v>3</v>
      </c>
      <c r="J546" s="16">
        <f>IFERROR(__xludf.DUMMYFUNCTION("IMPORTRANGE(""https://docs.google.com/spreadsheets/d/""&amp;$A546&amp;""/edit#gid=156619080"",J$3)"),264.0)</f>
        <v>264</v>
      </c>
      <c r="K546" s="16">
        <f>IFERROR(__xludf.DUMMYFUNCTION("IMPORTRANGE(""https://docs.google.com/spreadsheets/d/""&amp;$A546&amp;""/edit#gid=156619080"",K$3)"),0.5305555555555556)</f>
        <v>0.5305555556</v>
      </c>
      <c r="L546" s="16">
        <f>IFERROR(__xludf.DUMMYFUNCTION("IMPORTRANGE(""https://docs.google.com/spreadsheets/d/""&amp;$A546&amp;""/edit#gid=156619080"",L$3)"),251.0)</f>
        <v>251</v>
      </c>
      <c r="M546" s="16">
        <f>IFERROR(__xludf.DUMMYFUNCTION("IMPORTRANGE(""https://docs.google.com/spreadsheets/d/""&amp;$A546&amp;""/edit#gid=156619080"",M$3)"),0.3798611111111111)</f>
        <v>0.3798611111</v>
      </c>
      <c r="N546" s="16">
        <f>IFERROR(__xludf.DUMMYFUNCTION("IMPORTRANGE(""https://docs.google.com/spreadsheets/d/""&amp;$A546&amp;""/edit#gid=156619080"",N$3)"),260.0)</f>
        <v>260</v>
      </c>
      <c r="O546" s="16" t="str">
        <f>IFERROR(__xludf.DUMMYFUNCTION("IMPORTRANGE(""https://docs.google.com/spreadsheets/d/""&amp;$A546&amp;""/edit#gid=156619080"",O$3)"),"958100株")</f>
        <v>958100株</v>
      </c>
      <c r="P546" s="16" t="str">
        <f>IFERROR(__xludf.DUMMYFUNCTION("IMPORTRANGE(""https://docs.google.com/spreadsheets/d/""&amp;$A546&amp;""/edit#gid=156619080"",P$3)"),"248百万円")</f>
        <v>248百万円</v>
      </c>
      <c r="Q546" s="16" t="str">
        <f>IFERROR(__xludf.DUMMYFUNCTION("IMPORTRANGE(""https://docs.google.com/spreadsheets/d/""&amp;$A546&amp;""/edit#gid=156619080"",Q$3)"),"551回")</f>
        <v>551回</v>
      </c>
      <c r="R546" s="16" t="str">
        <f>IFERROR(__xludf.DUMMYFUNCTION("IMPORTRANGE(""https://docs.google.com/spreadsheets/d/""&amp;$A546&amp;""/edit#gid=156619080"",R$3)"),"156億円")</f>
        <v>156億円</v>
      </c>
      <c r="S546" s="16" t="str">
        <f>IFERROR(__xludf.DUMMYFUNCTION("IMPORTRANGE(""https://docs.google.com/spreadsheets/d/""&amp;$A546&amp;""/edit#gid=156619080"",S$3)"),"陽線")</f>
        <v>陽線</v>
      </c>
      <c r="T546" s="16" t="str">
        <f>IFERROR(__xludf.DUMMYFUNCTION("IMPORTRANGE(""https://docs.google.com/spreadsheets/d/""&amp;$A546&amp;""/edit#gid=156619080"",T$3)"),"")</f>
        <v/>
      </c>
      <c r="U546" s="16">
        <f>IFERROR(__xludf.DUMMYFUNCTION("IMPORTRANGE(""https://docs.google.com/spreadsheets/d/""&amp;$A546&amp;""/edit#gid=156619080"",U$3)"),252.2)</f>
        <v>252.2</v>
      </c>
      <c r="V546" s="16">
        <f>IFERROR(__xludf.DUMMYFUNCTION("IMPORTRANGE(""https://docs.google.com/spreadsheets/d/""&amp;$A546&amp;""/edit#gid=156619080"",V$3)"),256.2)</f>
        <v>256.2</v>
      </c>
      <c r="W546" s="16">
        <f>IFERROR(__xludf.DUMMYFUNCTION("IMPORTRANGE(""https://docs.google.com/spreadsheets/d/""&amp;$A546&amp;""/edit#gid=156619080"",W$3)"),253.3)</f>
        <v>253.3</v>
      </c>
      <c r="X546" s="2" t="str">
        <f>IFERROR(__xludf.DUMMYFUNCTION("IMPORTRANGE(""https://docs.google.com/spreadsheets/d/""&amp;$A546&amp;""/edit#gid=156619080"",X$3)"),"")</f>
        <v/>
      </c>
      <c r="Y546" s="17">
        <f>IFERROR(__xludf.DUMMYFUNCTION("IMPORTRANGE(""https://docs.google.com/spreadsheets/d/""&amp;$A546&amp;""/edit#gid=156619080"",Y$3)"),0.030927835051546438)</f>
        <v>0.03092783505</v>
      </c>
      <c r="Z546" s="2">
        <f>IFERROR(__xludf.DUMMYFUNCTION("IMPORTRANGE(""https://docs.google.com/spreadsheets/d/""&amp;$A546&amp;""/edit#gid=156619080"",Z$3)"),268.03)</f>
        <v>268.03</v>
      </c>
      <c r="AA546" s="2">
        <f>IFERROR(__xludf.DUMMYFUNCTION("IMPORTRANGE(""https://docs.google.com/spreadsheets/d/""&amp;$A546&amp;""/edit#gid=156619080"",AA$3)"),266.19)</f>
        <v>266.19</v>
      </c>
      <c r="AB546" s="2">
        <f>IFERROR(__xludf.DUMMYFUNCTION("IMPORTRANGE(""https://docs.google.com/spreadsheets/d/""&amp;$A546&amp;""/edit#gid=156619080"",AB$3)"),264.35)</f>
        <v>264.35</v>
      </c>
      <c r="AC546" s="18">
        <f>IFERROR(__xludf.DUMMYFUNCTION("IMPORTRANGE(""https://docs.google.com/spreadsheets/d/""&amp;$A546&amp;""/edit#gid=156619080"",AC$3)"),262.5)</f>
        <v>262.5</v>
      </c>
      <c r="AD546" s="18">
        <f>IFERROR(__xludf.DUMMYFUNCTION("IMPORTRANGE(""https://docs.google.com/spreadsheets/d/""&amp;$A546&amp;""/edit#gid=156619080"",AD$3)"),260.66)</f>
        <v>260.66</v>
      </c>
      <c r="AE546" s="18">
        <f>IFERROR(__xludf.DUMMYFUNCTION("IMPORTRANGE(""https://docs.google.com/spreadsheets/d/""&amp;$A546&amp;""/edit#gid=156619080"",AE$3)"),253.3)</f>
        <v>253.3</v>
      </c>
      <c r="AF546" s="2">
        <f>IFERROR(__xludf.DUMMYFUNCTION("IMPORTRANGE(""https://docs.google.com/spreadsheets/d/""&amp;$A546&amp;""/edit#gid=156619080"",AF$3)"),245.94)</f>
        <v>245.94</v>
      </c>
      <c r="AG546" s="2">
        <f>IFERROR(__xludf.DUMMYFUNCTION("IMPORTRANGE(""https://docs.google.com/spreadsheets/d/""&amp;$A546&amp;""/edit#gid=156619080"",AG$3)"),244.1)</f>
        <v>244.1</v>
      </c>
      <c r="AH546" s="2">
        <f>IFERROR(__xludf.DUMMYFUNCTION("IMPORTRANGE(""https://docs.google.com/spreadsheets/d/""&amp;$A546&amp;""/edit#gid=156619080"",AH$3)"),242.25)</f>
        <v>242.25</v>
      </c>
      <c r="AI546" s="2">
        <f>IFERROR(__xludf.DUMMYFUNCTION("IMPORTRANGE(""https://docs.google.com/spreadsheets/d/""&amp;$A546&amp;""/edit#gid=156619080"",AI$3)"),240.41)</f>
        <v>240.41</v>
      </c>
      <c r="AJ546" s="2">
        <f>IFERROR(__xludf.DUMMYFUNCTION("IMPORTRANGE(""https://docs.google.com/spreadsheets/d/""&amp;$A546&amp;""/edit#gid=156619080"",AJ$3)"),238.57)</f>
        <v>238.57</v>
      </c>
      <c r="AK546" s="2" t="str">
        <f>IFERROR(__xludf.DUMMYFUNCTION("IMPORTRANGE(""https://docs.google.com/spreadsheets/d/""&amp;$A546&amp;""/edit#gid=156619080"",AK$3)"),"")</f>
        <v/>
      </c>
      <c r="AL546" s="2">
        <f>IFERROR(__xludf.DUMMYFUNCTION("IMPORTRANGE(""https://docs.google.com/spreadsheets/d/""&amp;$A546&amp;""/edit#gid=156619080"",AL$3)"),-1.0)</f>
        <v>-1</v>
      </c>
      <c r="AM546" s="2" t="str">
        <f>IFERROR(__xludf.DUMMYFUNCTION("IMPORTRANGE(""https://docs.google.com/spreadsheets/d/""&amp;$A546&amp;""/edit#gid=156619080"",AM$3)"),"")</f>
        <v/>
      </c>
      <c r="AN546" s="2">
        <f>IFERROR(__xludf.DUMMYFUNCTION("IMPORTRANGE(""https://docs.google.com/spreadsheets/d/""&amp;$A546&amp;""/edit#gid=156619080"",AN$3)"),-1.0)</f>
        <v>-1</v>
      </c>
      <c r="AO546" s="2" t="str">
        <f>IFERROR(__xludf.DUMMYFUNCTION("IMPORTRANGE(""https://docs.google.com/spreadsheets/d/""&amp;$A546&amp;""/edit#gid=156619080"",AO$3)"),"")</f>
        <v/>
      </c>
      <c r="AP546" s="2">
        <f>IFERROR(__xludf.DUMMYFUNCTION("IMPORTRANGE(""https://docs.google.com/spreadsheets/d/""&amp;$A546&amp;""/edit#gid=156619080"",AP$3)"),1.0)</f>
        <v>1</v>
      </c>
      <c r="AQ546" s="2" t="str">
        <f>IFERROR(__xludf.DUMMYFUNCTION("IMPORTRANGE(""https://docs.google.com/spreadsheets/d/""&amp;$A546&amp;""/edit#gid=156619080"",AQ$3)"),"")</f>
        <v/>
      </c>
      <c r="AR546" s="18">
        <f>IFERROR(__xludf.DUMMYFUNCTION("IMPORTRANGE(""https://docs.google.com/spreadsheets/d/""&amp;$A546&amp;""/edit#gid=156619080"",AR$3)"),82.5)</f>
        <v>82.5</v>
      </c>
      <c r="AS546" s="19" t="str">
        <f>IFERROR(__xludf.DUMMYFUNCTION("IMPORTRANGE(""https://docs.google.com/spreadsheets/d/""&amp;$A546&amp;""/edit#gid=156619080"",AS$3)"),"-100
-90
10
60
")</f>
        <v>-100
-90
10
60
</v>
      </c>
      <c r="AT546" s="18">
        <f>IFERROR(__xludf.DUMMYFUNCTION("IMPORTRANGE(""https://docs.google.com/spreadsheets/d/""&amp;$A546&amp;""/edit#gid=156619080"",AT$3)"),-19.23076923076923)</f>
        <v>-19.23076923</v>
      </c>
      <c r="AU546" s="3" t="str">
        <f>IFERROR(__xludf.DUMMYFUNCTION("IMPORTRANGE(""https://docs.google.com/spreadsheets/d/""&amp;$A546&amp;""/edit#gid=156619080"",AU$3)"),"21.43
-3.98
-8.93
-19.37
")</f>
        <v>21.43
-3.98
-8.93
-19.37
</v>
      </c>
      <c r="AV546" s="18">
        <f>IFERROR(__xludf.DUMMYFUNCTION("IMPORTRANGE(""https://docs.google.com/spreadsheets/d/""&amp;$A546&amp;""/edit#gid=156619080"",AV$3)"),31.68831168831169)</f>
        <v>31.68831169</v>
      </c>
      <c r="AW546" s="19" t="str">
        <f>IFERROR(__xludf.DUMMYFUNCTION("IMPORTRANGE(""https://docs.google.com/spreadsheets/d/""&amp;$A546&amp;""/edit#gid=156619080"",AW$3)"),"-11.36
-10.75
9.9
18.28
")</f>
        <v>-11.36
-10.75
9.9
18.28
</v>
      </c>
      <c r="AX546" s="2">
        <f>IFERROR(__xludf.DUMMYFUNCTION("IMPORTRANGE(""https://docs.google.com/spreadsheets/d/""&amp;$A546&amp;""/edit#gid=156619080"",AX$3)"),66.67)</f>
        <v>66.67</v>
      </c>
      <c r="AY546" s="2">
        <f>IFERROR(__xludf.DUMMYFUNCTION("IMPORTRANGE(""https://docs.google.com/spreadsheets/d/""&amp;$A546&amp;""/edit#gid=156619080"",AY$3)"),51.2)</f>
        <v>51.2</v>
      </c>
      <c r="AZ546" s="2">
        <f>IFERROR(__xludf.DUMMYFUNCTION("IMPORTRANGE(""https://docs.google.com/spreadsheets/d/""&amp;$A546&amp;""/edit#gid=156619080"",AZ$3)"),255.83)</f>
        <v>255.83</v>
      </c>
      <c r="BA546" s="2">
        <f>IFERROR(__xludf.DUMMYFUNCTION("IMPORTRANGE(""https://docs.google.com/spreadsheets/d/""&amp;$A546&amp;""/edit#gid=156619080"",BA$3)"),0.7400000000000091)</f>
        <v>0.74</v>
      </c>
      <c r="BB546" s="2">
        <f>IFERROR(__xludf.DUMMYFUNCTION("IMPORTRANGE(""https://docs.google.com/spreadsheets/d/""&amp;$A546&amp;""/edit#gid=156619080"",BB$3)"),-0.94)</f>
        <v>-0.94</v>
      </c>
      <c r="BC546" s="2" t="str">
        <f>IFERROR(__xludf.DUMMYFUNCTION("IMPORTRANGE(""https://docs.google.com/spreadsheets/d/""&amp;$A546&amp;""/edit#gid=156619080"",BC$3)"),"GC→GC")</f>
        <v>GC→GC</v>
      </c>
    </row>
    <row r="547" ht="51.0" customHeight="1">
      <c r="A547" s="7" t="str">
        <f t="shared" si="5"/>
        <v>152_zpqC__S6LNvHXcF4YnJ46Q14zIq_1HSTf2VbLFGs</v>
      </c>
      <c r="B547" s="1" t="s">
        <v>574</v>
      </c>
      <c r="C547" s="2">
        <f>IFERROR(__xludf.DUMMYFUNCTION("IMPORTRANGE(""https://docs.google.com/spreadsheets/d/""&amp;$A547&amp;""/edit#gid=156619080"",C$3)"),45.0)</f>
        <v>45</v>
      </c>
      <c r="D547" s="2">
        <f>IFERROR(__xludf.DUMMYFUNCTION("IMPORTRANGE(""https://docs.google.com/spreadsheets/d/""&amp;$A547&amp;""/edit#gid=156619080"",D$3)"),3842.0)</f>
        <v>3842</v>
      </c>
      <c r="E547" s="15">
        <f>IFERROR(__xludf.DUMMYFUNCTION("IMPORTRANGE(""https://docs.google.com/spreadsheets/d/""&amp;$A547&amp;""/edit#gid=156619080"",E$3)"),43882.0)</f>
        <v>43882</v>
      </c>
      <c r="F547" s="2">
        <f>IFERROR(__xludf.DUMMYFUNCTION("IMPORTRANGE(""https://docs.google.com/spreadsheets/d/""&amp;$A547&amp;""/edit#gid=156619080"",F$3)"),-18.0)</f>
        <v>-18</v>
      </c>
      <c r="G547" s="16">
        <f>IFERROR(__xludf.DUMMYFUNCTION("IMPORTRANGE(""https://docs.google.com/spreadsheets/d/""&amp;$A547&amp;""/edit#gid=156619080"",G$3)"),-0.83)</f>
        <v>-0.83</v>
      </c>
      <c r="H547" s="16">
        <f>IFERROR(__xludf.DUMMYFUNCTION("IMPORTRANGE(""https://docs.google.com/spreadsheets/d/""&amp;$A547&amp;""/edit#gid=156619080"",H$3)"),2130.0)</f>
        <v>2130</v>
      </c>
      <c r="I547" s="16">
        <f>IFERROR(__xludf.DUMMYFUNCTION("IMPORTRANGE(""https://docs.google.com/spreadsheets/d/""&amp;$A547&amp;""/edit#gid=156619080"",I$3)"),50.0)</f>
        <v>50</v>
      </c>
      <c r="J547" s="16">
        <f>IFERROR(__xludf.DUMMYFUNCTION("IMPORTRANGE(""https://docs.google.com/spreadsheets/d/""&amp;$A547&amp;""/edit#gid=156619080"",J$3)"),2193.0)</f>
        <v>2193</v>
      </c>
      <c r="K547" s="16">
        <f>IFERROR(__xludf.DUMMYFUNCTION("IMPORTRANGE(""https://docs.google.com/spreadsheets/d/""&amp;$A547&amp;""/edit#gid=156619080"",K$3)"),0.5951388888888889)</f>
        <v>0.5951388889</v>
      </c>
      <c r="L547" s="16">
        <f>IFERROR(__xludf.DUMMYFUNCTION("IMPORTRANGE(""https://docs.google.com/spreadsheets/d/""&amp;$A547&amp;""/edit#gid=156619080"",L$3)"),2122.0)</f>
        <v>2122</v>
      </c>
      <c r="M547" s="16">
        <f>IFERROR(__xludf.DUMMYFUNCTION("IMPORTRANGE(""https://docs.google.com/spreadsheets/d/""&amp;$A547&amp;""/edit#gid=156619080"",M$3)"),0.38055555555555554)</f>
        <v>0.3805555556</v>
      </c>
      <c r="N547" s="16">
        <f>IFERROR(__xludf.DUMMYFUNCTION("IMPORTRANGE(""https://docs.google.com/spreadsheets/d/""&amp;$A547&amp;""/edit#gid=156619080"",N$3)"),2162.0)</f>
        <v>2162</v>
      </c>
      <c r="O547" s="16" t="str">
        <f>IFERROR(__xludf.DUMMYFUNCTION("IMPORTRANGE(""https://docs.google.com/spreadsheets/d/""&amp;$A547&amp;""/edit#gid=156619080"",O$3)"),"42500株")</f>
        <v>42500株</v>
      </c>
      <c r="P547" s="16" t="str">
        <f>IFERROR(__xludf.DUMMYFUNCTION("IMPORTRANGE(""https://docs.google.com/spreadsheets/d/""&amp;$A547&amp;""/edit#gid=156619080"",P$3)"),"92百万円")</f>
        <v>92百万円</v>
      </c>
      <c r="Q547" s="16" t="str">
        <f>IFERROR(__xludf.DUMMYFUNCTION("IMPORTRANGE(""https://docs.google.com/spreadsheets/d/""&amp;$A547&amp;""/edit#gid=156619080"",Q$3)"),"287回")</f>
        <v>287回</v>
      </c>
      <c r="R547" s="16" t="str">
        <f>IFERROR(__xludf.DUMMYFUNCTION("IMPORTRANGE(""https://docs.google.com/spreadsheets/d/""&amp;$A547&amp;""/edit#gid=156619080"",R$3)"),"55.7億円")</f>
        <v>55.7億円</v>
      </c>
      <c r="S547" s="16" t="str">
        <f>IFERROR(__xludf.DUMMYFUNCTION("IMPORTRANGE(""https://docs.google.com/spreadsheets/d/""&amp;$A547&amp;""/edit#gid=156619080"",S$3)"),"陽線")</f>
        <v>陽線</v>
      </c>
      <c r="T547" s="16" t="str">
        <f>IFERROR(__xludf.DUMMYFUNCTION("IMPORTRANGE(""https://docs.google.com/spreadsheets/d/""&amp;$A547&amp;""/edit#gid=156619080"",T$3)"),"")</f>
        <v/>
      </c>
      <c r="U547" s="16">
        <f>IFERROR(__xludf.DUMMYFUNCTION("IMPORTRANGE(""https://docs.google.com/spreadsheets/d/""&amp;$A547&amp;""/edit#gid=156619080"",U$3)"),2132.8)</f>
        <v>2132.8</v>
      </c>
      <c r="V547" s="16">
        <f>IFERROR(__xludf.DUMMYFUNCTION("IMPORTRANGE(""https://docs.google.com/spreadsheets/d/""&amp;$A547&amp;""/edit#gid=156619080"",V$3)"),2076.5)</f>
        <v>2076.5</v>
      </c>
      <c r="W547" s="16">
        <f>IFERROR(__xludf.DUMMYFUNCTION("IMPORTRANGE(""https://docs.google.com/spreadsheets/d/""&amp;$A547&amp;""/edit#gid=156619080"",W$3)"),2113.5)</f>
        <v>2113.5</v>
      </c>
      <c r="X547" s="2" t="str">
        <f>IFERROR(__xludf.DUMMYFUNCTION("IMPORTRANGE(""https://docs.google.com/spreadsheets/d/""&amp;$A547&amp;""/edit#gid=156619080"",X$3)"),"")</f>
        <v/>
      </c>
      <c r="Y547" s="17">
        <f>IFERROR(__xludf.DUMMYFUNCTION("IMPORTRANGE(""https://docs.google.com/spreadsheets/d/""&amp;$A547&amp;""/edit#gid=156619080"",Y$3)"),0.013690922730682583)</f>
        <v>0.01369092273</v>
      </c>
      <c r="Z547" s="2">
        <f>IFERROR(__xludf.DUMMYFUNCTION("IMPORTRANGE(""https://docs.google.com/spreadsheets/d/""&amp;$A547&amp;""/edit#gid=156619080"",Z$3)"),2383.29)</f>
        <v>2383.29</v>
      </c>
      <c r="AA547" s="2">
        <f>IFERROR(__xludf.DUMMYFUNCTION("IMPORTRANGE(""https://docs.google.com/spreadsheets/d/""&amp;$A547&amp;""/edit#gid=156619080"",AA$3)"),2349.57)</f>
        <v>2349.57</v>
      </c>
      <c r="AB547" s="2">
        <f>IFERROR(__xludf.DUMMYFUNCTION("IMPORTRANGE(""https://docs.google.com/spreadsheets/d/""&amp;$A547&amp;""/edit#gid=156619080"",AB$3)"),2315.85)</f>
        <v>2315.85</v>
      </c>
      <c r="AC547" s="18">
        <f>IFERROR(__xludf.DUMMYFUNCTION("IMPORTRANGE(""https://docs.google.com/spreadsheets/d/""&amp;$A547&amp;""/edit#gid=156619080"",AC$3)"),2282.12)</f>
        <v>2282.12</v>
      </c>
      <c r="AD547" s="18">
        <f>IFERROR(__xludf.DUMMYFUNCTION("IMPORTRANGE(""https://docs.google.com/spreadsheets/d/""&amp;$A547&amp;""/edit#gid=156619080"",AD$3)"),2248.4)</f>
        <v>2248.4</v>
      </c>
      <c r="AE547" s="18">
        <f>IFERROR(__xludf.DUMMYFUNCTION("IMPORTRANGE(""https://docs.google.com/spreadsheets/d/""&amp;$A547&amp;""/edit#gid=156619080"",AE$3)"),2113.5)</f>
        <v>2113.5</v>
      </c>
      <c r="AF547" s="2">
        <f>IFERROR(__xludf.DUMMYFUNCTION("IMPORTRANGE(""https://docs.google.com/spreadsheets/d/""&amp;$A547&amp;""/edit#gid=156619080"",AF$3)"),1978.6)</f>
        <v>1978.6</v>
      </c>
      <c r="AG547" s="2">
        <f>IFERROR(__xludf.DUMMYFUNCTION("IMPORTRANGE(""https://docs.google.com/spreadsheets/d/""&amp;$A547&amp;""/edit#gid=156619080"",AG$3)"),1944.88)</f>
        <v>1944.88</v>
      </c>
      <c r="AH547" s="2">
        <f>IFERROR(__xludf.DUMMYFUNCTION("IMPORTRANGE(""https://docs.google.com/spreadsheets/d/""&amp;$A547&amp;""/edit#gid=156619080"",AH$3)"),1911.15)</f>
        <v>1911.15</v>
      </c>
      <c r="AI547" s="2">
        <f>IFERROR(__xludf.DUMMYFUNCTION("IMPORTRANGE(""https://docs.google.com/spreadsheets/d/""&amp;$A547&amp;""/edit#gid=156619080"",AI$3)"),1877.43)</f>
        <v>1877.43</v>
      </c>
      <c r="AJ547" s="2">
        <f>IFERROR(__xludf.DUMMYFUNCTION("IMPORTRANGE(""https://docs.google.com/spreadsheets/d/""&amp;$A547&amp;""/edit#gid=156619080"",AJ$3)"),1843.71)</f>
        <v>1843.71</v>
      </c>
      <c r="AK547" s="2" t="str">
        <f>IFERROR(__xludf.DUMMYFUNCTION("IMPORTRANGE(""https://docs.google.com/spreadsheets/d/""&amp;$A547&amp;""/edit#gid=156619080"",AK$3)"),"")</f>
        <v/>
      </c>
      <c r="AL547" s="2">
        <f>IFERROR(__xludf.DUMMYFUNCTION("IMPORTRANGE(""https://docs.google.com/spreadsheets/d/""&amp;$A547&amp;""/edit#gid=156619080"",AL$3)"),1.0)</f>
        <v>1</v>
      </c>
      <c r="AM547" s="2" t="str">
        <f>IFERROR(__xludf.DUMMYFUNCTION("IMPORTRANGE(""https://docs.google.com/spreadsheets/d/""&amp;$A547&amp;""/edit#gid=156619080"",AM$3)"),"")</f>
        <v/>
      </c>
      <c r="AN547" s="2">
        <f>IFERROR(__xludf.DUMMYFUNCTION("IMPORTRANGE(""https://docs.google.com/spreadsheets/d/""&amp;$A547&amp;""/edit#gid=156619080"",AN$3)"),1.0)</f>
        <v>1</v>
      </c>
      <c r="AO547" s="2" t="str">
        <f>IFERROR(__xludf.DUMMYFUNCTION("IMPORTRANGE(""https://docs.google.com/spreadsheets/d/""&amp;$A547&amp;""/edit#gid=156619080"",AO$3)"),"ws2")</f>
        <v>ws2</v>
      </c>
      <c r="AP547" s="2">
        <f>IFERROR(__xludf.DUMMYFUNCTION("IMPORTRANGE(""https://docs.google.com/spreadsheets/d/""&amp;$A547&amp;""/edit#gid=156619080"",AP$3)"),-1.0)</f>
        <v>-1</v>
      </c>
      <c r="AQ547" s="2" t="str">
        <f>IFERROR(__xludf.DUMMYFUNCTION("IMPORTRANGE(""https://docs.google.com/spreadsheets/d/""&amp;$A547&amp;""/edit#gid=156619080"",AQ$3)"),"")</f>
        <v/>
      </c>
      <c r="AR547" s="18">
        <f>IFERROR(__xludf.DUMMYFUNCTION("IMPORTRANGE(""https://docs.google.com/spreadsheets/d/""&amp;$A547&amp;""/edit#gid=156619080"",AR$3)"),-10.000000000000009)</f>
        <v>-10</v>
      </c>
      <c r="AS547" s="19" t="str">
        <f>IFERROR(__xludf.DUMMYFUNCTION("IMPORTRANGE(""https://docs.google.com/spreadsheets/d/""&amp;$A547&amp;""/edit#gid=156619080"",AS$3)"),"70
-30
10
20
")</f>
        <v>70
-30
10
20
</v>
      </c>
      <c r="AT547" s="18">
        <f>IFERROR(__xludf.DUMMYFUNCTION("IMPORTRANGE(""https://docs.google.com/spreadsheets/d/""&amp;$A547&amp;""/edit#gid=156619080"",AT$3)"),59.89010989010989)</f>
        <v>59.89010989</v>
      </c>
      <c r="AU547" s="3" t="str">
        <f>IFERROR(__xludf.DUMMYFUNCTION("IMPORTRANGE(""https://docs.google.com/spreadsheets/d/""&amp;$A547&amp;""/edit#gid=156619080"",AU$3)"),"23.63
9.89
36.26
54.95
")</f>
        <v>23.63
9.89
36.26
54.95
</v>
      </c>
      <c r="AV547" s="18">
        <f>IFERROR(__xludf.DUMMYFUNCTION("IMPORTRANGE(""https://docs.google.com/spreadsheets/d/""&amp;$A547&amp;""/edit#gid=156619080"",AV$3)"),-17.922077922077918)</f>
        <v>-17.92207792</v>
      </c>
      <c r="AW547" s="19" t="str">
        <f>IFERROR(__xludf.DUMMYFUNCTION("IMPORTRANGE(""https://docs.google.com/spreadsheets/d/""&amp;$A547&amp;""/edit#gid=156619080"",AW$3)"),"-66.62
-67.14
-54.55
-37.27
")</f>
        <v>-66.62
-67.14
-54.55
-37.27
</v>
      </c>
      <c r="AX547" s="2">
        <f>IFERROR(__xludf.DUMMYFUNCTION("IMPORTRANGE(""https://docs.google.com/spreadsheets/d/""&amp;$A547&amp;""/edit#gid=156619080"",AX$3)"),61.36000000000001)</f>
        <v>61.36</v>
      </c>
      <c r="AY547" s="2">
        <f>IFERROR(__xludf.DUMMYFUNCTION("IMPORTRANGE(""https://docs.google.com/spreadsheets/d/""&amp;$A547&amp;""/edit#gid=156619080"",AY$3)"),34.77)</f>
        <v>34.77</v>
      </c>
      <c r="AZ547" s="2">
        <f>IFERROR(__xludf.DUMMYFUNCTION("IMPORTRANGE(""https://docs.google.com/spreadsheets/d/""&amp;$A547&amp;""/edit#gid=156619080"",AZ$3)"),2133.31)</f>
        <v>2133.31</v>
      </c>
      <c r="BA547" s="2">
        <f>IFERROR(__xludf.DUMMYFUNCTION("IMPORTRANGE(""https://docs.google.com/spreadsheets/d/""&amp;$A547&amp;""/edit#gid=156619080"",BA$3)"),-13.840000000000146)</f>
        <v>-13.84</v>
      </c>
      <c r="BB547" s="2">
        <f>IFERROR(__xludf.DUMMYFUNCTION("IMPORTRANGE(""https://docs.google.com/spreadsheets/d/""&amp;$A547&amp;""/edit#gid=156619080"",BB$3)"),-66.15)</f>
        <v>-66.15</v>
      </c>
      <c r="BC547" s="2" t="str">
        <f>IFERROR(__xludf.DUMMYFUNCTION("IMPORTRANGE(""https://docs.google.com/spreadsheets/d/""&amp;$A547&amp;""/edit#gid=156619080"",BC$3)"),"GC→GC")</f>
        <v>GC→GC</v>
      </c>
    </row>
    <row r="548" ht="51.0" customHeight="1">
      <c r="A548" s="7" t="str">
        <f t="shared" si="5"/>
        <v>1hfZLcQwNsByYc-RpIKZYdzHjz4r022r2BM57P7OrZsk</v>
      </c>
      <c r="B548" s="1" t="s">
        <v>575</v>
      </c>
      <c r="C548" s="2">
        <f>IFERROR(__xludf.DUMMYFUNCTION("IMPORTRANGE(""https://docs.google.com/spreadsheets/d/""&amp;$A548&amp;""/edit#gid=156619080"",C$3)"),45.0)</f>
        <v>45</v>
      </c>
      <c r="D548" s="2">
        <f>IFERROR(__xludf.DUMMYFUNCTION("IMPORTRANGE(""https://docs.google.com/spreadsheets/d/""&amp;$A548&amp;""/edit#gid=156619080"",D$3)"),3852.0)</f>
        <v>3852</v>
      </c>
      <c r="E548" s="15">
        <f>IFERROR(__xludf.DUMMYFUNCTION("IMPORTRANGE(""https://docs.google.com/spreadsheets/d/""&amp;$A548&amp;""/edit#gid=156619080"",E$3)"),43882.0)</f>
        <v>43882</v>
      </c>
      <c r="F548" s="2">
        <f>IFERROR(__xludf.DUMMYFUNCTION("IMPORTRANGE(""https://docs.google.com/spreadsheets/d/""&amp;$A548&amp;""/edit#gid=156619080"",F$3)"),-8.0)</f>
        <v>-8</v>
      </c>
      <c r="G548" s="16">
        <f>IFERROR(__xludf.DUMMYFUNCTION("IMPORTRANGE(""https://docs.google.com/spreadsheets/d/""&amp;$A548&amp;""/edit#gid=156619080"",G$3)"),-0.42)</f>
        <v>-0.42</v>
      </c>
      <c r="H548" s="16">
        <f>IFERROR(__xludf.DUMMYFUNCTION("IMPORTRANGE(""https://docs.google.com/spreadsheets/d/""&amp;$A548&amp;""/edit#gid=156619080"",H$3)"),1880.0)</f>
        <v>1880</v>
      </c>
      <c r="I548" s="16">
        <f>IFERROR(__xludf.DUMMYFUNCTION("IMPORTRANGE(""https://docs.google.com/spreadsheets/d/""&amp;$A548&amp;""/edit#gid=156619080"",I$3)"),20.0)</f>
        <v>20</v>
      </c>
      <c r="J548" s="16">
        <f>IFERROR(__xludf.DUMMYFUNCTION("IMPORTRANGE(""https://docs.google.com/spreadsheets/d/""&amp;$A548&amp;""/edit#gid=156619080"",J$3)"),1910.0)</f>
        <v>1910</v>
      </c>
      <c r="K548" s="16">
        <f>IFERROR(__xludf.DUMMYFUNCTION("IMPORTRANGE(""https://docs.google.com/spreadsheets/d/""&amp;$A548&amp;""/edit#gid=156619080"",K$3)"),0.40902777777777777)</f>
        <v>0.4090277778</v>
      </c>
      <c r="L548" s="16">
        <f>IFERROR(__xludf.DUMMYFUNCTION("IMPORTRANGE(""https://docs.google.com/spreadsheets/d/""&amp;$A548&amp;""/edit#gid=156619080"",L$3)"),1861.0)</f>
        <v>1861</v>
      </c>
      <c r="M548" s="16">
        <f>IFERROR(__xludf.DUMMYFUNCTION("IMPORTRANGE(""https://docs.google.com/spreadsheets/d/""&amp;$A548&amp;""/edit#gid=156619080"",M$3)"),0.3763888888888889)</f>
        <v>0.3763888889</v>
      </c>
      <c r="N548" s="16">
        <f>IFERROR(__xludf.DUMMYFUNCTION("IMPORTRANGE(""https://docs.google.com/spreadsheets/d/""&amp;$A548&amp;""/edit#gid=156619080"",N$3)"),1892.0)</f>
        <v>1892</v>
      </c>
      <c r="O548" s="16" t="str">
        <f>IFERROR(__xludf.DUMMYFUNCTION("IMPORTRANGE(""https://docs.google.com/spreadsheets/d/""&amp;$A548&amp;""/edit#gid=156619080"",O$3)"),"27100株")</f>
        <v>27100株</v>
      </c>
      <c r="P548" s="16" t="str">
        <f>IFERROR(__xludf.DUMMYFUNCTION("IMPORTRANGE(""https://docs.google.com/spreadsheets/d/""&amp;$A548&amp;""/edit#gid=156619080"",P$3)"),"51百万円")</f>
        <v>51百万円</v>
      </c>
      <c r="Q548" s="16" t="str">
        <f>IFERROR(__xludf.DUMMYFUNCTION("IMPORTRANGE(""https://docs.google.com/spreadsheets/d/""&amp;$A548&amp;""/edit#gid=156619080"",Q$3)"),"177回")</f>
        <v>177回</v>
      </c>
      <c r="R548" s="16" t="str">
        <f>IFERROR(__xludf.DUMMYFUNCTION("IMPORTRANGE(""https://docs.google.com/spreadsheets/d/""&amp;$A548&amp;""/edit#gid=156619080"",R$3)"),"152億円")</f>
        <v>152億円</v>
      </c>
      <c r="S548" s="16" t="str">
        <f>IFERROR(__xludf.DUMMYFUNCTION("IMPORTRANGE(""https://docs.google.com/spreadsheets/d/""&amp;$A548&amp;""/edit#gid=156619080"",S$3)"),"陽線")</f>
        <v>陽線</v>
      </c>
      <c r="T548" s="16" t="str">
        <f>IFERROR(__xludf.DUMMYFUNCTION("IMPORTRANGE(""https://docs.google.com/spreadsheets/d/""&amp;$A548&amp;""/edit#gid=156619080"",T$3)"),"")</f>
        <v/>
      </c>
      <c r="U548" s="16">
        <f>IFERROR(__xludf.DUMMYFUNCTION("IMPORTRANGE(""https://docs.google.com/spreadsheets/d/""&amp;$A548&amp;""/edit#gid=156619080"",U$3)"),1892.0)</f>
        <v>1892</v>
      </c>
      <c r="V548" s="16">
        <f>IFERROR(__xludf.DUMMYFUNCTION("IMPORTRANGE(""https://docs.google.com/spreadsheets/d/""&amp;$A548&amp;""/edit#gid=156619080"",V$3)"),1987.2)</f>
        <v>1987.2</v>
      </c>
      <c r="W548" s="16">
        <f>IFERROR(__xludf.DUMMYFUNCTION("IMPORTRANGE(""https://docs.google.com/spreadsheets/d/""&amp;$A548&amp;""/edit#gid=156619080"",W$3)"),2043.5)</f>
        <v>2043.5</v>
      </c>
      <c r="X548" s="2" t="str">
        <f>IFERROR(__xludf.DUMMYFUNCTION("IMPORTRANGE(""https://docs.google.com/spreadsheets/d/""&amp;$A548&amp;""/edit#gid=156619080"",X$3)"),"")</f>
        <v/>
      </c>
      <c r="Y548" s="17">
        <f>IFERROR(__xludf.DUMMYFUNCTION("IMPORTRANGE(""https://docs.google.com/spreadsheets/d/""&amp;$A548&amp;""/edit#gid=156619080"",Y$3)"),0.0)</f>
        <v>0</v>
      </c>
      <c r="Z548" s="2">
        <f>IFERROR(__xludf.DUMMYFUNCTION("IMPORTRANGE(""https://docs.google.com/spreadsheets/d/""&amp;$A548&amp;""/edit#gid=156619080"",Z$3)"),2278.66)</f>
        <v>2278.66</v>
      </c>
      <c r="AA548" s="2">
        <f>IFERROR(__xludf.DUMMYFUNCTION("IMPORTRANGE(""https://docs.google.com/spreadsheets/d/""&amp;$A548&amp;""/edit#gid=156619080"",AA$3)"),2249.26)</f>
        <v>2249.26</v>
      </c>
      <c r="AB548" s="2">
        <f>IFERROR(__xludf.DUMMYFUNCTION("IMPORTRANGE(""https://docs.google.com/spreadsheets/d/""&amp;$A548&amp;""/edit#gid=156619080"",AB$3)"),2219.87)</f>
        <v>2219.87</v>
      </c>
      <c r="AC548" s="18">
        <f>IFERROR(__xludf.DUMMYFUNCTION("IMPORTRANGE(""https://docs.google.com/spreadsheets/d/""&amp;$A548&amp;""/edit#gid=156619080"",AC$3)"),2190.47)</f>
        <v>2190.47</v>
      </c>
      <c r="AD548" s="18">
        <f>IFERROR(__xludf.DUMMYFUNCTION("IMPORTRANGE(""https://docs.google.com/spreadsheets/d/""&amp;$A548&amp;""/edit#gid=156619080"",AD$3)"),2161.08)</f>
        <v>2161.08</v>
      </c>
      <c r="AE548" s="18">
        <f>IFERROR(__xludf.DUMMYFUNCTION("IMPORTRANGE(""https://docs.google.com/spreadsheets/d/""&amp;$A548&amp;""/edit#gid=156619080"",AE$3)"),2043.5)</f>
        <v>2043.5</v>
      </c>
      <c r="AF548" s="2">
        <f>IFERROR(__xludf.DUMMYFUNCTION("IMPORTRANGE(""https://docs.google.com/spreadsheets/d/""&amp;$A548&amp;""/edit#gid=156619080"",AF$3)"),1925.92)</f>
        <v>1925.92</v>
      </c>
      <c r="AG548" s="2">
        <f>IFERROR(__xludf.DUMMYFUNCTION("IMPORTRANGE(""https://docs.google.com/spreadsheets/d/""&amp;$A548&amp;""/edit#gid=156619080"",AG$3)"),1896.53)</f>
        <v>1896.53</v>
      </c>
      <c r="AH548" s="2">
        <f>IFERROR(__xludf.DUMMYFUNCTION("IMPORTRANGE(""https://docs.google.com/spreadsheets/d/""&amp;$A548&amp;""/edit#gid=156619080"",AH$3)"),1867.13)</f>
        <v>1867.13</v>
      </c>
      <c r="AI548" s="2">
        <f>IFERROR(__xludf.DUMMYFUNCTION("IMPORTRANGE(""https://docs.google.com/spreadsheets/d/""&amp;$A548&amp;""/edit#gid=156619080"",AI$3)"),1837.74)</f>
        <v>1837.74</v>
      </c>
      <c r="AJ548" s="2">
        <f>IFERROR(__xludf.DUMMYFUNCTION("IMPORTRANGE(""https://docs.google.com/spreadsheets/d/""&amp;$A548&amp;""/edit#gid=156619080"",AJ$3)"),1808.34)</f>
        <v>1808.34</v>
      </c>
      <c r="AK548" s="2" t="str">
        <f>IFERROR(__xludf.DUMMYFUNCTION("IMPORTRANGE(""https://docs.google.com/spreadsheets/d/""&amp;$A548&amp;""/edit#gid=156619080"",AK$3)"),"-1.25σ〜-1.5σ")</f>
        <v>-1.25σ〜-1.5σ</v>
      </c>
      <c r="AL548" s="2">
        <f>IFERROR(__xludf.DUMMYFUNCTION("IMPORTRANGE(""https://docs.google.com/spreadsheets/d/""&amp;$A548&amp;""/edit#gid=156619080"",AL$3)"),-1.0)</f>
        <v>-1</v>
      </c>
      <c r="AM548" s="2" t="str">
        <f>IFERROR(__xludf.DUMMYFUNCTION("IMPORTRANGE(""https://docs.google.com/spreadsheets/d/""&amp;$A548&amp;""/edit#gid=156619080"",AM$3)"),"")</f>
        <v/>
      </c>
      <c r="AN548" s="2">
        <f>IFERROR(__xludf.DUMMYFUNCTION("IMPORTRANGE(""https://docs.google.com/spreadsheets/d/""&amp;$A548&amp;""/edit#gid=156619080"",AN$3)"),-1.0)</f>
        <v>-1</v>
      </c>
      <c r="AO548" s="2" t="str">
        <f>IFERROR(__xludf.DUMMYFUNCTION("IMPORTRANGE(""https://docs.google.com/spreadsheets/d/""&amp;$A548&amp;""/edit#gid=156619080"",AO$3)"),"")</f>
        <v/>
      </c>
      <c r="AP548" s="2">
        <f>IFERROR(__xludf.DUMMYFUNCTION("IMPORTRANGE(""https://docs.google.com/spreadsheets/d/""&amp;$A548&amp;""/edit#gid=156619080"",AP$3)"),-1.0)</f>
        <v>-1</v>
      </c>
      <c r="AQ548" s="2" t="str">
        <f>IFERROR(__xludf.DUMMYFUNCTION("IMPORTRANGE(""https://docs.google.com/spreadsheets/d/""&amp;$A548&amp;""/edit#gid=156619080"",AQ$3)"),"")</f>
        <v/>
      </c>
      <c r="AR548" s="18">
        <f>IFERROR(__xludf.DUMMYFUNCTION("IMPORTRANGE(""https://docs.google.com/spreadsheets/d/""&amp;$A548&amp;""/edit#gid=156619080"",AR$3)"),50.0)</f>
        <v>50</v>
      </c>
      <c r="AS548" s="19" t="str">
        <f>IFERROR(__xludf.DUMMYFUNCTION("IMPORTRANGE(""https://docs.google.com/spreadsheets/d/""&amp;$A548&amp;""/edit#gid=156619080"",AS$3)"),"-90
-100
-40
32.5
")</f>
        <v>-90
-100
-40
32.5
</v>
      </c>
      <c r="AT548" s="18">
        <f>IFERROR(__xludf.DUMMYFUNCTION("IMPORTRANGE(""https://docs.google.com/spreadsheets/d/""&amp;$A548&amp;""/edit#gid=156619080"",AT$3)"),-79.53296703296704)</f>
        <v>-79.53296703</v>
      </c>
      <c r="AU548" s="3" t="str">
        <f>IFERROR(__xludf.DUMMYFUNCTION("IMPORTRANGE(""https://docs.google.com/spreadsheets/d/""&amp;$A548&amp;""/edit#gid=156619080"",AU$3)"),"-43.96
-51.65
-67.03
-71.84
")</f>
        <v>-43.96
-51.65
-67.03
-71.84
</v>
      </c>
      <c r="AV548" s="18">
        <f>IFERROR(__xludf.DUMMYFUNCTION("IMPORTRANGE(""https://docs.google.com/spreadsheets/d/""&amp;$A548&amp;""/edit#gid=156619080"",AV$3)"),-84.12337662337663)</f>
        <v>-84.12337662</v>
      </c>
      <c r="AW548" s="19" t="str">
        <f>IFERROR(__xludf.DUMMYFUNCTION("IMPORTRANGE(""https://docs.google.com/spreadsheets/d/""&amp;$A548&amp;""/edit#gid=156619080"",AW$3)"),"-85.45
-86.23
-85.84
-85.03
")</f>
        <v>-85.45
-86.23
-85.84
-85.03
</v>
      </c>
      <c r="AX548" s="2">
        <f>IFERROR(__xludf.DUMMYFUNCTION("IMPORTRANGE(""https://docs.google.com/spreadsheets/d/""&amp;$A548&amp;""/edit#gid=156619080"",AX$3)"),47.010000000000005)</f>
        <v>47.01</v>
      </c>
      <c r="AY548" s="2">
        <f>IFERROR(__xludf.DUMMYFUNCTION("IMPORTRANGE(""https://docs.google.com/spreadsheets/d/""&amp;$A548&amp;""/edit#gid=156619080"",AY$3)"),26.8)</f>
        <v>26.8</v>
      </c>
      <c r="AZ548" s="2">
        <f>IFERROR(__xludf.DUMMYFUNCTION("IMPORTRANGE(""https://docs.google.com/spreadsheets/d/""&amp;$A548&amp;""/edit#gid=156619080"",AZ$3)"),1908.54)</f>
        <v>1908.54</v>
      </c>
      <c r="BA548" s="2">
        <f>IFERROR(__xludf.DUMMYFUNCTION("IMPORTRANGE(""https://docs.google.com/spreadsheets/d/""&amp;$A548&amp;""/edit#gid=156619080"",BA$3)"),-121.65000000000009)</f>
        <v>-121.65</v>
      </c>
      <c r="BB548" s="2">
        <f>IFERROR(__xludf.DUMMYFUNCTION("IMPORTRANGE(""https://docs.google.com/spreadsheets/d/""&amp;$A548&amp;""/edit#gid=156619080"",BB$3)"),-104.88)</f>
        <v>-104.88</v>
      </c>
      <c r="BC548" s="2" t="str">
        <f>IFERROR(__xludf.DUMMYFUNCTION("IMPORTRANGE(""https://docs.google.com/spreadsheets/d/""&amp;$A548&amp;""/edit#gid=156619080"",BC$3)"),"DC→DC")</f>
        <v>DC→DC</v>
      </c>
    </row>
    <row r="549" ht="51.0" customHeight="1">
      <c r="A549" s="7" t="str">
        <f t="shared" si="5"/>
        <v>17XZZcPi68Euj_mwpzEkKvj9PluaL8pDwG7Xq4ZPP7aM</v>
      </c>
      <c r="B549" s="1" t="s">
        <v>576</v>
      </c>
      <c r="C549" s="2">
        <f>IFERROR(__xludf.DUMMYFUNCTION("IMPORTRANGE(""https://docs.google.com/spreadsheets/d/""&amp;$A549&amp;""/edit#gid=156619080"",C$3)"),87.0)</f>
        <v>87</v>
      </c>
      <c r="D549" s="2">
        <f>IFERROR(__xludf.DUMMYFUNCTION("IMPORTRANGE(""https://docs.google.com/spreadsheets/d/""&amp;$A549&amp;""/edit#gid=156619080"",D$3)"),3914.0)</f>
        <v>3914</v>
      </c>
      <c r="E549" s="15">
        <f>IFERROR(__xludf.DUMMYFUNCTION("IMPORTRANGE(""https://docs.google.com/spreadsheets/d/""&amp;$A549&amp;""/edit#gid=156619080"",E$3)"),43882.0)</f>
        <v>43882</v>
      </c>
      <c r="F549" s="2">
        <f>IFERROR(__xludf.DUMMYFUNCTION("IMPORTRANGE(""https://docs.google.com/spreadsheets/d/""&amp;$A549&amp;""/edit#gid=156619080"",F$3)"),-15.0)</f>
        <v>-15</v>
      </c>
      <c r="G549" s="16">
        <f>IFERROR(__xludf.DUMMYFUNCTION("IMPORTRANGE(""https://docs.google.com/spreadsheets/d/""&amp;$A549&amp;""/edit#gid=156619080"",G$3)"),-0.31)</f>
        <v>-0.31</v>
      </c>
      <c r="H549" s="16">
        <f>IFERROR(__xludf.DUMMYFUNCTION("IMPORTRANGE(""https://docs.google.com/spreadsheets/d/""&amp;$A549&amp;""/edit#gid=156619080"",H$3)"),4750.0)</f>
        <v>4750</v>
      </c>
      <c r="I549" s="16">
        <f>IFERROR(__xludf.DUMMYFUNCTION("IMPORTRANGE(""https://docs.google.com/spreadsheets/d/""&amp;$A549&amp;""/edit#gid=156619080"",I$3)"),10.0)</f>
        <v>10</v>
      </c>
      <c r="J549" s="16">
        <f>IFERROR(__xludf.DUMMYFUNCTION("IMPORTRANGE(""https://docs.google.com/spreadsheets/d/""&amp;$A549&amp;""/edit#gid=156619080"",J$3)"),4905.0)</f>
        <v>4905</v>
      </c>
      <c r="K549" s="16">
        <f>IFERROR(__xludf.DUMMYFUNCTION("IMPORTRANGE(""https://docs.google.com/spreadsheets/d/""&amp;$A549&amp;""/edit#gid=156619080"",K$3)"),0.40625)</f>
        <v>0.40625</v>
      </c>
      <c r="L549" s="16">
        <f>IFERROR(__xludf.DUMMYFUNCTION("IMPORTRANGE(""https://docs.google.com/spreadsheets/d/""&amp;$A549&amp;""/edit#gid=156619080"",L$3)"),4725.0)</f>
        <v>4725</v>
      </c>
      <c r="M549" s="16">
        <f>IFERROR(__xludf.DUMMYFUNCTION("IMPORTRANGE(""https://docs.google.com/spreadsheets/d/""&amp;$A549&amp;""/edit#gid=156619080"",M$3)"),0.375)</f>
        <v>0.375</v>
      </c>
      <c r="N549" s="16">
        <f>IFERROR(__xludf.DUMMYFUNCTION("IMPORTRANGE(""https://docs.google.com/spreadsheets/d/""&amp;$A549&amp;""/edit#gid=156619080"",N$3)"),4760.0)</f>
        <v>4760</v>
      </c>
      <c r="O549" s="16" t="str">
        <f>IFERROR(__xludf.DUMMYFUNCTION("IMPORTRANGE(""https://docs.google.com/spreadsheets/d/""&amp;$A549&amp;""/edit#gid=156619080"",O$3)"),"85400株")</f>
        <v>85400株</v>
      </c>
      <c r="P549" s="16" t="str">
        <f>IFERROR(__xludf.DUMMYFUNCTION("IMPORTRANGE(""https://docs.google.com/spreadsheets/d/""&amp;$A549&amp;""/edit#gid=156619080"",P$3)"),"411百万円")</f>
        <v>411百万円</v>
      </c>
      <c r="Q549" s="16" t="str">
        <f>IFERROR(__xludf.DUMMYFUNCTION("IMPORTRANGE(""https://docs.google.com/spreadsheets/d/""&amp;$A549&amp;""/edit#gid=156619080"",Q$3)"),"437回")</f>
        <v>437回</v>
      </c>
      <c r="R549" s="16" t="str">
        <f>IFERROR(__xludf.DUMMYFUNCTION("IMPORTRANGE(""https://docs.google.com/spreadsheets/d/""&amp;$A549&amp;""/edit#gid=156619080"",R$3)"),"320億円")</f>
        <v>320億円</v>
      </c>
      <c r="S549" s="16" t="str">
        <f>IFERROR(__xludf.DUMMYFUNCTION("IMPORTRANGE(""https://docs.google.com/spreadsheets/d/""&amp;$A549&amp;""/edit#gid=156619080"",S$3)"),"陽線")</f>
        <v>陽線</v>
      </c>
      <c r="T549" s="16" t="str">
        <f>IFERROR(__xludf.DUMMYFUNCTION("IMPORTRANGE(""https://docs.google.com/spreadsheets/d/""&amp;$A549&amp;""/edit#gid=156619080"",T$3)"),"")</f>
        <v/>
      </c>
      <c r="U549" s="16">
        <f>IFERROR(__xludf.DUMMYFUNCTION("IMPORTRANGE(""https://docs.google.com/spreadsheets/d/""&amp;$A549&amp;""/edit#gid=156619080"",U$3)"),4754.0)</f>
        <v>4754</v>
      </c>
      <c r="V549" s="16">
        <f>IFERROR(__xludf.DUMMYFUNCTION("IMPORTRANGE(""https://docs.google.com/spreadsheets/d/""&amp;$A549&amp;""/edit#gid=156619080"",V$3)"),4599.2)</f>
        <v>4599.2</v>
      </c>
      <c r="W549" s="16">
        <f>IFERROR(__xludf.DUMMYFUNCTION("IMPORTRANGE(""https://docs.google.com/spreadsheets/d/""&amp;$A549&amp;""/edit#gid=156619080"",W$3)"),4501.0)</f>
        <v>4501</v>
      </c>
      <c r="X549" s="2" t="str">
        <f>IFERROR(__xludf.DUMMYFUNCTION("IMPORTRANGE(""https://docs.google.com/spreadsheets/d/""&amp;$A549&amp;""/edit#gid=156619080"",X$3)"),"")</f>
        <v/>
      </c>
      <c r="Y549" s="17">
        <f>IFERROR(__xludf.DUMMYFUNCTION("IMPORTRANGE(""https://docs.google.com/spreadsheets/d/""&amp;$A549&amp;""/edit#gid=156619080"",Y$3)"),0.0012620950778291964)</f>
        <v>0.001262095078</v>
      </c>
      <c r="Z549" s="2">
        <f>IFERROR(__xludf.DUMMYFUNCTION("IMPORTRANGE(""https://docs.google.com/spreadsheets/d/""&amp;$A549&amp;""/edit#gid=156619080"",Z$3)"),4990.35)</f>
        <v>4990.35</v>
      </c>
      <c r="AA549" s="2">
        <f>IFERROR(__xludf.DUMMYFUNCTION("IMPORTRANGE(""https://docs.google.com/spreadsheets/d/""&amp;$A549&amp;""/edit#gid=156619080"",AA$3)"),4929.18)</f>
        <v>4929.18</v>
      </c>
      <c r="AB549" s="2">
        <f>IFERROR(__xludf.DUMMYFUNCTION("IMPORTRANGE(""https://docs.google.com/spreadsheets/d/""&amp;$A549&amp;""/edit#gid=156619080"",AB$3)"),4868.01)</f>
        <v>4868.01</v>
      </c>
      <c r="AC549" s="18">
        <f>IFERROR(__xludf.DUMMYFUNCTION("IMPORTRANGE(""https://docs.google.com/spreadsheets/d/""&amp;$A549&amp;""/edit#gid=156619080"",AC$3)"),4806.84)</f>
        <v>4806.84</v>
      </c>
      <c r="AD549" s="18">
        <f>IFERROR(__xludf.DUMMYFUNCTION("IMPORTRANGE(""https://docs.google.com/spreadsheets/d/""&amp;$A549&amp;""/edit#gid=156619080"",AD$3)"),4745.67)</f>
        <v>4745.67</v>
      </c>
      <c r="AE549" s="18">
        <f>IFERROR(__xludf.DUMMYFUNCTION("IMPORTRANGE(""https://docs.google.com/spreadsheets/d/""&amp;$A549&amp;""/edit#gid=156619080"",AE$3)"),4501.0)</f>
        <v>4501</v>
      </c>
      <c r="AF549" s="2">
        <f>IFERROR(__xludf.DUMMYFUNCTION("IMPORTRANGE(""https://docs.google.com/spreadsheets/d/""&amp;$A549&amp;""/edit#gid=156619080"",AF$3)"),4256.33)</f>
        <v>4256.33</v>
      </c>
      <c r="AG549" s="2">
        <f>IFERROR(__xludf.DUMMYFUNCTION("IMPORTRANGE(""https://docs.google.com/spreadsheets/d/""&amp;$A549&amp;""/edit#gid=156619080"",AG$3)"),4195.16)</f>
        <v>4195.16</v>
      </c>
      <c r="AH549" s="2">
        <f>IFERROR(__xludf.DUMMYFUNCTION("IMPORTRANGE(""https://docs.google.com/spreadsheets/d/""&amp;$A549&amp;""/edit#gid=156619080"",AH$3)"),4133.99)</f>
        <v>4133.99</v>
      </c>
      <c r="AI549" s="2">
        <f>IFERROR(__xludf.DUMMYFUNCTION("IMPORTRANGE(""https://docs.google.com/spreadsheets/d/""&amp;$A549&amp;""/edit#gid=156619080"",AI$3)"),4072.82)</f>
        <v>4072.82</v>
      </c>
      <c r="AJ549" s="2">
        <f>IFERROR(__xludf.DUMMYFUNCTION("IMPORTRANGE(""https://docs.google.com/spreadsheets/d/""&amp;$A549&amp;""/edit#gid=156619080"",AJ$3)"),4011.65)</f>
        <v>4011.65</v>
      </c>
      <c r="AK549" s="2" t="str">
        <f>IFERROR(__xludf.DUMMYFUNCTION("IMPORTRANGE(""https://docs.google.com/spreadsheets/d/""&amp;$A549&amp;""/edit#gid=156619080"",AK$3)"),"1〜1.25σ")</f>
        <v>1〜1.25σ</v>
      </c>
      <c r="AL549" s="2">
        <f>IFERROR(__xludf.DUMMYFUNCTION("IMPORTRANGE(""https://docs.google.com/spreadsheets/d/""&amp;$A549&amp;""/edit#gid=156619080"",AL$3)"),1.0)</f>
        <v>1</v>
      </c>
      <c r="AM549" s="2" t="str">
        <f>IFERROR(__xludf.DUMMYFUNCTION("IMPORTRANGE(""https://docs.google.com/spreadsheets/d/""&amp;$A549&amp;""/edit#gid=156619080"",AM$3)"),"")</f>
        <v/>
      </c>
      <c r="AN549" s="2">
        <f>IFERROR(__xludf.DUMMYFUNCTION("IMPORTRANGE(""https://docs.google.com/spreadsheets/d/""&amp;$A549&amp;""/edit#gid=156619080"",AN$3)"),1.0)</f>
        <v>1</v>
      </c>
      <c r="AO549" s="2" t="str">
        <f>IFERROR(__xludf.DUMMYFUNCTION("IMPORTRANGE(""https://docs.google.com/spreadsheets/d/""&amp;$A549&amp;""/edit#gid=156619080"",AO$3)"),"")</f>
        <v/>
      </c>
      <c r="AP549" s="2">
        <f>IFERROR(__xludf.DUMMYFUNCTION("IMPORTRANGE(""https://docs.google.com/spreadsheets/d/""&amp;$A549&amp;""/edit#gid=156619080"",AP$3)"),1.0)</f>
        <v>1</v>
      </c>
      <c r="AQ549" s="2" t="str">
        <f>IFERROR(__xludf.DUMMYFUNCTION("IMPORTRANGE(""https://docs.google.com/spreadsheets/d/""&amp;$A549&amp;""/edit#gid=156619080"",AQ$3)"),"")</f>
        <v/>
      </c>
      <c r="AR549" s="18">
        <f>IFERROR(__xludf.DUMMYFUNCTION("IMPORTRANGE(""https://docs.google.com/spreadsheets/d/""&amp;$A549&amp;""/edit#gid=156619080"",AR$3)"),15.000000000000002)</f>
        <v>15</v>
      </c>
      <c r="AS549" s="19" t="str">
        <f>IFERROR(__xludf.DUMMYFUNCTION("IMPORTRANGE(""https://docs.google.com/spreadsheets/d/""&amp;$A549&amp;""/edit#gid=156619080"",AS$3)"),"95
95
95
65
")</f>
        <v>95
95
95
65
</v>
      </c>
      <c r="AT549" s="18">
        <f>IFERROR(__xludf.DUMMYFUNCTION("IMPORTRANGE(""https://docs.google.com/spreadsheets/d/""&amp;$A549&amp;""/edit#gid=156619080"",AT$3)"),61.81318681318682)</f>
        <v>61.81318681</v>
      </c>
      <c r="AU549" s="3" t="str">
        <f>IFERROR(__xludf.DUMMYFUNCTION("IMPORTRANGE(""https://docs.google.com/spreadsheets/d/""&amp;$A549&amp;""/edit#gid=156619080"",AU$3)"),"2.47
2.47
23.9
40.38
")</f>
        <v>2.47
2.47
23.9
40.38
</v>
      </c>
      <c r="AV549" s="18">
        <f>IFERROR(__xludf.DUMMYFUNCTION("IMPORTRANGE(""https://docs.google.com/spreadsheets/d/""&amp;$A549&amp;""/edit#gid=156619080"",AV$3)"),73.83116883116882)</f>
        <v>73.83116883</v>
      </c>
      <c r="AW549" s="19" t="str">
        <f>IFERROR(__xludf.DUMMYFUNCTION("IMPORTRANGE(""https://docs.google.com/spreadsheets/d/""&amp;$A549&amp;""/edit#gid=156619080"",AW$3)"),"70.58
70.58
72.27
73.31
")</f>
        <v>70.58
70.58
72.27
73.31
</v>
      </c>
      <c r="AX549" s="2">
        <f>IFERROR(__xludf.DUMMYFUNCTION("IMPORTRANGE(""https://docs.google.com/spreadsheets/d/""&amp;$A549&amp;""/edit#gid=156619080"",AX$3)"),83.33)</f>
        <v>83.33</v>
      </c>
      <c r="AY549" s="2">
        <f>IFERROR(__xludf.DUMMYFUNCTION("IMPORTRANGE(""https://docs.google.com/spreadsheets/d/""&amp;$A549&amp;""/edit#gid=156619080"",AY$3)"),68.28999999999999)</f>
        <v>68.29</v>
      </c>
      <c r="AZ549" s="2">
        <f>IFERROR(__xludf.DUMMYFUNCTION("IMPORTRANGE(""https://docs.google.com/spreadsheets/d/""&amp;$A549&amp;""/edit#gid=156619080"",AZ$3)"),4727.85)</f>
        <v>4727.85</v>
      </c>
      <c r="BA549" s="2">
        <f>IFERROR(__xludf.DUMMYFUNCTION("IMPORTRANGE(""https://docs.google.com/spreadsheets/d/""&amp;$A549&amp;""/edit#gid=156619080"",BA$3)"),200.95000000000073)</f>
        <v>200.95</v>
      </c>
      <c r="BB549" s="2">
        <f>IFERROR(__xludf.DUMMYFUNCTION("IMPORTRANGE(""https://docs.google.com/spreadsheets/d/""&amp;$A549&amp;""/edit#gid=156619080"",BB$3)"),158.2)</f>
        <v>158.2</v>
      </c>
      <c r="BC549" s="2" t="str">
        <f>IFERROR(__xludf.DUMMYFUNCTION("IMPORTRANGE(""https://docs.google.com/spreadsheets/d/""&amp;$A549&amp;""/edit#gid=156619080"",BC$3)"),"GC→GC")</f>
        <v>GC→GC</v>
      </c>
    </row>
    <row r="550" ht="51.0" customHeight="1">
      <c r="A550" s="7" t="str">
        <f t="shared" si="5"/>
        <v>1qZ-W-mIED34vT0hU32G5ZJYSDPuB4pQ6FNpCAEMMvn4</v>
      </c>
      <c r="B550" s="1" t="s">
        <v>577</v>
      </c>
      <c r="C550" s="2">
        <f>IFERROR(__xludf.DUMMYFUNCTION("IMPORTRANGE(""https://docs.google.com/spreadsheets/d/""&amp;$A550&amp;""/edit#gid=156619080"",C$3)"),45.0)</f>
        <v>45</v>
      </c>
      <c r="D550" s="2">
        <f>IFERROR(__xludf.DUMMYFUNCTION("IMPORTRANGE(""https://docs.google.com/spreadsheets/d/""&amp;$A550&amp;""/edit#gid=156619080"",D$3)"),4390.0)</f>
        <v>4390</v>
      </c>
      <c r="E550" s="15">
        <f>IFERROR(__xludf.DUMMYFUNCTION("IMPORTRANGE(""https://docs.google.com/spreadsheets/d/""&amp;$A550&amp;""/edit#gid=156619080"",E$3)"),43882.0)</f>
        <v>43882</v>
      </c>
      <c r="F550" s="2">
        <f>IFERROR(__xludf.DUMMYFUNCTION("IMPORTRANGE(""https://docs.google.com/spreadsheets/d/""&amp;$A550&amp;""/edit#gid=156619080"",F$3)"),96.0)</f>
        <v>96</v>
      </c>
      <c r="G550" s="16">
        <f>IFERROR(__xludf.DUMMYFUNCTION("IMPORTRANGE(""https://docs.google.com/spreadsheets/d/""&amp;$A550&amp;""/edit#gid=156619080"",G$3)"),6.71)</f>
        <v>6.71</v>
      </c>
      <c r="H550" s="16">
        <f>IFERROR(__xludf.DUMMYFUNCTION("IMPORTRANGE(""https://docs.google.com/spreadsheets/d/""&amp;$A550&amp;""/edit#gid=156619080"",H$3)"),1419.0)</f>
        <v>1419</v>
      </c>
      <c r="I550" s="16">
        <f>IFERROR(__xludf.DUMMYFUNCTION("IMPORTRANGE(""https://docs.google.com/spreadsheets/d/""&amp;$A550&amp;""/edit#gid=156619080"",I$3)"),11.0)</f>
        <v>11</v>
      </c>
      <c r="J550" s="16">
        <f>IFERROR(__xludf.DUMMYFUNCTION("IMPORTRANGE(""https://docs.google.com/spreadsheets/d/""&amp;$A550&amp;""/edit#gid=156619080"",J$3)"),1542.0)</f>
        <v>1542</v>
      </c>
      <c r="K550" s="16">
        <f>IFERROR(__xludf.DUMMYFUNCTION("IMPORTRANGE(""https://docs.google.com/spreadsheets/d/""&amp;$A550&amp;""/edit#gid=156619080"",K$3)"),0.5652777777777778)</f>
        <v>0.5652777778</v>
      </c>
      <c r="L550" s="16">
        <f>IFERROR(__xludf.DUMMYFUNCTION("IMPORTRANGE(""https://docs.google.com/spreadsheets/d/""&amp;$A550&amp;""/edit#gid=156619080"",L$3)"),1401.0)</f>
        <v>1401</v>
      </c>
      <c r="M550" s="16">
        <f>IFERROR(__xludf.DUMMYFUNCTION("IMPORTRANGE(""https://docs.google.com/spreadsheets/d/""&amp;$A550&amp;""/edit#gid=156619080"",M$3)"),0.37777777777777777)</f>
        <v>0.3777777778</v>
      </c>
      <c r="N550" s="16">
        <f>IFERROR(__xludf.DUMMYFUNCTION("IMPORTRANGE(""https://docs.google.com/spreadsheets/d/""&amp;$A550&amp;""/edit#gid=156619080"",N$3)"),1526.0)</f>
        <v>1526</v>
      </c>
      <c r="O550" s="16" t="str">
        <f>IFERROR(__xludf.DUMMYFUNCTION("IMPORTRANGE(""https://docs.google.com/spreadsheets/d/""&amp;$A550&amp;""/edit#gid=156619080"",O$3)"),"313100株")</f>
        <v>313100株</v>
      </c>
      <c r="P550" s="16" t="str">
        <f>IFERROR(__xludf.DUMMYFUNCTION("IMPORTRANGE(""https://docs.google.com/spreadsheets/d/""&amp;$A550&amp;""/edit#gid=156619080"",P$3)"),"466百万円")</f>
        <v>466百万円</v>
      </c>
      <c r="Q550" s="16" t="str">
        <f>IFERROR(__xludf.DUMMYFUNCTION("IMPORTRANGE(""https://docs.google.com/spreadsheets/d/""&amp;$A550&amp;""/edit#gid=156619080"",Q$3)"),"1211回")</f>
        <v>1211回</v>
      </c>
      <c r="R550" s="16" t="str">
        <f>IFERROR(__xludf.DUMMYFUNCTION("IMPORTRANGE(""https://docs.google.com/spreadsheets/d/""&amp;$A550&amp;""/edit#gid=156619080"",R$3)"),"188億円")</f>
        <v>188億円</v>
      </c>
      <c r="S550" s="16" t="str">
        <f>IFERROR(__xludf.DUMMYFUNCTION("IMPORTRANGE(""https://docs.google.com/spreadsheets/d/""&amp;$A550&amp;""/edit#gid=156619080"",S$3)"),"陽線")</f>
        <v>陽線</v>
      </c>
      <c r="T550" s="16" t="str">
        <f>IFERROR(__xludf.DUMMYFUNCTION("IMPORTRANGE(""https://docs.google.com/spreadsheets/d/""&amp;$A550&amp;""/edit#gid=156619080"",T$3)"),"")</f>
        <v/>
      </c>
      <c r="U550" s="16">
        <f>IFERROR(__xludf.DUMMYFUNCTION("IMPORTRANGE(""https://docs.google.com/spreadsheets/d/""&amp;$A550&amp;""/edit#gid=156619080"",U$3)"),1399.2)</f>
        <v>1399.2</v>
      </c>
      <c r="V550" s="16">
        <f>IFERROR(__xludf.DUMMYFUNCTION("IMPORTRANGE(""https://docs.google.com/spreadsheets/d/""&amp;$A550&amp;""/edit#gid=156619080"",V$3)"),1338.8)</f>
        <v>1338.8</v>
      </c>
      <c r="W550" s="16">
        <f>IFERROR(__xludf.DUMMYFUNCTION("IMPORTRANGE(""https://docs.google.com/spreadsheets/d/""&amp;$A550&amp;""/edit#gid=156619080"",W$3)"),1280.0)</f>
        <v>1280</v>
      </c>
      <c r="X550" s="2" t="str">
        <f>IFERROR(__xludf.DUMMYFUNCTION("IMPORTRANGE(""https://docs.google.com/spreadsheets/d/""&amp;$A550&amp;""/edit#gid=156619080"",X$3)"),"")</f>
        <v/>
      </c>
      <c r="Y550" s="17">
        <f>IFERROR(__xludf.DUMMYFUNCTION("IMPORTRANGE(""https://docs.google.com/spreadsheets/d/""&amp;$A550&amp;""/edit#gid=156619080"",Y$3)"),0.09062321326472267)</f>
        <v>0.09062321326</v>
      </c>
      <c r="Z550" s="2">
        <f>IFERROR(__xludf.DUMMYFUNCTION("IMPORTRANGE(""https://docs.google.com/spreadsheets/d/""&amp;$A550&amp;""/edit#gid=156619080"",Z$3)"),1529.72)</f>
        <v>1529.72</v>
      </c>
      <c r="AA550" s="2">
        <f>IFERROR(__xludf.DUMMYFUNCTION("IMPORTRANGE(""https://docs.google.com/spreadsheets/d/""&amp;$A550&amp;""/edit#gid=156619080"",AA$3)"),1498.5)</f>
        <v>1498.5</v>
      </c>
      <c r="AB550" s="2">
        <f>IFERROR(__xludf.DUMMYFUNCTION("IMPORTRANGE(""https://docs.google.com/spreadsheets/d/""&amp;$A550&amp;""/edit#gid=156619080"",AB$3)"),1467.29)</f>
        <v>1467.29</v>
      </c>
      <c r="AC550" s="18">
        <f>IFERROR(__xludf.DUMMYFUNCTION("IMPORTRANGE(""https://docs.google.com/spreadsheets/d/""&amp;$A550&amp;""/edit#gid=156619080"",AC$3)"),1436.07)</f>
        <v>1436.07</v>
      </c>
      <c r="AD550" s="18">
        <f>IFERROR(__xludf.DUMMYFUNCTION("IMPORTRANGE(""https://docs.google.com/spreadsheets/d/""&amp;$A550&amp;""/edit#gid=156619080"",AD$3)"),1404.86)</f>
        <v>1404.86</v>
      </c>
      <c r="AE550" s="18">
        <f>IFERROR(__xludf.DUMMYFUNCTION("IMPORTRANGE(""https://docs.google.com/spreadsheets/d/""&amp;$A550&amp;""/edit#gid=156619080"",AE$3)"),1280.0)</f>
        <v>1280</v>
      </c>
      <c r="AF550" s="2">
        <f>IFERROR(__xludf.DUMMYFUNCTION("IMPORTRANGE(""https://docs.google.com/spreadsheets/d/""&amp;$A550&amp;""/edit#gid=156619080"",AF$3)"),1155.14)</f>
        <v>1155.14</v>
      </c>
      <c r="AG550" s="2">
        <f>IFERROR(__xludf.DUMMYFUNCTION("IMPORTRANGE(""https://docs.google.com/spreadsheets/d/""&amp;$A550&amp;""/edit#gid=156619080"",AG$3)"),1123.93)</f>
        <v>1123.93</v>
      </c>
      <c r="AH550" s="2">
        <f>IFERROR(__xludf.DUMMYFUNCTION("IMPORTRANGE(""https://docs.google.com/spreadsheets/d/""&amp;$A550&amp;""/edit#gid=156619080"",AH$3)"),1092.71)</f>
        <v>1092.71</v>
      </c>
      <c r="AI550" s="2">
        <f>IFERROR(__xludf.DUMMYFUNCTION("IMPORTRANGE(""https://docs.google.com/spreadsheets/d/""&amp;$A550&amp;""/edit#gid=156619080"",AI$3)"),1061.5)</f>
        <v>1061.5</v>
      </c>
      <c r="AJ550" s="2">
        <f>IFERROR(__xludf.DUMMYFUNCTION("IMPORTRANGE(""https://docs.google.com/spreadsheets/d/""&amp;$A550&amp;""/edit#gid=156619080"",AJ$3)"),1030.28)</f>
        <v>1030.28</v>
      </c>
      <c r="AK550" s="2" t="str">
        <f>IFERROR(__xludf.DUMMYFUNCTION("IMPORTRANGE(""https://docs.google.com/spreadsheets/d/""&amp;$A550&amp;""/edit#gid=156619080"",AK$3)"),"1.75σ〜2σ")</f>
        <v>1.75σ〜2σ</v>
      </c>
      <c r="AL550" s="2">
        <f>IFERROR(__xludf.DUMMYFUNCTION("IMPORTRANGE(""https://docs.google.com/spreadsheets/d/""&amp;$A550&amp;""/edit#gid=156619080"",AL$3)"),1.0)</f>
        <v>1</v>
      </c>
      <c r="AM550" s="2" t="str">
        <f>IFERROR(__xludf.DUMMYFUNCTION("IMPORTRANGE(""https://docs.google.com/spreadsheets/d/""&amp;$A550&amp;""/edit#gid=156619080"",AM$3)"),"")</f>
        <v/>
      </c>
      <c r="AN550" s="2">
        <f>IFERROR(__xludf.DUMMYFUNCTION("IMPORTRANGE(""https://docs.google.com/spreadsheets/d/""&amp;$A550&amp;""/edit#gid=156619080"",AN$3)"),1.0)</f>
        <v>1</v>
      </c>
      <c r="AO550" s="2" t="str">
        <f>IFERROR(__xludf.DUMMYFUNCTION("IMPORTRANGE(""https://docs.google.com/spreadsheets/d/""&amp;$A550&amp;""/edit#gid=156619080"",AO$3)"),"")</f>
        <v/>
      </c>
      <c r="AP550" s="2">
        <f>IFERROR(__xludf.DUMMYFUNCTION("IMPORTRANGE(""https://docs.google.com/spreadsheets/d/""&amp;$A550&amp;""/edit#gid=156619080"",AP$3)"),1.0)</f>
        <v>1</v>
      </c>
      <c r="AQ550" s="2" t="str">
        <f>IFERROR(__xludf.DUMMYFUNCTION("IMPORTRANGE(""https://docs.google.com/spreadsheets/d/""&amp;$A550&amp;""/edit#gid=156619080"",AQ$3)"),"")</f>
        <v/>
      </c>
      <c r="AR550" s="18">
        <f>IFERROR(__xludf.DUMMYFUNCTION("IMPORTRANGE(""https://docs.google.com/spreadsheets/d/""&amp;$A550&amp;""/edit#gid=156619080"",AR$3)"),70.0)</f>
        <v>70</v>
      </c>
      <c r="AS550" s="19" t="str">
        <f>IFERROR(__xludf.DUMMYFUNCTION("IMPORTRANGE(""https://docs.google.com/spreadsheets/d/""&amp;$A550&amp;""/edit#gid=156619080"",AS$3)"),"30
-70
-80
-30
")</f>
        <v>30
-70
-80
-30
</v>
      </c>
      <c r="AT550" s="18">
        <f>IFERROR(__xludf.DUMMYFUNCTION("IMPORTRANGE(""https://docs.google.com/spreadsheets/d/""&amp;$A550&amp;""/edit#gid=156619080"",AT$3)"),73.62637362637363)</f>
        <v>73.62637363</v>
      </c>
      <c r="AU550" s="3" t="str">
        <f>IFERROR(__xludf.DUMMYFUNCTION("IMPORTRANGE(""https://docs.google.com/spreadsheets/d/""&amp;$A550&amp;""/edit#gid=156619080"",AU$3)"),"71.98
78.02
78.57
73.63
")</f>
        <v>71.98
78.02
78.57
73.63
</v>
      </c>
      <c r="AV550" s="18">
        <f>IFERROR(__xludf.DUMMYFUNCTION("IMPORTRANGE(""https://docs.google.com/spreadsheets/d/""&amp;$A550&amp;""/edit#gid=156619080"",AV$3)"),69.38311688311688)</f>
        <v>69.38311688</v>
      </c>
      <c r="AW550" s="19" t="str">
        <f>IFERROR(__xludf.DUMMYFUNCTION("IMPORTRANGE(""https://docs.google.com/spreadsheets/d/""&amp;$A550&amp;""/edit#gid=156619080"",AW$3)"),"34.06
44.71
53.93
61.33
")</f>
        <v>34.06
44.71
53.93
61.33
</v>
      </c>
      <c r="AX550" s="2">
        <f>IFERROR(__xludf.DUMMYFUNCTION("IMPORTRANGE(""https://docs.google.com/spreadsheets/d/""&amp;$A550&amp;""/edit#gid=156619080"",AX$3)"),53.15)</f>
        <v>53.15</v>
      </c>
      <c r="AY550" s="2">
        <f>IFERROR(__xludf.DUMMYFUNCTION("IMPORTRANGE(""https://docs.google.com/spreadsheets/d/""&amp;$A550&amp;""/edit#gid=156619080"",AY$3)"),64.25999999999999)</f>
        <v>64.26</v>
      </c>
      <c r="AZ550" s="2">
        <f>IFERROR(__xludf.DUMMYFUNCTION("IMPORTRANGE(""https://docs.google.com/spreadsheets/d/""&amp;$A550&amp;""/edit#gid=156619080"",AZ$3)"),1431.7)</f>
        <v>1431.7</v>
      </c>
      <c r="BA550" s="2">
        <f>IFERROR(__xludf.DUMMYFUNCTION("IMPORTRANGE(""https://docs.google.com/spreadsheets/d/""&amp;$A550&amp;""/edit#gid=156619080"",BA$3)"),110.06999999999994)</f>
        <v>110.07</v>
      </c>
      <c r="BB550" s="2">
        <f>IFERROR(__xludf.DUMMYFUNCTION("IMPORTRANGE(""https://docs.google.com/spreadsheets/d/""&amp;$A550&amp;""/edit#gid=156619080"",BB$3)"),64.98)</f>
        <v>64.98</v>
      </c>
      <c r="BC550" s="2" t="str">
        <f>IFERROR(__xludf.DUMMYFUNCTION("IMPORTRANGE(""https://docs.google.com/spreadsheets/d/""&amp;$A550&amp;""/edit#gid=156619080"",BC$3)"),"GC→GC")</f>
        <v>GC→GC</v>
      </c>
    </row>
    <row r="551" ht="51.0" customHeight="1">
      <c r="A551" s="7" t="str">
        <f t="shared" si="5"/>
        <v>1yUuliOBQ7doi91flHOlaH2Cdn85LvfFBfFwmkmPrIJE</v>
      </c>
      <c r="B551" s="1" t="s">
        <v>578</v>
      </c>
      <c r="C551" s="2">
        <f>IFERROR(__xludf.DUMMYFUNCTION("IMPORTRANGE(""https://docs.google.com/spreadsheets/d/""&amp;$A551&amp;""/edit#gid=156619080"",C$3)"),45.0)</f>
        <v>45</v>
      </c>
      <c r="D551" s="2">
        <f>IFERROR(__xludf.DUMMYFUNCTION("IMPORTRANGE(""https://docs.google.com/spreadsheets/d/""&amp;$A551&amp;""/edit#gid=156619080"",D$3)"),4719.0)</f>
        <v>4719</v>
      </c>
      <c r="E551" s="15">
        <f>IFERROR(__xludf.DUMMYFUNCTION("IMPORTRANGE(""https://docs.google.com/spreadsheets/d/""&amp;$A551&amp;""/edit#gid=156619080"",E$3)"),43882.0)</f>
        <v>43882</v>
      </c>
      <c r="F551" s="2">
        <f>IFERROR(__xludf.DUMMYFUNCTION("IMPORTRANGE(""https://docs.google.com/spreadsheets/d/""&amp;$A551&amp;""/edit#gid=156619080"",F$3)"),0.0)</f>
        <v>0</v>
      </c>
      <c r="G551" s="16">
        <f>IFERROR(__xludf.DUMMYFUNCTION("IMPORTRANGE(""https://docs.google.com/spreadsheets/d/""&amp;$A551&amp;""/edit#gid=156619080"",G$3)"),0.0)</f>
        <v>0</v>
      </c>
      <c r="H551" s="16">
        <f>IFERROR(__xludf.DUMMYFUNCTION("IMPORTRANGE(""https://docs.google.com/spreadsheets/d/""&amp;$A551&amp;""/edit#gid=156619080"",H$3)"),2814.0)</f>
        <v>2814</v>
      </c>
      <c r="I551" s="16">
        <f>IFERROR(__xludf.DUMMYFUNCTION("IMPORTRANGE(""https://docs.google.com/spreadsheets/d/""&amp;$A551&amp;""/edit#gid=156619080"",I$3)"),15.0)</f>
        <v>15</v>
      </c>
      <c r="J551" s="16">
        <f>IFERROR(__xludf.DUMMYFUNCTION("IMPORTRANGE(""https://docs.google.com/spreadsheets/d/""&amp;$A551&amp;""/edit#gid=156619080"",J$3)"),2835.0)</f>
        <v>2835</v>
      </c>
      <c r="K551" s="16">
        <f>IFERROR(__xludf.DUMMYFUNCTION("IMPORTRANGE(""https://docs.google.com/spreadsheets/d/""&amp;$A551&amp;""/edit#gid=156619080"",K$3)"),0.44583333333333336)</f>
        <v>0.4458333333</v>
      </c>
      <c r="L551" s="16">
        <f>IFERROR(__xludf.DUMMYFUNCTION("IMPORTRANGE(""https://docs.google.com/spreadsheets/d/""&amp;$A551&amp;""/edit#gid=156619080"",L$3)"),2811.0)</f>
        <v>2811</v>
      </c>
      <c r="M551" s="16">
        <f>IFERROR(__xludf.DUMMYFUNCTION("IMPORTRANGE(""https://docs.google.com/spreadsheets/d/""&amp;$A551&amp;""/edit#gid=156619080"",M$3)"),0.3861111111111111)</f>
        <v>0.3861111111</v>
      </c>
      <c r="N551" s="16">
        <f>IFERROR(__xludf.DUMMYFUNCTION("IMPORTRANGE(""https://docs.google.com/spreadsheets/d/""&amp;$A551&amp;""/edit#gid=156619080"",N$3)"),2829.0)</f>
        <v>2829</v>
      </c>
      <c r="O551" s="16" t="str">
        <f>IFERROR(__xludf.DUMMYFUNCTION("IMPORTRANGE(""https://docs.google.com/spreadsheets/d/""&amp;$A551&amp;""/edit#gid=156619080"",O$3)"),"5700株")</f>
        <v>5700株</v>
      </c>
      <c r="P551" s="16" t="str">
        <f>IFERROR(__xludf.DUMMYFUNCTION("IMPORTRANGE(""https://docs.google.com/spreadsheets/d/""&amp;$A551&amp;""/edit#gid=156619080"",P$3)"),"16百万円")</f>
        <v>16百万円</v>
      </c>
      <c r="Q551" s="16" t="str">
        <f>IFERROR(__xludf.DUMMYFUNCTION("IMPORTRANGE(""https://docs.google.com/spreadsheets/d/""&amp;$A551&amp;""/edit#gid=156619080"",Q$3)"),"42回")</f>
        <v>42回</v>
      </c>
      <c r="R551" s="16" t="str">
        <f>IFERROR(__xludf.DUMMYFUNCTION("IMPORTRANGE(""https://docs.google.com/spreadsheets/d/""&amp;$A551&amp;""/edit#gid=156619080"",R$3)"),"398億円")</f>
        <v>398億円</v>
      </c>
      <c r="S551" s="16" t="str">
        <f>IFERROR(__xludf.DUMMYFUNCTION("IMPORTRANGE(""https://docs.google.com/spreadsheets/d/""&amp;$A551&amp;""/edit#gid=156619080"",S$3)"),"陽線")</f>
        <v>陽線</v>
      </c>
      <c r="T551" s="16" t="str">
        <f>IFERROR(__xludf.DUMMYFUNCTION("IMPORTRANGE(""https://docs.google.com/spreadsheets/d/""&amp;$A551&amp;""/edit#gid=156619080"",T$3)"),"")</f>
        <v/>
      </c>
      <c r="U551" s="16">
        <f>IFERROR(__xludf.DUMMYFUNCTION("IMPORTRANGE(""https://docs.google.com/spreadsheets/d/""&amp;$A551&amp;""/edit#gid=156619080"",U$3)"),2841.0)</f>
        <v>2841</v>
      </c>
      <c r="V551" s="16">
        <f>IFERROR(__xludf.DUMMYFUNCTION("IMPORTRANGE(""https://docs.google.com/spreadsheets/d/""&amp;$A551&amp;""/edit#gid=156619080"",V$3)"),2885.4)</f>
        <v>2885.4</v>
      </c>
      <c r="W551" s="16">
        <f>IFERROR(__xludf.DUMMYFUNCTION("IMPORTRANGE(""https://docs.google.com/spreadsheets/d/""&amp;$A551&amp;""/edit#gid=156619080"",W$3)"),2890.4)</f>
        <v>2890.4</v>
      </c>
      <c r="X551" s="2" t="str">
        <f>IFERROR(__xludf.DUMMYFUNCTION("IMPORTRANGE(""https://docs.google.com/spreadsheets/d/""&amp;$A551&amp;""/edit#gid=156619080"",X$3)"),"")</f>
        <v/>
      </c>
      <c r="Y551" s="17">
        <f>IFERROR(__xludf.DUMMYFUNCTION("IMPORTRANGE(""https://docs.google.com/spreadsheets/d/""&amp;$A551&amp;""/edit#gid=156619080"",Y$3)"),-0.004223864836325237)</f>
        <v>-0.004223864836</v>
      </c>
      <c r="Z551" s="2">
        <f>IFERROR(__xludf.DUMMYFUNCTION("IMPORTRANGE(""https://docs.google.com/spreadsheets/d/""&amp;$A551&amp;""/edit#gid=156619080"",Z$3)"),2993.34)</f>
        <v>2993.34</v>
      </c>
      <c r="AA551" s="2">
        <f>IFERROR(__xludf.DUMMYFUNCTION("IMPORTRANGE(""https://docs.google.com/spreadsheets/d/""&amp;$A551&amp;""/edit#gid=156619080"",AA$3)"),2980.47)</f>
        <v>2980.47</v>
      </c>
      <c r="AB551" s="2">
        <f>IFERROR(__xludf.DUMMYFUNCTION("IMPORTRANGE(""https://docs.google.com/spreadsheets/d/""&amp;$A551&amp;""/edit#gid=156619080"",AB$3)"),2967.6)</f>
        <v>2967.6</v>
      </c>
      <c r="AC551" s="18">
        <f>IFERROR(__xludf.DUMMYFUNCTION("IMPORTRANGE(""https://docs.google.com/spreadsheets/d/""&amp;$A551&amp;""/edit#gid=156619080"",AC$3)"),2954.74)</f>
        <v>2954.74</v>
      </c>
      <c r="AD551" s="18">
        <f>IFERROR(__xludf.DUMMYFUNCTION("IMPORTRANGE(""https://docs.google.com/spreadsheets/d/""&amp;$A551&amp;""/edit#gid=156619080"",AD$3)"),2941.87)</f>
        <v>2941.87</v>
      </c>
      <c r="AE551" s="18">
        <f>IFERROR(__xludf.DUMMYFUNCTION("IMPORTRANGE(""https://docs.google.com/spreadsheets/d/""&amp;$A551&amp;""/edit#gid=156619080"",AE$3)"),2890.4)</f>
        <v>2890.4</v>
      </c>
      <c r="AF551" s="2">
        <f>IFERROR(__xludf.DUMMYFUNCTION("IMPORTRANGE(""https://docs.google.com/spreadsheets/d/""&amp;$A551&amp;""/edit#gid=156619080"",AF$3)"),2838.93)</f>
        <v>2838.93</v>
      </c>
      <c r="AG551" s="2">
        <f>IFERROR(__xludf.DUMMYFUNCTION("IMPORTRANGE(""https://docs.google.com/spreadsheets/d/""&amp;$A551&amp;""/edit#gid=156619080"",AG$3)"),2826.06)</f>
        <v>2826.06</v>
      </c>
      <c r="AH551" s="2">
        <f>IFERROR(__xludf.DUMMYFUNCTION("IMPORTRANGE(""https://docs.google.com/spreadsheets/d/""&amp;$A551&amp;""/edit#gid=156619080"",AH$3)"),2813.2)</f>
        <v>2813.2</v>
      </c>
      <c r="AI551" s="2">
        <f>IFERROR(__xludf.DUMMYFUNCTION("IMPORTRANGE(""https://docs.google.com/spreadsheets/d/""&amp;$A551&amp;""/edit#gid=156619080"",AI$3)"),2800.33)</f>
        <v>2800.33</v>
      </c>
      <c r="AJ551" s="2">
        <f>IFERROR(__xludf.DUMMYFUNCTION("IMPORTRANGE(""https://docs.google.com/spreadsheets/d/""&amp;$A551&amp;""/edit#gid=156619080"",AJ$3)"),2787.46)</f>
        <v>2787.46</v>
      </c>
      <c r="AK551" s="2" t="str">
        <f>IFERROR(__xludf.DUMMYFUNCTION("IMPORTRANGE(""https://docs.google.com/spreadsheets/d/""&amp;$A551&amp;""/edit#gid=156619080"",AK$3)"),"-1〜-1.25σ")</f>
        <v>-1〜-1.25σ</v>
      </c>
      <c r="AL551" s="2">
        <f>IFERROR(__xludf.DUMMYFUNCTION("IMPORTRANGE(""https://docs.google.com/spreadsheets/d/""&amp;$A551&amp;""/edit#gid=156619080"",AL$3)"),-1.0)</f>
        <v>-1</v>
      </c>
      <c r="AM551" s="2" t="str">
        <f>IFERROR(__xludf.DUMMYFUNCTION("IMPORTRANGE(""https://docs.google.com/spreadsheets/d/""&amp;$A551&amp;""/edit#gid=156619080"",AM$3)"),"")</f>
        <v/>
      </c>
      <c r="AN551" s="2">
        <f>IFERROR(__xludf.DUMMYFUNCTION("IMPORTRANGE(""https://docs.google.com/spreadsheets/d/""&amp;$A551&amp;""/edit#gid=156619080"",AN$3)"),-1.0)</f>
        <v>-1</v>
      </c>
      <c r="AO551" s="2" t="str">
        <f>IFERROR(__xludf.DUMMYFUNCTION("IMPORTRANGE(""https://docs.google.com/spreadsheets/d/""&amp;$A551&amp;""/edit#gid=156619080"",AO$3)"),"")</f>
        <v/>
      </c>
      <c r="AP551" s="2">
        <f>IFERROR(__xludf.DUMMYFUNCTION("IMPORTRANGE(""https://docs.google.com/spreadsheets/d/""&amp;$A551&amp;""/edit#gid=156619080"",AP$3)"),-1.0)</f>
        <v>-1</v>
      </c>
      <c r="AQ551" s="2" t="str">
        <f>IFERROR(__xludf.DUMMYFUNCTION("IMPORTRANGE(""https://docs.google.com/spreadsheets/d/""&amp;$A551&amp;""/edit#gid=156619080"",AQ$3)"),"")</f>
        <v/>
      </c>
      <c r="AR551" s="18">
        <f>IFERROR(__xludf.DUMMYFUNCTION("IMPORTRANGE(""https://docs.google.com/spreadsheets/d/""&amp;$A551&amp;""/edit#gid=156619080"",AR$3)"),-12.5)</f>
        <v>-12.5</v>
      </c>
      <c r="AS551" s="19" t="str">
        <f>IFERROR(__xludf.DUMMYFUNCTION("IMPORTRANGE(""https://docs.google.com/spreadsheets/d/""&amp;$A551&amp;""/edit#gid=156619080"",AS$3)"),"-10
-70
-90
-70
")</f>
        <v>-10
-70
-90
-70
</v>
      </c>
      <c r="AT551" s="18">
        <f>IFERROR(__xludf.DUMMYFUNCTION("IMPORTRANGE(""https://docs.google.com/spreadsheets/d/""&amp;$A551&amp;""/edit#gid=156619080"",AT$3)"),-35.85164835164836)</f>
        <v>-35.85164835</v>
      </c>
      <c r="AU551" s="3" t="str">
        <f>IFERROR(__xludf.DUMMYFUNCTION("IMPORTRANGE(""https://docs.google.com/spreadsheets/d/""&amp;$A551&amp;""/edit#gid=156619080"",AU$3)"),"72.12
45.74
22.39
0.96
")</f>
        <v>72.12
45.74
22.39
0.96
</v>
      </c>
      <c r="AV551" s="18">
        <f>IFERROR(__xludf.DUMMYFUNCTION("IMPORTRANGE(""https://docs.google.com/spreadsheets/d/""&amp;$A551&amp;""/edit#gid=156619080"",AV$3)"),-31.6883116883117)</f>
        <v>-31.68831169</v>
      </c>
      <c r="AW551" s="19" t="str">
        <f>IFERROR(__xludf.DUMMYFUNCTION("IMPORTRANGE(""https://docs.google.com/spreadsheets/d/""&amp;$A551&amp;""/edit#gid=156619080"",AW$3)"),"8.73
-14.51
-32.99
-35.1
")</f>
        <v>8.73
-14.51
-32.99
-35.1
</v>
      </c>
      <c r="AX551" s="2">
        <f>IFERROR(__xludf.DUMMYFUNCTION("IMPORTRANGE(""https://docs.google.com/spreadsheets/d/""&amp;$A551&amp;""/edit#gid=156619080"",AX$3)"),11.31)</f>
        <v>11.31</v>
      </c>
      <c r="AY551" s="2">
        <f>IFERROR(__xludf.DUMMYFUNCTION("IMPORTRANGE(""https://docs.google.com/spreadsheets/d/""&amp;$A551&amp;""/edit#gid=156619080"",AY$3)"),38.61)</f>
        <v>38.61</v>
      </c>
      <c r="AZ551" s="2">
        <f>IFERROR(__xludf.DUMMYFUNCTION("IMPORTRANGE(""https://docs.google.com/spreadsheets/d/""&amp;$A551&amp;""/edit#gid=156619080"",AZ$3)"),2844.71)</f>
        <v>2844.71</v>
      </c>
      <c r="BA551" s="2">
        <f>IFERROR(__xludf.DUMMYFUNCTION("IMPORTRANGE(""https://docs.google.com/spreadsheets/d/""&amp;$A551&amp;""/edit#gid=156619080"",BA$3)"),-34.159999999999854)</f>
        <v>-34.16</v>
      </c>
      <c r="BB551" s="2">
        <f>IFERROR(__xludf.DUMMYFUNCTION("IMPORTRANGE(""https://docs.google.com/spreadsheets/d/""&amp;$A551&amp;""/edit#gid=156619080"",BB$3)"),-3.25)</f>
        <v>-3.25</v>
      </c>
      <c r="BC551" s="2" t="str">
        <f>IFERROR(__xludf.DUMMYFUNCTION("IMPORTRANGE(""https://docs.google.com/spreadsheets/d/""&amp;$A551&amp;""/edit#gid=156619080"",BC$3)"),"DC→DC")</f>
        <v>DC→DC</v>
      </c>
    </row>
    <row r="552" ht="51.0" customHeight="1">
      <c r="A552" s="7" t="str">
        <f t="shared" si="5"/>
        <v>1mjDrt81yUDOu9CuO4TLhe2aRcGxJNV4H1zp-RFHPdiY</v>
      </c>
      <c r="B552" s="1" t="s">
        <v>579</v>
      </c>
      <c r="C552" s="2">
        <f>IFERROR(__xludf.DUMMYFUNCTION("IMPORTRANGE(""https://docs.google.com/spreadsheets/d/""&amp;$A552&amp;""/edit#gid=156619080"",C$3)"),45.0)</f>
        <v>45</v>
      </c>
      <c r="D552" s="2">
        <f>IFERROR(__xludf.DUMMYFUNCTION("IMPORTRANGE(""https://docs.google.com/spreadsheets/d/""&amp;$A552&amp;""/edit#gid=156619080"",D$3)"),4739.0)</f>
        <v>4739</v>
      </c>
      <c r="E552" s="15">
        <f>IFERROR(__xludf.DUMMYFUNCTION("IMPORTRANGE(""https://docs.google.com/spreadsheets/d/""&amp;$A552&amp;""/edit#gid=156619080"",E$3)"),43882.0)</f>
        <v>43882</v>
      </c>
      <c r="F552" s="2">
        <f>IFERROR(__xludf.DUMMYFUNCTION("IMPORTRANGE(""https://docs.google.com/spreadsheets/d/""&amp;$A552&amp;""/edit#gid=156619080"",F$3)"),40.0)</f>
        <v>40</v>
      </c>
      <c r="G552" s="16">
        <f>IFERROR(__xludf.DUMMYFUNCTION("IMPORTRANGE(""https://docs.google.com/spreadsheets/d/""&amp;$A552&amp;""/edit#gid=156619080"",G$3)"),1.2)</f>
        <v>1.2</v>
      </c>
      <c r="H552" s="16">
        <f>IFERROR(__xludf.DUMMYFUNCTION("IMPORTRANGE(""https://docs.google.com/spreadsheets/d/""&amp;$A552&amp;""/edit#gid=156619080"",H$3)"),3330.0)</f>
        <v>3330</v>
      </c>
      <c r="I552" s="16">
        <f>IFERROR(__xludf.DUMMYFUNCTION("IMPORTRANGE(""https://docs.google.com/spreadsheets/d/""&amp;$A552&amp;""/edit#gid=156619080"",I$3)"),-5.0)</f>
        <v>-5</v>
      </c>
      <c r="J552" s="16">
        <f>IFERROR(__xludf.DUMMYFUNCTION("IMPORTRANGE(""https://docs.google.com/spreadsheets/d/""&amp;$A552&amp;""/edit#gid=156619080"",J$3)"),3390.0)</f>
        <v>3390</v>
      </c>
      <c r="K552" s="16">
        <f>IFERROR(__xludf.DUMMYFUNCTION("IMPORTRANGE(""https://docs.google.com/spreadsheets/d/""&amp;$A552&amp;""/edit#gid=156619080"",K$3)"),0.4166666666666667)</f>
        <v>0.4166666667</v>
      </c>
      <c r="L552" s="16">
        <f>IFERROR(__xludf.DUMMYFUNCTION("IMPORTRANGE(""https://docs.google.com/spreadsheets/d/""&amp;$A552&amp;""/edit#gid=156619080"",L$3)"),3330.0)</f>
        <v>3330</v>
      </c>
      <c r="M552" s="16">
        <f>IFERROR(__xludf.DUMMYFUNCTION("IMPORTRANGE(""https://docs.google.com/spreadsheets/d/""&amp;$A552&amp;""/edit#gid=156619080"",M$3)"),0.375)</f>
        <v>0.375</v>
      </c>
      <c r="N552" s="16">
        <f>IFERROR(__xludf.DUMMYFUNCTION("IMPORTRANGE(""https://docs.google.com/spreadsheets/d/""&amp;$A552&amp;""/edit#gid=156619080"",N$3)"),3365.0)</f>
        <v>3365</v>
      </c>
      <c r="O552" s="16" t="str">
        <f>IFERROR(__xludf.DUMMYFUNCTION("IMPORTRANGE(""https://docs.google.com/spreadsheets/d/""&amp;$A552&amp;""/edit#gid=156619080"",O$3)"),"509200株")</f>
        <v>509200株</v>
      </c>
      <c r="P552" s="16" t="str">
        <f>IFERROR(__xludf.DUMMYFUNCTION("IMPORTRANGE(""https://docs.google.com/spreadsheets/d/""&amp;$A552&amp;""/edit#gid=156619080"",P$3)"),"1714百万円")</f>
        <v>1714百万円</v>
      </c>
      <c r="Q552" s="16" t="str">
        <f>IFERROR(__xludf.DUMMYFUNCTION("IMPORTRANGE(""https://docs.google.com/spreadsheets/d/""&amp;$A552&amp;""/edit#gid=156619080"",Q$3)"),"1044回")</f>
        <v>1044回</v>
      </c>
      <c r="R552" s="16" t="str">
        <f>IFERROR(__xludf.DUMMYFUNCTION("IMPORTRANGE(""https://docs.google.com/spreadsheets/d/""&amp;$A552&amp;""/edit#gid=156619080"",R$3)"),"8076億円")</f>
        <v>8076億円</v>
      </c>
      <c r="S552" s="16" t="str">
        <f>IFERROR(__xludf.DUMMYFUNCTION("IMPORTRANGE(""https://docs.google.com/spreadsheets/d/""&amp;$A552&amp;""/edit#gid=156619080"",S$3)"),"陽線")</f>
        <v>陽線</v>
      </c>
      <c r="T552" s="16" t="str">
        <f>IFERROR(__xludf.DUMMYFUNCTION("IMPORTRANGE(""https://docs.google.com/spreadsheets/d/""&amp;$A552&amp;""/edit#gid=156619080"",T$3)"),"")</f>
        <v/>
      </c>
      <c r="U552" s="16">
        <f>IFERROR(__xludf.DUMMYFUNCTION("IMPORTRANGE(""https://docs.google.com/spreadsheets/d/""&amp;$A552&amp;""/edit#gid=156619080"",U$3)"),3339.0)</f>
        <v>3339</v>
      </c>
      <c r="V552" s="16">
        <f>IFERROR(__xludf.DUMMYFUNCTION("IMPORTRANGE(""https://docs.google.com/spreadsheets/d/""&amp;$A552&amp;""/edit#gid=156619080"",V$3)"),3340.4)</f>
        <v>3340.4</v>
      </c>
      <c r="W552" s="16">
        <f>IFERROR(__xludf.DUMMYFUNCTION("IMPORTRANGE(""https://docs.google.com/spreadsheets/d/""&amp;$A552&amp;""/edit#gid=156619080"",W$3)"),3313.6)</f>
        <v>3313.6</v>
      </c>
      <c r="X552" s="2" t="str">
        <f>IFERROR(__xludf.DUMMYFUNCTION("IMPORTRANGE(""https://docs.google.com/spreadsheets/d/""&amp;$A552&amp;""/edit#gid=156619080"",X$3)"),"")</f>
        <v/>
      </c>
      <c r="Y552" s="17">
        <f>IFERROR(__xludf.DUMMYFUNCTION("IMPORTRANGE(""https://docs.google.com/spreadsheets/d/""&amp;$A552&amp;""/edit#gid=156619080"",Y$3)"),0.007786762503743636)</f>
        <v>0.007786762504</v>
      </c>
      <c r="Z552" s="2">
        <f>IFERROR(__xludf.DUMMYFUNCTION("IMPORTRANGE(""https://docs.google.com/spreadsheets/d/""&amp;$A552&amp;""/edit#gid=156619080"",Z$3)"),3411.39)</f>
        <v>3411.39</v>
      </c>
      <c r="AA552" s="2">
        <f>IFERROR(__xludf.DUMMYFUNCTION("IMPORTRANGE(""https://docs.google.com/spreadsheets/d/""&amp;$A552&amp;""/edit#gid=156619080"",AA$3)"),3399.17)</f>
        <v>3399.17</v>
      </c>
      <c r="AB552" s="2">
        <f>IFERROR(__xludf.DUMMYFUNCTION("IMPORTRANGE(""https://docs.google.com/spreadsheets/d/""&amp;$A552&amp;""/edit#gid=156619080"",AB$3)"),3386.94)</f>
        <v>3386.94</v>
      </c>
      <c r="AC552" s="18">
        <f>IFERROR(__xludf.DUMMYFUNCTION("IMPORTRANGE(""https://docs.google.com/spreadsheets/d/""&amp;$A552&amp;""/edit#gid=156619080"",AC$3)"),3374.72)</f>
        <v>3374.72</v>
      </c>
      <c r="AD552" s="18">
        <f>IFERROR(__xludf.DUMMYFUNCTION("IMPORTRANGE(""https://docs.google.com/spreadsheets/d/""&amp;$A552&amp;""/edit#gid=156619080"",AD$3)"),3362.5)</f>
        <v>3362.5</v>
      </c>
      <c r="AE552" s="18">
        <f>IFERROR(__xludf.DUMMYFUNCTION("IMPORTRANGE(""https://docs.google.com/spreadsheets/d/""&amp;$A552&amp;""/edit#gid=156619080"",AE$3)"),3313.6)</f>
        <v>3313.6</v>
      </c>
      <c r="AF552" s="2">
        <f>IFERROR(__xludf.DUMMYFUNCTION("IMPORTRANGE(""https://docs.google.com/spreadsheets/d/""&amp;$A552&amp;""/edit#gid=156619080"",AF$3)"),3264.7)</f>
        <v>3264.7</v>
      </c>
      <c r="AG552" s="2">
        <f>IFERROR(__xludf.DUMMYFUNCTION("IMPORTRANGE(""https://docs.google.com/spreadsheets/d/""&amp;$A552&amp;""/edit#gid=156619080"",AG$3)"),3252.48)</f>
        <v>3252.48</v>
      </c>
      <c r="AH552" s="2">
        <f>IFERROR(__xludf.DUMMYFUNCTION("IMPORTRANGE(""https://docs.google.com/spreadsheets/d/""&amp;$A552&amp;""/edit#gid=156619080"",AH$3)"),3240.26)</f>
        <v>3240.26</v>
      </c>
      <c r="AI552" s="2">
        <f>IFERROR(__xludf.DUMMYFUNCTION("IMPORTRANGE(""https://docs.google.com/spreadsheets/d/""&amp;$A552&amp;""/edit#gid=156619080"",AI$3)"),3228.03)</f>
        <v>3228.03</v>
      </c>
      <c r="AJ552" s="2">
        <f>IFERROR(__xludf.DUMMYFUNCTION("IMPORTRANGE(""https://docs.google.com/spreadsheets/d/""&amp;$A552&amp;""/edit#gid=156619080"",AJ$3)"),3215.81)</f>
        <v>3215.81</v>
      </c>
      <c r="AK552" s="2" t="str">
        <f>IFERROR(__xludf.DUMMYFUNCTION("IMPORTRANGE(""https://docs.google.com/spreadsheets/d/""&amp;$A552&amp;""/edit#gid=156619080"",AK$3)"),"1〜1.25σ")</f>
        <v>1〜1.25σ</v>
      </c>
      <c r="AL552" s="2">
        <f>IFERROR(__xludf.DUMMYFUNCTION("IMPORTRANGE(""https://docs.google.com/spreadsheets/d/""&amp;$A552&amp;""/edit#gid=156619080"",AL$3)"),-1.0)</f>
        <v>-1</v>
      </c>
      <c r="AM552" s="2" t="str">
        <f>IFERROR(__xludf.DUMMYFUNCTION("IMPORTRANGE(""https://docs.google.com/spreadsheets/d/""&amp;$A552&amp;""/edit#gid=156619080"",AM$3)"),"bs1")</f>
        <v>bs1</v>
      </c>
      <c r="AN552" s="2">
        <f>IFERROR(__xludf.DUMMYFUNCTION("IMPORTRANGE(""https://docs.google.com/spreadsheets/d/""&amp;$A552&amp;""/edit#gid=156619080"",AN$3)"),1.0)</f>
        <v>1</v>
      </c>
      <c r="AO552" s="2" t="str">
        <f>IFERROR(__xludf.DUMMYFUNCTION("IMPORTRANGE(""https://docs.google.com/spreadsheets/d/""&amp;$A552&amp;""/edit#gid=156619080"",AO$3)"),"")</f>
        <v/>
      </c>
      <c r="AP552" s="2">
        <f>IFERROR(__xludf.DUMMYFUNCTION("IMPORTRANGE(""https://docs.google.com/spreadsheets/d/""&amp;$A552&amp;""/edit#gid=156619080"",AP$3)"),1.0)</f>
        <v>1</v>
      </c>
      <c r="AQ552" s="2" t="str">
        <f>IFERROR(__xludf.DUMMYFUNCTION("IMPORTRANGE(""https://docs.google.com/spreadsheets/d/""&amp;$A552&amp;""/edit#gid=156619080"",AQ$3)"),"")</f>
        <v/>
      </c>
      <c r="AR552" s="18">
        <f>IFERROR(__xludf.DUMMYFUNCTION("IMPORTRANGE(""https://docs.google.com/spreadsheets/d/""&amp;$A552&amp;""/edit#gid=156619080"",AR$3)"),30.000000000000004)</f>
        <v>30</v>
      </c>
      <c r="AS552" s="19" t="str">
        <f>IFERROR(__xludf.DUMMYFUNCTION("IMPORTRANGE(""https://docs.google.com/spreadsheets/d/""&amp;$A552&amp;""/edit#gid=156619080"",AS$3)"),"-20
-40
-90
-70
")</f>
        <v>-20
-40
-90
-70
</v>
      </c>
      <c r="AT552" s="18">
        <f>IFERROR(__xludf.DUMMYFUNCTION("IMPORTRANGE(""https://docs.google.com/spreadsheets/d/""&amp;$A552&amp;""/edit#gid=156619080"",AT$3)"),32.829670329670336)</f>
        <v>32.82967033</v>
      </c>
      <c r="AU552" s="3" t="str">
        <f>IFERROR(__xludf.DUMMYFUNCTION("IMPORTRANGE(""https://docs.google.com/spreadsheets/d/""&amp;$A552&amp;""/edit#gid=156619080"",AU$3)"),"87.91
74.73
59.89
41.76
")</f>
        <v>87.91
74.73
59.89
41.76
</v>
      </c>
      <c r="AV552" s="18">
        <f>IFERROR(__xludf.DUMMYFUNCTION("IMPORTRANGE(""https://docs.google.com/spreadsheets/d/""&amp;$A552&amp;""/edit#gid=156619080"",AV$3)"),68.92857142857143)</f>
        <v>68.92857143</v>
      </c>
      <c r="AW552" s="19" t="str">
        <f>IFERROR(__xludf.DUMMYFUNCTION("IMPORTRANGE(""https://docs.google.com/spreadsheets/d/""&amp;$A552&amp;""/edit#gid=156619080"",AW$3)"),"48.86
47.66
58.57
58.86
")</f>
        <v>48.86
47.66
58.57
58.86
</v>
      </c>
      <c r="AX552" s="2">
        <f>IFERROR(__xludf.DUMMYFUNCTION("IMPORTRANGE(""https://docs.google.com/spreadsheets/d/""&amp;$A552&amp;""/edit#gid=156619080"",AX$3)"),50.0)</f>
        <v>50</v>
      </c>
      <c r="AY552" s="2">
        <f>IFERROR(__xludf.DUMMYFUNCTION("IMPORTRANGE(""https://docs.google.com/spreadsheets/d/""&amp;$A552&amp;""/edit#gid=156619080"",AY$3)"),53.169999999999995)</f>
        <v>53.17</v>
      </c>
      <c r="AZ552" s="2">
        <f>IFERROR(__xludf.DUMMYFUNCTION("IMPORTRANGE(""https://docs.google.com/spreadsheets/d/""&amp;$A552&amp;""/edit#gid=156619080"",AZ$3)"),3344.67)</f>
        <v>3344.67</v>
      </c>
      <c r="BA552" s="2">
        <f>IFERROR(__xludf.DUMMYFUNCTION("IMPORTRANGE(""https://docs.google.com/spreadsheets/d/""&amp;$A552&amp;""/edit#gid=156619080"",BA$3)"),35.01999999999998)</f>
        <v>35.02</v>
      </c>
      <c r="BB552" s="2">
        <f>IFERROR(__xludf.DUMMYFUNCTION("IMPORTRANGE(""https://docs.google.com/spreadsheets/d/""&amp;$A552&amp;""/edit#gid=156619080"",BB$3)"),51.5)</f>
        <v>51.5</v>
      </c>
      <c r="BC552" s="2" t="str">
        <f>IFERROR(__xludf.DUMMYFUNCTION("IMPORTRANGE(""https://docs.google.com/spreadsheets/d/""&amp;$A552&amp;""/edit#gid=156619080"",BC$3)"),"DC→DC")</f>
        <v>DC→DC</v>
      </c>
    </row>
    <row r="553" ht="51.0" customHeight="1">
      <c r="A553" s="7" t="str">
        <f t="shared" si="5"/>
        <v>1VwGpQgIEagdyNKbrWkxyYjsLiiki_XaGFWjKceN5WvQ</v>
      </c>
      <c r="B553" s="1" t="s">
        <v>580</v>
      </c>
      <c r="C553" s="2">
        <f>IFERROR(__xludf.DUMMYFUNCTION("IMPORTRANGE(""https://docs.google.com/spreadsheets/d/""&amp;$A553&amp;""/edit#gid=156619080"",C$3)"),45.0)</f>
        <v>45</v>
      </c>
      <c r="D553" s="2">
        <f>IFERROR(__xludf.DUMMYFUNCTION("IMPORTRANGE(""https://docs.google.com/spreadsheets/d/""&amp;$A553&amp;""/edit#gid=156619080"",D$3)"),4748.0)</f>
        <v>4748</v>
      </c>
      <c r="E553" s="15">
        <f>IFERROR(__xludf.DUMMYFUNCTION("IMPORTRANGE(""https://docs.google.com/spreadsheets/d/""&amp;$A553&amp;""/edit#gid=156619080"",E$3)"),43882.0)</f>
        <v>43882</v>
      </c>
      <c r="F553" s="2">
        <f>IFERROR(__xludf.DUMMYFUNCTION("IMPORTRANGE(""https://docs.google.com/spreadsheets/d/""&amp;$A553&amp;""/edit#gid=156619080"",F$3)"),-13.0)</f>
        <v>-13</v>
      </c>
      <c r="G553" s="16">
        <f>IFERROR(__xludf.DUMMYFUNCTION("IMPORTRANGE(""https://docs.google.com/spreadsheets/d/""&amp;$A553&amp;""/edit#gid=156619080"",G$3)"),-0.47)</f>
        <v>-0.47</v>
      </c>
      <c r="H553" s="16">
        <f>IFERROR(__xludf.DUMMYFUNCTION("IMPORTRANGE(""https://docs.google.com/spreadsheets/d/""&amp;$A553&amp;""/edit#gid=156619080"",H$3)"),2767.0)</f>
        <v>2767</v>
      </c>
      <c r="I553" s="16">
        <f>IFERROR(__xludf.DUMMYFUNCTION("IMPORTRANGE(""https://docs.google.com/spreadsheets/d/""&amp;$A553&amp;""/edit#gid=156619080"",I$3)"),8.0)</f>
        <v>8</v>
      </c>
      <c r="J553" s="16">
        <f>IFERROR(__xludf.DUMMYFUNCTION("IMPORTRANGE(""https://docs.google.com/spreadsheets/d/""&amp;$A553&amp;""/edit#gid=156619080"",J$3)"),2779.0)</f>
        <v>2779</v>
      </c>
      <c r="K553" s="16">
        <f>IFERROR(__xludf.DUMMYFUNCTION("IMPORTRANGE(""https://docs.google.com/spreadsheets/d/""&amp;$A553&amp;""/edit#gid=156619080"",K$3)"),0.5548611111111111)</f>
        <v>0.5548611111</v>
      </c>
      <c r="L553" s="16">
        <f>IFERROR(__xludf.DUMMYFUNCTION("IMPORTRANGE(""https://docs.google.com/spreadsheets/d/""&amp;$A553&amp;""/edit#gid=156619080"",L$3)"),2752.0)</f>
        <v>2752</v>
      </c>
      <c r="M553" s="16">
        <f>IFERROR(__xludf.DUMMYFUNCTION("IMPORTRANGE(""https://docs.google.com/spreadsheets/d/""&amp;$A553&amp;""/edit#gid=156619080"",M$3)"),0.42430555555555555)</f>
        <v>0.4243055556</v>
      </c>
      <c r="N553" s="16">
        <f>IFERROR(__xludf.DUMMYFUNCTION("IMPORTRANGE(""https://docs.google.com/spreadsheets/d/""&amp;$A553&amp;""/edit#gid=156619080"",N$3)"),2762.0)</f>
        <v>2762</v>
      </c>
      <c r="O553" s="16" t="str">
        <f>IFERROR(__xludf.DUMMYFUNCTION("IMPORTRANGE(""https://docs.google.com/spreadsheets/d/""&amp;$A553&amp;""/edit#gid=156619080"",O$3)"),"11700株")</f>
        <v>11700株</v>
      </c>
      <c r="P553" s="16" t="str">
        <f>IFERROR(__xludf.DUMMYFUNCTION("IMPORTRANGE(""https://docs.google.com/spreadsheets/d/""&amp;$A553&amp;""/edit#gid=156619080"",P$3)"),"32百万円")</f>
        <v>32百万円</v>
      </c>
      <c r="Q553" s="16" t="str">
        <f>IFERROR(__xludf.DUMMYFUNCTION("IMPORTRANGE(""https://docs.google.com/spreadsheets/d/""&amp;$A553&amp;""/edit#gid=156619080"",Q$3)"),"75回")</f>
        <v>75回</v>
      </c>
      <c r="R553" s="16" t="str">
        <f>IFERROR(__xludf.DUMMYFUNCTION("IMPORTRANGE(""https://docs.google.com/spreadsheets/d/""&amp;$A553&amp;""/edit#gid=156619080"",R$3)"),"152億円")</f>
        <v>152億円</v>
      </c>
      <c r="S553" s="16" t="str">
        <f>IFERROR(__xludf.DUMMYFUNCTION("IMPORTRANGE(""https://docs.google.com/spreadsheets/d/""&amp;$A553&amp;""/edit#gid=156619080"",S$3)"),"陰線")</f>
        <v>陰線</v>
      </c>
      <c r="T553" s="16" t="str">
        <f>IFERROR(__xludf.DUMMYFUNCTION("IMPORTRANGE(""https://docs.google.com/spreadsheets/d/""&amp;$A553&amp;""/edit#gid=156619080"",T$3)"),"")</f>
        <v/>
      </c>
      <c r="U553" s="16">
        <f>IFERROR(__xludf.DUMMYFUNCTION("IMPORTRANGE(""https://docs.google.com/spreadsheets/d/""&amp;$A553&amp;""/edit#gid=156619080"",U$3)"),2785.8)</f>
        <v>2785.8</v>
      </c>
      <c r="V553" s="16">
        <f>IFERROR(__xludf.DUMMYFUNCTION("IMPORTRANGE(""https://docs.google.com/spreadsheets/d/""&amp;$A553&amp;""/edit#gid=156619080"",V$3)"),2993.5)</f>
        <v>2993.5</v>
      </c>
      <c r="W553" s="16">
        <f>IFERROR(__xludf.DUMMYFUNCTION("IMPORTRANGE(""https://docs.google.com/spreadsheets/d/""&amp;$A553&amp;""/edit#gid=156619080"",W$3)"),3144.3)</f>
        <v>3144.3</v>
      </c>
      <c r="X553" s="2" t="str">
        <f>IFERROR(__xludf.DUMMYFUNCTION("IMPORTRANGE(""https://docs.google.com/spreadsheets/d/""&amp;$A553&amp;""/edit#gid=156619080"",X$3)"),"")</f>
        <v/>
      </c>
      <c r="Y553" s="17">
        <f>IFERROR(__xludf.DUMMYFUNCTION("IMPORTRANGE(""https://docs.google.com/spreadsheets/d/""&amp;$A553&amp;""/edit#gid=156619080"",Y$3)"),-0.008543326871993747)</f>
        <v>-0.008543326872</v>
      </c>
      <c r="Z553" s="2">
        <f>IFERROR(__xludf.DUMMYFUNCTION("IMPORTRANGE(""https://docs.google.com/spreadsheets/d/""&amp;$A553&amp;""/edit#gid=156619080"",Z$3)"),3686.08)</f>
        <v>3686.08</v>
      </c>
      <c r="AA553" s="2">
        <f>IFERROR(__xludf.DUMMYFUNCTION("IMPORTRANGE(""https://docs.google.com/spreadsheets/d/""&amp;$A553&amp;""/edit#gid=156619080"",AA$3)"),3618.36)</f>
        <v>3618.36</v>
      </c>
      <c r="AB553" s="2">
        <f>IFERROR(__xludf.DUMMYFUNCTION("IMPORTRANGE(""https://docs.google.com/spreadsheets/d/""&amp;$A553&amp;""/edit#gid=156619080"",AB$3)"),3550.64)</f>
        <v>3550.64</v>
      </c>
      <c r="AC553" s="18">
        <f>IFERROR(__xludf.DUMMYFUNCTION("IMPORTRANGE(""https://docs.google.com/spreadsheets/d/""&amp;$A553&amp;""/edit#gid=156619080"",AC$3)"),3482.91)</f>
        <v>3482.91</v>
      </c>
      <c r="AD553" s="18">
        <f>IFERROR(__xludf.DUMMYFUNCTION("IMPORTRANGE(""https://docs.google.com/spreadsheets/d/""&amp;$A553&amp;""/edit#gid=156619080"",AD$3)"),3415.19)</f>
        <v>3415.19</v>
      </c>
      <c r="AE553" s="18">
        <f>IFERROR(__xludf.DUMMYFUNCTION("IMPORTRANGE(""https://docs.google.com/spreadsheets/d/""&amp;$A553&amp;""/edit#gid=156619080"",AE$3)"),3144.3)</f>
        <v>3144.3</v>
      </c>
      <c r="AF553" s="2">
        <f>IFERROR(__xludf.DUMMYFUNCTION("IMPORTRANGE(""https://docs.google.com/spreadsheets/d/""&amp;$A553&amp;""/edit#gid=156619080"",AF$3)"),2873.41)</f>
        <v>2873.41</v>
      </c>
      <c r="AG553" s="2">
        <f>IFERROR(__xludf.DUMMYFUNCTION("IMPORTRANGE(""https://docs.google.com/spreadsheets/d/""&amp;$A553&amp;""/edit#gid=156619080"",AG$3)"),2805.69)</f>
        <v>2805.69</v>
      </c>
      <c r="AH553" s="2">
        <f>IFERROR(__xludf.DUMMYFUNCTION("IMPORTRANGE(""https://docs.google.com/spreadsheets/d/""&amp;$A553&amp;""/edit#gid=156619080"",AH$3)"),2737.96)</f>
        <v>2737.96</v>
      </c>
      <c r="AI553" s="2">
        <f>IFERROR(__xludf.DUMMYFUNCTION("IMPORTRANGE(""https://docs.google.com/spreadsheets/d/""&amp;$A553&amp;""/edit#gid=156619080"",AI$3)"),2670.24)</f>
        <v>2670.24</v>
      </c>
      <c r="AJ553" s="2">
        <f>IFERROR(__xludf.DUMMYFUNCTION("IMPORTRANGE(""https://docs.google.com/spreadsheets/d/""&amp;$A553&amp;""/edit#gid=156619080"",AJ$3)"),2602.52)</f>
        <v>2602.52</v>
      </c>
      <c r="AK553" s="2" t="str">
        <f>IFERROR(__xludf.DUMMYFUNCTION("IMPORTRANGE(""https://docs.google.com/spreadsheets/d/""&amp;$A553&amp;""/edit#gid=156619080"",AK$3)"),"-1.25σ〜-1.5σ")</f>
        <v>-1.25σ〜-1.5σ</v>
      </c>
      <c r="AL553" s="2">
        <f>IFERROR(__xludf.DUMMYFUNCTION("IMPORTRANGE(""https://docs.google.com/spreadsheets/d/""&amp;$A553&amp;""/edit#gid=156619080"",AL$3)"),-1.0)</f>
        <v>-1</v>
      </c>
      <c r="AM553" s="2" t="str">
        <f>IFERROR(__xludf.DUMMYFUNCTION("IMPORTRANGE(""https://docs.google.com/spreadsheets/d/""&amp;$A553&amp;""/edit#gid=156619080"",AM$3)"),"")</f>
        <v/>
      </c>
      <c r="AN553" s="2">
        <f>IFERROR(__xludf.DUMMYFUNCTION("IMPORTRANGE(""https://docs.google.com/spreadsheets/d/""&amp;$A553&amp;""/edit#gid=156619080"",AN$3)"),-1.0)</f>
        <v>-1</v>
      </c>
      <c r="AO553" s="2" t="str">
        <f>IFERROR(__xludf.DUMMYFUNCTION("IMPORTRANGE(""https://docs.google.com/spreadsheets/d/""&amp;$A553&amp;""/edit#gid=156619080"",AO$3)"),"")</f>
        <v/>
      </c>
      <c r="AP553" s="2">
        <f>IFERROR(__xludf.DUMMYFUNCTION("IMPORTRANGE(""https://docs.google.com/spreadsheets/d/""&amp;$A553&amp;""/edit#gid=156619080"",AP$3)"),-1.0)</f>
        <v>-1</v>
      </c>
      <c r="AQ553" s="2" t="str">
        <f>IFERROR(__xludf.DUMMYFUNCTION("IMPORTRANGE(""https://docs.google.com/spreadsheets/d/""&amp;$A553&amp;""/edit#gid=156619080"",AQ$3)"),"")</f>
        <v/>
      </c>
      <c r="AR553" s="18">
        <f>IFERROR(__xludf.DUMMYFUNCTION("IMPORTRANGE(""https://docs.google.com/spreadsheets/d/""&amp;$A553&amp;""/edit#gid=156619080"",AR$3)"),-19.999999999999996)</f>
        <v>-20</v>
      </c>
      <c r="AS553" s="19" t="str">
        <f>IFERROR(__xludf.DUMMYFUNCTION("IMPORTRANGE(""https://docs.google.com/spreadsheets/d/""&amp;$A553&amp;""/edit#gid=156619080"",AS$3)"),"-100
-100
-70
-50
")</f>
        <v>-100
-100
-70
-50
</v>
      </c>
      <c r="AT553" s="18">
        <f>IFERROR(__xludf.DUMMYFUNCTION("IMPORTRANGE(""https://docs.google.com/spreadsheets/d/""&amp;$A553&amp;""/edit#gid=156619080"",AT$3)"),-93.95604395604396)</f>
        <v>-93.95604396</v>
      </c>
      <c r="AU553" s="3" t="str">
        <f>IFERROR(__xludf.DUMMYFUNCTION("IMPORTRANGE(""https://docs.google.com/spreadsheets/d/""&amp;$A553&amp;""/edit#gid=156619080"",AU$3)"),"-69.23
-69.23
-82.42
-92.86
")</f>
        <v>-69.23
-69.23
-82.42
-92.86
</v>
      </c>
      <c r="AV553" s="18">
        <f>IFERROR(__xludf.DUMMYFUNCTION("IMPORTRANGE(""https://docs.google.com/spreadsheets/d/""&amp;$A553&amp;""/edit#gid=156619080"",AV$3)"),-91.55844155844154)</f>
        <v>-91.55844156</v>
      </c>
      <c r="AW553" s="19" t="str">
        <f>IFERROR(__xludf.DUMMYFUNCTION("IMPORTRANGE(""https://docs.google.com/spreadsheets/d/""&amp;$A553&amp;""/edit#gid=156619080"",AW$3)"),"-92.08
-92.08
-91.69
-91.95
")</f>
        <v>-92.08
-92.08
-91.69
-91.95
</v>
      </c>
      <c r="AX553" s="2">
        <f>IFERROR(__xludf.DUMMYFUNCTION("IMPORTRANGE(""https://docs.google.com/spreadsheets/d/""&amp;$A553&amp;""/edit#gid=156619080"",AX$3)"),33.47)</f>
        <v>33.47</v>
      </c>
      <c r="AY553" s="2">
        <f>IFERROR(__xludf.DUMMYFUNCTION("IMPORTRANGE(""https://docs.google.com/spreadsheets/d/""&amp;$A553&amp;""/edit#gid=156619080"",AY$3)"),18.42)</f>
        <v>18.42</v>
      </c>
      <c r="AZ553" s="2">
        <f>IFERROR(__xludf.DUMMYFUNCTION("IMPORTRANGE(""https://docs.google.com/spreadsheets/d/""&amp;$A553&amp;""/edit#gid=156619080"",AZ$3)"),2810.25)</f>
        <v>2810.25</v>
      </c>
      <c r="BA553" s="2">
        <f>IFERROR(__xludf.DUMMYFUNCTION("IMPORTRANGE(""https://docs.google.com/spreadsheets/d/""&amp;$A553&amp;""/edit#gid=156619080"",BA$3)"),-260.27)</f>
        <v>-260.27</v>
      </c>
      <c r="BB553" s="2">
        <f>IFERROR(__xludf.DUMMYFUNCTION("IMPORTRANGE(""https://docs.google.com/spreadsheets/d/""&amp;$A553&amp;""/edit#gid=156619080"",BB$3)"),-191.18)</f>
        <v>-191.18</v>
      </c>
      <c r="BC553" s="2" t="str">
        <f>IFERROR(__xludf.DUMMYFUNCTION("IMPORTRANGE(""https://docs.google.com/spreadsheets/d/""&amp;$A553&amp;""/edit#gid=156619080"",BC$3)"),"DC→DC")</f>
        <v>DC→DC</v>
      </c>
    </row>
    <row r="554" ht="51.0" customHeight="1">
      <c r="A554" s="7" t="str">
        <f t="shared" si="5"/>
        <v>1JRE7jwrhybEK9VNs8uFdg5eQ18XaKBfJHQ8nLRVVBwE</v>
      </c>
      <c r="B554" s="1" t="s">
        <v>581</v>
      </c>
      <c r="C554" s="2">
        <f>IFERROR(__xludf.DUMMYFUNCTION("IMPORTRANGE(""https://docs.google.com/spreadsheets/d/""&amp;$A554&amp;""/edit#gid=156619080"",C$3)"),45.0)</f>
        <v>45</v>
      </c>
      <c r="D554" s="2">
        <f>IFERROR(__xludf.DUMMYFUNCTION("IMPORTRANGE(""https://docs.google.com/spreadsheets/d/""&amp;$A554&amp;""/edit#gid=156619080"",D$3)"),4813.0)</f>
        <v>4813</v>
      </c>
      <c r="E554" s="15">
        <f>IFERROR(__xludf.DUMMYFUNCTION("IMPORTRANGE(""https://docs.google.com/spreadsheets/d/""&amp;$A554&amp;""/edit#gid=156619080"",E$3)"),43882.0)</f>
        <v>43882</v>
      </c>
      <c r="F554" s="2">
        <f>IFERROR(__xludf.DUMMYFUNCTION("IMPORTRANGE(""https://docs.google.com/spreadsheets/d/""&amp;$A554&amp;""/edit#gid=156619080"",F$3)"),9.0)</f>
        <v>9</v>
      </c>
      <c r="G554" s="16">
        <f>IFERROR(__xludf.DUMMYFUNCTION("IMPORTRANGE(""https://docs.google.com/spreadsheets/d/""&amp;$A554&amp;""/edit#gid=156619080"",G$3)"),0.95)</f>
        <v>0.95</v>
      </c>
      <c r="H554" s="16">
        <f>IFERROR(__xludf.DUMMYFUNCTION("IMPORTRANGE(""https://docs.google.com/spreadsheets/d/""&amp;$A554&amp;""/edit#gid=156619080"",H$3)"),945.0)</f>
        <v>945</v>
      </c>
      <c r="I554" s="16">
        <f>IFERROR(__xludf.DUMMYFUNCTION("IMPORTRANGE(""https://docs.google.com/spreadsheets/d/""&amp;$A554&amp;""/edit#gid=156619080"",I$3)"),4.0)</f>
        <v>4</v>
      </c>
      <c r="J554" s="16">
        <f>IFERROR(__xludf.DUMMYFUNCTION("IMPORTRANGE(""https://docs.google.com/spreadsheets/d/""&amp;$A554&amp;""/edit#gid=156619080"",J$3)"),965.0)</f>
        <v>965</v>
      </c>
      <c r="K554" s="16">
        <f>IFERROR(__xludf.DUMMYFUNCTION("IMPORTRANGE(""https://docs.google.com/spreadsheets/d/""&amp;$A554&amp;""/edit#gid=156619080"",K$3)"),0.5958333333333333)</f>
        <v>0.5958333333</v>
      </c>
      <c r="L554" s="16">
        <f>IFERROR(__xludf.DUMMYFUNCTION("IMPORTRANGE(""https://docs.google.com/spreadsheets/d/""&amp;$A554&amp;""/edit#gid=156619080"",L$3)"),942.0)</f>
        <v>942</v>
      </c>
      <c r="M554" s="16">
        <f>IFERROR(__xludf.DUMMYFUNCTION("IMPORTRANGE(""https://docs.google.com/spreadsheets/d/""&amp;$A554&amp;""/edit#gid=156619080"",M$3)"),0.3763888888888889)</f>
        <v>0.3763888889</v>
      </c>
      <c r="N554" s="16">
        <f>IFERROR(__xludf.DUMMYFUNCTION("IMPORTRANGE(""https://docs.google.com/spreadsheets/d/""&amp;$A554&amp;""/edit#gid=156619080"",N$3)"),958.0)</f>
        <v>958</v>
      </c>
      <c r="O554" s="16" t="str">
        <f>IFERROR(__xludf.DUMMYFUNCTION("IMPORTRANGE(""https://docs.google.com/spreadsheets/d/""&amp;$A554&amp;""/edit#gid=156619080"",O$3)"),"242800株")</f>
        <v>242800株</v>
      </c>
      <c r="P554" s="16" t="str">
        <f>IFERROR(__xludf.DUMMYFUNCTION("IMPORTRANGE(""https://docs.google.com/spreadsheets/d/""&amp;$A554&amp;""/edit#gid=156619080"",P$3)"),"232百万円")</f>
        <v>232百万円</v>
      </c>
      <c r="Q554" s="16" t="str">
        <f>IFERROR(__xludf.DUMMYFUNCTION("IMPORTRANGE(""https://docs.google.com/spreadsheets/d/""&amp;$A554&amp;""/edit#gid=156619080"",Q$3)"),"503回")</f>
        <v>503回</v>
      </c>
      <c r="R554" s="16" t="str">
        <f>IFERROR(__xludf.DUMMYFUNCTION("IMPORTRANGE(""https://docs.google.com/spreadsheets/d/""&amp;$A554&amp;""/edit#gid=156619080"",R$3)"),"377億円")</f>
        <v>377億円</v>
      </c>
      <c r="S554" s="16" t="str">
        <f>IFERROR(__xludf.DUMMYFUNCTION("IMPORTRANGE(""https://docs.google.com/spreadsheets/d/""&amp;$A554&amp;""/edit#gid=156619080"",S$3)"),"陽線")</f>
        <v>陽線</v>
      </c>
      <c r="T554" s="16" t="str">
        <f>IFERROR(__xludf.DUMMYFUNCTION("IMPORTRANGE(""https://docs.google.com/spreadsheets/d/""&amp;$A554&amp;""/edit#gid=156619080"",T$3)"),"")</f>
        <v/>
      </c>
      <c r="U554" s="16">
        <f>IFERROR(__xludf.DUMMYFUNCTION("IMPORTRANGE(""https://docs.google.com/spreadsheets/d/""&amp;$A554&amp;""/edit#gid=156619080"",U$3)"),933.2)</f>
        <v>933.2</v>
      </c>
      <c r="V554" s="16">
        <f>IFERROR(__xludf.DUMMYFUNCTION("IMPORTRANGE(""https://docs.google.com/spreadsheets/d/""&amp;$A554&amp;""/edit#gid=156619080"",V$3)"),907.5)</f>
        <v>907.5</v>
      </c>
      <c r="W554" s="16">
        <f>IFERROR(__xludf.DUMMYFUNCTION("IMPORTRANGE(""https://docs.google.com/spreadsheets/d/""&amp;$A554&amp;""/edit#gid=156619080"",W$3)"),904.6)</f>
        <v>904.6</v>
      </c>
      <c r="X554" s="2" t="str">
        <f>IFERROR(__xludf.DUMMYFUNCTION("IMPORTRANGE(""https://docs.google.com/spreadsheets/d/""&amp;$A554&amp;""/edit#gid=156619080"",X$3)"),"")</f>
        <v/>
      </c>
      <c r="Y554" s="17">
        <f>IFERROR(__xludf.DUMMYFUNCTION("IMPORTRANGE(""https://docs.google.com/spreadsheets/d/""&amp;$A554&amp;""/edit#gid=156619080"",Y$3)"),0.0265752250321474)</f>
        <v>0.02657522503</v>
      </c>
      <c r="Z554" s="2">
        <f>IFERROR(__xludf.DUMMYFUNCTION("IMPORTRANGE(""https://docs.google.com/spreadsheets/d/""&amp;$A554&amp;""/edit#gid=156619080"",Z$3)"),950.98)</f>
        <v>950.98</v>
      </c>
      <c r="AA554" s="2">
        <f>IFERROR(__xludf.DUMMYFUNCTION("IMPORTRANGE(""https://docs.google.com/spreadsheets/d/""&amp;$A554&amp;""/edit#gid=156619080"",AA$3)"),945.18)</f>
        <v>945.18</v>
      </c>
      <c r="AB554" s="2">
        <f>IFERROR(__xludf.DUMMYFUNCTION("IMPORTRANGE(""https://docs.google.com/spreadsheets/d/""&amp;$A554&amp;""/edit#gid=156619080"",AB$3)"),939.38)</f>
        <v>939.38</v>
      </c>
      <c r="AC554" s="18">
        <f>IFERROR(__xludf.DUMMYFUNCTION("IMPORTRANGE(""https://docs.google.com/spreadsheets/d/""&amp;$A554&amp;""/edit#gid=156619080"",AC$3)"),933.58)</f>
        <v>933.58</v>
      </c>
      <c r="AD554" s="18">
        <f>IFERROR(__xludf.DUMMYFUNCTION("IMPORTRANGE(""https://docs.google.com/spreadsheets/d/""&amp;$A554&amp;""/edit#gid=156619080"",AD$3)"),927.79)</f>
        <v>927.79</v>
      </c>
      <c r="AE554" s="18">
        <f>IFERROR(__xludf.DUMMYFUNCTION("IMPORTRANGE(""https://docs.google.com/spreadsheets/d/""&amp;$A554&amp;""/edit#gid=156619080"",AE$3)"),904.6)</f>
        <v>904.6</v>
      </c>
      <c r="AF554" s="2">
        <f>IFERROR(__xludf.DUMMYFUNCTION("IMPORTRANGE(""https://docs.google.com/spreadsheets/d/""&amp;$A554&amp;""/edit#gid=156619080"",AF$3)"),881.41)</f>
        <v>881.41</v>
      </c>
      <c r="AG554" s="2">
        <f>IFERROR(__xludf.DUMMYFUNCTION("IMPORTRANGE(""https://docs.google.com/spreadsheets/d/""&amp;$A554&amp;""/edit#gid=156619080"",AG$3)"),875.62)</f>
        <v>875.62</v>
      </c>
      <c r="AH554" s="2">
        <f>IFERROR(__xludf.DUMMYFUNCTION("IMPORTRANGE(""https://docs.google.com/spreadsheets/d/""&amp;$A554&amp;""/edit#gid=156619080"",AH$3)"),869.82)</f>
        <v>869.82</v>
      </c>
      <c r="AI554" s="2">
        <f>IFERROR(__xludf.DUMMYFUNCTION("IMPORTRANGE(""https://docs.google.com/spreadsheets/d/""&amp;$A554&amp;""/edit#gid=156619080"",AI$3)"),864.02)</f>
        <v>864.02</v>
      </c>
      <c r="AJ554" s="2">
        <f>IFERROR(__xludf.DUMMYFUNCTION("IMPORTRANGE(""https://docs.google.com/spreadsheets/d/""&amp;$A554&amp;""/edit#gid=156619080"",AJ$3)"),858.22)</f>
        <v>858.22</v>
      </c>
      <c r="AK554" s="2" t="str">
        <f>IFERROR(__xludf.DUMMYFUNCTION("IMPORTRANGE(""https://docs.google.com/spreadsheets/d/""&amp;$A554&amp;""/edit#gid=156619080"",AK$3)"),"2σ以上")</f>
        <v>2σ以上</v>
      </c>
      <c r="AL554" s="2">
        <f>IFERROR(__xludf.DUMMYFUNCTION("IMPORTRANGE(""https://docs.google.com/spreadsheets/d/""&amp;$A554&amp;""/edit#gid=156619080"",AL$3)"),1.0)</f>
        <v>1</v>
      </c>
      <c r="AM554" s="2" t="str">
        <f>IFERROR(__xludf.DUMMYFUNCTION("IMPORTRANGE(""https://docs.google.com/spreadsheets/d/""&amp;$A554&amp;""/edit#gid=156619080"",AM$3)"),"")</f>
        <v/>
      </c>
      <c r="AN554" s="2">
        <f>IFERROR(__xludf.DUMMYFUNCTION("IMPORTRANGE(""https://docs.google.com/spreadsheets/d/""&amp;$A554&amp;""/edit#gid=156619080"",AN$3)"),1.0)</f>
        <v>1</v>
      </c>
      <c r="AO554" s="2" t="str">
        <f>IFERROR(__xludf.DUMMYFUNCTION("IMPORTRANGE(""https://docs.google.com/spreadsheets/d/""&amp;$A554&amp;""/edit#gid=156619080"",AO$3)"),"")</f>
        <v/>
      </c>
      <c r="AP554" s="2">
        <f>IFERROR(__xludf.DUMMYFUNCTION("IMPORTRANGE(""https://docs.google.com/spreadsheets/d/""&amp;$A554&amp;""/edit#gid=156619080"",AP$3)"),1.0)</f>
        <v>1</v>
      </c>
      <c r="AQ554" s="2" t="str">
        <f>IFERROR(__xludf.DUMMYFUNCTION("IMPORTRANGE(""https://docs.google.com/spreadsheets/d/""&amp;$A554&amp;""/edit#gid=156619080"",AQ$3)"),"ws3")</f>
        <v>ws3</v>
      </c>
      <c r="AR554" s="18">
        <f>IFERROR(__xludf.DUMMYFUNCTION("IMPORTRANGE(""https://docs.google.com/spreadsheets/d/""&amp;$A554&amp;""/edit#gid=156619080"",AR$3)"),100.0)</f>
        <v>100</v>
      </c>
      <c r="AS554" s="19" t="str">
        <f>IFERROR(__xludf.DUMMYFUNCTION("IMPORTRANGE(""https://docs.google.com/spreadsheets/d/""&amp;$A554&amp;""/edit#gid=156619080"",AS$3)"),"90
70
70
70
")</f>
        <v>90
70
70
70
</v>
      </c>
      <c r="AT554" s="18">
        <f>IFERROR(__xludf.DUMMYFUNCTION("IMPORTRANGE(""https://docs.google.com/spreadsheets/d/""&amp;$A554&amp;""/edit#gid=156619080"",AT$3)"),79.67032967032968)</f>
        <v>79.67032967</v>
      </c>
      <c r="AU554" s="3" t="str">
        <f>IFERROR(__xludf.DUMMYFUNCTION("IMPORTRANGE(""https://docs.google.com/spreadsheets/d/""&amp;$A554&amp;""/edit#gid=156619080"",AU$3)"),"14.42
50.14
62.77
75.41
")</f>
        <v>14.42
50.14
62.77
75.41
</v>
      </c>
      <c r="AV554" s="18">
        <f>IFERROR(__xludf.DUMMYFUNCTION("IMPORTRANGE(""https://docs.google.com/spreadsheets/d/""&amp;$A554&amp;""/edit#gid=156619080"",AV$3)"),29.480519480519483)</f>
        <v>29.48051948</v>
      </c>
      <c r="AW554" s="19" t="str">
        <f>IFERROR(__xludf.DUMMYFUNCTION("IMPORTRANGE(""https://docs.google.com/spreadsheets/d/""&amp;$A554&amp;""/edit#gid=156619080"",AW$3)"),"-61.33
-44.58
-22.47
4.81
")</f>
        <v>-61.33
-44.58
-22.47
4.81
</v>
      </c>
      <c r="AX554" s="2">
        <f>IFERROR(__xludf.DUMMYFUNCTION("IMPORTRANGE(""https://docs.google.com/spreadsheets/d/""&amp;$A554&amp;""/edit#gid=156619080"",AX$3)"),85.71)</f>
        <v>85.71</v>
      </c>
      <c r="AY554" s="2">
        <f>IFERROR(__xludf.DUMMYFUNCTION("IMPORTRANGE(""https://docs.google.com/spreadsheets/d/""&amp;$A554&amp;""/edit#gid=156619080"",AY$3)"),53.400000000000006)</f>
        <v>53.4</v>
      </c>
      <c r="AZ554" s="2">
        <f>IFERROR(__xludf.DUMMYFUNCTION("IMPORTRANGE(""https://docs.google.com/spreadsheets/d/""&amp;$A554&amp;""/edit#gid=156619080"",AZ$3)"),937.21)</f>
        <v>937.21</v>
      </c>
      <c r="BA554" s="2">
        <f>IFERROR(__xludf.DUMMYFUNCTION("IMPORTRANGE(""https://docs.google.com/spreadsheets/d/""&amp;$A554&amp;""/edit#gid=156619080"",BA$3)"),20.06000000000006)</f>
        <v>20.06</v>
      </c>
      <c r="BB554" s="2">
        <f>IFERROR(__xludf.DUMMYFUNCTION("IMPORTRANGE(""https://docs.google.com/spreadsheets/d/""&amp;$A554&amp;""/edit#gid=156619080"",BB$3)"),-4.15)</f>
        <v>-4.15</v>
      </c>
      <c r="BC554" s="2" t="str">
        <f>IFERROR(__xludf.DUMMYFUNCTION("IMPORTRANGE(""https://docs.google.com/spreadsheets/d/""&amp;$A554&amp;""/edit#gid=156619080"",BC$3)"),"GC→GC")</f>
        <v>GC→GC</v>
      </c>
    </row>
    <row r="555" ht="51.0" customHeight="1">
      <c r="A555" s="7" t="str">
        <f t="shared" si="5"/>
        <v>1ezA0DS4iqfW35tmNxhaqFac2cYGZqQ-uPNS1BNLTHRA</v>
      </c>
      <c r="B555" s="1" t="s">
        <v>582</v>
      </c>
      <c r="C555" s="2">
        <f>IFERROR(__xludf.DUMMYFUNCTION("IMPORTRANGE(""https://docs.google.com/spreadsheets/d/""&amp;$A555&amp;""/edit#gid=156619080"",C$3)"),45.0)</f>
        <v>45</v>
      </c>
      <c r="D555" s="2">
        <f>IFERROR(__xludf.DUMMYFUNCTION("IMPORTRANGE(""https://docs.google.com/spreadsheets/d/""&amp;$A555&amp;""/edit#gid=156619080"",D$3)"),4968.0)</f>
        <v>4968</v>
      </c>
      <c r="E555" s="15">
        <f>IFERROR(__xludf.DUMMYFUNCTION("IMPORTRANGE(""https://docs.google.com/spreadsheets/d/""&amp;$A555&amp;""/edit#gid=156619080"",E$3)"),43882.0)</f>
        <v>43882</v>
      </c>
      <c r="F555" s="2">
        <f>IFERROR(__xludf.DUMMYFUNCTION("IMPORTRANGE(""https://docs.google.com/spreadsheets/d/""&amp;$A555&amp;""/edit#gid=156619080"",F$3)"),16.0)</f>
        <v>16</v>
      </c>
      <c r="G555" s="16">
        <f>IFERROR(__xludf.DUMMYFUNCTION("IMPORTRANGE(""https://docs.google.com/spreadsheets/d/""&amp;$A555&amp;""/edit#gid=156619080"",G$3)"),1.07)</f>
        <v>1.07</v>
      </c>
      <c r="H555" s="16">
        <f>IFERROR(__xludf.DUMMYFUNCTION("IMPORTRANGE(""https://docs.google.com/spreadsheets/d/""&amp;$A555&amp;""/edit#gid=156619080"",H$3)"),1493.0)</f>
        <v>1493</v>
      </c>
      <c r="I555" s="16">
        <f>IFERROR(__xludf.DUMMYFUNCTION("IMPORTRANGE(""https://docs.google.com/spreadsheets/d/""&amp;$A555&amp;""/edit#gid=156619080"",I$3)"),-2.0)</f>
        <v>-2</v>
      </c>
      <c r="J555" s="16">
        <f>IFERROR(__xludf.DUMMYFUNCTION("IMPORTRANGE(""https://docs.google.com/spreadsheets/d/""&amp;$A555&amp;""/edit#gid=156619080"",J$3)"),1523.0)</f>
        <v>1523</v>
      </c>
      <c r="K555" s="16">
        <f>IFERROR(__xludf.DUMMYFUNCTION("IMPORTRANGE(""https://docs.google.com/spreadsheets/d/""&amp;$A555&amp;""/edit#gid=156619080"",K$3)"),0.3798611111111111)</f>
        <v>0.3798611111</v>
      </c>
      <c r="L555" s="16">
        <f>IFERROR(__xludf.DUMMYFUNCTION("IMPORTRANGE(""https://docs.google.com/spreadsheets/d/""&amp;$A555&amp;""/edit#gid=156619080"",L$3)"),1493.0)</f>
        <v>1493</v>
      </c>
      <c r="M555" s="16">
        <f>IFERROR(__xludf.DUMMYFUNCTION("IMPORTRANGE(""https://docs.google.com/spreadsheets/d/""&amp;$A555&amp;""/edit#gid=156619080"",M$3)"),0.375)</f>
        <v>0.375</v>
      </c>
      <c r="N555" s="16">
        <f>IFERROR(__xludf.DUMMYFUNCTION("IMPORTRANGE(""https://docs.google.com/spreadsheets/d/""&amp;$A555&amp;""/edit#gid=156619080"",N$3)"),1507.0)</f>
        <v>1507</v>
      </c>
      <c r="O555" s="16" t="str">
        <f>IFERROR(__xludf.DUMMYFUNCTION("IMPORTRANGE(""https://docs.google.com/spreadsheets/d/""&amp;$A555&amp;""/edit#gid=156619080"",O$3)"),"35700株")</f>
        <v>35700株</v>
      </c>
      <c r="P555" s="16" t="str">
        <f>IFERROR(__xludf.DUMMYFUNCTION("IMPORTRANGE(""https://docs.google.com/spreadsheets/d/""&amp;$A555&amp;""/edit#gid=156619080"",P$3)"),"54百万円")</f>
        <v>54百万円</v>
      </c>
      <c r="Q555" s="16" t="str">
        <f>IFERROR(__xludf.DUMMYFUNCTION("IMPORTRANGE(""https://docs.google.com/spreadsheets/d/""&amp;$A555&amp;""/edit#gid=156619080"",Q$3)"),"257回")</f>
        <v>257回</v>
      </c>
      <c r="R555" s="16" t="str">
        <f>IFERROR(__xludf.DUMMYFUNCTION("IMPORTRANGE(""https://docs.google.com/spreadsheets/d/""&amp;$A555&amp;""/edit#gid=156619080"",R$3)"),"311億円")</f>
        <v>311億円</v>
      </c>
      <c r="S555" s="16" t="str">
        <f>IFERROR(__xludf.DUMMYFUNCTION("IMPORTRANGE(""https://docs.google.com/spreadsheets/d/""&amp;$A555&amp;""/edit#gid=156619080"",S$3)"),"陽線")</f>
        <v>陽線</v>
      </c>
      <c r="T555" s="16" t="str">
        <f>IFERROR(__xludf.DUMMYFUNCTION("IMPORTRANGE(""https://docs.google.com/spreadsheets/d/""&amp;$A555&amp;""/edit#gid=156619080"",T$3)"),"")</f>
        <v/>
      </c>
      <c r="U555" s="16">
        <f>IFERROR(__xludf.DUMMYFUNCTION("IMPORTRANGE(""https://docs.google.com/spreadsheets/d/""&amp;$A555&amp;""/edit#gid=156619080"",U$3)"),1509.4)</f>
        <v>1509.4</v>
      </c>
      <c r="V555" s="16">
        <f>IFERROR(__xludf.DUMMYFUNCTION("IMPORTRANGE(""https://docs.google.com/spreadsheets/d/""&amp;$A555&amp;""/edit#gid=156619080"",V$3)"),1529.9)</f>
        <v>1529.9</v>
      </c>
      <c r="W555" s="16">
        <f>IFERROR(__xludf.DUMMYFUNCTION("IMPORTRANGE(""https://docs.google.com/spreadsheets/d/""&amp;$A555&amp;""/edit#gid=156619080"",W$3)"),1533.5)</f>
        <v>1533.5</v>
      </c>
      <c r="X555" s="2" t="str">
        <f>IFERROR(__xludf.DUMMYFUNCTION("IMPORTRANGE(""https://docs.google.com/spreadsheets/d/""&amp;$A555&amp;""/edit#gid=156619080"",X$3)"),"")</f>
        <v/>
      </c>
      <c r="Y555" s="17">
        <f>IFERROR(__xludf.DUMMYFUNCTION("IMPORTRANGE(""https://docs.google.com/spreadsheets/d/""&amp;$A555&amp;""/edit#gid=156619080"",Y$3)"),-0.0015900357758050158)</f>
        <v>-0.001590035776</v>
      </c>
      <c r="Z555" s="2">
        <f>IFERROR(__xludf.DUMMYFUNCTION("IMPORTRANGE(""https://docs.google.com/spreadsheets/d/""&amp;$A555&amp;""/edit#gid=156619080"",Z$3)"),1587.35)</f>
        <v>1587.35</v>
      </c>
      <c r="AA555" s="2">
        <f>IFERROR(__xludf.DUMMYFUNCTION("IMPORTRANGE(""https://docs.google.com/spreadsheets/d/""&amp;$A555&amp;""/edit#gid=156619080"",AA$3)"),1580.62)</f>
        <v>1580.62</v>
      </c>
      <c r="AB555" s="2">
        <f>IFERROR(__xludf.DUMMYFUNCTION("IMPORTRANGE(""https://docs.google.com/spreadsheets/d/""&amp;$A555&amp;""/edit#gid=156619080"",AB$3)"),1573.89)</f>
        <v>1573.89</v>
      </c>
      <c r="AC555" s="18">
        <f>IFERROR(__xludf.DUMMYFUNCTION("IMPORTRANGE(""https://docs.google.com/spreadsheets/d/""&amp;$A555&amp;""/edit#gid=156619080"",AC$3)"),1567.16)</f>
        <v>1567.16</v>
      </c>
      <c r="AD555" s="18">
        <f>IFERROR(__xludf.DUMMYFUNCTION("IMPORTRANGE(""https://docs.google.com/spreadsheets/d/""&amp;$A555&amp;""/edit#gid=156619080"",AD$3)"),1560.42)</f>
        <v>1560.42</v>
      </c>
      <c r="AE555" s="18">
        <f>IFERROR(__xludf.DUMMYFUNCTION("IMPORTRANGE(""https://docs.google.com/spreadsheets/d/""&amp;$A555&amp;""/edit#gid=156619080"",AE$3)"),1533.5)</f>
        <v>1533.5</v>
      </c>
      <c r="AF555" s="2">
        <f>IFERROR(__xludf.DUMMYFUNCTION("IMPORTRANGE(""https://docs.google.com/spreadsheets/d/""&amp;$A555&amp;""/edit#gid=156619080"",AF$3)"),1506.58)</f>
        <v>1506.58</v>
      </c>
      <c r="AG555" s="2">
        <f>IFERROR(__xludf.DUMMYFUNCTION("IMPORTRANGE(""https://docs.google.com/spreadsheets/d/""&amp;$A555&amp;""/edit#gid=156619080"",AG$3)"),1499.84)</f>
        <v>1499.84</v>
      </c>
      <c r="AH555" s="2">
        <f>IFERROR(__xludf.DUMMYFUNCTION("IMPORTRANGE(""https://docs.google.com/spreadsheets/d/""&amp;$A555&amp;""/edit#gid=156619080"",AH$3)"),1493.11)</f>
        <v>1493.11</v>
      </c>
      <c r="AI555" s="2">
        <f>IFERROR(__xludf.DUMMYFUNCTION("IMPORTRANGE(""https://docs.google.com/spreadsheets/d/""&amp;$A555&amp;""/edit#gid=156619080"",AI$3)"),1486.38)</f>
        <v>1486.38</v>
      </c>
      <c r="AJ555" s="2">
        <f>IFERROR(__xludf.DUMMYFUNCTION("IMPORTRANGE(""https://docs.google.com/spreadsheets/d/""&amp;$A555&amp;""/edit#gid=156619080"",AJ$3)"),1479.65)</f>
        <v>1479.65</v>
      </c>
      <c r="AK555" s="2" t="str">
        <f>IFERROR(__xludf.DUMMYFUNCTION("IMPORTRANGE(""https://docs.google.com/spreadsheets/d/""&amp;$A555&amp;""/edit#gid=156619080"",AK$3)"),"")</f>
        <v/>
      </c>
      <c r="AL555" s="2">
        <f>IFERROR(__xludf.DUMMYFUNCTION("IMPORTRANGE(""https://docs.google.com/spreadsheets/d/""&amp;$A555&amp;""/edit#gid=156619080"",AL$3)"),-1.0)</f>
        <v>-1</v>
      </c>
      <c r="AM555" s="2" t="str">
        <f>IFERROR(__xludf.DUMMYFUNCTION("IMPORTRANGE(""https://docs.google.com/spreadsheets/d/""&amp;$A555&amp;""/edit#gid=156619080"",AM$3)"),"")</f>
        <v/>
      </c>
      <c r="AN555" s="2">
        <f>IFERROR(__xludf.DUMMYFUNCTION("IMPORTRANGE(""https://docs.google.com/spreadsheets/d/""&amp;$A555&amp;""/edit#gid=156619080"",AN$3)"),-1.0)</f>
        <v>-1</v>
      </c>
      <c r="AO555" s="2" t="str">
        <f>IFERROR(__xludf.DUMMYFUNCTION("IMPORTRANGE(""https://docs.google.com/spreadsheets/d/""&amp;$A555&amp;""/edit#gid=156619080"",AO$3)"),"")</f>
        <v/>
      </c>
      <c r="AP555" s="2">
        <f>IFERROR(__xludf.DUMMYFUNCTION("IMPORTRANGE(""https://docs.google.com/spreadsheets/d/""&amp;$A555&amp;""/edit#gid=156619080"",AP$3)"),-1.0)</f>
        <v>-1</v>
      </c>
      <c r="AQ555" s="2" t="str">
        <f>IFERROR(__xludf.DUMMYFUNCTION("IMPORTRANGE(""https://docs.google.com/spreadsheets/d/""&amp;$A555&amp;""/edit#gid=156619080"",AQ$3)"),"")</f>
        <v/>
      </c>
      <c r="AR555" s="18">
        <f>IFERROR(__xludf.DUMMYFUNCTION("IMPORTRANGE(""https://docs.google.com/spreadsheets/d/""&amp;$A555&amp;""/edit#gid=156619080"",AR$3)"),-70.0)</f>
        <v>-70</v>
      </c>
      <c r="AS555" s="19" t="str">
        <f>IFERROR(__xludf.DUMMYFUNCTION("IMPORTRANGE(""https://docs.google.com/spreadsheets/d/""&amp;$A555&amp;""/edit#gid=156619080"",AS$3)"),"-82.5
-90
-90
-100
")</f>
        <v>-82.5
-90
-90
-100
</v>
      </c>
      <c r="AT555" s="18">
        <f>IFERROR(__xludf.DUMMYFUNCTION("IMPORTRANGE(""https://docs.google.com/spreadsheets/d/""&amp;$A555&amp;""/edit#gid=156619080"",AT$3)"),-61.126373626373635)</f>
        <v>-61.12637363</v>
      </c>
      <c r="AU555" s="3" t="str">
        <f>IFERROR(__xludf.DUMMYFUNCTION("IMPORTRANGE(""https://docs.google.com/spreadsheets/d/""&amp;$A555&amp;""/edit#gid=156619080"",AU$3)"),"56.46
27.34
0.41
-26.51
")</f>
        <v>56.46
27.34
0.41
-26.51
</v>
      </c>
      <c r="AV555" s="18">
        <f>IFERROR(__xludf.DUMMYFUNCTION("IMPORTRANGE(""https://docs.google.com/spreadsheets/d/""&amp;$A555&amp;""/edit#gid=156619080"",AV$3)"),-41.16883116883117)</f>
        <v>-41.16883117</v>
      </c>
      <c r="AW555" s="19" t="str">
        <f>IFERROR(__xludf.DUMMYFUNCTION("IMPORTRANGE(""https://docs.google.com/spreadsheets/d/""&amp;$A555&amp;""/edit#gid=156619080"",AW$3)"),"-43.9
-43.64
-42.86
-43.25
")</f>
        <v>-43.9
-43.64
-42.86
-43.25
</v>
      </c>
      <c r="AX555" s="2">
        <f>IFERROR(__xludf.DUMMYFUNCTION("IMPORTRANGE(""https://docs.google.com/spreadsheets/d/""&amp;$A555&amp;""/edit#gid=156619080"",AX$3)"),24.62)</f>
        <v>24.62</v>
      </c>
      <c r="AY555" s="2">
        <f>IFERROR(__xludf.DUMMYFUNCTION("IMPORTRANGE(""https://docs.google.com/spreadsheets/d/""&amp;$A555&amp;""/edit#gid=156619080"",AY$3)"),35.52)</f>
        <v>35.52</v>
      </c>
      <c r="AZ555" s="2">
        <f>IFERROR(__xludf.DUMMYFUNCTION("IMPORTRANGE(""https://docs.google.com/spreadsheets/d/""&amp;$A555&amp;""/edit#gid=156619080"",AZ$3)"),1509.95)</f>
        <v>1509.95</v>
      </c>
      <c r="BA555" s="2">
        <f>IFERROR(__xludf.DUMMYFUNCTION("IMPORTRANGE(""https://docs.google.com/spreadsheets/d/""&amp;$A555&amp;""/edit#gid=156619080"",BA$3)"),-28.720000000000027)</f>
        <v>-28.72</v>
      </c>
      <c r="BB555" s="2">
        <f>IFERROR(__xludf.DUMMYFUNCTION("IMPORTRANGE(""https://docs.google.com/spreadsheets/d/""&amp;$A555&amp;""/edit#gid=156619080"",BB$3)"),-25.11)</f>
        <v>-25.11</v>
      </c>
      <c r="BC555" s="2" t="str">
        <f>IFERROR(__xludf.DUMMYFUNCTION("IMPORTRANGE(""https://docs.google.com/spreadsheets/d/""&amp;$A555&amp;""/edit#gid=156619080"",BC$3)"),"DC→DC")</f>
        <v>DC→DC</v>
      </c>
    </row>
    <row r="556" ht="51.0" customHeight="1">
      <c r="A556" s="7" t="str">
        <f t="shared" si="5"/>
        <v>15f0xv_ZsYct7lN7dn9GM0S5FErFWSrfUa0E3yI9bx60</v>
      </c>
      <c r="B556" s="1" t="s">
        <v>583</v>
      </c>
      <c r="C556" s="2">
        <f>IFERROR(__xludf.DUMMYFUNCTION("IMPORTRANGE(""https://docs.google.com/spreadsheets/d/""&amp;$A556&amp;""/edit#gid=156619080"",C$3)"),45.0)</f>
        <v>45</v>
      </c>
      <c r="D556" s="2">
        <f>IFERROR(__xludf.DUMMYFUNCTION("IMPORTRANGE(""https://docs.google.com/spreadsheets/d/""&amp;$A556&amp;""/edit#gid=156619080"",D$3)"),6038.0)</f>
        <v>6038</v>
      </c>
      <c r="E556" s="15">
        <f>IFERROR(__xludf.DUMMYFUNCTION("IMPORTRANGE(""https://docs.google.com/spreadsheets/d/""&amp;$A556&amp;""/edit#gid=156619080"",E$3)"),43882.0)</f>
        <v>43882</v>
      </c>
      <c r="F556" s="2">
        <f>IFERROR(__xludf.DUMMYFUNCTION("IMPORTRANGE(""https://docs.google.com/spreadsheets/d/""&amp;$A556&amp;""/edit#gid=156619080"",F$3)"),9.0)</f>
        <v>9</v>
      </c>
      <c r="G556" s="16">
        <f>IFERROR(__xludf.DUMMYFUNCTION("IMPORTRANGE(""https://docs.google.com/spreadsheets/d/""&amp;$A556&amp;""/edit#gid=156619080"",G$3)"),1.16)</f>
        <v>1.16</v>
      </c>
      <c r="H556" s="16">
        <f>IFERROR(__xludf.DUMMYFUNCTION("IMPORTRANGE(""https://docs.google.com/spreadsheets/d/""&amp;$A556&amp;""/edit#gid=156619080"",H$3)"),771.0)</f>
        <v>771</v>
      </c>
      <c r="I556" s="16">
        <f>IFERROR(__xludf.DUMMYFUNCTION("IMPORTRANGE(""https://docs.google.com/spreadsheets/d/""&amp;$A556&amp;""/edit#gid=156619080"",I$3)"),2.0)</f>
        <v>2</v>
      </c>
      <c r="J556" s="16">
        <f>IFERROR(__xludf.DUMMYFUNCTION("IMPORTRANGE(""https://docs.google.com/spreadsheets/d/""&amp;$A556&amp;""/edit#gid=156619080"",J$3)"),815.0)</f>
        <v>815</v>
      </c>
      <c r="K556" s="16">
        <f>IFERROR(__xludf.DUMMYFUNCTION("IMPORTRANGE(""https://docs.google.com/spreadsheets/d/""&amp;$A556&amp;""/edit#gid=156619080"",K$3)"),0.5569444444444445)</f>
        <v>0.5569444444</v>
      </c>
      <c r="L556" s="16">
        <f>IFERROR(__xludf.DUMMYFUNCTION("IMPORTRANGE(""https://docs.google.com/spreadsheets/d/""&amp;$A556&amp;""/edit#gid=156619080"",L$3)"),769.0)</f>
        <v>769</v>
      </c>
      <c r="M556" s="16">
        <f>IFERROR(__xludf.DUMMYFUNCTION("IMPORTRANGE(""https://docs.google.com/spreadsheets/d/""&amp;$A556&amp;""/edit#gid=156619080"",M$3)"),0.53125)</f>
        <v>0.53125</v>
      </c>
      <c r="N556" s="16">
        <f>IFERROR(__xludf.DUMMYFUNCTION("IMPORTRANGE(""https://docs.google.com/spreadsheets/d/""&amp;$A556&amp;""/edit#gid=156619080"",N$3)"),782.0)</f>
        <v>782</v>
      </c>
      <c r="O556" s="16" t="str">
        <f>IFERROR(__xludf.DUMMYFUNCTION("IMPORTRANGE(""https://docs.google.com/spreadsheets/d/""&amp;$A556&amp;""/edit#gid=156619080"",O$3)"),"72100株")</f>
        <v>72100株</v>
      </c>
      <c r="P556" s="16" t="str">
        <f>IFERROR(__xludf.DUMMYFUNCTION("IMPORTRANGE(""https://docs.google.com/spreadsheets/d/""&amp;$A556&amp;""/edit#gid=156619080"",P$3)"),"57百万円")</f>
        <v>57百万円</v>
      </c>
      <c r="Q556" s="16" t="str">
        <f>IFERROR(__xludf.DUMMYFUNCTION("IMPORTRANGE(""https://docs.google.com/spreadsheets/d/""&amp;$A556&amp;""/edit#gid=156619080"",Q$3)"),"258回")</f>
        <v>258回</v>
      </c>
      <c r="R556" s="16" t="str">
        <f>IFERROR(__xludf.DUMMYFUNCTION("IMPORTRANGE(""https://docs.google.com/spreadsheets/d/""&amp;$A556&amp;""/edit#gid=156619080"",R$3)"),"39.2億円")</f>
        <v>39.2億円</v>
      </c>
      <c r="S556" s="16" t="str">
        <f>IFERROR(__xludf.DUMMYFUNCTION("IMPORTRANGE(""https://docs.google.com/spreadsheets/d/""&amp;$A556&amp;""/edit#gid=156619080"",S$3)"),"陽線")</f>
        <v>陽線</v>
      </c>
      <c r="T556" s="16" t="str">
        <f>IFERROR(__xludf.DUMMYFUNCTION("IMPORTRANGE(""https://docs.google.com/spreadsheets/d/""&amp;$A556&amp;""/edit#gid=156619080"",T$3)"),"")</f>
        <v/>
      </c>
      <c r="U556" s="16">
        <f>IFERROR(__xludf.DUMMYFUNCTION("IMPORTRANGE(""https://docs.google.com/spreadsheets/d/""&amp;$A556&amp;""/edit#gid=156619080"",U$3)"),773.0)</f>
        <v>773</v>
      </c>
      <c r="V556" s="16">
        <f>IFERROR(__xludf.DUMMYFUNCTION("IMPORTRANGE(""https://docs.google.com/spreadsheets/d/""&amp;$A556&amp;""/edit#gid=156619080"",V$3)"),837.6)</f>
        <v>837.6</v>
      </c>
      <c r="W556" s="16">
        <f>IFERROR(__xludf.DUMMYFUNCTION("IMPORTRANGE(""https://docs.google.com/spreadsheets/d/""&amp;$A556&amp;""/edit#gid=156619080"",W$3)"),859.7)</f>
        <v>859.7</v>
      </c>
      <c r="X556" s="2" t="str">
        <f>IFERROR(__xludf.DUMMYFUNCTION("IMPORTRANGE(""https://docs.google.com/spreadsheets/d/""&amp;$A556&amp;""/edit#gid=156619080"",X$3)"),"")</f>
        <v/>
      </c>
      <c r="Y556" s="17">
        <f>IFERROR(__xludf.DUMMYFUNCTION("IMPORTRANGE(""https://docs.google.com/spreadsheets/d/""&amp;$A556&amp;""/edit#gid=156619080"",Y$3)"),0.01164294954721863)</f>
        <v>0.01164294955</v>
      </c>
      <c r="Z556" s="2">
        <f>IFERROR(__xludf.DUMMYFUNCTION("IMPORTRANGE(""https://docs.google.com/spreadsheets/d/""&amp;$A556&amp;""/edit#gid=156619080"",Z$3)"),974.03)</f>
        <v>974.03</v>
      </c>
      <c r="AA556" s="2">
        <f>IFERROR(__xludf.DUMMYFUNCTION("IMPORTRANGE(""https://docs.google.com/spreadsheets/d/""&amp;$A556&amp;""/edit#gid=156619080"",AA$3)"),959.73)</f>
        <v>959.73</v>
      </c>
      <c r="AB556" s="2">
        <f>IFERROR(__xludf.DUMMYFUNCTION("IMPORTRANGE(""https://docs.google.com/spreadsheets/d/""&amp;$A556&amp;""/edit#gid=156619080"",AB$3)"),945.44)</f>
        <v>945.44</v>
      </c>
      <c r="AC556" s="18">
        <f>IFERROR(__xludf.DUMMYFUNCTION("IMPORTRANGE(""https://docs.google.com/spreadsheets/d/""&amp;$A556&amp;""/edit#gid=156619080"",AC$3)"),931.15)</f>
        <v>931.15</v>
      </c>
      <c r="AD556" s="18">
        <f>IFERROR(__xludf.DUMMYFUNCTION("IMPORTRANGE(""https://docs.google.com/spreadsheets/d/""&amp;$A556&amp;""/edit#gid=156619080"",AD$3)"),916.86)</f>
        <v>916.86</v>
      </c>
      <c r="AE556" s="18">
        <f>IFERROR(__xludf.DUMMYFUNCTION("IMPORTRANGE(""https://docs.google.com/spreadsheets/d/""&amp;$A556&amp;""/edit#gid=156619080"",AE$3)"),859.7)</f>
        <v>859.7</v>
      </c>
      <c r="AF556" s="2">
        <f>IFERROR(__xludf.DUMMYFUNCTION("IMPORTRANGE(""https://docs.google.com/spreadsheets/d/""&amp;$A556&amp;""/edit#gid=156619080"",AF$3)"),802.54)</f>
        <v>802.54</v>
      </c>
      <c r="AG556" s="2">
        <f>IFERROR(__xludf.DUMMYFUNCTION("IMPORTRANGE(""https://docs.google.com/spreadsheets/d/""&amp;$A556&amp;""/edit#gid=156619080"",AG$3)"),788.25)</f>
        <v>788.25</v>
      </c>
      <c r="AH556" s="2">
        <f>IFERROR(__xludf.DUMMYFUNCTION("IMPORTRANGE(""https://docs.google.com/spreadsheets/d/""&amp;$A556&amp;""/edit#gid=156619080"",AH$3)"),773.96)</f>
        <v>773.96</v>
      </c>
      <c r="AI556" s="2">
        <f>IFERROR(__xludf.DUMMYFUNCTION("IMPORTRANGE(""https://docs.google.com/spreadsheets/d/""&amp;$A556&amp;""/edit#gid=156619080"",AI$3)"),759.67)</f>
        <v>759.67</v>
      </c>
      <c r="AJ556" s="2">
        <f>IFERROR(__xludf.DUMMYFUNCTION("IMPORTRANGE(""https://docs.google.com/spreadsheets/d/""&amp;$A556&amp;""/edit#gid=156619080"",AJ$3)"),745.37)</f>
        <v>745.37</v>
      </c>
      <c r="AK556" s="2" t="str">
        <f>IFERROR(__xludf.DUMMYFUNCTION("IMPORTRANGE(""https://docs.google.com/spreadsheets/d/""&amp;$A556&amp;""/edit#gid=156619080"",AK$3)"),"-1.25σ〜-1.5σ")</f>
        <v>-1.25σ〜-1.5σ</v>
      </c>
      <c r="AL556" s="2">
        <f>IFERROR(__xludf.DUMMYFUNCTION("IMPORTRANGE(""https://docs.google.com/spreadsheets/d/""&amp;$A556&amp;""/edit#gid=156619080"",AL$3)"),-1.0)</f>
        <v>-1</v>
      </c>
      <c r="AM556" s="2" t="str">
        <f>IFERROR(__xludf.DUMMYFUNCTION("IMPORTRANGE(""https://docs.google.com/spreadsheets/d/""&amp;$A556&amp;""/edit#gid=156619080"",AM$3)"),"")</f>
        <v/>
      </c>
      <c r="AN556" s="2">
        <f>IFERROR(__xludf.DUMMYFUNCTION("IMPORTRANGE(""https://docs.google.com/spreadsheets/d/""&amp;$A556&amp;""/edit#gid=156619080"",AN$3)"),-1.0)</f>
        <v>-1</v>
      </c>
      <c r="AO556" s="2" t="str">
        <f>IFERROR(__xludf.DUMMYFUNCTION("IMPORTRANGE(""https://docs.google.com/spreadsheets/d/""&amp;$A556&amp;""/edit#gid=156619080"",AO$3)"),"")</f>
        <v/>
      </c>
      <c r="AP556" s="2">
        <f>IFERROR(__xludf.DUMMYFUNCTION("IMPORTRANGE(""https://docs.google.com/spreadsheets/d/""&amp;$A556&amp;""/edit#gid=156619080"",AP$3)"),-1.0)</f>
        <v>-1</v>
      </c>
      <c r="AQ556" s="2" t="str">
        <f>IFERROR(__xludf.DUMMYFUNCTION("IMPORTRANGE(""https://docs.google.com/spreadsheets/d/""&amp;$A556&amp;""/edit#gid=156619080"",AQ$3)"),"")</f>
        <v/>
      </c>
      <c r="AR556" s="18">
        <f>IFERROR(__xludf.DUMMYFUNCTION("IMPORTRANGE(""https://docs.google.com/spreadsheets/d/""&amp;$A556&amp;""/edit#gid=156619080"",AR$3)"),30.000000000000004)</f>
        <v>30</v>
      </c>
      <c r="AS556" s="19" t="str">
        <f>IFERROR(__xludf.DUMMYFUNCTION("IMPORTRANGE(""https://docs.google.com/spreadsheets/d/""&amp;$A556&amp;""/edit#gid=156619080"",AS$3)"),"-70
-100
-70
-50
")</f>
        <v>-70
-100
-70
-50
</v>
      </c>
      <c r="AT556" s="18">
        <f>IFERROR(__xludf.DUMMYFUNCTION("IMPORTRANGE(""https://docs.google.com/spreadsheets/d/""&amp;$A556&amp;""/edit#gid=156619080"",AT$3)"),-67.17032967032968)</f>
        <v>-67.17032967</v>
      </c>
      <c r="AU556" s="3" t="str">
        <f>IFERROR(__xludf.DUMMYFUNCTION("IMPORTRANGE(""https://docs.google.com/spreadsheets/d/""&amp;$A556&amp;""/edit#gid=156619080"",AU$3)"),"29.53
-5.08
-33.65
-57.28
")</f>
        <v>29.53
-5.08
-33.65
-57.28
</v>
      </c>
      <c r="AV556" s="18">
        <f>IFERROR(__xludf.DUMMYFUNCTION("IMPORTRANGE(""https://docs.google.com/spreadsheets/d/""&amp;$A556&amp;""/edit#gid=156619080"",AV$3)"),-67.6948051948052)</f>
        <v>-67.69480519</v>
      </c>
      <c r="AW556" s="19" t="str">
        <f>IFERROR(__xludf.DUMMYFUNCTION("IMPORTRANGE(""https://docs.google.com/spreadsheets/d/""&amp;$A556&amp;""/edit#gid=156619080"",AW$3)"),"-68.08
-68.86
-68.86
-68.73
")</f>
        <v>-68.08
-68.86
-68.86
-68.73
</v>
      </c>
      <c r="AX556" s="2">
        <f>IFERROR(__xludf.DUMMYFUNCTION("IMPORTRANGE(""https://docs.google.com/spreadsheets/d/""&amp;$A556&amp;""/edit#gid=156619080"",AX$3)"),25.41)</f>
        <v>25.41</v>
      </c>
      <c r="AY556" s="2">
        <f>IFERROR(__xludf.DUMMYFUNCTION("IMPORTRANGE(""https://docs.google.com/spreadsheets/d/""&amp;$A556&amp;""/edit#gid=156619080"",AY$3)"),26.91)</f>
        <v>26.91</v>
      </c>
      <c r="AZ556" s="2">
        <f>IFERROR(__xludf.DUMMYFUNCTION("IMPORTRANGE(""https://docs.google.com/spreadsheets/d/""&amp;$A556&amp;""/edit#gid=156619080"",AZ$3)"),789.43)</f>
        <v>789.43</v>
      </c>
      <c r="BA556" s="2">
        <f>IFERROR(__xludf.DUMMYFUNCTION("IMPORTRANGE(""https://docs.google.com/spreadsheets/d/""&amp;$A556&amp;""/edit#gid=156619080"",BA$3)"),-66.10000000000002)</f>
        <v>-66.1</v>
      </c>
      <c r="BB556" s="2">
        <f>IFERROR(__xludf.DUMMYFUNCTION("IMPORTRANGE(""https://docs.google.com/spreadsheets/d/""&amp;$A556&amp;""/edit#gid=156619080"",BB$3)"),-52.03)</f>
        <v>-52.03</v>
      </c>
      <c r="BC556" s="2" t="str">
        <f>IFERROR(__xludf.DUMMYFUNCTION("IMPORTRANGE(""https://docs.google.com/spreadsheets/d/""&amp;$A556&amp;""/edit#gid=156619080"",BC$3)"),"DC→DC")</f>
        <v>DC→DC</v>
      </c>
    </row>
    <row r="557" ht="51.0" customHeight="1">
      <c r="A557" s="7" t="str">
        <f t="shared" si="5"/>
        <v>1Zq6pAEJU39ALFLPh5IV1AO5F4V5TW4O5Q77U3ylnZ5o</v>
      </c>
      <c r="B557" s="1" t="s">
        <v>584</v>
      </c>
      <c r="C557" s="2">
        <f>IFERROR(__xludf.DUMMYFUNCTION("IMPORTRANGE(""https://docs.google.com/spreadsheets/d/""&amp;$A557&amp;""/edit#gid=156619080"",C$3)"),45.0)</f>
        <v>45</v>
      </c>
      <c r="D557" s="2">
        <f>IFERROR(__xludf.DUMMYFUNCTION("IMPORTRANGE(""https://docs.google.com/spreadsheets/d/""&amp;$A557&amp;""/edit#gid=156619080"",D$3)"),6101.0)</f>
        <v>6101</v>
      </c>
      <c r="E557" s="15">
        <f>IFERROR(__xludf.DUMMYFUNCTION("IMPORTRANGE(""https://docs.google.com/spreadsheets/d/""&amp;$A557&amp;""/edit#gid=156619080"",E$3)"),43882.0)</f>
        <v>43882</v>
      </c>
      <c r="F557" s="2">
        <f>IFERROR(__xludf.DUMMYFUNCTION("IMPORTRANGE(""https://docs.google.com/spreadsheets/d/""&amp;$A557&amp;""/edit#gid=156619080"",F$3)"),16.0)</f>
        <v>16</v>
      </c>
      <c r="G557" s="16">
        <f>IFERROR(__xludf.DUMMYFUNCTION("IMPORTRANGE(""https://docs.google.com/spreadsheets/d/""&amp;$A557&amp;""/edit#gid=156619080"",G$3)"),1.64)</f>
        <v>1.64</v>
      </c>
      <c r="H557" s="16">
        <f>IFERROR(__xludf.DUMMYFUNCTION("IMPORTRANGE(""https://docs.google.com/spreadsheets/d/""&amp;$A557&amp;""/edit#gid=156619080"",H$3)"),973.0)</f>
        <v>973</v>
      </c>
      <c r="I557" s="16">
        <f>IFERROR(__xludf.DUMMYFUNCTION("IMPORTRANGE(""https://docs.google.com/spreadsheets/d/""&amp;$A557&amp;""/edit#gid=156619080"",I$3)"),5.0)</f>
        <v>5</v>
      </c>
      <c r="J557" s="16">
        <f>IFERROR(__xludf.DUMMYFUNCTION("IMPORTRANGE(""https://docs.google.com/spreadsheets/d/""&amp;$A557&amp;""/edit#gid=156619080"",J$3)"),1001.0)</f>
        <v>1001</v>
      </c>
      <c r="K557" s="16">
        <f>IFERROR(__xludf.DUMMYFUNCTION("IMPORTRANGE(""https://docs.google.com/spreadsheets/d/""&amp;$A557&amp;""/edit#gid=156619080"",K$3)"),0.55)</f>
        <v>0.55</v>
      </c>
      <c r="L557" s="16">
        <f>IFERROR(__xludf.DUMMYFUNCTION("IMPORTRANGE(""https://docs.google.com/spreadsheets/d/""&amp;$A557&amp;""/edit#gid=156619080"",L$3)"),967.0)</f>
        <v>967</v>
      </c>
      <c r="M557" s="16">
        <f>IFERROR(__xludf.DUMMYFUNCTION("IMPORTRANGE(""https://docs.google.com/spreadsheets/d/""&amp;$A557&amp;""/edit#gid=156619080"",M$3)"),0.37569444444444444)</f>
        <v>0.3756944444</v>
      </c>
      <c r="N557" s="16">
        <f>IFERROR(__xludf.DUMMYFUNCTION("IMPORTRANGE(""https://docs.google.com/spreadsheets/d/""&amp;$A557&amp;""/edit#gid=156619080"",N$3)"),994.0)</f>
        <v>994</v>
      </c>
      <c r="O557" s="16" t="str">
        <f>IFERROR(__xludf.DUMMYFUNCTION("IMPORTRANGE(""https://docs.google.com/spreadsheets/d/""&amp;$A557&amp;""/edit#gid=156619080"",O$3)"),"670900株")</f>
        <v>670900株</v>
      </c>
      <c r="P557" s="16" t="str">
        <f>IFERROR(__xludf.DUMMYFUNCTION("IMPORTRANGE(""https://docs.google.com/spreadsheets/d/""&amp;$A557&amp;""/edit#gid=156619080"",P$3)"),"666百万円")</f>
        <v>666百万円</v>
      </c>
      <c r="Q557" s="16" t="str">
        <f>IFERROR(__xludf.DUMMYFUNCTION("IMPORTRANGE(""https://docs.google.com/spreadsheets/d/""&amp;$A557&amp;""/edit#gid=156619080"",Q$3)"),"1337回")</f>
        <v>1337回</v>
      </c>
      <c r="R557" s="16" t="str">
        <f>IFERROR(__xludf.DUMMYFUNCTION("IMPORTRANGE(""https://docs.google.com/spreadsheets/d/""&amp;$A557&amp;""/edit#gid=156619080"",R$3)"),"547億円")</f>
        <v>547億円</v>
      </c>
      <c r="S557" s="16" t="str">
        <f>IFERROR(__xludf.DUMMYFUNCTION("IMPORTRANGE(""https://docs.google.com/spreadsheets/d/""&amp;$A557&amp;""/edit#gid=156619080"",S$3)"),"陽線")</f>
        <v>陽線</v>
      </c>
      <c r="T557" s="16" t="str">
        <f>IFERROR(__xludf.DUMMYFUNCTION("IMPORTRANGE(""https://docs.google.com/spreadsheets/d/""&amp;$A557&amp;""/edit#gid=156619080"",T$3)"),"")</f>
        <v/>
      </c>
      <c r="U557" s="16">
        <f>IFERROR(__xludf.DUMMYFUNCTION("IMPORTRANGE(""https://docs.google.com/spreadsheets/d/""&amp;$A557&amp;""/edit#gid=156619080"",U$3)"),973.8)</f>
        <v>973.8</v>
      </c>
      <c r="V557" s="16">
        <f>IFERROR(__xludf.DUMMYFUNCTION("IMPORTRANGE(""https://docs.google.com/spreadsheets/d/""&amp;$A557&amp;""/edit#gid=156619080"",V$3)"),1011.7)</f>
        <v>1011.7</v>
      </c>
      <c r="W557" s="16">
        <f>IFERROR(__xludf.DUMMYFUNCTION("IMPORTRANGE(""https://docs.google.com/spreadsheets/d/""&amp;$A557&amp;""/edit#gid=156619080"",W$3)"),1034.2)</f>
        <v>1034.2</v>
      </c>
      <c r="X557" s="2" t="str">
        <f>IFERROR(__xludf.DUMMYFUNCTION("IMPORTRANGE(""https://docs.google.com/spreadsheets/d/""&amp;$A557&amp;""/edit#gid=156619080"",X$3)"),"")</f>
        <v/>
      </c>
      <c r="Y557" s="17">
        <f>IFERROR(__xludf.DUMMYFUNCTION("IMPORTRANGE(""https://docs.google.com/spreadsheets/d/""&amp;$A557&amp;""/edit#gid=156619080"",Y$3)"),0.020743479153830402)</f>
        <v>0.02074347915</v>
      </c>
      <c r="Z557" s="2">
        <f>IFERROR(__xludf.DUMMYFUNCTION("IMPORTRANGE(""https://docs.google.com/spreadsheets/d/""&amp;$A557&amp;""/edit#gid=156619080"",Z$3)"),1150.36)</f>
        <v>1150.36</v>
      </c>
      <c r="AA557" s="2">
        <f>IFERROR(__xludf.DUMMYFUNCTION("IMPORTRANGE(""https://docs.google.com/spreadsheets/d/""&amp;$A557&amp;""/edit#gid=156619080"",AA$3)"),1135.84)</f>
        <v>1135.84</v>
      </c>
      <c r="AB557" s="2">
        <f>IFERROR(__xludf.DUMMYFUNCTION("IMPORTRANGE(""https://docs.google.com/spreadsheets/d/""&amp;$A557&amp;""/edit#gid=156619080"",AB$3)"),1121.32)</f>
        <v>1121.32</v>
      </c>
      <c r="AC557" s="18">
        <f>IFERROR(__xludf.DUMMYFUNCTION("IMPORTRANGE(""https://docs.google.com/spreadsheets/d/""&amp;$A557&amp;""/edit#gid=156619080"",AC$3)"),1106.8)</f>
        <v>1106.8</v>
      </c>
      <c r="AD557" s="18">
        <f>IFERROR(__xludf.DUMMYFUNCTION("IMPORTRANGE(""https://docs.google.com/spreadsheets/d/""&amp;$A557&amp;""/edit#gid=156619080"",AD$3)"),1092.28)</f>
        <v>1092.28</v>
      </c>
      <c r="AE557" s="18">
        <f>IFERROR(__xludf.DUMMYFUNCTION("IMPORTRANGE(""https://docs.google.com/spreadsheets/d/""&amp;$A557&amp;""/edit#gid=156619080"",AE$3)"),1034.2)</f>
        <v>1034.2</v>
      </c>
      <c r="AF557" s="2">
        <f>IFERROR(__xludf.DUMMYFUNCTION("IMPORTRANGE(""https://docs.google.com/spreadsheets/d/""&amp;$A557&amp;""/edit#gid=156619080"",AF$3)"),976.12)</f>
        <v>976.12</v>
      </c>
      <c r="AG557" s="2">
        <f>IFERROR(__xludf.DUMMYFUNCTION("IMPORTRANGE(""https://docs.google.com/spreadsheets/d/""&amp;$A557&amp;""/edit#gid=156619080"",AG$3)"),961.6)</f>
        <v>961.6</v>
      </c>
      <c r="AH557" s="2">
        <f>IFERROR(__xludf.DUMMYFUNCTION("IMPORTRANGE(""https://docs.google.com/spreadsheets/d/""&amp;$A557&amp;""/edit#gid=156619080"",AH$3)"),947.08)</f>
        <v>947.08</v>
      </c>
      <c r="AI557" s="2">
        <f>IFERROR(__xludf.DUMMYFUNCTION("IMPORTRANGE(""https://docs.google.com/spreadsheets/d/""&amp;$A557&amp;""/edit#gid=156619080"",AI$3)"),932.56)</f>
        <v>932.56</v>
      </c>
      <c r="AJ557" s="2">
        <f>IFERROR(__xludf.DUMMYFUNCTION("IMPORTRANGE(""https://docs.google.com/spreadsheets/d/""&amp;$A557&amp;""/edit#gid=156619080"",AJ$3)"),918.04)</f>
        <v>918.04</v>
      </c>
      <c r="AK557" s="2" t="str">
        <f>IFERROR(__xludf.DUMMYFUNCTION("IMPORTRANGE(""https://docs.google.com/spreadsheets/d/""&amp;$A557&amp;""/edit#gid=156619080"",AK$3)"),"")</f>
        <v/>
      </c>
      <c r="AL557" s="2">
        <f>IFERROR(__xludf.DUMMYFUNCTION("IMPORTRANGE(""https://docs.google.com/spreadsheets/d/""&amp;$A557&amp;""/edit#gid=156619080"",AL$3)"),-1.0)</f>
        <v>-1</v>
      </c>
      <c r="AM557" s="2" t="str">
        <f>IFERROR(__xludf.DUMMYFUNCTION("IMPORTRANGE(""https://docs.google.com/spreadsheets/d/""&amp;$A557&amp;""/edit#gid=156619080"",AM$3)"),"")</f>
        <v/>
      </c>
      <c r="AN557" s="2">
        <f>IFERROR(__xludf.DUMMYFUNCTION("IMPORTRANGE(""https://docs.google.com/spreadsheets/d/""&amp;$A557&amp;""/edit#gid=156619080"",AN$3)"),-1.0)</f>
        <v>-1</v>
      </c>
      <c r="AO557" s="2" t="str">
        <f>IFERROR(__xludf.DUMMYFUNCTION("IMPORTRANGE(""https://docs.google.com/spreadsheets/d/""&amp;$A557&amp;""/edit#gid=156619080"",AO$3)"),"")</f>
        <v/>
      </c>
      <c r="AP557" s="2">
        <f>IFERROR(__xludf.DUMMYFUNCTION("IMPORTRANGE(""https://docs.google.com/spreadsheets/d/""&amp;$A557&amp;""/edit#gid=156619080"",AP$3)"),-1.0)</f>
        <v>-1</v>
      </c>
      <c r="AQ557" s="2" t="str">
        <f>IFERROR(__xludf.DUMMYFUNCTION("IMPORTRANGE(""https://docs.google.com/spreadsheets/d/""&amp;$A557&amp;""/edit#gid=156619080"",AQ$3)"),"")</f>
        <v/>
      </c>
      <c r="AR557" s="18">
        <f>IFERROR(__xludf.DUMMYFUNCTION("IMPORTRANGE(""https://docs.google.com/spreadsheets/d/""&amp;$A557&amp;""/edit#gid=156619080"",AR$3)"),40.0)</f>
        <v>40</v>
      </c>
      <c r="AS557" s="19" t="str">
        <f>IFERROR(__xludf.DUMMYFUNCTION("IMPORTRANGE(""https://docs.google.com/spreadsheets/d/""&amp;$A557&amp;""/edit#gid=156619080"",AS$3)"),"-90
-90
-80
-60
")</f>
        <v>-90
-90
-80
-60
</v>
      </c>
      <c r="AT557" s="18">
        <f>IFERROR(__xludf.DUMMYFUNCTION("IMPORTRANGE(""https://docs.google.com/spreadsheets/d/""&amp;$A557&amp;""/edit#gid=156619080"",AT$3)"),-81.86813186813187)</f>
        <v>-81.86813187</v>
      </c>
      <c r="AU557" s="3" t="str">
        <f>IFERROR(__xludf.DUMMYFUNCTION("IMPORTRANGE(""https://docs.google.com/spreadsheets/d/""&amp;$A557&amp;""/edit#gid=156619080"",AU$3)"),"-18.82
-25.96
-55.63
-71.43
")</f>
        <v>-18.82
-25.96
-55.63
-71.43
</v>
      </c>
      <c r="AV557" s="18">
        <f>IFERROR(__xludf.DUMMYFUNCTION("IMPORTRANGE(""https://docs.google.com/spreadsheets/d/""&amp;$A557&amp;""/edit#gid=156619080"",AV$3)"),-76.94805194805194)</f>
        <v>-76.94805195</v>
      </c>
      <c r="AW557" s="19" t="str">
        <f>IFERROR(__xludf.DUMMYFUNCTION("IMPORTRANGE(""https://docs.google.com/spreadsheets/d/""&amp;$A557&amp;""/edit#gid=156619080"",AW$3)"),"-77.6
-78.12
-78.25
-78.25
")</f>
        <v>-77.6
-78.12
-78.25
-78.25
</v>
      </c>
      <c r="AX557" s="2">
        <f>IFERROR(__xludf.DUMMYFUNCTION("IMPORTRANGE(""https://docs.google.com/spreadsheets/d/""&amp;$A557&amp;""/edit#gid=156619080"",AX$3)"),38.53)</f>
        <v>38.53</v>
      </c>
      <c r="AY557" s="2">
        <f>IFERROR(__xludf.DUMMYFUNCTION("IMPORTRANGE(""https://docs.google.com/spreadsheets/d/""&amp;$A557&amp;""/edit#gid=156619080"",AY$3)"),26.27)</f>
        <v>26.27</v>
      </c>
      <c r="AZ557" s="2">
        <f>IFERROR(__xludf.DUMMYFUNCTION("IMPORTRANGE(""https://docs.google.com/spreadsheets/d/""&amp;$A557&amp;""/edit#gid=156619080"",AZ$3)"),985.33)</f>
        <v>985.33</v>
      </c>
      <c r="BA557" s="2">
        <f>IFERROR(__xludf.DUMMYFUNCTION("IMPORTRANGE(""https://docs.google.com/spreadsheets/d/""&amp;$A557&amp;""/edit#gid=156619080"",BA$3)"),-43.85000000000002)</f>
        <v>-43.85</v>
      </c>
      <c r="BB557" s="2">
        <f>IFERROR(__xludf.DUMMYFUNCTION("IMPORTRANGE(""https://docs.google.com/spreadsheets/d/""&amp;$A557&amp;""/edit#gid=156619080"",BB$3)"),-37.43)</f>
        <v>-37.43</v>
      </c>
      <c r="BC557" s="2" t="str">
        <f>IFERROR(__xludf.DUMMYFUNCTION("IMPORTRANGE(""https://docs.google.com/spreadsheets/d/""&amp;$A557&amp;""/edit#gid=156619080"",BC$3)"),"DC→DC")</f>
        <v>DC→DC</v>
      </c>
    </row>
    <row r="558" ht="51.0" customHeight="1">
      <c r="A558" s="7" t="str">
        <f t="shared" si="5"/>
        <v>1l3apKHD0Wz4UCMHfxs8XcunCmbhNsBbZEsbGG5x3QYE</v>
      </c>
      <c r="B558" s="1" t="s">
        <v>585</v>
      </c>
      <c r="C558" s="2">
        <f>IFERROR(__xludf.DUMMYFUNCTION("IMPORTRANGE(""https://docs.google.com/spreadsheets/d/""&amp;$A558&amp;""/edit#gid=156619080"",C$3)"),45.0)</f>
        <v>45</v>
      </c>
      <c r="D558" s="2">
        <f>IFERROR(__xludf.DUMMYFUNCTION("IMPORTRANGE(""https://docs.google.com/spreadsheets/d/""&amp;$A558&amp;""/edit#gid=156619080"",D$3)"),6235.0)</f>
        <v>6235</v>
      </c>
      <c r="E558" s="15">
        <f>IFERROR(__xludf.DUMMYFUNCTION("IMPORTRANGE(""https://docs.google.com/spreadsheets/d/""&amp;$A558&amp;""/edit#gid=156619080"",E$3)"),43882.0)</f>
        <v>43882</v>
      </c>
      <c r="F558" s="2">
        <f>IFERROR(__xludf.DUMMYFUNCTION("IMPORTRANGE(""https://docs.google.com/spreadsheets/d/""&amp;$A558&amp;""/edit#gid=156619080"",F$3)"),50.0)</f>
        <v>50</v>
      </c>
      <c r="G558" s="16">
        <f>IFERROR(__xludf.DUMMYFUNCTION("IMPORTRANGE(""https://docs.google.com/spreadsheets/d/""&amp;$A558&amp;""/edit#gid=156619080"",G$3)"),1.53)</f>
        <v>1.53</v>
      </c>
      <c r="H558" s="16">
        <f>IFERROR(__xludf.DUMMYFUNCTION("IMPORTRANGE(""https://docs.google.com/spreadsheets/d/""&amp;$A558&amp;""/edit#gid=156619080"",H$3)"),3275.0)</f>
        <v>3275</v>
      </c>
      <c r="I558" s="16">
        <f>IFERROR(__xludf.DUMMYFUNCTION("IMPORTRANGE(""https://docs.google.com/spreadsheets/d/""&amp;$A558&amp;""/edit#gid=156619080"",I$3)"),-10.0)</f>
        <v>-10</v>
      </c>
      <c r="J558" s="16">
        <f>IFERROR(__xludf.DUMMYFUNCTION("IMPORTRANGE(""https://docs.google.com/spreadsheets/d/""&amp;$A558&amp;""/edit#gid=156619080"",J$3)"),3375.0)</f>
        <v>3375</v>
      </c>
      <c r="K558" s="16">
        <f>IFERROR(__xludf.DUMMYFUNCTION("IMPORTRANGE(""https://docs.google.com/spreadsheets/d/""&amp;$A558&amp;""/edit#gid=156619080"",K$3)"),0.5326388888888889)</f>
        <v>0.5326388889</v>
      </c>
      <c r="L558" s="16">
        <f>IFERROR(__xludf.DUMMYFUNCTION("IMPORTRANGE(""https://docs.google.com/spreadsheets/d/""&amp;$A558&amp;""/edit#gid=156619080"",L$3)"),3270.0)</f>
        <v>3270</v>
      </c>
      <c r="M558" s="16">
        <f>IFERROR(__xludf.DUMMYFUNCTION("IMPORTRANGE(""https://docs.google.com/spreadsheets/d/""&amp;$A558&amp;""/edit#gid=156619080"",M$3)"),0.375)</f>
        <v>0.375</v>
      </c>
      <c r="N558" s="16">
        <f>IFERROR(__xludf.DUMMYFUNCTION("IMPORTRANGE(""https://docs.google.com/spreadsheets/d/""&amp;$A558&amp;""/edit#gid=156619080"",N$3)"),3315.0)</f>
        <v>3315</v>
      </c>
      <c r="O558" s="16" t="str">
        <f>IFERROR(__xludf.DUMMYFUNCTION("IMPORTRANGE(""https://docs.google.com/spreadsheets/d/""&amp;$A558&amp;""/edit#gid=156619080"",O$3)"),"468400株")</f>
        <v>468400株</v>
      </c>
      <c r="P558" s="16" t="str">
        <f>IFERROR(__xludf.DUMMYFUNCTION("IMPORTRANGE(""https://docs.google.com/spreadsheets/d/""&amp;$A558&amp;""/edit#gid=156619080"",P$3)"),"1562百万円")</f>
        <v>1562百万円</v>
      </c>
      <c r="Q558" s="16" t="str">
        <f>IFERROR(__xludf.DUMMYFUNCTION("IMPORTRANGE(""https://docs.google.com/spreadsheets/d/""&amp;$A558&amp;""/edit#gid=156619080"",Q$3)"),"1236回")</f>
        <v>1236回</v>
      </c>
      <c r="R558" s="16" t="str">
        <f>IFERROR(__xludf.DUMMYFUNCTION("IMPORTRANGE(""https://docs.google.com/spreadsheets/d/""&amp;$A558&amp;""/edit#gid=156619080"",R$3)"),"1470億円")</f>
        <v>1470億円</v>
      </c>
      <c r="S558" s="16" t="str">
        <f>IFERROR(__xludf.DUMMYFUNCTION("IMPORTRANGE(""https://docs.google.com/spreadsheets/d/""&amp;$A558&amp;""/edit#gid=156619080"",S$3)"),"陽線")</f>
        <v>陽線</v>
      </c>
      <c r="T558" s="16" t="str">
        <f>IFERROR(__xludf.DUMMYFUNCTION("IMPORTRANGE(""https://docs.google.com/spreadsheets/d/""&amp;$A558&amp;""/edit#gid=156619080"",T$3)"),"")</f>
        <v/>
      </c>
      <c r="U558" s="16">
        <f>IFERROR(__xludf.DUMMYFUNCTION("IMPORTRANGE(""https://docs.google.com/spreadsheets/d/""&amp;$A558&amp;""/edit#gid=156619080"",U$3)"),3289.0)</f>
        <v>3289</v>
      </c>
      <c r="V558" s="16">
        <f>IFERROR(__xludf.DUMMYFUNCTION("IMPORTRANGE(""https://docs.google.com/spreadsheets/d/""&amp;$A558&amp;""/edit#gid=156619080"",V$3)"),3132.2)</f>
        <v>3132.2</v>
      </c>
      <c r="W558" s="16">
        <f>IFERROR(__xludf.DUMMYFUNCTION("IMPORTRANGE(""https://docs.google.com/spreadsheets/d/""&amp;$A558&amp;""/edit#gid=156619080"",W$3)"),3116.4)</f>
        <v>3116.4</v>
      </c>
      <c r="X558" s="2" t="str">
        <f>IFERROR(__xludf.DUMMYFUNCTION("IMPORTRANGE(""https://docs.google.com/spreadsheets/d/""&amp;$A558&amp;""/edit#gid=156619080"",X$3)"),"")</f>
        <v/>
      </c>
      <c r="Y558" s="17">
        <f>IFERROR(__xludf.DUMMYFUNCTION("IMPORTRANGE(""https://docs.google.com/spreadsheets/d/""&amp;$A558&amp;""/edit#gid=156619080"",Y$3)"),0.007905138339920948)</f>
        <v>0.00790513834</v>
      </c>
      <c r="Z558" s="2">
        <f>IFERROR(__xludf.DUMMYFUNCTION("IMPORTRANGE(""https://docs.google.com/spreadsheets/d/""&amp;$A558&amp;""/edit#gid=156619080"",Z$3)"),3444.47)</f>
        <v>3444.47</v>
      </c>
      <c r="AA558" s="2">
        <f>IFERROR(__xludf.DUMMYFUNCTION("IMPORTRANGE(""https://docs.google.com/spreadsheets/d/""&amp;$A558&amp;""/edit#gid=156619080"",AA$3)"),3403.46)</f>
        <v>3403.46</v>
      </c>
      <c r="AB558" s="2">
        <f>IFERROR(__xludf.DUMMYFUNCTION("IMPORTRANGE(""https://docs.google.com/spreadsheets/d/""&amp;$A558&amp;""/edit#gid=156619080"",AB$3)"),3362.45)</f>
        <v>3362.45</v>
      </c>
      <c r="AC558" s="18">
        <f>IFERROR(__xludf.DUMMYFUNCTION("IMPORTRANGE(""https://docs.google.com/spreadsheets/d/""&amp;$A558&amp;""/edit#gid=156619080"",AC$3)"),3321.44)</f>
        <v>3321.44</v>
      </c>
      <c r="AD558" s="18">
        <f>IFERROR(__xludf.DUMMYFUNCTION("IMPORTRANGE(""https://docs.google.com/spreadsheets/d/""&amp;$A558&amp;""/edit#gid=156619080"",AD$3)"),3280.44)</f>
        <v>3280.44</v>
      </c>
      <c r="AE558" s="18">
        <f>IFERROR(__xludf.DUMMYFUNCTION("IMPORTRANGE(""https://docs.google.com/spreadsheets/d/""&amp;$A558&amp;""/edit#gid=156619080"",AE$3)"),3116.4)</f>
        <v>3116.4</v>
      </c>
      <c r="AF558" s="2">
        <f>IFERROR(__xludf.DUMMYFUNCTION("IMPORTRANGE(""https://docs.google.com/spreadsheets/d/""&amp;$A558&amp;""/edit#gid=156619080"",AF$3)"),2952.36)</f>
        <v>2952.36</v>
      </c>
      <c r="AG558" s="2">
        <f>IFERROR(__xludf.DUMMYFUNCTION("IMPORTRANGE(""https://docs.google.com/spreadsheets/d/""&amp;$A558&amp;""/edit#gid=156619080"",AG$3)"),2911.36)</f>
        <v>2911.36</v>
      </c>
      <c r="AH558" s="2">
        <f>IFERROR(__xludf.DUMMYFUNCTION("IMPORTRANGE(""https://docs.google.com/spreadsheets/d/""&amp;$A558&amp;""/edit#gid=156619080"",AH$3)"),2870.35)</f>
        <v>2870.35</v>
      </c>
      <c r="AI558" s="2">
        <f>IFERROR(__xludf.DUMMYFUNCTION("IMPORTRANGE(""https://docs.google.com/spreadsheets/d/""&amp;$A558&amp;""/edit#gid=156619080"",AI$3)"),2829.34)</f>
        <v>2829.34</v>
      </c>
      <c r="AJ558" s="2">
        <f>IFERROR(__xludf.DUMMYFUNCTION("IMPORTRANGE(""https://docs.google.com/spreadsheets/d/""&amp;$A558&amp;""/edit#gid=156619080"",AJ$3)"),2788.33)</f>
        <v>2788.33</v>
      </c>
      <c r="AK558" s="2" t="str">
        <f>IFERROR(__xludf.DUMMYFUNCTION("IMPORTRANGE(""https://docs.google.com/spreadsheets/d/""&amp;$A558&amp;""/edit#gid=156619080"",AK$3)"),"1〜1.25σ")</f>
        <v>1〜1.25σ</v>
      </c>
      <c r="AL558" s="2">
        <f>IFERROR(__xludf.DUMMYFUNCTION("IMPORTRANGE(""https://docs.google.com/spreadsheets/d/""&amp;$A558&amp;""/edit#gid=156619080"",AL$3)"),1.0)</f>
        <v>1</v>
      </c>
      <c r="AM558" s="2" t="str">
        <f>IFERROR(__xludf.DUMMYFUNCTION("IMPORTRANGE(""https://docs.google.com/spreadsheets/d/""&amp;$A558&amp;""/edit#gid=156619080"",AM$3)"),"")</f>
        <v/>
      </c>
      <c r="AN558" s="2">
        <f>IFERROR(__xludf.DUMMYFUNCTION("IMPORTRANGE(""https://docs.google.com/spreadsheets/d/""&amp;$A558&amp;""/edit#gid=156619080"",AN$3)"),1.0)</f>
        <v>1</v>
      </c>
      <c r="AO558" s="2" t="str">
        <f>IFERROR(__xludf.DUMMYFUNCTION("IMPORTRANGE(""https://docs.google.com/spreadsheets/d/""&amp;$A558&amp;""/edit#gid=156619080"",AO$3)"),"")</f>
        <v/>
      </c>
      <c r="AP558" s="2">
        <f>IFERROR(__xludf.DUMMYFUNCTION("IMPORTRANGE(""https://docs.google.com/spreadsheets/d/""&amp;$A558&amp;""/edit#gid=156619080"",AP$3)"),1.0)</f>
        <v>1</v>
      </c>
      <c r="AQ558" s="2" t="str">
        <f>IFERROR(__xludf.DUMMYFUNCTION("IMPORTRANGE(""https://docs.google.com/spreadsheets/d/""&amp;$A558&amp;""/edit#gid=156619080"",AQ$3)"),"ws3")</f>
        <v>ws3</v>
      </c>
      <c r="AR558" s="18">
        <f>IFERROR(__xludf.DUMMYFUNCTION("IMPORTRANGE(""https://docs.google.com/spreadsheets/d/""&amp;$A558&amp;""/edit#gid=156619080"",AR$3)"),-10.000000000000009)</f>
        <v>-10</v>
      </c>
      <c r="AS558" s="19" t="str">
        <f>IFERROR(__xludf.DUMMYFUNCTION("IMPORTRANGE(""https://docs.google.com/spreadsheets/d/""&amp;$A558&amp;""/edit#gid=156619080"",AS$3)"),"80
50
10
-70
")</f>
        <v>80
50
10
-70
</v>
      </c>
      <c r="AT558" s="18">
        <f>IFERROR(__xludf.DUMMYFUNCTION("IMPORTRANGE(""https://docs.google.com/spreadsheets/d/""&amp;$A558&amp;""/edit#gid=156619080"",AT$3)"),83.37912087912088)</f>
        <v>83.37912088</v>
      </c>
      <c r="AU558" s="3" t="str">
        <f>IFERROR(__xludf.DUMMYFUNCTION("IMPORTRANGE(""https://docs.google.com/spreadsheets/d/""&amp;$A558&amp;""/edit#gid=156619080"",AU$3)"),"58.1
86.68
89.42
88.32
")</f>
        <v>58.1
86.68
89.42
88.32
</v>
      </c>
      <c r="AV558" s="18">
        <f>IFERROR(__xludf.DUMMYFUNCTION("IMPORTRANGE(""https://docs.google.com/spreadsheets/d/""&amp;$A558&amp;""/edit#gid=156619080"",AV$3)"),31.266233766233764)</f>
        <v>31.26623377</v>
      </c>
      <c r="AW558" s="19" t="str">
        <f>IFERROR(__xludf.DUMMYFUNCTION("IMPORTRANGE(""https://docs.google.com/spreadsheets/d/""&amp;$A558&amp;""/edit#gid=156619080"",AW$3)"),"-30.71
-15.91
-2.5
7.76
")</f>
        <v>-30.71
-15.91
-2.5
7.76
</v>
      </c>
      <c r="AX558" s="2">
        <f>IFERROR(__xludf.DUMMYFUNCTION("IMPORTRANGE(""https://docs.google.com/spreadsheets/d/""&amp;$A558&amp;""/edit#gid=156619080"",AX$3)"),36.84)</f>
        <v>36.84</v>
      </c>
      <c r="AY558" s="2">
        <f>IFERROR(__xludf.DUMMYFUNCTION("IMPORTRANGE(""https://docs.google.com/spreadsheets/d/""&amp;$A558&amp;""/edit#gid=156619080"",AY$3)"),43.24)</f>
        <v>43.24</v>
      </c>
      <c r="AZ558" s="2">
        <f>IFERROR(__xludf.DUMMYFUNCTION("IMPORTRANGE(""https://docs.google.com/spreadsheets/d/""&amp;$A558&amp;""/edit#gid=156619080"",AZ$3)"),3268.29)</f>
        <v>3268.29</v>
      </c>
      <c r="BA558" s="2">
        <f>IFERROR(__xludf.DUMMYFUNCTION("IMPORTRANGE(""https://docs.google.com/spreadsheets/d/""&amp;$A558&amp;""/edit#gid=156619080"",BA$3)"),114.38999999999987)</f>
        <v>114.39</v>
      </c>
      <c r="BB558" s="2">
        <f>IFERROR(__xludf.DUMMYFUNCTION("IMPORTRANGE(""https://docs.google.com/spreadsheets/d/""&amp;$A558&amp;""/edit#gid=156619080"",BB$3)"),57.93)</f>
        <v>57.93</v>
      </c>
      <c r="BC558" s="2" t="str">
        <f>IFERROR(__xludf.DUMMYFUNCTION("IMPORTRANGE(""https://docs.google.com/spreadsheets/d/""&amp;$A558&amp;""/edit#gid=156619080"",BC$3)"),"GC→GC")</f>
        <v>GC→GC</v>
      </c>
    </row>
    <row r="559" ht="51.0" customHeight="1">
      <c r="A559" s="7" t="str">
        <f t="shared" si="5"/>
        <v>1tJA7K12TbuRFVbzqNnmV7-ZmVcv63pa10VHVFBMjLdI</v>
      </c>
      <c r="B559" s="1" t="s">
        <v>586</v>
      </c>
      <c r="C559" s="2">
        <f>IFERROR(__xludf.DUMMYFUNCTION("IMPORTRANGE(""https://docs.google.com/spreadsheets/d/""&amp;$A559&amp;""/edit#gid=156619080"",C$3)"),45.0)</f>
        <v>45</v>
      </c>
      <c r="D559" s="2">
        <f>IFERROR(__xludf.DUMMYFUNCTION("IMPORTRANGE(""https://docs.google.com/spreadsheets/d/""&amp;$A559&amp;""/edit#gid=156619080"",D$3)"),6327.0)</f>
        <v>6327</v>
      </c>
      <c r="E559" s="15">
        <f>IFERROR(__xludf.DUMMYFUNCTION("IMPORTRANGE(""https://docs.google.com/spreadsheets/d/""&amp;$A559&amp;""/edit#gid=156619080"",E$3)"),43882.0)</f>
        <v>43882</v>
      </c>
      <c r="F559" s="2">
        <f>IFERROR(__xludf.DUMMYFUNCTION("IMPORTRANGE(""https://docs.google.com/spreadsheets/d/""&amp;$A559&amp;""/edit#gid=156619080"",F$3)"),8.0)</f>
        <v>8</v>
      </c>
      <c r="G559" s="16">
        <f>IFERROR(__xludf.DUMMYFUNCTION("IMPORTRANGE(""https://docs.google.com/spreadsheets/d/""&amp;$A559&amp;""/edit#gid=156619080"",G$3)"),1.86)</f>
        <v>1.86</v>
      </c>
      <c r="H559" s="16">
        <f>IFERROR(__xludf.DUMMYFUNCTION("IMPORTRANGE(""https://docs.google.com/spreadsheets/d/""&amp;$A559&amp;""/edit#gid=156619080"",H$3)"),428.0)</f>
        <v>428</v>
      </c>
      <c r="I559" s="16">
        <f>IFERROR(__xludf.DUMMYFUNCTION("IMPORTRANGE(""https://docs.google.com/spreadsheets/d/""&amp;$A559&amp;""/edit#gid=156619080"",I$3)"),1.0)</f>
        <v>1</v>
      </c>
      <c r="J559" s="16">
        <f>IFERROR(__xludf.DUMMYFUNCTION("IMPORTRANGE(""https://docs.google.com/spreadsheets/d/""&amp;$A559&amp;""/edit#gid=156619080"",J$3)"),443.0)</f>
        <v>443</v>
      </c>
      <c r="K559" s="16">
        <f>IFERROR(__xludf.DUMMYFUNCTION("IMPORTRANGE(""https://docs.google.com/spreadsheets/d/""&amp;$A559&amp;""/edit#gid=156619080"",K$3)"),0.39166666666666666)</f>
        <v>0.3916666667</v>
      </c>
      <c r="L559" s="16">
        <f>IFERROR(__xludf.DUMMYFUNCTION("IMPORTRANGE(""https://docs.google.com/spreadsheets/d/""&amp;$A559&amp;""/edit#gid=156619080"",L$3)"),428.0)</f>
        <v>428</v>
      </c>
      <c r="M559" s="16">
        <f>IFERROR(__xludf.DUMMYFUNCTION("IMPORTRANGE(""https://docs.google.com/spreadsheets/d/""&amp;$A559&amp;""/edit#gid=156619080"",M$3)"),0.375)</f>
        <v>0.375</v>
      </c>
      <c r="N559" s="16">
        <f>IFERROR(__xludf.DUMMYFUNCTION("IMPORTRANGE(""https://docs.google.com/spreadsheets/d/""&amp;$A559&amp;""/edit#gid=156619080"",N$3)"),437.0)</f>
        <v>437</v>
      </c>
      <c r="O559" s="16" t="str">
        <f>IFERROR(__xludf.DUMMYFUNCTION("IMPORTRANGE(""https://docs.google.com/spreadsheets/d/""&amp;$A559&amp;""/edit#gid=156619080"",O$3)"),"57200株")</f>
        <v>57200株</v>
      </c>
      <c r="P559" s="16" t="str">
        <f>IFERROR(__xludf.DUMMYFUNCTION("IMPORTRANGE(""https://docs.google.com/spreadsheets/d/""&amp;$A559&amp;""/edit#gid=156619080"",P$3)"),"25百万円")</f>
        <v>25百万円</v>
      </c>
      <c r="Q559" s="16" t="str">
        <f>IFERROR(__xludf.DUMMYFUNCTION("IMPORTRANGE(""https://docs.google.com/spreadsheets/d/""&amp;$A559&amp;""/edit#gid=156619080"",Q$3)"),"158回")</f>
        <v>158回</v>
      </c>
      <c r="R559" s="16" t="str">
        <f>IFERROR(__xludf.DUMMYFUNCTION("IMPORTRANGE(""https://docs.google.com/spreadsheets/d/""&amp;$A559&amp;""/edit#gid=156619080"",R$3)"),"33.4億円")</f>
        <v>33.4億円</v>
      </c>
      <c r="S559" s="16" t="str">
        <f>IFERROR(__xludf.DUMMYFUNCTION("IMPORTRANGE(""https://docs.google.com/spreadsheets/d/""&amp;$A559&amp;""/edit#gid=156619080"",S$3)"),"陽線")</f>
        <v>陽線</v>
      </c>
      <c r="T559" s="16" t="str">
        <f>IFERROR(__xludf.DUMMYFUNCTION("IMPORTRANGE(""https://docs.google.com/spreadsheets/d/""&amp;$A559&amp;""/edit#gid=156619080"",T$3)"),"")</f>
        <v/>
      </c>
      <c r="U559" s="16">
        <f>IFERROR(__xludf.DUMMYFUNCTION("IMPORTRANGE(""https://docs.google.com/spreadsheets/d/""&amp;$A559&amp;""/edit#gid=156619080"",U$3)"),416.0)</f>
        <v>416</v>
      </c>
      <c r="V559" s="16">
        <f>IFERROR(__xludf.DUMMYFUNCTION("IMPORTRANGE(""https://docs.google.com/spreadsheets/d/""&amp;$A559&amp;""/edit#gid=156619080"",V$3)"),432.1)</f>
        <v>432.1</v>
      </c>
      <c r="W559" s="16">
        <f>IFERROR(__xludf.DUMMYFUNCTION("IMPORTRANGE(""https://docs.google.com/spreadsheets/d/""&amp;$A559&amp;""/edit#gid=156619080"",W$3)"),446.1)</f>
        <v>446.1</v>
      </c>
      <c r="X559" s="2" t="str">
        <f>IFERROR(__xludf.DUMMYFUNCTION("IMPORTRANGE(""https://docs.google.com/spreadsheets/d/""&amp;$A559&amp;""/edit#gid=156619080"",X$3)"),"")</f>
        <v/>
      </c>
      <c r="Y559" s="17">
        <f>IFERROR(__xludf.DUMMYFUNCTION("IMPORTRANGE(""https://docs.google.com/spreadsheets/d/""&amp;$A559&amp;""/edit#gid=156619080"",Y$3)"),0.05048076923076923)</f>
        <v>0.05048076923</v>
      </c>
      <c r="Z559" s="2">
        <f>IFERROR(__xludf.DUMMYFUNCTION("IMPORTRANGE(""https://docs.google.com/spreadsheets/d/""&amp;$A559&amp;""/edit#gid=156619080"",Z$3)"),501.5)</f>
        <v>501.5</v>
      </c>
      <c r="AA559" s="2">
        <f>IFERROR(__xludf.DUMMYFUNCTION("IMPORTRANGE(""https://docs.google.com/spreadsheets/d/""&amp;$A559&amp;""/edit#gid=156619080"",AA$3)"),494.58)</f>
        <v>494.58</v>
      </c>
      <c r="AB559" s="2">
        <f>IFERROR(__xludf.DUMMYFUNCTION("IMPORTRANGE(""https://docs.google.com/spreadsheets/d/""&amp;$A559&amp;""/edit#gid=156619080"",AB$3)"),487.65)</f>
        <v>487.65</v>
      </c>
      <c r="AC559" s="18">
        <f>IFERROR(__xludf.DUMMYFUNCTION("IMPORTRANGE(""https://docs.google.com/spreadsheets/d/""&amp;$A559&amp;""/edit#gid=156619080"",AC$3)"),480.73)</f>
        <v>480.73</v>
      </c>
      <c r="AD559" s="18">
        <f>IFERROR(__xludf.DUMMYFUNCTION("IMPORTRANGE(""https://docs.google.com/spreadsheets/d/""&amp;$A559&amp;""/edit#gid=156619080"",AD$3)"),473.8)</f>
        <v>473.8</v>
      </c>
      <c r="AE559" s="18">
        <f>IFERROR(__xludf.DUMMYFUNCTION("IMPORTRANGE(""https://docs.google.com/spreadsheets/d/""&amp;$A559&amp;""/edit#gid=156619080"",AE$3)"),446.1)</f>
        <v>446.1</v>
      </c>
      <c r="AF559" s="2">
        <f>IFERROR(__xludf.DUMMYFUNCTION("IMPORTRANGE(""https://docs.google.com/spreadsheets/d/""&amp;$A559&amp;""/edit#gid=156619080"",AF$3)"),418.4)</f>
        <v>418.4</v>
      </c>
      <c r="AG559" s="2">
        <f>IFERROR(__xludf.DUMMYFUNCTION("IMPORTRANGE(""https://docs.google.com/spreadsheets/d/""&amp;$A559&amp;""/edit#gid=156619080"",AG$3)"),411.47)</f>
        <v>411.47</v>
      </c>
      <c r="AH559" s="2">
        <f>IFERROR(__xludf.DUMMYFUNCTION("IMPORTRANGE(""https://docs.google.com/spreadsheets/d/""&amp;$A559&amp;""/edit#gid=156619080"",AH$3)"),404.55)</f>
        <v>404.55</v>
      </c>
      <c r="AI559" s="2">
        <f>IFERROR(__xludf.DUMMYFUNCTION("IMPORTRANGE(""https://docs.google.com/spreadsheets/d/""&amp;$A559&amp;""/edit#gid=156619080"",AI$3)"),397.62)</f>
        <v>397.62</v>
      </c>
      <c r="AJ559" s="2">
        <f>IFERROR(__xludf.DUMMYFUNCTION("IMPORTRANGE(""https://docs.google.com/spreadsheets/d/""&amp;$A559&amp;""/edit#gid=156619080"",AJ$3)"),390.7)</f>
        <v>390.7</v>
      </c>
      <c r="AK559" s="2" t="str">
        <f>IFERROR(__xludf.DUMMYFUNCTION("IMPORTRANGE(""https://docs.google.com/spreadsheets/d/""&amp;$A559&amp;""/edit#gid=156619080"",AK$3)"),"")</f>
        <v/>
      </c>
      <c r="AL559" s="2">
        <f>IFERROR(__xludf.DUMMYFUNCTION("IMPORTRANGE(""https://docs.google.com/spreadsheets/d/""&amp;$A559&amp;""/edit#gid=156619080"",AL$3)"),-1.0)</f>
        <v>-1</v>
      </c>
      <c r="AM559" s="2" t="str">
        <f>IFERROR(__xludf.DUMMYFUNCTION("IMPORTRANGE(""https://docs.google.com/spreadsheets/d/""&amp;$A559&amp;""/edit#gid=156619080"",AM$3)"),"")</f>
        <v/>
      </c>
      <c r="AN559" s="2">
        <f>IFERROR(__xludf.DUMMYFUNCTION("IMPORTRANGE(""https://docs.google.com/spreadsheets/d/""&amp;$A559&amp;""/edit#gid=156619080"",AN$3)"),-1.0)</f>
        <v>-1</v>
      </c>
      <c r="AO559" s="2" t="str">
        <f>IFERROR(__xludf.DUMMYFUNCTION("IMPORTRANGE(""https://docs.google.com/spreadsheets/d/""&amp;$A559&amp;""/edit#gid=156619080"",AO$3)"),"")</f>
        <v/>
      </c>
      <c r="AP559" s="2">
        <f>IFERROR(__xludf.DUMMYFUNCTION("IMPORTRANGE(""https://docs.google.com/spreadsheets/d/""&amp;$A559&amp;""/edit#gid=156619080"",AP$3)"),-1.0)</f>
        <v>-1</v>
      </c>
      <c r="AQ559" s="2" t="str">
        <f>IFERROR(__xludf.DUMMYFUNCTION("IMPORTRANGE(""https://docs.google.com/spreadsheets/d/""&amp;$A559&amp;""/edit#gid=156619080"",AQ$3)"),"")</f>
        <v/>
      </c>
      <c r="AR559" s="18">
        <f>IFERROR(__xludf.DUMMYFUNCTION("IMPORTRANGE(""https://docs.google.com/spreadsheets/d/""&amp;$A559&amp;""/edit#gid=156619080"",AR$3)"),90.0)</f>
        <v>90</v>
      </c>
      <c r="AS559" s="19" t="str">
        <f>IFERROR(__xludf.DUMMYFUNCTION("IMPORTRANGE(""https://docs.google.com/spreadsheets/d/""&amp;$A559&amp;""/edit#gid=156619080"",AS$3)"),"-40
-100
-70
30
")</f>
        <v>-40
-100
-70
30
</v>
      </c>
      <c r="AT559" s="18">
        <f>IFERROR(__xludf.DUMMYFUNCTION("IMPORTRANGE(""https://docs.google.com/spreadsheets/d/""&amp;$A559&amp;""/edit#gid=156619080"",AT$3)"),-63.873626373626365)</f>
        <v>-63.87362637</v>
      </c>
      <c r="AU559" s="3" t="str">
        <f>IFERROR(__xludf.DUMMYFUNCTION("IMPORTRANGE(""https://docs.google.com/spreadsheets/d/""&amp;$A559&amp;""/edit#gid=156619080"",AU$3)"),"-65.25
-68.54
-78.43
-76.37
")</f>
        <v>-65.25
-68.54
-78.43
-76.37
</v>
      </c>
      <c r="AV559" s="18">
        <f>IFERROR(__xludf.DUMMYFUNCTION("IMPORTRANGE(""https://docs.google.com/spreadsheets/d/""&amp;$A559&amp;""/edit#gid=156619080"",AV$3)"),-84.80519480519479)</f>
        <v>-84.80519481</v>
      </c>
      <c r="AW559" s="19" t="str">
        <f>IFERROR(__xludf.DUMMYFUNCTION("IMPORTRANGE(""https://docs.google.com/spreadsheets/d/""&amp;$A559&amp;""/edit#gid=156619080"",AW$3)"),"-90.91
-91.3
-90.91
-88.7
")</f>
        <v>-90.91
-91.3
-90.91
-88.7
</v>
      </c>
      <c r="AX559" s="2">
        <f>IFERROR(__xludf.DUMMYFUNCTION("IMPORTRANGE(""https://docs.google.com/spreadsheets/d/""&amp;$A559&amp;""/edit#gid=156619080"",AX$3)"),57.35)</f>
        <v>57.35</v>
      </c>
      <c r="AY559" s="2">
        <f>IFERROR(__xludf.DUMMYFUNCTION("IMPORTRANGE(""https://docs.google.com/spreadsheets/d/""&amp;$A559&amp;""/edit#gid=156619080"",AY$3)"),38.25)</f>
        <v>38.25</v>
      </c>
      <c r="AZ559" s="2">
        <f>IFERROR(__xludf.DUMMYFUNCTION("IMPORTRANGE(""https://docs.google.com/spreadsheets/d/""&amp;$A559&amp;""/edit#gid=156619080"",AZ$3)"),424.94)</f>
        <v>424.94</v>
      </c>
      <c r="BA559" s="2">
        <f>IFERROR(__xludf.DUMMYFUNCTION("IMPORTRANGE(""https://docs.google.com/spreadsheets/d/""&amp;$A559&amp;""/edit#gid=156619080"",BA$3)"),-16.810000000000002)</f>
        <v>-16.81</v>
      </c>
      <c r="BB559" s="2">
        <f>IFERROR(__xludf.DUMMYFUNCTION("IMPORTRANGE(""https://docs.google.com/spreadsheets/d/""&amp;$A559&amp;""/edit#gid=156619080"",BB$3)"),-18.5)</f>
        <v>-18.5</v>
      </c>
      <c r="BC559" s="2" t="str">
        <f>IFERROR(__xludf.DUMMYFUNCTION("IMPORTRANGE(""https://docs.google.com/spreadsheets/d/""&amp;$A559&amp;""/edit#gid=156619080"",BC$3)"),"DC→GC")</f>
        <v>DC→GC</v>
      </c>
    </row>
    <row r="560" ht="51.0" customHeight="1">
      <c r="A560" s="7" t="str">
        <f t="shared" si="5"/>
        <v>1UK1O0nbNC4j0WGPa-A8iFZkCxjrwMZ0f2DqDxgkZHs0</v>
      </c>
      <c r="B560" s="1" t="s">
        <v>587</v>
      </c>
      <c r="C560" s="2">
        <f>IFERROR(__xludf.DUMMYFUNCTION("IMPORTRANGE(""https://docs.google.com/spreadsheets/d/""&amp;$A560&amp;""/edit#gid=156619080"",C$3)"),45.0)</f>
        <v>45</v>
      </c>
      <c r="D560" s="2">
        <f>IFERROR(__xludf.DUMMYFUNCTION("IMPORTRANGE(""https://docs.google.com/spreadsheets/d/""&amp;$A560&amp;""/edit#gid=156619080"",D$3)"),6640.0)</f>
        <v>6640</v>
      </c>
      <c r="E560" s="15">
        <f>IFERROR(__xludf.DUMMYFUNCTION("IMPORTRANGE(""https://docs.google.com/spreadsheets/d/""&amp;$A560&amp;""/edit#gid=156619080"",E$3)"),43882.0)</f>
        <v>43882</v>
      </c>
      <c r="F560" s="2">
        <f>IFERROR(__xludf.DUMMYFUNCTION("IMPORTRANGE(""https://docs.google.com/spreadsheets/d/""&amp;$A560&amp;""/edit#gid=156619080"",F$3)"),-46.0)</f>
        <v>-46</v>
      </c>
      <c r="G560" s="16">
        <f>IFERROR(__xludf.DUMMYFUNCTION("IMPORTRANGE(""https://docs.google.com/spreadsheets/d/""&amp;$A560&amp;""/edit#gid=156619080"",G$3)"),-1.89)</f>
        <v>-1.89</v>
      </c>
      <c r="H560" s="16">
        <f>IFERROR(__xludf.DUMMYFUNCTION("IMPORTRANGE(""https://docs.google.com/spreadsheets/d/""&amp;$A560&amp;""/edit#gid=156619080"",H$3)"),2465.0)</f>
        <v>2465</v>
      </c>
      <c r="I560" s="16">
        <f>IFERROR(__xludf.DUMMYFUNCTION("IMPORTRANGE(""https://docs.google.com/spreadsheets/d/""&amp;$A560&amp;""/edit#gid=156619080"",I$3)"),-30.0)</f>
        <v>-30</v>
      </c>
      <c r="J560" s="16">
        <f>IFERROR(__xludf.DUMMYFUNCTION("IMPORTRANGE(""https://docs.google.com/spreadsheets/d/""&amp;$A560&amp;""/edit#gid=156619080"",J$3)"),2478.0)</f>
        <v>2478</v>
      </c>
      <c r="K560" s="16">
        <f>IFERROR(__xludf.DUMMYFUNCTION("IMPORTRANGE(""https://docs.google.com/spreadsheets/d/""&amp;$A560&amp;""/edit#gid=156619080"",K$3)"),0.38333333333333336)</f>
        <v>0.3833333333</v>
      </c>
      <c r="L560" s="16">
        <f>IFERROR(__xludf.DUMMYFUNCTION("IMPORTRANGE(""https://docs.google.com/spreadsheets/d/""&amp;$A560&amp;""/edit#gid=156619080"",L$3)"),2380.0)</f>
        <v>2380</v>
      </c>
      <c r="M560" s="16">
        <f>IFERROR(__xludf.DUMMYFUNCTION("IMPORTRANGE(""https://docs.google.com/spreadsheets/d/""&amp;$A560&amp;""/edit#gid=156619080"",M$3)"),0.6236111111111111)</f>
        <v>0.6236111111</v>
      </c>
      <c r="N560" s="16">
        <f>IFERROR(__xludf.DUMMYFUNCTION("IMPORTRANGE(""https://docs.google.com/spreadsheets/d/""&amp;$A560&amp;""/edit#gid=156619080"",N$3)"),2389.0)</f>
        <v>2389</v>
      </c>
      <c r="O560" s="16" t="str">
        <f>IFERROR(__xludf.DUMMYFUNCTION("IMPORTRANGE(""https://docs.google.com/spreadsheets/d/""&amp;$A560&amp;""/edit#gid=156619080"",O$3)"),"229500株")</f>
        <v>229500株</v>
      </c>
      <c r="P560" s="16" t="str">
        <f>IFERROR(__xludf.DUMMYFUNCTION("IMPORTRANGE(""https://docs.google.com/spreadsheets/d/""&amp;$A560&amp;""/edit#gid=156619080"",P$3)"),"556百万円")</f>
        <v>556百万円</v>
      </c>
      <c r="Q560" s="16" t="str">
        <f>IFERROR(__xludf.DUMMYFUNCTION("IMPORTRANGE(""https://docs.google.com/spreadsheets/d/""&amp;$A560&amp;""/edit#gid=156619080"",Q$3)"),"1131回")</f>
        <v>1131回</v>
      </c>
      <c r="R560" s="16" t="str">
        <f>IFERROR(__xludf.DUMMYFUNCTION("IMPORTRANGE(""https://docs.google.com/spreadsheets/d/""&amp;$A560&amp;""/edit#gid=156619080"",R$3)"),"447億円")</f>
        <v>447億円</v>
      </c>
      <c r="S560" s="16" t="str">
        <f>IFERROR(__xludf.DUMMYFUNCTION("IMPORTRANGE(""https://docs.google.com/spreadsheets/d/""&amp;$A560&amp;""/edit#gid=156619080"",S$3)"),"陰線")</f>
        <v>陰線</v>
      </c>
      <c r="T560" s="16" t="str">
        <f>IFERROR(__xludf.DUMMYFUNCTION("IMPORTRANGE(""https://docs.google.com/spreadsheets/d/""&amp;$A560&amp;""/edit#gid=156619080"",T$3)"),"")</f>
        <v/>
      </c>
      <c r="U560" s="16">
        <f>IFERROR(__xludf.DUMMYFUNCTION("IMPORTRANGE(""https://docs.google.com/spreadsheets/d/""&amp;$A560&amp;""/edit#gid=156619080"",U$3)"),2467.4)</f>
        <v>2467.4</v>
      </c>
      <c r="V560" s="16">
        <f>IFERROR(__xludf.DUMMYFUNCTION("IMPORTRANGE(""https://docs.google.com/spreadsheets/d/""&amp;$A560&amp;""/edit#gid=156619080"",V$3)"),2504.6)</f>
        <v>2504.6</v>
      </c>
      <c r="W560" s="16">
        <f>IFERROR(__xludf.DUMMYFUNCTION("IMPORTRANGE(""https://docs.google.com/spreadsheets/d/""&amp;$A560&amp;""/edit#gid=156619080"",W$3)"),2474.5)</f>
        <v>2474.5</v>
      </c>
      <c r="X560" s="2" t="str">
        <f>IFERROR(__xludf.DUMMYFUNCTION("IMPORTRANGE(""https://docs.google.com/spreadsheets/d/""&amp;$A560&amp;""/edit#gid=156619080"",X$3)"),"")</f>
        <v/>
      </c>
      <c r="Y560" s="17">
        <f>IFERROR(__xludf.DUMMYFUNCTION("IMPORTRANGE(""https://docs.google.com/spreadsheets/d/""&amp;$A560&amp;""/edit#gid=156619080"",Y$3)"),-0.031774337359163525)</f>
        <v>-0.03177433736</v>
      </c>
      <c r="Z560" s="2">
        <f>IFERROR(__xludf.DUMMYFUNCTION("IMPORTRANGE(""https://docs.google.com/spreadsheets/d/""&amp;$A560&amp;""/edit#gid=156619080"",Z$3)"),2636.61)</f>
        <v>2636.61</v>
      </c>
      <c r="AA560" s="2">
        <f>IFERROR(__xludf.DUMMYFUNCTION("IMPORTRANGE(""https://docs.google.com/spreadsheets/d/""&amp;$A560&amp;""/edit#gid=156619080"",AA$3)"),2616.35)</f>
        <v>2616.35</v>
      </c>
      <c r="AB560" s="2">
        <f>IFERROR(__xludf.DUMMYFUNCTION("IMPORTRANGE(""https://docs.google.com/spreadsheets/d/""&amp;$A560&amp;""/edit#gid=156619080"",AB$3)"),2596.08)</f>
        <v>2596.08</v>
      </c>
      <c r="AC560" s="18">
        <f>IFERROR(__xludf.DUMMYFUNCTION("IMPORTRANGE(""https://docs.google.com/spreadsheets/d/""&amp;$A560&amp;""/edit#gid=156619080"",AC$3)"),2575.82)</f>
        <v>2575.82</v>
      </c>
      <c r="AD560" s="18">
        <f>IFERROR(__xludf.DUMMYFUNCTION("IMPORTRANGE(""https://docs.google.com/spreadsheets/d/""&amp;$A560&amp;""/edit#gid=156619080"",AD$3)"),2555.56)</f>
        <v>2555.56</v>
      </c>
      <c r="AE560" s="18">
        <f>IFERROR(__xludf.DUMMYFUNCTION("IMPORTRANGE(""https://docs.google.com/spreadsheets/d/""&amp;$A560&amp;""/edit#gid=156619080"",AE$3)"),2474.5)</f>
        <v>2474.5</v>
      </c>
      <c r="AF560" s="2">
        <f>IFERROR(__xludf.DUMMYFUNCTION("IMPORTRANGE(""https://docs.google.com/spreadsheets/d/""&amp;$A560&amp;""/edit#gid=156619080"",AF$3)"),2393.44)</f>
        <v>2393.44</v>
      </c>
      <c r="AG560" s="2">
        <f>IFERROR(__xludf.DUMMYFUNCTION("IMPORTRANGE(""https://docs.google.com/spreadsheets/d/""&amp;$A560&amp;""/edit#gid=156619080"",AG$3)"),2373.18)</f>
        <v>2373.18</v>
      </c>
      <c r="AH560" s="2">
        <f>IFERROR(__xludf.DUMMYFUNCTION("IMPORTRANGE(""https://docs.google.com/spreadsheets/d/""&amp;$A560&amp;""/edit#gid=156619080"",AH$3)"),2352.92)</f>
        <v>2352.92</v>
      </c>
      <c r="AI560" s="2">
        <f>IFERROR(__xludf.DUMMYFUNCTION("IMPORTRANGE(""https://docs.google.com/spreadsheets/d/""&amp;$A560&amp;""/edit#gid=156619080"",AI$3)"),2332.65)</f>
        <v>2332.65</v>
      </c>
      <c r="AJ560" s="2">
        <f>IFERROR(__xludf.DUMMYFUNCTION("IMPORTRANGE(""https://docs.google.com/spreadsheets/d/""&amp;$A560&amp;""/edit#gid=156619080"",AJ$3)"),2312.39)</f>
        <v>2312.39</v>
      </c>
      <c r="AK560" s="2" t="str">
        <f>IFERROR(__xludf.DUMMYFUNCTION("IMPORTRANGE(""https://docs.google.com/spreadsheets/d/""&amp;$A560&amp;""/edit#gid=156619080"",AK$3)"),"-1〜-1.25σ")</f>
        <v>-1〜-1.25σ</v>
      </c>
      <c r="AL560" s="2">
        <f>IFERROR(__xludf.DUMMYFUNCTION("IMPORTRANGE(""https://docs.google.com/spreadsheets/d/""&amp;$A560&amp;""/edit#gid=156619080"",AL$3)"),-1.0)</f>
        <v>-1</v>
      </c>
      <c r="AM560" s="2" t="str">
        <f>IFERROR(__xludf.DUMMYFUNCTION("IMPORTRANGE(""https://docs.google.com/spreadsheets/d/""&amp;$A560&amp;""/edit#gid=156619080"",AM$3)"),"bs1")</f>
        <v>bs1</v>
      </c>
      <c r="AN560" s="2">
        <f>IFERROR(__xludf.DUMMYFUNCTION("IMPORTRANGE(""https://docs.google.com/spreadsheets/d/""&amp;$A560&amp;""/edit#gid=156619080"",AN$3)"),-1.0)</f>
        <v>-1</v>
      </c>
      <c r="AO560" s="2" t="str">
        <f>IFERROR(__xludf.DUMMYFUNCTION("IMPORTRANGE(""https://docs.google.com/spreadsheets/d/""&amp;$A560&amp;""/edit#gid=156619080"",AO$3)"),"bs2")</f>
        <v>bs2</v>
      </c>
      <c r="AP560" s="2">
        <f>IFERROR(__xludf.DUMMYFUNCTION("IMPORTRANGE(""https://docs.google.com/spreadsheets/d/""&amp;$A560&amp;""/edit#gid=156619080"",AP$3)"),1.0)</f>
        <v>1</v>
      </c>
      <c r="AQ560" s="2" t="str">
        <f>IFERROR(__xludf.DUMMYFUNCTION("IMPORTRANGE(""https://docs.google.com/spreadsheets/d/""&amp;$A560&amp;""/edit#gid=156619080"",AQ$3)"),"")</f>
        <v/>
      </c>
      <c r="AR560" s="18">
        <f>IFERROR(__xludf.DUMMYFUNCTION("IMPORTRANGE(""https://docs.google.com/spreadsheets/d/""&amp;$A560&amp;""/edit#gid=156619080"",AR$3)"),-100.0)</f>
        <v>-100</v>
      </c>
      <c r="AS560" s="19" t="str">
        <f>IFERROR(__xludf.DUMMYFUNCTION("IMPORTRANGE(""https://docs.google.com/spreadsheets/d/""&amp;$A560&amp;""/edit#gid=156619080"",AS$3)"),"10
-90
-100
-100
")</f>
        <v>10
-90
-100
-100
</v>
      </c>
      <c r="AT560" s="18">
        <f>IFERROR(__xludf.DUMMYFUNCTION("IMPORTRANGE(""https://docs.google.com/spreadsheets/d/""&amp;$A560&amp;""/edit#gid=156619080"",AT$3)"),-13.186813186813184)</f>
        <v>-13.18681319</v>
      </c>
      <c r="AU560" s="3" t="str">
        <f>IFERROR(__xludf.DUMMYFUNCTION("IMPORTRANGE(""https://docs.google.com/spreadsheets/d/""&amp;$A560&amp;""/edit#gid=156619080"",AU$3)"),"74.18
78.02
53.43
29.67
")</f>
        <v>74.18
78.02
53.43
29.67
</v>
      </c>
      <c r="AV560" s="18">
        <f>IFERROR(__xludf.DUMMYFUNCTION("IMPORTRANGE(""https://docs.google.com/spreadsheets/d/""&amp;$A560&amp;""/edit#gid=156619080"",AV$3)"),38.63636363636363)</f>
        <v>38.63636364</v>
      </c>
      <c r="AW560" s="19" t="str">
        <f>IFERROR(__xludf.DUMMYFUNCTION("IMPORTRANGE(""https://docs.google.com/spreadsheets/d/""&amp;$A560&amp;""/edit#gid=156619080"",AW$3)"),"39.12
52.11
58.12
53.7
")</f>
        <v>39.12
52.11
58.12
53.7
</v>
      </c>
      <c r="AX560" s="2">
        <f>IFERROR(__xludf.DUMMYFUNCTION("IMPORTRANGE(""https://docs.google.com/spreadsheets/d/""&amp;$A560&amp;""/edit#gid=156619080"",AX$3)"),0.0)</f>
        <v>0</v>
      </c>
      <c r="AY560" s="2">
        <f>IFERROR(__xludf.DUMMYFUNCTION("IMPORTRANGE(""https://docs.google.com/spreadsheets/d/""&amp;$A560&amp;""/edit#gid=156619080"",AY$3)"),47.97)</f>
        <v>47.97</v>
      </c>
      <c r="AZ560" s="2">
        <f>IFERROR(__xludf.DUMMYFUNCTION("IMPORTRANGE(""https://docs.google.com/spreadsheets/d/""&amp;$A560&amp;""/edit#gid=156619080"",AZ$3)"),2455.13)</f>
        <v>2455.13</v>
      </c>
      <c r="BA560" s="2">
        <f>IFERROR(__xludf.DUMMYFUNCTION("IMPORTRANGE(""https://docs.google.com/spreadsheets/d/""&amp;$A560&amp;""/edit#gid=156619080"",BA$3)"),-40.409999999999854)</f>
        <v>-40.41</v>
      </c>
      <c r="BB560" s="2">
        <f>IFERROR(__xludf.DUMMYFUNCTION("IMPORTRANGE(""https://docs.google.com/spreadsheets/d/""&amp;$A560&amp;""/edit#gid=156619080"",BB$3)"),-7.0)</f>
        <v>-7</v>
      </c>
      <c r="BC560" s="2" t="str">
        <f>IFERROR(__xludf.DUMMYFUNCTION("IMPORTRANGE(""https://docs.google.com/spreadsheets/d/""&amp;$A560&amp;""/edit#gid=156619080"",BC$3)"),"DC→DC")</f>
        <v>DC→DC</v>
      </c>
    </row>
    <row r="561" ht="51.0" customHeight="1">
      <c r="A561" s="7" t="str">
        <f t="shared" si="5"/>
        <v>1smtizfcQQ6Yvd8D2WWq5KkCQRo9bkg7y4zA1aNP53LE</v>
      </c>
      <c r="B561" s="1" t="s">
        <v>588</v>
      </c>
      <c r="C561" s="2">
        <f>IFERROR(__xludf.DUMMYFUNCTION("IMPORTRANGE(""https://docs.google.com/spreadsheets/d/""&amp;$A561&amp;""/edit#gid=156619080"",C$3)"),87.0)</f>
        <v>87</v>
      </c>
      <c r="D561" s="2">
        <f>IFERROR(__xludf.DUMMYFUNCTION("IMPORTRANGE(""https://docs.google.com/spreadsheets/d/""&amp;$A561&amp;""/edit#gid=156619080"",D$3)"),6666.0)</f>
        <v>6666</v>
      </c>
      <c r="E561" s="15">
        <f>IFERROR(__xludf.DUMMYFUNCTION("IMPORTRANGE(""https://docs.google.com/spreadsheets/d/""&amp;$A561&amp;""/edit#gid=156619080"",E$3)"),43882.0)</f>
        <v>43882</v>
      </c>
      <c r="F561" s="2">
        <f>IFERROR(__xludf.DUMMYFUNCTION("IMPORTRANGE(""https://docs.google.com/spreadsheets/d/""&amp;$A561&amp;""/edit#gid=156619080"",F$3)"),15.0)</f>
        <v>15</v>
      </c>
      <c r="G561" s="16">
        <f>IFERROR(__xludf.DUMMYFUNCTION("IMPORTRANGE(""https://docs.google.com/spreadsheets/d/""&amp;$A561&amp;""/edit#gid=156619080"",G$3)"),3.61)</f>
        <v>3.61</v>
      </c>
      <c r="H561" s="16">
        <f>IFERROR(__xludf.DUMMYFUNCTION("IMPORTRANGE(""https://docs.google.com/spreadsheets/d/""&amp;$A561&amp;""/edit#gid=156619080"",H$3)"),425.0)</f>
        <v>425</v>
      </c>
      <c r="I561" s="16">
        <f>IFERROR(__xludf.DUMMYFUNCTION("IMPORTRANGE(""https://docs.google.com/spreadsheets/d/""&amp;$A561&amp;""/edit#gid=156619080"",I$3)"),5.0)</f>
        <v>5</v>
      </c>
      <c r="J561" s="16">
        <f>IFERROR(__xludf.DUMMYFUNCTION("IMPORTRANGE(""https://docs.google.com/spreadsheets/d/""&amp;$A561&amp;""/edit#gid=156619080"",J$3)"),439.0)</f>
        <v>439</v>
      </c>
      <c r="K561" s="16">
        <f>IFERROR(__xludf.DUMMYFUNCTION("IMPORTRANGE(""https://docs.google.com/spreadsheets/d/""&amp;$A561&amp;""/edit#gid=156619080"",K$3)"),0.3861111111111111)</f>
        <v>0.3861111111</v>
      </c>
      <c r="L561" s="16">
        <f>IFERROR(__xludf.DUMMYFUNCTION("IMPORTRANGE(""https://docs.google.com/spreadsheets/d/""&amp;$A561&amp;""/edit#gid=156619080"",L$3)"),419.0)</f>
        <v>419</v>
      </c>
      <c r="M561" s="16">
        <f>IFERROR(__xludf.DUMMYFUNCTION("IMPORTRANGE(""https://docs.google.com/spreadsheets/d/""&amp;$A561&amp;""/edit#gid=156619080"",M$3)"),0.3770833333333333)</f>
        <v>0.3770833333</v>
      </c>
      <c r="N561" s="16">
        <f>IFERROR(__xludf.DUMMYFUNCTION("IMPORTRANGE(""https://docs.google.com/spreadsheets/d/""&amp;$A561&amp;""/edit#gid=156619080"",N$3)"),430.0)</f>
        <v>430</v>
      </c>
      <c r="O561" s="16" t="str">
        <f>IFERROR(__xludf.DUMMYFUNCTION("IMPORTRANGE(""https://docs.google.com/spreadsheets/d/""&amp;$A561&amp;""/edit#gid=156619080"",O$3)"),"140900株")</f>
        <v>140900株</v>
      </c>
      <c r="P561" s="16" t="str">
        <f>IFERROR(__xludf.DUMMYFUNCTION("IMPORTRANGE(""https://docs.google.com/spreadsheets/d/""&amp;$A561&amp;""/edit#gid=156619080"",P$3)"),"61百万円")</f>
        <v>61百万円</v>
      </c>
      <c r="Q561" s="16" t="str">
        <f>IFERROR(__xludf.DUMMYFUNCTION("IMPORTRANGE(""https://docs.google.com/spreadsheets/d/""&amp;$A561&amp;""/edit#gid=156619080"",Q$3)"),"344回")</f>
        <v>344回</v>
      </c>
      <c r="R561" s="16" t="str">
        <f>IFERROR(__xludf.DUMMYFUNCTION("IMPORTRANGE(""https://docs.google.com/spreadsheets/d/""&amp;$A561&amp;""/edit#gid=156619080"",R$3)"),"32.2億円")</f>
        <v>32.2億円</v>
      </c>
      <c r="S561" s="16" t="str">
        <f>IFERROR(__xludf.DUMMYFUNCTION("IMPORTRANGE(""https://docs.google.com/spreadsheets/d/""&amp;$A561&amp;""/edit#gid=156619080"",S$3)"),"陽線")</f>
        <v>陽線</v>
      </c>
      <c r="T561" s="16" t="str">
        <f>IFERROR(__xludf.DUMMYFUNCTION("IMPORTRANGE(""https://docs.google.com/spreadsheets/d/""&amp;$A561&amp;""/edit#gid=156619080"",T$3)"),"")</f>
        <v/>
      </c>
      <c r="U561" s="16">
        <f>IFERROR(__xludf.DUMMYFUNCTION("IMPORTRANGE(""https://docs.google.com/spreadsheets/d/""&amp;$A561&amp;""/edit#gid=156619080"",U$3)"),423.0)</f>
        <v>423</v>
      </c>
      <c r="V561" s="16">
        <f>IFERROR(__xludf.DUMMYFUNCTION("IMPORTRANGE(""https://docs.google.com/spreadsheets/d/""&amp;$A561&amp;""/edit#gid=156619080"",V$3)"),419.4)</f>
        <v>419.4</v>
      </c>
      <c r="W561" s="16">
        <f>IFERROR(__xludf.DUMMYFUNCTION("IMPORTRANGE(""https://docs.google.com/spreadsheets/d/""&amp;$A561&amp;""/edit#gid=156619080"",W$3)"),437.4)</f>
        <v>437.4</v>
      </c>
      <c r="X561" s="2" t="str">
        <f>IFERROR(__xludf.DUMMYFUNCTION("IMPORTRANGE(""https://docs.google.com/spreadsheets/d/""&amp;$A561&amp;""/edit#gid=156619080"",X$3)"),"")</f>
        <v/>
      </c>
      <c r="Y561" s="17">
        <f>IFERROR(__xludf.DUMMYFUNCTION("IMPORTRANGE(""https://docs.google.com/spreadsheets/d/""&amp;$A561&amp;""/edit#gid=156619080"",Y$3)"),0.016548463356973995)</f>
        <v>0.01654846336</v>
      </c>
      <c r="Z561" s="2">
        <f>IFERROR(__xludf.DUMMYFUNCTION("IMPORTRANGE(""https://docs.google.com/spreadsheets/d/""&amp;$A561&amp;""/edit#gid=156619080"",Z$3)"),494.22)</f>
        <v>494.22</v>
      </c>
      <c r="AA561" s="2">
        <f>IFERROR(__xludf.DUMMYFUNCTION("IMPORTRANGE(""https://docs.google.com/spreadsheets/d/""&amp;$A561&amp;""/edit#gid=156619080"",AA$3)"),487.12)</f>
        <v>487.12</v>
      </c>
      <c r="AB561" s="2">
        <f>IFERROR(__xludf.DUMMYFUNCTION("IMPORTRANGE(""https://docs.google.com/spreadsheets/d/""&amp;$A561&amp;""/edit#gid=156619080"",AB$3)"),480.02)</f>
        <v>480.02</v>
      </c>
      <c r="AC561" s="18">
        <f>IFERROR(__xludf.DUMMYFUNCTION("IMPORTRANGE(""https://docs.google.com/spreadsheets/d/""&amp;$A561&amp;""/edit#gid=156619080"",AC$3)"),472.91)</f>
        <v>472.91</v>
      </c>
      <c r="AD561" s="18">
        <f>IFERROR(__xludf.DUMMYFUNCTION("IMPORTRANGE(""https://docs.google.com/spreadsheets/d/""&amp;$A561&amp;""/edit#gid=156619080"",AD$3)"),465.81)</f>
        <v>465.81</v>
      </c>
      <c r="AE561" s="18">
        <f>IFERROR(__xludf.DUMMYFUNCTION("IMPORTRANGE(""https://docs.google.com/spreadsheets/d/""&amp;$A561&amp;""/edit#gid=156619080"",AE$3)"),437.4)</f>
        <v>437.4</v>
      </c>
      <c r="AF561" s="2">
        <f>IFERROR(__xludf.DUMMYFUNCTION("IMPORTRANGE(""https://docs.google.com/spreadsheets/d/""&amp;$A561&amp;""/edit#gid=156619080"",AF$3)"),408.99)</f>
        <v>408.99</v>
      </c>
      <c r="AG561" s="2">
        <f>IFERROR(__xludf.DUMMYFUNCTION("IMPORTRANGE(""https://docs.google.com/spreadsheets/d/""&amp;$A561&amp;""/edit#gid=156619080"",AG$3)"),401.89)</f>
        <v>401.89</v>
      </c>
      <c r="AH561" s="2">
        <f>IFERROR(__xludf.DUMMYFUNCTION("IMPORTRANGE(""https://docs.google.com/spreadsheets/d/""&amp;$A561&amp;""/edit#gid=156619080"",AH$3)"),394.78)</f>
        <v>394.78</v>
      </c>
      <c r="AI561" s="2">
        <f>IFERROR(__xludf.DUMMYFUNCTION("IMPORTRANGE(""https://docs.google.com/spreadsheets/d/""&amp;$A561&amp;""/edit#gid=156619080"",AI$3)"),387.68)</f>
        <v>387.68</v>
      </c>
      <c r="AJ561" s="2">
        <f>IFERROR(__xludf.DUMMYFUNCTION("IMPORTRANGE(""https://docs.google.com/spreadsheets/d/""&amp;$A561&amp;""/edit#gid=156619080"",AJ$3)"),380.58)</f>
        <v>380.58</v>
      </c>
      <c r="AK561" s="2" t="str">
        <f>IFERROR(__xludf.DUMMYFUNCTION("IMPORTRANGE(""https://docs.google.com/spreadsheets/d/""&amp;$A561&amp;""/edit#gid=156619080"",AK$3)"),"")</f>
        <v/>
      </c>
      <c r="AL561" s="2">
        <f>IFERROR(__xludf.DUMMYFUNCTION("IMPORTRANGE(""https://docs.google.com/spreadsheets/d/""&amp;$A561&amp;""/edit#gid=156619080"",AL$3)"),1.0)</f>
        <v>1</v>
      </c>
      <c r="AM561" s="2" t="str">
        <f>IFERROR(__xludf.DUMMYFUNCTION("IMPORTRANGE(""https://docs.google.com/spreadsheets/d/""&amp;$A561&amp;""/edit#gid=156619080"",AM$3)"),"")</f>
        <v/>
      </c>
      <c r="AN561" s="2">
        <f>IFERROR(__xludf.DUMMYFUNCTION("IMPORTRANGE(""https://docs.google.com/spreadsheets/d/""&amp;$A561&amp;""/edit#gid=156619080"",AN$3)"),-1.0)</f>
        <v>-1</v>
      </c>
      <c r="AO561" s="2" t="str">
        <f>IFERROR(__xludf.DUMMYFUNCTION("IMPORTRANGE(""https://docs.google.com/spreadsheets/d/""&amp;$A561&amp;""/edit#gid=156619080"",AO$3)"),"")</f>
        <v/>
      </c>
      <c r="AP561" s="2">
        <f>IFERROR(__xludf.DUMMYFUNCTION("IMPORTRANGE(""https://docs.google.com/spreadsheets/d/""&amp;$A561&amp;""/edit#gid=156619080"",AP$3)"),-1.0)</f>
        <v>-1</v>
      </c>
      <c r="AQ561" s="2" t="str">
        <f>IFERROR(__xludf.DUMMYFUNCTION("IMPORTRANGE(""https://docs.google.com/spreadsheets/d/""&amp;$A561&amp;""/edit#gid=156619080"",AQ$3)"),"")</f>
        <v/>
      </c>
      <c r="AR561" s="18">
        <f>IFERROR(__xludf.DUMMYFUNCTION("IMPORTRANGE(""https://docs.google.com/spreadsheets/d/""&amp;$A561&amp;""/edit#gid=156619080"",AR$3)"),65.0)</f>
        <v>65</v>
      </c>
      <c r="AS561" s="19" t="str">
        <f>IFERROR(__xludf.DUMMYFUNCTION("IMPORTRANGE(""https://docs.google.com/spreadsheets/d/""&amp;$A561&amp;""/edit#gid=156619080"",AS$3)"),"65
65
15
15
")</f>
        <v>65
65
15
15
</v>
      </c>
      <c r="AT561" s="18">
        <f>IFERROR(__xludf.DUMMYFUNCTION("IMPORTRANGE(""https://docs.google.com/spreadsheets/d/""&amp;$A561&amp;""/edit#gid=156619080"",AT$3)"),3.57142857142857)</f>
        <v>3.571428571</v>
      </c>
      <c r="AU561" s="3" t="str">
        <f>IFERROR(__xludf.DUMMYFUNCTION("IMPORTRANGE(""https://docs.google.com/spreadsheets/d/""&amp;$A561&amp;""/edit#gid=156619080"",AU$3)"),"-84.34
-74.45
-62.36
-32.14
")</f>
        <v>-84.34
-74.45
-62.36
-32.14
</v>
      </c>
      <c r="AV561" s="18">
        <f>IFERROR(__xludf.DUMMYFUNCTION("IMPORTRANGE(""https://docs.google.com/spreadsheets/d/""&amp;$A561&amp;""/edit#gid=156619080"",AV$3)"),-75.12987012987014)</f>
        <v>-75.12987013</v>
      </c>
      <c r="AW561" s="19" t="str">
        <f>IFERROR(__xludf.DUMMYFUNCTION("IMPORTRANGE(""https://docs.google.com/spreadsheets/d/""&amp;$A561&amp;""/edit#gid=156619080"",AW$3)"),"-87.34
-87.34
-87.99
-83.57
")</f>
        <v>-87.34
-87.34
-87.99
-83.57
</v>
      </c>
      <c r="AX561" s="2">
        <f>IFERROR(__xludf.DUMMYFUNCTION("IMPORTRANGE(""https://docs.google.com/spreadsheets/d/""&amp;$A561&amp;""/edit#gid=156619080"",AX$3)"),60.0)</f>
        <v>60</v>
      </c>
      <c r="AY561" s="2">
        <f>IFERROR(__xludf.DUMMYFUNCTION("IMPORTRANGE(""https://docs.google.com/spreadsheets/d/""&amp;$A561&amp;""/edit#gid=156619080"",AY$3)"),27.860000000000003)</f>
        <v>27.86</v>
      </c>
      <c r="AZ561" s="2">
        <f>IFERROR(__xludf.DUMMYFUNCTION("IMPORTRANGE(""https://docs.google.com/spreadsheets/d/""&amp;$A561&amp;""/edit#gid=156619080"",AZ$3)"),423.99)</f>
        <v>423.99</v>
      </c>
      <c r="BA561" s="2">
        <f>IFERROR(__xludf.DUMMYFUNCTION("IMPORTRANGE(""https://docs.google.com/spreadsheets/d/""&amp;$A561&amp;""/edit#gid=156619080"",BA$3)"),-11.079999999999984)</f>
        <v>-11.08</v>
      </c>
      <c r="BB561" s="2">
        <f>IFERROR(__xludf.DUMMYFUNCTION("IMPORTRANGE(""https://docs.google.com/spreadsheets/d/""&amp;$A561&amp;""/edit#gid=156619080"",BB$3)"),-20.05)</f>
        <v>-20.05</v>
      </c>
      <c r="BC561" s="2" t="str">
        <f>IFERROR(__xludf.DUMMYFUNCTION("IMPORTRANGE(""https://docs.google.com/spreadsheets/d/""&amp;$A561&amp;""/edit#gid=156619080"",BC$3)"),"GC→GC")</f>
        <v>GC→GC</v>
      </c>
    </row>
    <row r="562" ht="51.0" customHeight="1">
      <c r="A562" s="7" t="str">
        <f t="shared" si="5"/>
        <v>1jCGKn2bMok-J3qlTTDI5qlYTMYwPvjiEKGT_YEmUipA</v>
      </c>
      <c r="B562" s="1" t="s">
        <v>589</v>
      </c>
      <c r="C562" s="2" t="str">
        <f>IFERROR(__xludf.DUMMYFUNCTION("IMPORTRANGE(""https://docs.google.com/spreadsheets/d/""&amp;$A562&amp;""/edit#gid=156619080"",C$3)"),"#REF!")</f>
        <v>#REF!</v>
      </c>
      <c r="D562" s="2" t="str">
        <f>IFERROR(__xludf.DUMMYFUNCTION("IMPORTRANGE(""https://docs.google.com/spreadsheets/d/""&amp;$A562&amp;""/edit#gid=156619080"",D$3)"),"#REF!")</f>
        <v>#REF!</v>
      </c>
      <c r="E562" s="2" t="str">
        <f>IFERROR(__xludf.DUMMYFUNCTION("IMPORTRANGE(""https://docs.google.com/spreadsheets/d/""&amp;$A562&amp;""/edit#gid=156619080"",E$3)"),"#REF!")</f>
        <v>#REF!</v>
      </c>
      <c r="F562" s="2" t="str">
        <f>IFERROR(__xludf.DUMMYFUNCTION("IMPORTRANGE(""https://docs.google.com/spreadsheets/d/""&amp;$A562&amp;""/edit#gid=156619080"",F$3)"),"#REF!")</f>
        <v>#REF!</v>
      </c>
      <c r="G562" s="2" t="str">
        <f>IFERROR(__xludf.DUMMYFUNCTION("IMPORTRANGE(""https://docs.google.com/spreadsheets/d/""&amp;$A562&amp;""/edit#gid=156619080"",G$3)"),"#REF!")</f>
        <v>#REF!</v>
      </c>
      <c r="H562" s="2" t="str">
        <f>IFERROR(__xludf.DUMMYFUNCTION("IMPORTRANGE(""https://docs.google.com/spreadsheets/d/""&amp;$A562&amp;""/edit#gid=156619080"",H$3)"),"#REF!")</f>
        <v>#REF!</v>
      </c>
      <c r="I562" s="2" t="str">
        <f>IFERROR(__xludf.DUMMYFUNCTION("IMPORTRANGE(""https://docs.google.com/spreadsheets/d/""&amp;$A562&amp;""/edit#gid=156619080"",I$3)"),"#REF!")</f>
        <v>#REF!</v>
      </c>
      <c r="J562" s="2" t="str">
        <f>IFERROR(__xludf.DUMMYFUNCTION("IMPORTRANGE(""https://docs.google.com/spreadsheets/d/""&amp;$A562&amp;""/edit#gid=156619080"",J$3)"),"#REF!")</f>
        <v>#REF!</v>
      </c>
      <c r="K562" s="2" t="str">
        <f>IFERROR(__xludf.DUMMYFUNCTION("IMPORTRANGE(""https://docs.google.com/spreadsheets/d/""&amp;$A562&amp;""/edit#gid=156619080"",K$3)"),"#REF!")</f>
        <v>#REF!</v>
      </c>
      <c r="L562" s="2" t="str">
        <f>IFERROR(__xludf.DUMMYFUNCTION("IMPORTRANGE(""https://docs.google.com/spreadsheets/d/""&amp;$A562&amp;""/edit#gid=156619080"",L$3)"),"#REF!")</f>
        <v>#REF!</v>
      </c>
      <c r="M562" s="2" t="str">
        <f>IFERROR(__xludf.DUMMYFUNCTION("IMPORTRANGE(""https://docs.google.com/spreadsheets/d/""&amp;$A562&amp;""/edit#gid=156619080"",M$3)"),"#REF!")</f>
        <v>#REF!</v>
      </c>
      <c r="N562" s="2" t="str">
        <f>IFERROR(__xludf.DUMMYFUNCTION("IMPORTRANGE(""https://docs.google.com/spreadsheets/d/""&amp;$A562&amp;""/edit#gid=156619080"",N$3)"),"#REF!")</f>
        <v>#REF!</v>
      </c>
      <c r="O562" s="2" t="str">
        <f>IFERROR(__xludf.DUMMYFUNCTION("IMPORTRANGE(""https://docs.google.com/spreadsheets/d/""&amp;$A562&amp;""/edit#gid=156619080"",O$3)"),"#REF!")</f>
        <v>#REF!</v>
      </c>
      <c r="P562" s="2" t="str">
        <f>IFERROR(__xludf.DUMMYFUNCTION("IMPORTRANGE(""https://docs.google.com/spreadsheets/d/""&amp;$A562&amp;""/edit#gid=156619080"",P$3)"),"#REF!")</f>
        <v>#REF!</v>
      </c>
      <c r="Q562" s="2" t="str">
        <f>IFERROR(__xludf.DUMMYFUNCTION("IMPORTRANGE(""https://docs.google.com/spreadsheets/d/""&amp;$A562&amp;""/edit#gid=156619080"",Q$3)"),"#REF!")</f>
        <v>#REF!</v>
      </c>
      <c r="R562" s="2" t="str">
        <f>IFERROR(__xludf.DUMMYFUNCTION("IMPORTRANGE(""https://docs.google.com/spreadsheets/d/""&amp;$A562&amp;""/edit#gid=156619080"",R$3)"),"#REF!")</f>
        <v>#REF!</v>
      </c>
      <c r="S562" s="2" t="str">
        <f>IFERROR(__xludf.DUMMYFUNCTION("IMPORTRANGE(""https://docs.google.com/spreadsheets/d/""&amp;$A562&amp;""/edit#gid=156619080"",S$3)"),"#REF!")</f>
        <v>#REF!</v>
      </c>
      <c r="T562" s="2" t="str">
        <f>IFERROR(__xludf.DUMMYFUNCTION("IMPORTRANGE(""https://docs.google.com/spreadsheets/d/""&amp;$A562&amp;""/edit#gid=156619080"",T$3)"),"#REF!")</f>
        <v>#REF!</v>
      </c>
      <c r="U562" s="2" t="str">
        <f>IFERROR(__xludf.DUMMYFUNCTION("IMPORTRANGE(""https://docs.google.com/spreadsheets/d/""&amp;$A562&amp;""/edit#gid=156619080"",U$3)"),"#REF!")</f>
        <v>#REF!</v>
      </c>
      <c r="V562" s="2" t="str">
        <f>IFERROR(__xludf.DUMMYFUNCTION("IMPORTRANGE(""https://docs.google.com/spreadsheets/d/""&amp;$A562&amp;""/edit#gid=156619080"",V$3)"),"#REF!")</f>
        <v>#REF!</v>
      </c>
      <c r="W562" s="2" t="str">
        <f>IFERROR(__xludf.DUMMYFUNCTION("IMPORTRANGE(""https://docs.google.com/spreadsheets/d/""&amp;$A562&amp;""/edit#gid=156619080"",W$3)"),"#REF!")</f>
        <v>#REF!</v>
      </c>
      <c r="X562" s="2" t="str">
        <f>IFERROR(__xludf.DUMMYFUNCTION("IMPORTRANGE(""https://docs.google.com/spreadsheets/d/""&amp;$A562&amp;""/edit#gid=156619080"",X$3)"),"#REF!")</f>
        <v>#REF!</v>
      </c>
      <c r="Y562" s="2" t="str">
        <f>IFERROR(__xludf.DUMMYFUNCTION("IMPORTRANGE(""https://docs.google.com/spreadsheets/d/""&amp;$A562&amp;""/edit#gid=156619080"",Y$3)"),"#REF!")</f>
        <v>#REF!</v>
      </c>
      <c r="Z562" s="2" t="str">
        <f>IFERROR(__xludf.DUMMYFUNCTION("IMPORTRANGE(""https://docs.google.com/spreadsheets/d/""&amp;$A562&amp;""/edit#gid=156619080"",Z$3)"),"#REF!")</f>
        <v>#REF!</v>
      </c>
      <c r="AA562" s="2" t="str">
        <f>IFERROR(__xludf.DUMMYFUNCTION("IMPORTRANGE(""https://docs.google.com/spreadsheets/d/""&amp;$A562&amp;""/edit#gid=156619080"",AA$3)"),"#REF!")</f>
        <v>#REF!</v>
      </c>
      <c r="AB562" s="2" t="str">
        <f>IFERROR(__xludf.DUMMYFUNCTION("IMPORTRANGE(""https://docs.google.com/spreadsheets/d/""&amp;$A562&amp;""/edit#gid=156619080"",AB$3)"),"#REF!")</f>
        <v>#REF!</v>
      </c>
      <c r="AC562" s="2" t="str">
        <f>IFERROR(__xludf.DUMMYFUNCTION("IMPORTRANGE(""https://docs.google.com/spreadsheets/d/""&amp;$A562&amp;""/edit#gid=156619080"",AC$3)"),"#REF!")</f>
        <v>#REF!</v>
      </c>
      <c r="AD562" s="2" t="str">
        <f>IFERROR(__xludf.DUMMYFUNCTION("IMPORTRANGE(""https://docs.google.com/spreadsheets/d/""&amp;$A562&amp;""/edit#gid=156619080"",AD$3)"),"#REF!")</f>
        <v>#REF!</v>
      </c>
      <c r="AE562" s="2" t="str">
        <f>IFERROR(__xludf.DUMMYFUNCTION("IMPORTRANGE(""https://docs.google.com/spreadsheets/d/""&amp;$A562&amp;""/edit#gid=156619080"",AE$3)"),"#REF!")</f>
        <v>#REF!</v>
      </c>
      <c r="AF562" s="2" t="str">
        <f>IFERROR(__xludf.DUMMYFUNCTION("IMPORTRANGE(""https://docs.google.com/spreadsheets/d/""&amp;$A562&amp;""/edit#gid=156619080"",AF$3)"),"#REF!")</f>
        <v>#REF!</v>
      </c>
      <c r="AG562" s="2" t="str">
        <f>IFERROR(__xludf.DUMMYFUNCTION("IMPORTRANGE(""https://docs.google.com/spreadsheets/d/""&amp;$A562&amp;""/edit#gid=156619080"",AG$3)"),"#REF!")</f>
        <v>#REF!</v>
      </c>
      <c r="AH562" s="2" t="str">
        <f>IFERROR(__xludf.DUMMYFUNCTION("IMPORTRANGE(""https://docs.google.com/spreadsheets/d/""&amp;$A562&amp;""/edit#gid=156619080"",AH$3)"),"#REF!")</f>
        <v>#REF!</v>
      </c>
      <c r="AI562" s="2" t="str">
        <f>IFERROR(__xludf.DUMMYFUNCTION("IMPORTRANGE(""https://docs.google.com/spreadsheets/d/""&amp;$A562&amp;""/edit#gid=156619080"",AI$3)"),"#REF!")</f>
        <v>#REF!</v>
      </c>
      <c r="AJ562" s="2" t="str">
        <f>IFERROR(__xludf.DUMMYFUNCTION("IMPORTRANGE(""https://docs.google.com/spreadsheets/d/""&amp;$A562&amp;""/edit#gid=156619080"",AJ$3)"),"#REF!")</f>
        <v>#REF!</v>
      </c>
      <c r="AK562" s="2" t="str">
        <f>IFERROR(__xludf.DUMMYFUNCTION("IMPORTRANGE(""https://docs.google.com/spreadsheets/d/""&amp;$A562&amp;""/edit#gid=156619080"",AK$3)"),"#REF!")</f>
        <v>#REF!</v>
      </c>
      <c r="AL562" s="2" t="str">
        <f>IFERROR(__xludf.DUMMYFUNCTION("IMPORTRANGE(""https://docs.google.com/spreadsheets/d/""&amp;$A562&amp;""/edit#gid=156619080"",AL$3)"),"#REF!")</f>
        <v>#REF!</v>
      </c>
      <c r="AM562" s="2" t="str">
        <f>IFERROR(__xludf.DUMMYFUNCTION("IMPORTRANGE(""https://docs.google.com/spreadsheets/d/""&amp;$A562&amp;""/edit#gid=156619080"",AM$3)"),"#REF!")</f>
        <v>#REF!</v>
      </c>
      <c r="AN562" s="2" t="str">
        <f>IFERROR(__xludf.DUMMYFUNCTION("IMPORTRANGE(""https://docs.google.com/spreadsheets/d/""&amp;$A562&amp;""/edit#gid=156619080"",AN$3)"),"#REF!")</f>
        <v>#REF!</v>
      </c>
      <c r="AO562" s="2" t="str">
        <f>IFERROR(__xludf.DUMMYFUNCTION("IMPORTRANGE(""https://docs.google.com/spreadsheets/d/""&amp;$A562&amp;""/edit#gid=156619080"",AO$3)"),"#REF!")</f>
        <v>#REF!</v>
      </c>
      <c r="AP562" s="2" t="str">
        <f>IFERROR(__xludf.DUMMYFUNCTION("IMPORTRANGE(""https://docs.google.com/spreadsheets/d/""&amp;$A562&amp;""/edit#gid=156619080"",AP$3)"),"#REF!")</f>
        <v>#REF!</v>
      </c>
      <c r="AQ562" s="2" t="str">
        <f>IFERROR(__xludf.DUMMYFUNCTION("IMPORTRANGE(""https://docs.google.com/spreadsheets/d/""&amp;$A562&amp;""/edit#gid=156619080"",AQ$3)"),"#REF!")</f>
        <v>#REF!</v>
      </c>
      <c r="AR562" s="2" t="str">
        <f>IFERROR(__xludf.DUMMYFUNCTION("IMPORTRANGE(""https://docs.google.com/spreadsheets/d/""&amp;$A562&amp;""/edit#gid=156619080"",AR$3)"),"#REF!")</f>
        <v>#REF!</v>
      </c>
      <c r="AS562" s="19" t="str">
        <f>IFERROR(__xludf.DUMMYFUNCTION("IMPORTRANGE(""https://docs.google.com/spreadsheets/d/""&amp;$A562&amp;""/edit#gid=156619080"",AS$3)"),"#REF!")</f>
        <v>#REF!</v>
      </c>
      <c r="AT562" s="2" t="str">
        <f>IFERROR(__xludf.DUMMYFUNCTION("IMPORTRANGE(""https://docs.google.com/spreadsheets/d/""&amp;$A562&amp;""/edit#gid=156619080"",AT$3)"),"#REF!")</f>
        <v>#REF!</v>
      </c>
      <c r="AU562" s="3" t="str">
        <f>IFERROR(__xludf.DUMMYFUNCTION("IMPORTRANGE(""https://docs.google.com/spreadsheets/d/""&amp;$A562&amp;""/edit#gid=156619080"",AU$3)"),"#REF!")</f>
        <v>#REF!</v>
      </c>
      <c r="AV562" s="2" t="str">
        <f>IFERROR(__xludf.DUMMYFUNCTION("IMPORTRANGE(""https://docs.google.com/spreadsheets/d/""&amp;$A562&amp;""/edit#gid=156619080"",AV$3)"),"#REF!")</f>
        <v>#REF!</v>
      </c>
      <c r="AW562" s="19" t="str">
        <f>IFERROR(__xludf.DUMMYFUNCTION("IMPORTRANGE(""https://docs.google.com/spreadsheets/d/""&amp;$A562&amp;""/edit#gid=156619080"",AW$3)"),"#REF!")</f>
        <v>#REF!</v>
      </c>
      <c r="AX562" s="2" t="str">
        <f>IFERROR(__xludf.DUMMYFUNCTION("IMPORTRANGE(""https://docs.google.com/spreadsheets/d/""&amp;$A562&amp;""/edit#gid=156619080"",AX$3)"),"#REF!")</f>
        <v>#REF!</v>
      </c>
      <c r="AY562" s="2" t="str">
        <f>IFERROR(__xludf.DUMMYFUNCTION("IMPORTRANGE(""https://docs.google.com/spreadsheets/d/""&amp;$A562&amp;""/edit#gid=156619080"",AY$3)"),"#REF!")</f>
        <v>#REF!</v>
      </c>
      <c r="AZ562" s="2" t="str">
        <f>IFERROR(__xludf.DUMMYFUNCTION("IMPORTRANGE(""https://docs.google.com/spreadsheets/d/""&amp;$A562&amp;""/edit#gid=156619080"",AZ$3)"),"#REF!")</f>
        <v>#REF!</v>
      </c>
      <c r="BA562" s="2" t="str">
        <f>IFERROR(__xludf.DUMMYFUNCTION("IMPORTRANGE(""https://docs.google.com/spreadsheets/d/""&amp;$A562&amp;""/edit#gid=156619080"",BA$3)"),"#REF!")</f>
        <v>#REF!</v>
      </c>
      <c r="BB562" s="2" t="str">
        <f>IFERROR(__xludf.DUMMYFUNCTION("IMPORTRANGE(""https://docs.google.com/spreadsheets/d/""&amp;$A562&amp;""/edit#gid=156619080"",BB$3)"),"#REF!")</f>
        <v>#REF!</v>
      </c>
      <c r="BC562" s="2" t="str">
        <f>IFERROR(__xludf.DUMMYFUNCTION("IMPORTRANGE(""https://docs.google.com/spreadsheets/d/""&amp;$A562&amp;""/edit#gid=156619080"",BC$3)"),"#REF!")</f>
        <v>#REF!</v>
      </c>
    </row>
    <row r="563" ht="51.0" customHeight="1">
      <c r="A563" s="7" t="str">
        <f t="shared" si="5"/>
        <v>1eA6uf01OjcgyyNdntaNUAcoQwLV7x70OECZUowtjM_I</v>
      </c>
      <c r="B563" s="1" t="s">
        <v>590</v>
      </c>
      <c r="C563" s="2">
        <f>IFERROR(__xludf.DUMMYFUNCTION("IMPORTRANGE(""https://docs.google.com/spreadsheets/d/""&amp;$A563&amp;""/edit#gid=156619080"",C$3)"),45.0)</f>
        <v>45</v>
      </c>
      <c r="D563" s="2">
        <f>IFERROR(__xludf.DUMMYFUNCTION("IMPORTRANGE(""https://docs.google.com/spreadsheets/d/""&amp;$A563&amp;""/edit#gid=156619080"",D$3)"),6777.0)</f>
        <v>6777</v>
      </c>
      <c r="E563" s="15">
        <f>IFERROR(__xludf.DUMMYFUNCTION("IMPORTRANGE(""https://docs.google.com/spreadsheets/d/""&amp;$A563&amp;""/edit#gid=156619080"",E$3)"),43882.0)</f>
        <v>43882</v>
      </c>
      <c r="F563" s="2">
        <f>IFERROR(__xludf.DUMMYFUNCTION("IMPORTRANGE(""https://docs.google.com/spreadsheets/d/""&amp;$A563&amp;""/edit#gid=156619080"",F$3)"),-40.0)</f>
        <v>-40</v>
      </c>
      <c r="G563" s="16">
        <f>IFERROR(__xludf.DUMMYFUNCTION("IMPORTRANGE(""https://docs.google.com/spreadsheets/d/""&amp;$A563&amp;""/edit#gid=156619080"",G$3)"),-2.21)</f>
        <v>-2.21</v>
      </c>
      <c r="H563" s="16">
        <f>IFERROR(__xludf.DUMMYFUNCTION("IMPORTRANGE(""https://docs.google.com/spreadsheets/d/""&amp;$A563&amp;""/edit#gid=156619080"",H$3)"),1798.0)</f>
        <v>1798</v>
      </c>
      <c r="I563" s="16">
        <f>IFERROR(__xludf.DUMMYFUNCTION("IMPORTRANGE(""https://docs.google.com/spreadsheets/d/""&amp;$A563&amp;""/edit#gid=156619080"",I$3)"),15.0)</f>
        <v>15</v>
      </c>
      <c r="J563" s="16">
        <f>IFERROR(__xludf.DUMMYFUNCTION("IMPORTRANGE(""https://docs.google.com/spreadsheets/d/""&amp;$A563&amp;""/edit#gid=156619080"",J$3)"),1825.0)</f>
        <v>1825</v>
      </c>
      <c r="K563" s="16">
        <f>IFERROR(__xludf.DUMMYFUNCTION("IMPORTRANGE(""https://docs.google.com/spreadsheets/d/""&amp;$A563&amp;""/edit#gid=156619080"",K$3)"),0.3909722222222222)</f>
        <v>0.3909722222</v>
      </c>
      <c r="L563" s="16">
        <f>IFERROR(__xludf.DUMMYFUNCTION("IMPORTRANGE(""https://docs.google.com/spreadsheets/d/""&amp;$A563&amp;""/edit#gid=156619080"",L$3)"),1773.0)</f>
        <v>1773</v>
      </c>
      <c r="M563" s="16">
        <f>IFERROR(__xludf.DUMMYFUNCTION("IMPORTRANGE(""https://docs.google.com/spreadsheets/d/""&amp;$A563&amp;""/edit#gid=156619080"",M$3)"),0.6097222222222223)</f>
        <v>0.6097222222</v>
      </c>
      <c r="N563" s="16">
        <f>IFERROR(__xludf.DUMMYFUNCTION("IMPORTRANGE(""https://docs.google.com/spreadsheets/d/""&amp;$A563&amp;""/edit#gid=156619080"",N$3)"),1773.0)</f>
        <v>1773</v>
      </c>
      <c r="O563" s="16" t="str">
        <f>IFERROR(__xludf.DUMMYFUNCTION("IMPORTRANGE(""https://docs.google.com/spreadsheets/d/""&amp;$A563&amp;""/edit#gid=156619080"",O$3)"),"94000株")</f>
        <v>94000株</v>
      </c>
      <c r="P563" s="16" t="str">
        <f>IFERROR(__xludf.DUMMYFUNCTION("IMPORTRANGE(""https://docs.google.com/spreadsheets/d/""&amp;$A563&amp;""/edit#gid=156619080"",P$3)"),"168百万円")</f>
        <v>168百万円</v>
      </c>
      <c r="Q563" s="16" t="str">
        <f>IFERROR(__xludf.DUMMYFUNCTION("IMPORTRANGE(""https://docs.google.com/spreadsheets/d/""&amp;$A563&amp;""/edit#gid=156619080"",Q$3)"),"460回")</f>
        <v>460回</v>
      </c>
      <c r="R563" s="16" t="str">
        <f>IFERROR(__xludf.DUMMYFUNCTION("IMPORTRANGE(""https://docs.google.com/spreadsheets/d/""&amp;$A563&amp;""/edit#gid=156619080"",R$3)"),"212億円")</f>
        <v>212億円</v>
      </c>
      <c r="S563" s="16" t="str">
        <f>IFERROR(__xludf.DUMMYFUNCTION("IMPORTRANGE(""https://docs.google.com/spreadsheets/d/""&amp;$A563&amp;""/edit#gid=156619080"",S$3)"),"陰線")</f>
        <v>陰線</v>
      </c>
      <c r="T563" s="16" t="str">
        <f>IFERROR(__xludf.DUMMYFUNCTION("IMPORTRANGE(""https://docs.google.com/spreadsheets/d/""&amp;$A563&amp;""/edit#gid=156619080"",T$3)"),"")</f>
        <v/>
      </c>
      <c r="U563" s="16">
        <f>IFERROR(__xludf.DUMMYFUNCTION("IMPORTRANGE(""https://docs.google.com/spreadsheets/d/""&amp;$A563&amp;""/edit#gid=156619080"",U$3)"),1815.0)</f>
        <v>1815</v>
      </c>
      <c r="V563" s="16">
        <f>IFERROR(__xludf.DUMMYFUNCTION("IMPORTRANGE(""https://docs.google.com/spreadsheets/d/""&amp;$A563&amp;""/edit#gid=156619080"",V$3)"),1900.7)</f>
        <v>1900.7</v>
      </c>
      <c r="W563" s="16">
        <f>IFERROR(__xludf.DUMMYFUNCTION("IMPORTRANGE(""https://docs.google.com/spreadsheets/d/""&amp;$A563&amp;""/edit#gid=156619080"",W$3)"),1942.8)</f>
        <v>1942.8</v>
      </c>
      <c r="X563" s="2" t="str">
        <f>IFERROR(__xludf.DUMMYFUNCTION("IMPORTRANGE(""https://docs.google.com/spreadsheets/d/""&amp;$A563&amp;""/edit#gid=156619080"",X$3)"),"")</f>
        <v/>
      </c>
      <c r="Y563" s="17">
        <f>IFERROR(__xludf.DUMMYFUNCTION("IMPORTRANGE(""https://docs.google.com/spreadsheets/d/""&amp;$A563&amp;""/edit#gid=156619080"",Y$3)"),-0.023140495867768594)</f>
        <v>-0.02314049587</v>
      </c>
      <c r="Z563" s="2">
        <f>IFERROR(__xludf.DUMMYFUNCTION("IMPORTRANGE(""https://docs.google.com/spreadsheets/d/""&amp;$A563&amp;""/edit#gid=156619080"",Z$3)"),2169.55)</f>
        <v>2169.55</v>
      </c>
      <c r="AA563" s="2">
        <f>IFERROR(__xludf.DUMMYFUNCTION("IMPORTRANGE(""https://docs.google.com/spreadsheets/d/""&amp;$A563&amp;""/edit#gid=156619080"",AA$3)"),2141.21)</f>
        <v>2141.21</v>
      </c>
      <c r="AB563" s="2">
        <f>IFERROR(__xludf.DUMMYFUNCTION("IMPORTRANGE(""https://docs.google.com/spreadsheets/d/""&amp;$A563&amp;""/edit#gid=156619080"",AB$3)"),2112.86)</f>
        <v>2112.86</v>
      </c>
      <c r="AC563" s="18">
        <f>IFERROR(__xludf.DUMMYFUNCTION("IMPORTRANGE(""https://docs.google.com/spreadsheets/d/""&amp;$A563&amp;""/edit#gid=156619080"",AC$3)"),2084.52)</f>
        <v>2084.52</v>
      </c>
      <c r="AD563" s="18">
        <f>IFERROR(__xludf.DUMMYFUNCTION("IMPORTRANGE(""https://docs.google.com/spreadsheets/d/""&amp;$A563&amp;""/edit#gid=156619080"",AD$3)"),2056.18)</f>
        <v>2056.18</v>
      </c>
      <c r="AE563" s="18">
        <f>IFERROR(__xludf.DUMMYFUNCTION("IMPORTRANGE(""https://docs.google.com/spreadsheets/d/""&amp;$A563&amp;""/edit#gid=156619080"",AE$3)"),1942.8)</f>
        <v>1942.8</v>
      </c>
      <c r="AF563" s="2">
        <f>IFERROR(__xludf.DUMMYFUNCTION("IMPORTRANGE(""https://docs.google.com/spreadsheets/d/""&amp;$A563&amp;""/edit#gid=156619080"",AF$3)"),1829.42)</f>
        <v>1829.42</v>
      </c>
      <c r="AG563" s="2">
        <f>IFERROR(__xludf.DUMMYFUNCTION("IMPORTRANGE(""https://docs.google.com/spreadsheets/d/""&amp;$A563&amp;""/edit#gid=156619080"",AG$3)"),1801.08)</f>
        <v>1801.08</v>
      </c>
      <c r="AH563" s="2">
        <f>IFERROR(__xludf.DUMMYFUNCTION("IMPORTRANGE(""https://docs.google.com/spreadsheets/d/""&amp;$A563&amp;""/edit#gid=156619080"",AH$3)"),1772.74)</f>
        <v>1772.74</v>
      </c>
      <c r="AI563" s="2">
        <f>IFERROR(__xludf.DUMMYFUNCTION("IMPORTRANGE(""https://docs.google.com/spreadsheets/d/""&amp;$A563&amp;""/edit#gid=156619080"",AI$3)"),1744.39)</f>
        <v>1744.39</v>
      </c>
      <c r="AJ563" s="2">
        <f>IFERROR(__xludf.DUMMYFUNCTION("IMPORTRANGE(""https://docs.google.com/spreadsheets/d/""&amp;$A563&amp;""/edit#gid=156619080"",AJ$3)"),1716.05)</f>
        <v>1716.05</v>
      </c>
      <c r="AK563" s="2" t="str">
        <f>IFERROR(__xludf.DUMMYFUNCTION("IMPORTRANGE(""https://docs.google.com/spreadsheets/d/""&amp;$A563&amp;""/edit#gid=156619080"",AK$3)"),"-1.25σ〜-1.5σ")</f>
        <v>-1.25σ〜-1.5σ</v>
      </c>
      <c r="AL563" s="2">
        <f>IFERROR(__xludf.DUMMYFUNCTION("IMPORTRANGE(""https://docs.google.com/spreadsheets/d/""&amp;$A563&amp;""/edit#gid=156619080"",AL$3)"),-1.0)</f>
        <v>-1</v>
      </c>
      <c r="AM563" s="2" t="str">
        <f>IFERROR(__xludf.DUMMYFUNCTION("IMPORTRANGE(""https://docs.google.com/spreadsheets/d/""&amp;$A563&amp;""/edit#gid=156619080"",AM$3)"),"")</f>
        <v/>
      </c>
      <c r="AN563" s="2">
        <f>IFERROR(__xludf.DUMMYFUNCTION("IMPORTRANGE(""https://docs.google.com/spreadsheets/d/""&amp;$A563&amp;""/edit#gid=156619080"",AN$3)"),-1.0)</f>
        <v>-1</v>
      </c>
      <c r="AO563" s="2" t="str">
        <f>IFERROR(__xludf.DUMMYFUNCTION("IMPORTRANGE(""https://docs.google.com/spreadsheets/d/""&amp;$A563&amp;""/edit#gid=156619080"",AO$3)"),"")</f>
        <v/>
      </c>
      <c r="AP563" s="2">
        <f>IFERROR(__xludf.DUMMYFUNCTION("IMPORTRANGE(""https://docs.google.com/spreadsheets/d/""&amp;$A563&amp;""/edit#gid=156619080"",AP$3)"),-1.0)</f>
        <v>-1</v>
      </c>
      <c r="AQ563" s="2" t="str">
        <f>IFERROR(__xludf.DUMMYFUNCTION("IMPORTRANGE(""https://docs.google.com/spreadsheets/d/""&amp;$A563&amp;""/edit#gid=156619080"",AQ$3)"),"")</f>
        <v/>
      </c>
      <c r="AR563" s="18">
        <f>IFERROR(__xludf.DUMMYFUNCTION("IMPORTRANGE(""https://docs.google.com/spreadsheets/d/""&amp;$A563&amp;""/edit#gid=156619080"",AR$3)"),-70.0)</f>
        <v>-70</v>
      </c>
      <c r="AS563" s="19" t="str">
        <f>IFERROR(__xludf.DUMMYFUNCTION("IMPORTRANGE(""https://docs.google.com/spreadsheets/d/""&amp;$A563&amp;""/edit#gid=156619080"",AS$3)"),"-70
-90
-90
-70
")</f>
        <v>-70
-90
-90
-70
</v>
      </c>
      <c r="AT563" s="18">
        <f>IFERROR(__xludf.DUMMYFUNCTION("IMPORTRANGE(""https://docs.google.com/spreadsheets/d/""&amp;$A563&amp;""/edit#gid=156619080"",AT$3)"),-85.71428571428572)</f>
        <v>-85.71428571</v>
      </c>
      <c r="AU563" s="3" t="str">
        <f>IFERROR(__xludf.DUMMYFUNCTION("IMPORTRANGE(""https://docs.google.com/spreadsheets/d/""&amp;$A563&amp;""/edit#gid=156619080"",AU$3)"),"-2.75
-31.32
-67.03
-85.71
")</f>
        <v>-2.75
-31.32
-67.03
-85.71
</v>
      </c>
      <c r="AV563" s="18">
        <f>IFERROR(__xludf.DUMMYFUNCTION("IMPORTRANGE(""https://docs.google.com/spreadsheets/d/""&amp;$A563&amp;""/edit#gid=156619080"",AV$3)"),-71.81818181818183)</f>
        <v>-71.81818182</v>
      </c>
      <c r="AW563" s="19" t="str">
        <f>IFERROR(__xludf.DUMMYFUNCTION("IMPORTRANGE(""https://docs.google.com/spreadsheets/d/""&amp;$A563&amp;""/edit#gid=156619080"",AW$3)"),"-72.21
-73.51
-72.08
-71.82
")</f>
        <v>-72.21
-73.51
-72.08
-71.82
</v>
      </c>
      <c r="AX563" s="2">
        <f>IFERROR(__xludf.DUMMYFUNCTION("IMPORTRANGE(""https://docs.google.com/spreadsheets/d/""&amp;$A563&amp;""/edit#gid=156619080"",AX$3)"),17.580000000000002)</f>
        <v>17.58</v>
      </c>
      <c r="AY563" s="2">
        <f>IFERROR(__xludf.DUMMYFUNCTION("IMPORTRANGE(""https://docs.google.com/spreadsheets/d/""&amp;$A563&amp;""/edit#gid=156619080"",AY$3)"),28.610000000000003)</f>
        <v>28.61</v>
      </c>
      <c r="AZ563" s="2">
        <f>IFERROR(__xludf.DUMMYFUNCTION("IMPORTRANGE(""https://docs.google.com/spreadsheets/d/""&amp;$A563&amp;""/edit#gid=156619080"",AZ$3)"),1819.88)</f>
        <v>1819.88</v>
      </c>
      <c r="BA563" s="2">
        <f>IFERROR(__xludf.DUMMYFUNCTION("IMPORTRANGE(""https://docs.google.com/spreadsheets/d/""&amp;$A563&amp;""/edit#gid=156619080"",BA$3)"),-94.16999999999985)</f>
        <v>-94.17</v>
      </c>
      <c r="BB563" s="2">
        <f>IFERROR(__xludf.DUMMYFUNCTION("IMPORTRANGE(""https://docs.google.com/spreadsheets/d/""&amp;$A563&amp;""/edit#gid=156619080"",BB$3)"),-36.66)</f>
        <v>-36.66</v>
      </c>
      <c r="BC563" s="2" t="str">
        <f>IFERROR(__xludf.DUMMYFUNCTION("IMPORTRANGE(""https://docs.google.com/spreadsheets/d/""&amp;$A563&amp;""/edit#gid=156619080"",BC$3)"),"DC→DC")</f>
        <v>DC→DC</v>
      </c>
    </row>
    <row r="564" ht="51.0" customHeight="1">
      <c r="A564" s="7" t="str">
        <f t="shared" si="5"/>
        <v>1N9jGJqD2w_HQ0QhWxSCGN-QmBh5Mq8bk2RiMsoJWSmE</v>
      </c>
      <c r="B564" s="1" t="s">
        <v>591</v>
      </c>
      <c r="C564" s="2">
        <f>IFERROR(__xludf.DUMMYFUNCTION("IMPORTRANGE(""https://docs.google.com/spreadsheets/d/""&amp;$A564&amp;""/edit#gid=156619080"",C$3)"),45.0)</f>
        <v>45</v>
      </c>
      <c r="D564" s="2">
        <f>IFERROR(__xludf.DUMMYFUNCTION("IMPORTRANGE(""https://docs.google.com/spreadsheets/d/""&amp;$A564&amp;""/edit#gid=156619080"",D$3)"),6778.0)</f>
        <v>6778</v>
      </c>
      <c r="E564" s="15">
        <f>IFERROR(__xludf.DUMMYFUNCTION("IMPORTRANGE(""https://docs.google.com/spreadsheets/d/""&amp;$A564&amp;""/edit#gid=156619080"",E$3)"),43882.0)</f>
        <v>43882</v>
      </c>
      <c r="F564" s="2">
        <f>IFERROR(__xludf.DUMMYFUNCTION("IMPORTRANGE(""https://docs.google.com/spreadsheets/d/""&amp;$A564&amp;""/edit#gid=156619080"",F$3)"),2.0)</f>
        <v>2</v>
      </c>
      <c r="G564" s="16">
        <f>IFERROR(__xludf.DUMMYFUNCTION("IMPORTRANGE(""https://docs.google.com/spreadsheets/d/""&amp;$A564&amp;""/edit#gid=156619080"",G$3)"),0.15)</f>
        <v>0.15</v>
      </c>
      <c r="H564" s="16">
        <f>IFERROR(__xludf.DUMMYFUNCTION("IMPORTRANGE(""https://docs.google.com/spreadsheets/d/""&amp;$A564&amp;""/edit#gid=156619080"",H$3)"),1335.0)</f>
        <v>1335</v>
      </c>
      <c r="I564" s="16">
        <f>IFERROR(__xludf.DUMMYFUNCTION("IMPORTRANGE(""https://docs.google.com/spreadsheets/d/""&amp;$A564&amp;""/edit#gid=156619080"",I$3)"),18.0)</f>
        <v>18</v>
      </c>
      <c r="J564" s="16">
        <f>IFERROR(__xludf.DUMMYFUNCTION("IMPORTRANGE(""https://docs.google.com/spreadsheets/d/""&amp;$A564&amp;""/edit#gid=156619080"",J$3)"),1377.0)</f>
        <v>1377</v>
      </c>
      <c r="K564" s="16">
        <f>IFERROR(__xludf.DUMMYFUNCTION("IMPORTRANGE(""https://docs.google.com/spreadsheets/d/""&amp;$A564&amp;""/edit#gid=156619080"",K$3)"),0.5555555555555556)</f>
        <v>0.5555555556</v>
      </c>
      <c r="L564" s="16">
        <f>IFERROR(__xludf.DUMMYFUNCTION("IMPORTRANGE(""https://docs.google.com/spreadsheets/d/""&amp;$A564&amp;""/edit#gid=156619080"",L$3)"),1329.0)</f>
        <v>1329</v>
      </c>
      <c r="M564" s="16">
        <f>IFERROR(__xludf.DUMMYFUNCTION("IMPORTRANGE(""https://docs.google.com/spreadsheets/d/""&amp;$A564&amp;""/edit#gid=156619080"",M$3)"),0.375)</f>
        <v>0.375</v>
      </c>
      <c r="N564" s="16">
        <f>IFERROR(__xludf.DUMMYFUNCTION("IMPORTRANGE(""https://docs.google.com/spreadsheets/d/""&amp;$A564&amp;""/edit#gid=156619080"",N$3)"),1355.0)</f>
        <v>1355</v>
      </c>
      <c r="O564" s="16" t="str">
        <f>IFERROR(__xludf.DUMMYFUNCTION("IMPORTRANGE(""https://docs.google.com/spreadsheets/d/""&amp;$A564&amp;""/edit#gid=156619080"",O$3)"),"103000株")</f>
        <v>103000株</v>
      </c>
      <c r="P564" s="16" t="str">
        <f>IFERROR(__xludf.DUMMYFUNCTION("IMPORTRANGE(""https://docs.google.com/spreadsheets/d/""&amp;$A564&amp;""/edit#gid=156619080"",P$3)"),"140百万円")</f>
        <v>140百万円</v>
      </c>
      <c r="Q564" s="16" t="str">
        <f>IFERROR(__xludf.DUMMYFUNCTION("IMPORTRANGE(""https://docs.google.com/spreadsheets/d/""&amp;$A564&amp;""/edit#gid=156619080"",Q$3)"),"427回")</f>
        <v>427回</v>
      </c>
      <c r="R564" s="16" t="str">
        <f>IFERROR(__xludf.DUMMYFUNCTION("IMPORTRANGE(""https://docs.google.com/spreadsheets/d/""&amp;$A564&amp;""/edit#gid=156619080"",R$3)"),"130億円")</f>
        <v>130億円</v>
      </c>
      <c r="S564" s="16" t="str">
        <f>IFERROR(__xludf.DUMMYFUNCTION("IMPORTRANGE(""https://docs.google.com/spreadsheets/d/""&amp;$A564&amp;""/edit#gid=156619080"",S$3)"),"陽線")</f>
        <v>陽線</v>
      </c>
      <c r="T564" s="16" t="str">
        <f>IFERROR(__xludf.DUMMYFUNCTION("IMPORTRANGE(""https://docs.google.com/spreadsheets/d/""&amp;$A564&amp;""/edit#gid=156619080"",T$3)"),"")</f>
        <v/>
      </c>
      <c r="U564" s="16">
        <f>IFERROR(__xludf.DUMMYFUNCTION("IMPORTRANGE(""https://docs.google.com/spreadsheets/d/""&amp;$A564&amp;""/edit#gid=156619080"",U$3)"),1352.8)</f>
        <v>1352.8</v>
      </c>
      <c r="V564" s="16">
        <f>IFERROR(__xludf.DUMMYFUNCTION("IMPORTRANGE(""https://docs.google.com/spreadsheets/d/""&amp;$A564&amp;""/edit#gid=156619080"",V$3)"),1354.5)</f>
        <v>1354.5</v>
      </c>
      <c r="W564" s="16">
        <f>IFERROR(__xludf.DUMMYFUNCTION("IMPORTRANGE(""https://docs.google.com/spreadsheets/d/""&amp;$A564&amp;""/edit#gid=156619080"",W$3)"),1355.1)</f>
        <v>1355.1</v>
      </c>
      <c r="X564" s="2" t="str">
        <f>IFERROR(__xludf.DUMMYFUNCTION("IMPORTRANGE(""https://docs.google.com/spreadsheets/d/""&amp;$A564&amp;""/edit#gid=156619080"",X$3)"),"")</f>
        <v/>
      </c>
      <c r="Y564" s="17">
        <f>IFERROR(__xludf.DUMMYFUNCTION("IMPORTRANGE(""https://docs.google.com/spreadsheets/d/""&amp;$A564&amp;""/edit#gid=156619080"",Y$3)"),0.001626256652868159)</f>
        <v>0.001626256653</v>
      </c>
      <c r="Z564" s="2">
        <f>IFERROR(__xludf.DUMMYFUNCTION("IMPORTRANGE(""https://docs.google.com/spreadsheets/d/""&amp;$A564&amp;""/edit#gid=156619080"",Z$3)"),1421.69)</f>
        <v>1421.69</v>
      </c>
      <c r="AA564" s="2">
        <f>IFERROR(__xludf.DUMMYFUNCTION("IMPORTRANGE(""https://docs.google.com/spreadsheets/d/""&amp;$A564&amp;""/edit#gid=156619080"",AA$3)"),1413.36)</f>
        <v>1413.36</v>
      </c>
      <c r="AB564" s="2">
        <f>IFERROR(__xludf.DUMMYFUNCTION("IMPORTRANGE(""https://docs.google.com/spreadsheets/d/""&amp;$A564&amp;""/edit#gid=156619080"",AB$3)"),1405.04)</f>
        <v>1405.04</v>
      </c>
      <c r="AC564" s="18">
        <f>IFERROR(__xludf.DUMMYFUNCTION("IMPORTRANGE(""https://docs.google.com/spreadsheets/d/""&amp;$A564&amp;""/edit#gid=156619080"",AC$3)"),1396.72)</f>
        <v>1396.72</v>
      </c>
      <c r="AD564" s="18">
        <f>IFERROR(__xludf.DUMMYFUNCTION("IMPORTRANGE(""https://docs.google.com/spreadsheets/d/""&amp;$A564&amp;""/edit#gid=156619080"",AD$3)"),1388.39)</f>
        <v>1388.39</v>
      </c>
      <c r="AE564" s="18">
        <f>IFERROR(__xludf.DUMMYFUNCTION("IMPORTRANGE(""https://docs.google.com/spreadsheets/d/""&amp;$A564&amp;""/edit#gid=156619080"",AE$3)"),1355.1)</f>
        <v>1355.1</v>
      </c>
      <c r="AF564" s="2">
        <f>IFERROR(__xludf.DUMMYFUNCTION("IMPORTRANGE(""https://docs.google.com/spreadsheets/d/""&amp;$A564&amp;""/edit#gid=156619080"",AF$3)"),1321.81)</f>
        <v>1321.81</v>
      </c>
      <c r="AG564" s="2">
        <f>IFERROR(__xludf.DUMMYFUNCTION("IMPORTRANGE(""https://docs.google.com/spreadsheets/d/""&amp;$A564&amp;""/edit#gid=156619080"",AG$3)"),1313.48)</f>
        <v>1313.48</v>
      </c>
      <c r="AH564" s="2">
        <f>IFERROR(__xludf.DUMMYFUNCTION("IMPORTRANGE(""https://docs.google.com/spreadsheets/d/""&amp;$A564&amp;""/edit#gid=156619080"",AH$3)"),1305.16)</f>
        <v>1305.16</v>
      </c>
      <c r="AI564" s="2">
        <f>IFERROR(__xludf.DUMMYFUNCTION("IMPORTRANGE(""https://docs.google.com/spreadsheets/d/""&amp;$A564&amp;""/edit#gid=156619080"",AI$3)"),1296.84)</f>
        <v>1296.84</v>
      </c>
      <c r="AJ564" s="2">
        <f>IFERROR(__xludf.DUMMYFUNCTION("IMPORTRANGE(""https://docs.google.com/spreadsheets/d/""&amp;$A564&amp;""/edit#gid=156619080"",AJ$3)"),1288.51)</f>
        <v>1288.51</v>
      </c>
      <c r="AK564" s="2" t="str">
        <f>IFERROR(__xludf.DUMMYFUNCTION("IMPORTRANGE(""https://docs.google.com/spreadsheets/d/""&amp;$A564&amp;""/edit#gid=156619080"",AK$3)"),"")</f>
        <v/>
      </c>
      <c r="AL564" s="2">
        <f>IFERROR(__xludf.DUMMYFUNCTION("IMPORTRANGE(""https://docs.google.com/spreadsheets/d/""&amp;$A564&amp;""/edit#gid=156619080"",AL$3)"),-1.0)</f>
        <v>-1</v>
      </c>
      <c r="AM564" s="2" t="str">
        <f>IFERROR(__xludf.DUMMYFUNCTION("IMPORTRANGE(""https://docs.google.com/spreadsheets/d/""&amp;$A564&amp;""/edit#gid=156619080"",AM$3)"),"")</f>
        <v/>
      </c>
      <c r="AN564" s="2">
        <f>IFERROR(__xludf.DUMMYFUNCTION("IMPORTRANGE(""https://docs.google.com/spreadsheets/d/""&amp;$A564&amp;""/edit#gid=156619080"",AN$3)"),-1.0)</f>
        <v>-1</v>
      </c>
      <c r="AO564" s="2" t="str">
        <f>IFERROR(__xludf.DUMMYFUNCTION("IMPORTRANGE(""https://docs.google.com/spreadsheets/d/""&amp;$A564&amp;""/edit#gid=156619080"",AO$3)"),"")</f>
        <v/>
      </c>
      <c r="AP564" s="2">
        <f>IFERROR(__xludf.DUMMYFUNCTION("IMPORTRANGE(""https://docs.google.com/spreadsheets/d/""&amp;$A564&amp;""/edit#gid=156619080"",AP$3)"),-1.0)</f>
        <v>-1</v>
      </c>
      <c r="AQ564" s="2" t="str">
        <f>IFERROR(__xludf.DUMMYFUNCTION("IMPORTRANGE(""https://docs.google.com/spreadsheets/d/""&amp;$A564&amp;""/edit#gid=156619080"",AQ$3)"),"")</f>
        <v/>
      </c>
      <c r="AR564" s="18">
        <f>IFERROR(__xludf.DUMMYFUNCTION("IMPORTRANGE(""https://docs.google.com/spreadsheets/d/""&amp;$A564&amp;""/edit#gid=156619080"",AR$3)"),60.0)</f>
        <v>60</v>
      </c>
      <c r="AS564" s="19" t="str">
        <f>IFERROR(__xludf.DUMMYFUNCTION("IMPORTRANGE(""https://docs.google.com/spreadsheets/d/""&amp;$A564&amp;""/edit#gid=156619080"",AS$3)"),"10
-90
0
50
")</f>
        <v>10
-90
0
50
</v>
      </c>
      <c r="AT564" s="18">
        <f>IFERROR(__xludf.DUMMYFUNCTION("IMPORTRANGE(""https://docs.google.com/spreadsheets/d/""&amp;$A564&amp;""/edit#gid=156619080"",AT$3)"),-32.967032967032964)</f>
        <v>-32.96703297</v>
      </c>
      <c r="AU564" s="3" t="str">
        <f>IFERROR(__xludf.DUMMYFUNCTION("IMPORTRANGE(""https://docs.google.com/spreadsheets/d/""&amp;$A564&amp;""/edit#gid=156619080"",AU$3)"),"26.92
12.64
12.64
-8.24
")</f>
        <v>26.92
12.64
12.64
-8.24
</v>
      </c>
      <c r="AV564" s="18">
        <f>IFERROR(__xludf.DUMMYFUNCTION("IMPORTRANGE(""https://docs.google.com/spreadsheets/d/""&amp;$A564&amp;""/edit#gid=156619080"",AV$3)"),-15.06493506493507)</f>
        <v>-15.06493506</v>
      </c>
      <c r="AW564" s="19" t="str">
        <f>IFERROR(__xludf.DUMMYFUNCTION("IMPORTRANGE(""https://docs.google.com/spreadsheets/d/""&amp;$A564&amp;""/edit#gid=156619080"",AW$3)"),"-59.87
-56.23
-40.65
-28.57
")</f>
        <v>-59.87
-56.23
-40.65
-28.57
</v>
      </c>
      <c r="AX564" s="2">
        <f>IFERROR(__xludf.DUMMYFUNCTION("IMPORTRANGE(""https://docs.google.com/spreadsheets/d/""&amp;$A564&amp;""/edit#gid=156619080"",AX$3)"),55.059999999999995)</f>
        <v>55.06</v>
      </c>
      <c r="AY564" s="2">
        <f>IFERROR(__xludf.DUMMYFUNCTION("IMPORTRANGE(""https://docs.google.com/spreadsheets/d/""&amp;$A564&amp;""/edit#gid=156619080"",AY$3)"),40.160000000000004)</f>
        <v>40.16</v>
      </c>
      <c r="AZ564" s="2">
        <f>IFERROR(__xludf.DUMMYFUNCTION("IMPORTRANGE(""https://docs.google.com/spreadsheets/d/""&amp;$A564&amp;""/edit#gid=156619080"",AZ$3)"),1354.63)</f>
        <v>1354.63</v>
      </c>
      <c r="BA564" s="2">
        <f>IFERROR(__xludf.DUMMYFUNCTION("IMPORTRANGE(""https://docs.google.com/spreadsheets/d/""&amp;$A564&amp;""/edit#gid=156619080"",BA$3)"),11.430000000000064)</f>
        <v>11.43</v>
      </c>
      <c r="BB564" s="2">
        <f>IFERROR(__xludf.DUMMYFUNCTION("IMPORTRANGE(""https://docs.google.com/spreadsheets/d/""&amp;$A564&amp;""/edit#gid=156619080"",BB$3)"),25.8)</f>
        <v>25.8</v>
      </c>
      <c r="BC564" s="2" t="str">
        <f>IFERROR(__xludf.DUMMYFUNCTION("IMPORTRANGE(""https://docs.google.com/spreadsheets/d/""&amp;$A564&amp;""/edit#gid=156619080"",BC$3)"),"DC→DC")</f>
        <v>DC→DC</v>
      </c>
    </row>
    <row r="565" ht="51.0" customHeight="1">
      <c r="A565" s="7" t="str">
        <f t="shared" si="5"/>
        <v>1DLy8cOCP3nO5Lqs75KZI11Ltjue5ImHW1GWIcaES_fI</v>
      </c>
      <c r="B565" s="1" t="s">
        <v>592</v>
      </c>
      <c r="C565" s="2">
        <f>IFERROR(__xludf.DUMMYFUNCTION("IMPORTRANGE(""https://docs.google.com/spreadsheets/d/""&amp;$A565&amp;""/edit#gid=156619080"",C$3)"),45.0)</f>
        <v>45</v>
      </c>
      <c r="D565" s="2">
        <f>IFERROR(__xludf.DUMMYFUNCTION("IMPORTRANGE(""https://docs.google.com/spreadsheets/d/""&amp;$A565&amp;""/edit#gid=156619080"",D$3)"),6779.0)</f>
        <v>6779</v>
      </c>
      <c r="E565" s="15">
        <f>IFERROR(__xludf.DUMMYFUNCTION("IMPORTRANGE(""https://docs.google.com/spreadsheets/d/""&amp;$A565&amp;""/edit#gid=156619080"",E$3)"),43882.0)</f>
        <v>43882</v>
      </c>
      <c r="F565" s="2">
        <f>IFERROR(__xludf.DUMMYFUNCTION("IMPORTRANGE(""https://docs.google.com/spreadsheets/d/""&amp;$A565&amp;""/edit#gid=156619080"",F$3)"),1.0)</f>
        <v>1</v>
      </c>
      <c r="G565" s="16">
        <f>IFERROR(__xludf.DUMMYFUNCTION("IMPORTRANGE(""https://docs.google.com/spreadsheets/d/""&amp;$A565&amp;""/edit#gid=156619080"",G$3)"),0.21)</f>
        <v>0.21</v>
      </c>
      <c r="H565" s="16">
        <f>IFERROR(__xludf.DUMMYFUNCTION("IMPORTRANGE(""https://docs.google.com/spreadsheets/d/""&amp;$A565&amp;""/edit#gid=156619080"",H$3)"),481.0)</f>
        <v>481</v>
      </c>
      <c r="I565" s="16">
        <f>IFERROR(__xludf.DUMMYFUNCTION("IMPORTRANGE(""https://docs.google.com/spreadsheets/d/""&amp;$A565&amp;""/edit#gid=156619080"",I$3)"),-1.0)</f>
        <v>-1</v>
      </c>
      <c r="J565" s="16">
        <f>IFERROR(__xludf.DUMMYFUNCTION("IMPORTRANGE(""https://docs.google.com/spreadsheets/d/""&amp;$A565&amp;""/edit#gid=156619080"",J$3)"),492.0)</f>
        <v>492</v>
      </c>
      <c r="K565" s="16">
        <f>IFERROR(__xludf.DUMMYFUNCTION("IMPORTRANGE(""https://docs.google.com/spreadsheets/d/""&amp;$A565&amp;""/edit#gid=156619080"",K$3)"),0.38958333333333334)</f>
        <v>0.3895833333</v>
      </c>
      <c r="L565" s="16">
        <f>IFERROR(__xludf.DUMMYFUNCTION("IMPORTRANGE(""https://docs.google.com/spreadsheets/d/""&amp;$A565&amp;""/edit#gid=156619080"",L$3)"),480.0)</f>
        <v>480</v>
      </c>
      <c r="M565" s="16">
        <f>IFERROR(__xludf.DUMMYFUNCTION("IMPORTRANGE(""https://docs.google.com/spreadsheets/d/""&amp;$A565&amp;""/edit#gid=156619080"",M$3)"),0.4173611111111111)</f>
        <v>0.4173611111</v>
      </c>
      <c r="N565" s="16">
        <f>IFERROR(__xludf.DUMMYFUNCTION("IMPORTRANGE(""https://docs.google.com/spreadsheets/d/""&amp;$A565&amp;""/edit#gid=156619080"",N$3)"),481.0)</f>
        <v>481</v>
      </c>
      <c r="O565" s="16" t="str">
        <f>IFERROR(__xludf.DUMMYFUNCTION("IMPORTRANGE(""https://docs.google.com/spreadsheets/d/""&amp;$A565&amp;""/edit#gid=156619080"",O$3)"),"55200株")</f>
        <v>55200株</v>
      </c>
      <c r="P565" s="16" t="str">
        <f>IFERROR(__xludf.DUMMYFUNCTION("IMPORTRANGE(""https://docs.google.com/spreadsheets/d/""&amp;$A565&amp;""/edit#gid=156619080"",P$3)"),"27百万円")</f>
        <v>27百万円</v>
      </c>
      <c r="Q565" s="16" t="str">
        <f>IFERROR(__xludf.DUMMYFUNCTION("IMPORTRANGE(""https://docs.google.com/spreadsheets/d/""&amp;$A565&amp;""/edit#gid=156619080"",Q$3)"),"202回")</f>
        <v>202回</v>
      </c>
      <c r="R565" s="16" t="str">
        <f>IFERROR(__xludf.DUMMYFUNCTION("IMPORTRANGE(""https://docs.google.com/spreadsheets/d/""&amp;$A565&amp;""/edit#gid=156619080"",R$3)"),"99.9億円")</f>
        <v>99.9億円</v>
      </c>
      <c r="S565" s="16" t="str">
        <f>IFERROR(__xludf.DUMMYFUNCTION("IMPORTRANGE(""https://docs.google.com/spreadsheets/d/""&amp;$A565&amp;""/edit#gid=156619080"",S$3)"),"一本線")</f>
        <v>一本線</v>
      </c>
      <c r="T565" s="16" t="str">
        <f>IFERROR(__xludf.DUMMYFUNCTION("IMPORTRANGE(""https://docs.google.com/spreadsheets/d/""&amp;$A565&amp;""/edit#gid=156619080"",T$3)"),"")</f>
        <v/>
      </c>
      <c r="U565" s="16">
        <f>IFERROR(__xludf.DUMMYFUNCTION("IMPORTRANGE(""https://docs.google.com/spreadsheets/d/""&amp;$A565&amp;""/edit#gid=156619080"",U$3)"),476.4)</f>
        <v>476.4</v>
      </c>
      <c r="V565" s="16">
        <f>IFERROR(__xludf.DUMMYFUNCTION("IMPORTRANGE(""https://docs.google.com/spreadsheets/d/""&amp;$A565&amp;""/edit#gid=156619080"",V$3)"),483.8)</f>
        <v>483.8</v>
      </c>
      <c r="W565" s="16">
        <f>IFERROR(__xludf.DUMMYFUNCTION("IMPORTRANGE(""https://docs.google.com/spreadsheets/d/""&amp;$A565&amp;""/edit#gid=156619080"",W$3)"),496.4)</f>
        <v>496.4</v>
      </c>
      <c r="X565" s="2" t="str">
        <f>IFERROR(__xludf.DUMMYFUNCTION("IMPORTRANGE(""https://docs.google.com/spreadsheets/d/""&amp;$A565&amp;""/edit#gid=156619080"",X$3)"),"")</f>
        <v/>
      </c>
      <c r="Y565" s="17">
        <f>IFERROR(__xludf.DUMMYFUNCTION("IMPORTRANGE(""https://docs.google.com/spreadsheets/d/""&amp;$A565&amp;""/edit#gid=156619080"",Y$3)"),0.009655751469353532)</f>
        <v>0.009655751469</v>
      </c>
      <c r="Z565" s="2">
        <f>IFERROR(__xludf.DUMMYFUNCTION("IMPORTRANGE(""https://docs.google.com/spreadsheets/d/""&amp;$A565&amp;""/edit#gid=156619080"",Z$3)"),547.23)</f>
        <v>547.23</v>
      </c>
      <c r="AA565" s="2">
        <f>IFERROR(__xludf.DUMMYFUNCTION("IMPORTRANGE(""https://docs.google.com/spreadsheets/d/""&amp;$A565&amp;""/edit#gid=156619080"",AA$3)"),540.88)</f>
        <v>540.88</v>
      </c>
      <c r="AB565" s="2">
        <f>IFERROR(__xludf.DUMMYFUNCTION("IMPORTRANGE(""https://docs.google.com/spreadsheets/d/""&amp;$A565&amp;""/edit#gid=156619080"",AB$3)"),534.52)</f>
        <v>534.52</v>
      </c>
      <c r="AC565" s="18">
        <f>IFERROR(__xludf.DUMMYFUNCTION("IMPORTRANGE(""https://docs.google.com/spreadsheets/d/""&amp;$A565&amp;""/edit#gid=156619080"",AC$3)"),528.17)</f>
        <v>528.17</v>
      </c>
      <c r="AD565" s="18">
        <f>IFERROR(__xludf.DUMMYFUNCTION("IMPORTRANGE(""https://docs.google.com/spreadsheets/d/""&amp;$A565&amp;""/edit#gid=156619080"",AD$3)"),521.82)</f>
        <v>521.82</v>
      </c>
      <c r="AE565" s="18">
        <f>IFERROR(__xludf.DUMMYFUNCTION("IMPORTRANGE(""https://docs.google.com/spreadsheets/d/""&amp;$A565&amp;""/edit#gid=156619080"",AE$3)"),496.4)</f>
        <v>496.4</v>
      </c>
      <c r="AF565" s="2">
        <f>IFERROR(__xludf.DUMMYFUNCTION("IMPORTRANGE(""https://docs.google.com/spreadsheets/d/""&amp;$A565&amp;""/edit#gid=156619080"",AF$3)"),470.98)</f>
        <v>470.98</v>
      </c>
      <c r="AG565" s="2">
        <f>IFERROR(__xludf.DUMMYFUNCTION("IMPORTRANGE(""https://docs.google.com/spreadsheets/d/""&amp;$A565&amp;""/edit#gid=156619080"",AG$3)"),464.63)</f>
        <v>464.63</v>
      </c>
      <c r="AH565" s="2">
        <f>IFERROR(__xludf.DUMMYFUNCTION("IMPORTRANGE(""https://docs.google.com/spreadsheets/d/""&amp;$A565&amp;""/edit#gid=156619080"",AH$3)"),458.28)</f>
        <v>458.28</v>
      </c>
      <c r="AI565" s="2">
        <f>IFERROR(__xludf.DUMMYFUNCTION("IMPORTRANGE(""https://docs.google.com/spreadsheets/d/""&amp;$A565&amp;""/edit#gid=156619080"",AI$3)"),451.92)</f>
        <v>451.92</v>
      </c>
      <c r="AJ565" s="2">
        <f>IFERROR(__xludf.DUMMYFUNCTION("IMPORTRANGE(""https://docs.google.com/spreadsheets/d/""&amp;$A565&amp;""/edit#gid=156619080"",AJ$3)"),445.57)</f>
        <v>445.57</v>
      </c>
      <c r="AK565" s="2" t="str">
        <f>IFERROR(__xludf.DUMMYFUNCTION("IMPORTRANGE(""https://docs.google.com/spreadsheets/d/""&amp;$A565&amp;""/edit#gid=156619080"",AK$3)"),"")</f>
        <v/>
      </c>
      <c r="AL565" s="2">
        <f>IFERROR(__xludf.DUMMYFUNCTION("IMPORTRANGE(""https://docs.google.com/spreadsheets/d/""&amp;$A565&amp;""/edit#gid=156619080"",AL$3)"),-1.0)</f>
        <v>-1</v>
      </c>
      <c r="AM565" s="2" t="str">
        <f>IFERROR(__xludf.DUMMYFUNCTION("IMPORTRANGE(""https://docs.google.com/spreadsheets/d/""&amp;$A565&amp;""/edit#gid=156619080"",AM$3)"),"")</f>
        <v/>
      </c>
      <c r="AN565" s="2">
        <f>IFERROR(__xludf.DUMMYFUNCTION("IMPORTRANGE(""https://docs.google.com/spreadsheets/d/""&amp;$A565&amp;""/edit#gid=156619080"",AN$3)"),-1.0)</f>
        <v>-1</v>
      </c>
      <c r="AO565" s="2" t="str">
        <f>IFERROR(__xludf.DUMMYFUNCTION("IMPORTRANGE(""https://docs.google.com/spreadsheets/d/""&amp;$A565&amp;""/edit#gid=156619080"",AO$3)"),"")</f>
        <v/>
      </c>
      <c r="AP565" s="2">
        <f>IFERROR(__xludf.DUMMYFUNCTION("IMPORTRANGE(""https://docs.google.com/spreadsheets/d/""&amp;$A565&amp;""/edit#gid=156619080"",AP$3)"),-1.0)</f>
        <v>-1</v>
      </c>
      <c r="AQ565" s="2" t="str">
        <f>IFERROR(__xludf.DUMMYFUNCTION("IMPORTRANGE(""https://docs.google.com/spreadsheets/d/""&amp;$A565&amp;""/edit#gid=156619080"",AQ$3)"),"")</f>
        <v/>
      </c>
      <c r="AR565" s="18">
        <f>IFERROR(__xludf.DUMMYFUNCTION("IMPORTRANGE(""https://docs.google.com/spreadsheets/d/""&amp;$A565&amp;""/edit#gid=156619080"",AR$3)"),87.5)</f>
        <v>87.5</v>
      </c>
      <c r="AS565" s="19" t="str">
        <f>IFERROR(__xludf.DUMMYFUNCTION("IMPORTRANGE(""https://docs.google.com/spreadsheets/d/""&amp;$A565&amp;""/edit#gid=156619080"",AS$3)"),"0
-100
-70
-12.5
")</f>
        <v>0
-100
-70
-12.5
</v>
      </c>
      <c r="AT565" s="18">
        <f>IFERROR(__xludf.DUMMYFUNCTION("IMPORTRANGE(""https://docs.google.com/spreadsheets/d/""&amp;$A565&amp;""/edit#gid=156619080"",AT$3)"),-58.928571428571416)</f>
        <v>-58.92857143</v>
      </c>
      <c r="AU565" s="3" t="str">
        <f>IFERROR(__xludf.DUMMYFUNCTION("IMPORTRANGE(""https://docs.google.com/spreadsheets/d/""&amp;$A565&amp;""/edit#gid=156619080"",AU$3)"),"-32.83
-30.08
-41.76
-34.2
")</f>
        <v>-32.83
-30.08
-41.76
-34.2
</v>
      </c>
      <c r="AV565" s="18">
        <f>IFERROR(__xludf.DUMMYFUNCTION("IMPORTRANGE(""https://docs.google.com/spreadsheets/d/""&amp;$A565&amp;""/edit#gid=156619080"",AV$3)"),-73.63636363636363)</f>
        <v>-73.63636364</v>
      </c>
      <c r="AW565" s="19" t="str">
        <f>IFERROR(__xludf.DUMMYFUNCTION("IMPORTRANGE(""https://docs.google.com/spreadsheets/d/""&amp;$A565&amp;""/edit#gid=156619080"",AW$3)"),"-82.69
-83.34
-80.75
-77.66
")</f>
        <v>-82.69
-83.34
-80.75
-77.66
</v>
      </c>
      <c r="AX565" s="2">
        <f>IFERROR(__xludf.DUMMYFUNCTION("IMPORTRANGE(""https://docs.google.com/spreadsheets/d/""&amp;$A565&amp;""/edit#gid=156619080"",AX$3)"),46.67)</f>
        <v>46.67</v>
      </c>
      <c r="AY565" s="2">
        <f>IFERROR(__xludf.DUMMYFUNCTION("IMPORTRANGE(""https://docs.google.com/spreadsheets/d/""&amp;$A565&amp;""/edit#gid=156619080"",AY$3)"),32.74)</f>
        <v>32.74</v>
      </c>
      <c r="AZ565" s="2">
        <f>IFERROR(__xludf.DUMMYFUNCTION("IMPORTRANGE(""https://docs.google.com/spreadsheets/d/""&amp;$A565&amp;""/edit#gid=156619080"",AZ$3)"),479.59)</f>
        <v>479.59</v>
      </c>
      <c r="BA565" s="2">
        <f>IFERROR(__xludf.DUMMYFUNCTION("IMPORTRANGE(""https://docs.google.com/spreadsheets/d/""&amp;$A565&amp;""/edit#gid=156619080"",BA$3)"),-15.050000000000011)</f>
        <v>-15.05</v>
      </c>
      <c r="BB565" s="2">
        <f>IFERROR(__xludf.DUMMYFUNCTION("IMPORTRANGE(""https://docs.google.com/spreadsheets/d/""&amp;$A565&amp;""/edit#gid=156619080"",BB$3)"),-15.7)</f>
        <v>-15.7</v>
      </c>
      <c r="BC565" s="2" t="str">
        <f>IFERROR(__xludf.DUMMYFUNCTION("IMPORTRANGE(""https://docs.google.com/spreadsheets/d/""&amp;$A565&amp;""/edit#gid=156619080"",BC$3)"),"DC→GC")</f>
        <v>DC→GC</v>
      </c>
    </row>
    <row r="566" ht="51.0" customHeight="1">
      <c r="A566" s="7" t="str">
        <f t="shared" si="5"/>
        <v>1B5JBmzvO3rXYbtXgS4DpoYZ7lpoNLI1pxYGA1TNRuFI</v>
      </c>
      <c r="B566" s="1" t="s">
        <v>593</v>
      </c>
      <c r="C566" s="2">
        <f>IFERROR(__xludf.DUMMYFUNCTION("IMPORTRANGE(""https://docs.google.com/spreadsheets/d/""&amp;$A566&amp;""/edit#gid=156619080"",C$3)"),45.0)</f>
        <v>45</v>
      </c>
      <c r="D566" s="2">
        <f>IFERROR(__xludf.DUMMYFUNCTION("IMPORTRANGE(""https://docs.google.com/spreadsheets/d/""&amp;$A566&amp;""/edit#gid=156619080"",D$3)"),6800.0)</f>
        <v>6800</v>
      </c>
      <c r="E566" s="15">
        <f>IFERROR(__xludf.DUMMYFUNCTION("IMPORTRANGE(""https://docs.google.com/spreadsheets/d/""&amp;$A566&amp;""/edit#gid=156619080"",E$3)"),43882.0)</f>
        <v>43882</v>
      </c>
      <c r="F566" s="2">
        <f>IFERROR(__xludf.DUMMYFUNCTION("IMPORTRANGE(""https://docs.google.com/spreadsheets/d/""&amp;$A566&amp;""/edit#gid=156619080"",F$3)"),-31.0)</f>
        <v>-31</v>
      </c>
      <c r="G566" s="16">
        <f>IFERROR(__xludf.DUMMYFUNCTION("IMPORTRANGE(""https://docs.google.com/spreadsheets/d/""&amp;$A566&amp;""/edit#gid=156619080"",G$3)"),-1.05)</f>
        <v>-1.05</v>
      </c>
      <c r="H566" s="16">
        <f>IFERROR(__xludf.DUMMYFUNCTION("IMPORTRANGE(""https://docs.google.com/spreadsheets/d/""&amp;$A566&amp;""/edit#gid=156619080"",H$3)"),2942.0)</f>
        <v>2942</v>
      </c>
      <c r="I566" s="16">
        <f>IFERROR(__xludf.DUMMYFUNCTION("IMPORTRANGE(""https://docs.google.com/spreadsheets/d/""&amp;$A566&amp;""/edit#gid=156619080"",I$3)"),12.0)</f>
        <v>12</v>
      </c>
      <c r="J566" s="16">
        <f>IFERROR(__xludf.DUMMYFUNCTION("IMPORTRANGE(""https://docs.google.com/spreadsheets/d/""&amp;$A566&amp;""/edit#gid=156619080"",J$3)"),2999.0)</f>
        <v>2999</v>
      </c>
      <c r="K566" s="16">
        <f>IFERROR(__xludf.DUMMYFUNCTION("IMPORTRANGE(""https://docs.google.com/spreadsheets/d/""&amp;$A566&amp;""/edit#gid=156619080"",K$3)"),0.3909722222222222)</f>
        <v>0.3909722222</v>
      </c>
      <c r="L566" s="16">
        <f>IFERROR(__xludf.DUMMYFUNCTION("IMPORTRANGE(""https://docs.google.com/spreadsheets/d/""&amp;$A566&amp;""/edit#gid=156619080"",L$3)"),2913.0)</f>
        <v>2913</v>
      </c>
      <c r="M566" s="16">
        <f>IFERROR(__xludf.DUMMYFUNCTION("IMPORTRANGE(""https://docs.google.com/spreadsheets/d/""&amp;$A566&amp;""/edit#gid=156619080"",M$3)"),0.6173611111111111)</f>
        <v>0.6173611111</v>
      </c>
      <c r="N566" s="16">
        <f>IFERROR(__xludf.DUMMYFUNCTION("IMPORTRANGE(""https://docs.google.com/spreadsheets/d/""&amp;$A566&amp;""/edit#gid=156619080"",N$3)"),2923.0)</f>
        <v>2923</v>
      </c>
      <c r="O566" s="16" t="str">
        <f>IFERROR(__xludf.DUMMYFUNCTION("IMPORTRANGE(""https://docs.google.com/spreadsheets/d/""&amp;$A566&amp;""/edit#gid=156619080"",O$3)"),"86800株")</f>
        <v>86800株</v>
      </c>
      <c r="P566" s="16" t="str">
        <f>IFERROR(__xludf.DUMMYFUNCTION("IMPORTRANGE(""https://docs.google.com/spreadsheets/d/""&amp;$A566&amp;""/edit#gid=156619080"",P$3)"),"255百万円")</f>
        <v>255百万円</v>
      </c>
      <c r="Q566" s="16" t="str">
        <f>IFERROR(__xludf.DUMMYFUNCTION("IMPORTRANGE(""https://docs.google.com/spreadsheets/d/""&amp;$A566&amp;""/edit#gid=156619080"",Q$3)"),"448回")</f>
        <v>448回</v>
      </c>
      <c r="R566" s="16" t="str">
        <f>IFERROR(__xludf.DUMMYFUNCTION("IMPORTRANGE(""https://docs.google.com/spreadsheets/d/""&amp;$A566&amp;""/edit#gid=156619080"",R$3)"),"609億円")</f>
        <v>609億円</v>
      </c>
      <c r="S566" s="16" t="str">
        <f>IFERROR(__xludf.DUMMYFUNCTION("IMPORTRANGE(""https://docs.google.com/spreadsheets/d/""&amp;$A566&amp;""/edit#gid=156619080"",S$3)"),"陰線")</f>
        <v>陰線</v>
      </c>
      <c r="T566" s="16" t="str">
        <f>IFERROR(__xludf.DUMMYFUNCTION("IMPORTRANGE(""https://docs.google.com/spreadsheets/d/""&amp;$A566&amp;""/edit#gid=156619080"",T$3)"),"")</f>
        <v/>
      </c>
      <c r="U566" s="16">
        <f>IFERROR(__xludf.DUMMYFUNCTION("IMPORTRANGE(""https://docs.google.com/spreadsheets/d/""&amp;$A566&amp;""/edit#gid=156619080"",U$3)"),2954.8)</f>
        <v>2954.8</v>
      </c>
      <c r="V566" s="16">
        <f>IFERROR(__xludf.DUMMYFUNCTION("IMPORTRANGE(""https://docs.google.com/spreadsheets/d/""&amp;$A566&amp;""/edit#gid=156619080"",V$3)"),3043.7)</f>
        <v>3043.7</v>
      </c>
      <c r="W566" s="16">
        <f>IFERROR(__xludf.DUMMYFUNCTION("IMPORTRANGE(""https://docs.google.com/spreadsheets/d/""&amp;$A566&amp;""/edit#gid=156619080"",W$3)"),3056.4)</f>
        <v>3056.4</v>
      </c>
      <c r="X566" s="2" t="str">
        <f>IFERROR(__xludf.DUMMYFUNCTION("IMPORTRANGE(""https://docs.google.com/spreadsheets/d/""&amp;$A566&amp;""/edit#gid=156619080"",X$3)"),"")</f>
        <v/>
      </c>
      <c r="Y566" s="17">
        <f>IFERROR(__xludf.DUMMYFUNCTION("IMPORTRANGE(""https://docs.google.com/spreadsheets/d/""&amp;$A566&amp;""/edit#gid=156619080"",Y$3)"),-0.010762149722485508)</f>
        <v>-0.01076214972</v>
      </c>
      <c r="Z566" s="2">
        <f>IFERROR(__xludf.DUMMYFUNCTION("IMPORTRANGE(""https://docs.google.com/spreadsheets/d/""&amp;$A566&amp;""/edit#gid=156619080"",Z$3)"),3346.49)</f>
        <v>3346.49</v>
      </c>
      <c r="AA566" s="2">
        <f>IFERROR(__xludf.DUMMYFUNCTION("IMPORTRANGE(""https://docs.google.com/spreadsheets/d/""&amp;$A566&amp;""/edit#gid=156619080"",AA$3)"),3310.23)</f>
        <v>3310.23</v>
      </c>
      <c r="AB566" s="2">
        <f>IFERROR(__xludf.DUMMYFUNCTION("IMPORTRANGE(""https://docs.google.com/spreadsheets/d/""&amp;$A566&amp;""/edit#gid=156619080"",AB$3)"),3273.97)</f>
        <v>3273.97</v>
      </c>
      <c r="AC566" s="18">
        <f>IFERROR(__xludf.DUMMYFUNCTION("IMPORTRANGE(""https://docs.google.com/spreadsheets/d/""&amp;$A566&amp;""/edit#gid=156619080"",AC$3)"),3237.71)</f>
        <v>3237.71</v>
      </c>
      <c r="AD566" s="18">
        <f>IFERROR(__xludf.DUMMYFUNCTION("IMPORTRANGE(""https://docs.google.com/spreadsheets/d/""&amp;$A566&amp;""/edit#gid=156619080"",AD$3)"),3201.45)</f>
        <v>3201.45</v>
      </c>
      <c r="AE566" s="18">
        <f>IFERROR(__xludf.DUMMYFUNCTION("IMPORTRANGE(""https://docs.google.com/spreadsheets/d/""&amp;$A566&amp;""/edit#gid=156619080"",AE$3)"),3056.4)</f>
        <v>3056.4</v>
      </c>
      <c r="AF566" s="2">
        <f>IFERROR(__xludf.DUMMYFUNCTION("IMPORTRANGE(""https://docs.google.com/spreadsheets/d/""&amp;$A566&amp;""/edit#gid=156619080"",AF$3)"),2911.35)</f>
        <v>2911.35</v>
      </c>
      <c r="AG566" s="2">
        <f>IFERROR(__xludf.DUMMYFUNCTION("IMPORTRANGE(""https://docs.google.com/spreadsheets/d/""&amp;$A566&amp;""/edit#gid=156619080"",AG$3)"),2875.09)</f>
        <v>2875.09</v>
      </c>
      <c r="AH566" s="2">
        <f>IFERROR(__xludf.DUMMYFUNCTION("IMPORTRANGE(""https://docs.google.com/spreadsheets/d/""&amp;$A566&amp;""/edit#gid=156619080"",AH$3)"),2838.83)</f>
        <v>2838.83</v>
      </c>
      <c r="AI566" s="2">
        <f>IFERROR(__xludf.DUMMYFUNCTION("IMPORTRANGE(""https://docs.google.com/spreadsheets/d/""&amp;$A566&amp;""/edit#gid=156619080"",AI$3)"),2802.57)</f>
        <v>2802.57</v>
      </c>
      <c r="AJ566" s="2">
        <f>IFERROR(__xludf.DUMMYFUNCTION("IMPORTRANGE(""https://docs.google.com/spreadsheets/d/""&amp;$A566&amp;""/edit#gid=156619080"",AJ$3)"),2766.31)</f>
        <v>2766.31</v>
      </c>
      <c r="AK566" s="2" t="str">
        <f>IFERROR(__xludf.DUMMYFUNCTION("IMPORTRANGE(""https://docs.google.com/spreadsheets/d/""&amp;$A566&amp;""/edit#gid=156619080"",AK$3)"),"")</f>
        <v/>
      </c>
      <c r="AL566" s="2">
        <f>IFERROR(__xludf.DUMMYFUNCTION("IMPORTRANGE(""https://docs.google.com/spreadsheets/d/""&amp;$A566&amp;""/edit#gid=156619080"",AL$3)"),-1.0)</f>
        <v>-1</v>
      </c>
      <c r="AM566" s="2" t="str">
        <f>IFERROR(__xludf.DUMMYFUNCTION("IMPORTRANGE(""https://docs.google.com/spreadsheets/d/""&amp;$A566&amp;""/edit#gid=156619080"",AM$3)"),"")</f>
        <v/>
      </c>
      <c r="AN566" s="2">
        <f>IFERROR(__xludf.DUMMYFUNCTION("IMPORTRANGE(""https://docs.google.com/spreadsheets/d/""&amp;$A566&amp;""/edit#gid=156619080"",AN$3)"),-1.0)</f>
        <v>-1</v>
      </c>
      <c r="AO566" s="2" t="str">
        <f>IFERROR(__xludf.DUMMYFUNCTION("IMPORTRANGE(""https://docs.google.com/spreadsheets/d/""&amp;$A566&amp;""/edit#gid=156619080"",AO$3)"),"")</f>
        <v/>
      </c>
      <c r="AP566" s="2">
        <f>IFERROR(__xludf.DUMMYFUNCTION("IMPORTRANGE(""https://docs.google.com/spreadsheets/d/""&amp;$A566&amp;""/edit#gid=156619080"",AP$3)"),-1.0)</f>
        <v>-1</v>
      </c>
      <c r="AQ566" s="2" t="str">
        <f>IFERROR(__xludf.DUMMYFUNCTION("IMPORTRANGE(""https://docs.google.com/spreadsheets/d/""&amp;$A566&amp;""/edit#gid=156619080"",AQ$3)"),"")</f>
        <v/>
      </c>
      <c r="AR566" s="18">
        <f>IFERROR(__xludf.DUMMYFUNCTION("IMPORTRANGE(""https://docs.google.com/spreadsheets/d/""&amp;$A566&amp;""/edit#gid=156619080"",AR$3)"),-39.99999999999999)</f>
        <v>-40</v>
      </c>
      <c r="AS566" s="19" t="str">
        <f>IFERROR(__xludf.DUMMYFUNCTION("IMPORTRANGE(""https://docs.google.com/spreadsheets/d/""&amp;$A566&amp;""/edit#gid=156619080"",AS$3)"),"10
-90
-90
-70
")</f>
        <v>10
-90
-90
-70
</v>
      </c>
      <c r="AT566" s="18">
        <f>IFERROR(__xludf.DUMMYFUNCTION("IMPORTRANGE(""https://docs.google.com/spreadsheets/d/""&amp;$A566&amp;""/edit#gid=156619080"",AT$3)"),-34.06593406593406)</f>
        <v>-34.06593407</v>
      </c>
      <c r="AU566" s="3" t="str">
        <f>IFERROR(__xludf.DUMMYFUNCTION("IMPORTRANGE(""https://docs.google.com/spreadsheets/d/""&amp;$A566&amp;""/edit#gid=156619080"",AU$3)"),"61.4
46.15
30.22
1.65
")</f>
        <v>61.4
46.15
30.22
1.65
</v>
      </c>
      <c r="AV566" s="18">
        <f>IFERROR(__xludf.DUMMYFUNCTION("IMPORTRANGE(""https://docs.google.com/spreadsheets/d/""&amp;$A566&amp;""/edit#gid=156619080"",AV$3)"),-30.292207792207783)</f>
        <v>-30.29220779</v>
      </c>
      <c r="AW566" s="19" t="str">
        <f>IFERROR(__xludf.DUMMYFUNCTION("IMPORTRANGE(""https://docs.google.com/spreadsheets/d/""&amp;$A566&amp;""/edit#gid=156619080"",AW$3)"),"-37.69
-40.42
-34.84
-32.37
")</f>
        <v>-37.69
-40.42
-34.84
-32.37
</v>
      </c>
      <c r="AX566" s="2">
        <f>IFERROR(__xludf.DUMMYFUNCTION("IMPORTRANGE(""https://docs.google.com/spreadsheets/d/""&amp;$A566&amp;""/edit#gid=156619080"",AX$3)"),22.36)</f>
        <v>22.36</v>
      </c>
      <c r="AY566" s="2">
        <f>IFERROR(__xludf.DUMMYFUNCTION("IMPORTRANGE(""https://docs.google.com/spreadsheets/d/""&amp;$A566&amp;""/edit#gid=156619080"",AY$3)"),38.82)</f>
        <v>38.82</v>
      </c>
      <c r="AZ566" s="2">
        <f>IFERROR(__xludf.DUMMYFUNCTION("IMPORTRANGE(""https://docs.google.com/spreadsheets/d/""&amp;$A566&amp;""/edit#gid=156619080"",AZ$3)"),2976.19)</f>
        <v>2976.19</v>
      </c>
      <c r="BA566" s="2">
        <f>IFERROR(__xludf.DUMMYFUNCTION("IMPORTRANGE(""https://docs.google.com/spreadsheets/d/""&amp;$A566&amp;""/edit#gid=156619080"",BA$3)"),-93.54999999999973)</f>
        <v>-93.55</v>
      </c>
      <c r="BB566" s="2">
        <f>IFERROR(__xludf.DUMMYFUNCTION("IMPORTRANGE(""https://docs.google.com/spreadsheets/d/""&amp;$A566&amp;""/edit#gid=156619080"",BB$3)"),-61.43)</f>
        <v>-61.43</v>
      </c>
      <c r="BC566" s="2" t="str">
        <f>IFERROR(__xludf.DUMMYFUNCTION("IMPORTRANGE(""https://docs.google.com/spreadsheets/d/""&amp;$A566&amp;""/edit#gid=156619080"",BC$3)"),"DC→DC")</f>
        <v>DC→DC</v>
      </c>
    </row>
    <row r="567" ht="51.0" customHeight="1">
      <c r="A567" s="7" t="str">
        <f t="shared" si="5"/>
        <v>1JQElAcySqhFw5T-ZNYUJaRvtQc_iA0-Vj_fMlLm_Sis</v>
      </c>
      <c r="B567" s="1" t="s">
        <v>594</v>
      </c>
      <c r="C567" s="2">
        <f>IFERROR(__xludf.DUMMYFUNCTION("IMPORTRANGE(""https://docs.google.com/spreadsheets/d/""&amp;$A567&amp;""/edit#gid=156619080"",C$3)"),45.0)</f>
        <v>45</v>
      </c>
      <c r="D567" s="2">
        <f>IFERROR(__xludf.DUMMYFUNCTION("IMPORTRANGE(""https://docs.google.com/spreadsheets/d/""&amp;$A567&amp;""/edit#gid=156619080"",D$3)"),6834.0)</f>
        <v>6834</v>
      </c>
      <c r="E567" s="15">
        <f>IFERROR(__xludf.DUMMYFUNCTION("IMPORTRANGE(""https://docs.google.com/spreadsheets/d/""&amp;$A567&amp;""/edit#gid=156619080"",E$3)"),43882.0)</f>
        <v>43882</v>
      </c>
      <c r="F567" s="2">
        <f>IFERROR(__xludf.DUMMYFUNCTION("IMPORTRANGE(""https://docs.google.com/spreadsheets/d/""&amp;$A567&amp;""/edit#gid=156619080"",F$3)"),8.0)</f>
        <v>8</v>
      </c>
      <c r="G567" s="16">
        <f>IFERROR(__xludf.DUMMYFUNCTION("IMPORTRANGE(""https://docs.google.com/spreadsheets/d/""&amp;$A567&amp;""/edit#gid=156619080"",G$3)"),0.31)</f>
        <v>0.31</v>
      </c>
      <c r="H567" s="16">
        <f>IFERROR(__xludf.DUMMYFUNCTION("IMPORTRANGE(""https://docs.google.com/spreadsheets/d/""&amp;$A567&amp;""/edit#gid=156619080"",H$3)"),2599.0)</f>
        <v>2599</v>
      </c>
      <c r="I567" s="16">
        <f>IFERROR(__xludf.DUMMYFUNCTION("IMPORTRANGE(""https://docs.google.com/spreadsheets/d/""&amp;$A567&amp;""/edit#gid=156619080"",I$3)"),14.0)</f>
        <v>14</v>
      </c>
      <c r="J567" s="16">
        <f>IFERROR(__xludf.DUMMYFUNCTION("IMPORTRANGE(""https://docs.google.com/spreadsheets/d/""&amp;$A567&amp;""/edit#gid=156619080"",J$3)"),2654.0)</f>
        <v>2654</v>
      </c>
      <c r="K567" s="16">
        <f>IFERROR(__xludf.DUMMYFUNCTION("IMPORTRANGE(""https://docs.google.com/spreadsheets/d/""&amp;$A567&amp;""/edit#gid=156619080"",K$3)"),0.3819444444444444)</f>
        <v>0.3819444444</v>
      </c>
      <c r="L567" s="16">
        <f>IFERROR(__xludf.DUMMYFUNCTION("IMPORTRANGE(""https://docs.google.com/spreadsheets/d/""&amp;$A567&amp;""/edit#gid=156619080"",L$3)"),2583.0)</f>
        <v>2583</v>
      </c>
      <c r="M567" s="16">
        <f>IFERROR(__xludf.DUMMYFUNCTION("IMPORTRANGE(""https://docs.google.com/spreadsheets/d/""&amp;$A567&amp;""/edit#gid=156619080"",M$3)"),0.525)</f>
        <v>0.525</v>
      </c>
      <c r="N567" s="16">
        <f>IFERROR(__xludf.DUMMYFUNCTION("IMPORTRANGE(""https://docs.google.com/spreadsheets/d/""&amp;$A567&amp;""/edit#gid=156619080"",N$3)"),2621.0)</f>
        <v>2621</v>
      </c>
      <c r="O567" s="16" t="str">
        <f>IFERROR(__xludf.DUMMYFUNCTION("IMPORTRANGE(""https://docs.google.com/spreadsheets/d/""&amp;$A567&amp;""/edit#gid=156619080"",O$3)"),"19300株")</f>
        <v>19300株</v>
      </c>
      <c r="P567" s="16" t="str">
        <f>IFERROR(__xludf.DUMMYFUNCTION("IMPORTRANGE(""https://docs.google.com/spreadsheets/d/""&amp;$A567&amp;""/edit#gid=156619080"",P$3)"),"50百万円")</f>
        <v>50百万円</v>
      </c>
      <c r="Q567" s="16" t="str">
        <f>IFERROR(__xludf.DUMMYFUNCTION("IMPORTRANGE(""https://docs.google.com/spreadsheets/d/""&amp;$A567&amp;""/edit#gid=156619080"",Q$3)"),"121回")</f>
        <v>121回</v>
      </c>
      <c r="R567" s="16" t="str">
        <f>IFERROR(__xludf.DUMMYFUNCTION("IMPORTRANGE(""https://docs.google.com/spreadsheets/d/""&amp;$A567&amp;""/edit#gid=156619080"",R$3)"),"245億円")</f>
        <v>245億円</v>
      </c>
      <c r="S567" s="16" t="str">
        <f>IFERROR(__xludf.DUMMYFUNCTION("IMPORTRANGE(""https://docs.google.com/spreadsheets/d/""&amp;$A567&amp;""/edit#gid=156619080"",S$3)"),"陽線")</f>
        <v>陽線</v>
      </c>
      <c r="T567" s="16" t="str">
        <f>IFERROR(__xludf.DUMMYFUNCTION("IMPORTRANGE(""https://docs.google.com/spreadsheets/d/""&amp;$A567&amp;""/edit#gid=156619080"",T$3)"),"")</f>
        <v/>
      </c>
      <c r="U567" s="16">
        <f>IFERROR(__xludf.DUMMYFUNCTION("IMPORTRANGE(""https://docs.google.com/spreadsheets/d/""&amp;$A567&amp;""/edit#gid=156619080"",U$3)"),2619.2)</f>
        <v>2619.2</v>
      </c>
      <c r="V567" s="16">
        <f>IFERROR(__xludf.DUMMYFUNCTION("IMPORTRANGE(""https://docs.google.com/spreadsheets/d/""&amp;$A567&amp;""/edit#gid=156619080"",V$3)"),2783.0)</f>
        <v>2783</v>
      </c>
      <c r="W567" s="16">
        <f>IFERROR(__xludf.DUMMYFUNCTION("IMPORTRANGE(""https://docs.google.com/spreadsheets/d/""&amp;$A567&amp;""/edit#gid=156619080"",W$3)"),2907.0)</f>
        <v>2907</v>
      </c>
      <c r="X567" s="2" t="str">
        <f>IFERROR(__xludf.DUMMYFUNCTION("IMPORTRANGE(""https://docs.google.com/spreadsheets/d/""&amp;$A567&amp;""/edit#gid=156619080"",X$3)"),"")</f>
        <v/>
      </c>
      <c r="Y567" s="17">
        <f>IFERROR(__xludf.DUMMYFUNCTION("IMPORTRANGE(""https://docs.google.com/spreadsheets/d/""&amp;$A567&amp;""/edit#gid=156619080"",Y$3)"),6.872327428223053E-4)</f>
        <v>0.0006872327428</v>
      </c>
      <c r="Z567" s="2">
        <f>IFERROR(__xludf.DUMMYFUNCTION("IMPORTRANGE(""https://docs.google.com/spreadsheets/d/""&amp;$A567&amp;""/edit#gid=156619080"",Z$3)"),3369.08)</f>
        <v>3369.08</v>
      </c>
      <c r="AA567" s="2">
        <f>IFERROR(__xludf.DUMMYFUNCTION("IMPORTRANGE(""https://docs.google.com/spreadsheets/d/""&amp;$A567&amp;""/edit#gid=156619080"",AA$3)"),3311.32)</f>
        <v>3311.32</v>
      </c>
      <c r="AB567" s="2">
        <f>IFERROR(__xludf.DUMMYFUNCTION("IMPORTRANGE(""https://docs.google.com/spreadsheets/d/""&amp;$A567&amp;""/edit#gid=156619080"",AB$3)"),3253.56)</f>
        <v>3253.56</v>
      </c>
      <c r="AC567" s="18">
        <f>IFERROR(__xludf.DUMMYFUNCTION("IMPORTRANGE(""https://docs.google.com/spreadsheets/d/""&amp;$A567&amp;""/edit#gid=156619080"",AC$3)"),3195.8)</f>
        <v>3195.8</v>
      </c>
      <c r="AD567" s="18">
        <f>IFERROR(__xludf.DUMMYFUNCTION("IMPORTRANGE(""https://docs.google.com/spreadsheets/d/""&amp;$A567&amp;""/edit#gid=156619080"",AD$3)"),3138.04)</f>
        <v>3138.04</v>
      </c>
      <c r="AE567" s="18">
        <f>IFERROR(__xludf.DUMMYFUNCTION("IMPORTRANGE(""https://docs.google.com/spreadsheets/d/""&amp;$A567&amp;""/edit#gid=156619080"",AE$3)"),2907.0)</f>
        <v>2907</v>
      </c>
      <c r="AF567" s="2">
        <f>IFERROR(__xludf.DUMMYFUNCTION("IMPORTRANGE(""https://docs.google.com/spreadsheets/d/""&amp;$A567&amp;""/edit#gid=156619080"",AF$3)"),2675.96)</f>
        <v>2675.96</v>
      </c>
      <c r="AG567" s="2">
        <f>IFERROR(__xludf.DUMMYFUNCTION("IMPORTRANGE(""https://docs.google.com/spreadsheets/d/""&amp;$A567&amp;""/edit#gid=156619080"",AG$3)"),2618.2)</f>
        <v>2618.2</v>
      </c>
      <c r="AH567" s="2">
        <f>IFERROR(__xludf.DUMMYFUNCTION("IMPORTRANGE(""https://docs.google.com/spreadsheets/d/""&amp;$A567&amp;""/edit#gid=156619080"",AH$3)"),2560.44)</f>
        <v>2560.44</v>
      </c>
      <c r="AI567" s="2">
        <f>IFERROR(__xludf.DUMMYFUNCTION("IMPORTRANGE(""https://docs.google.com/spreadsheets/d/""&amp;$A567&amp;""/edit#gid=156619080"",AI$3)"),2502.68)</f>
        <v>2502.68</v>
      </c>
      <c r="AJ567" s="2">
        <f>IFERROR(__xludf.DUMMYFUNCTION("IMPORTRANGE(""https://docs.google.com/spreadsheets/d/""&amp;$A567&amp;""/edit#gid=156619080"",AJ$3)"),2444.92)</f>
        <v>2444.92</v>
      </c>
      <c r="AK567" s="2" t="str">
        <f>IFERROR(__xludf.DUMMYFUNCTION("IMPORTRANGE(""https://docs.google.com/spreadsheets/d/""&amp;$A567&amp;""/edit#gid=156619080"",AK$3)"),"-1〜-1.25σ")</f>
        <v>-1〜-1.25σ</v>
      </c>
      <c r="AL567" s="2">
        <f>IFERROR(__xludf.DUMMYFUNCTION("IMPORTRANGE(""https://docs.google.com/spreadsheets/d/""&amp;$A567&amp;""/edit#gid=156619080"",AL$3)"),-1.0)</f>
        <v>-1</v>
      </c>
      <c r="AM567" s="2" t="str">
        <f>IFERROR(__xludf.DUMMYFUNCTION("IMPORTRANGE(""https://docs.google.com/spreadsheets/d/""&amp;$A567&amp;""/edit#gid=156619080"",AM$3)"),"")</f>
        <v/>
      </c>
      <c r="AN567" s="2">
        <f>IFERROR(__xludf.DUMMYFUNCTION("IMPORTRANGE(""https://docs.google.com/spreadsheets/d/""&amp;$A567&amp;""/edit#gid=156619080"",AN$3)"),-1.0)</f>
        <v>-1</v>
      </c>
      <c r="AO567" s="2" t="str">
        <f>IFERROR(__xludf.DUMMYFUNCTION("IMPORTRANGE(""https://docs.google.com/spreadsheets/d/""&amp;$A567&amp;""/edit#gid=156619080"",AO$3)"),"")</f>
        <v/>
      </c>
      <c r="AP567" s="2">
        <f>IFERROR(__xludf.DUMMYFUNCTION("IMPORTRANGE(""https://docs.google.com/spreadsheets/d/""&amp;$A567&amp;""/edit#gid=156619080"",AP$3)"),-1.0)</f>
        <v>-1</v>
      </c>
      <c r="AQ567" s="2" t="str">
        <f>IFERROR(__xludf.DUMMYFUNCTION("IMPORTRANGE(""https://docs.google.com/spreadsheets/d/""&amp;$A567&amp;""/edit#gid=156619080"",AQ$3)"),"")</f>
        <v/>
      </c>
      <c r="AR567" s="18">
        <f>IFERROR(__xludf.DUMMYFUNCTION("IMPORTRANGE(""https://docs.google.com/spreadsheets/d/""&amp;$A567&amp;""/edit#gid=156619080"",AR$3)"),-10.000000000000009)</f>
        <v>-10</v>
      </c>
      <c r="AS567" s="19" t="str">
        <f>IFERROR(__xludf.DUMMYFUNCTION("IMPORTRANGE(""https://docs.google.com/spreadsheets/d/""&amp;$A567&amp;""/edit#gid=156619080"",AS$3)"),"-10
-70
-70
-50
")</f>
        <v>-10
-70
-70
-50
</v>
      </c>
      <c r="AT567" s="18">
        <f>IFERROR(__xludf.DUMMYFUNCTION("IMPORTRANGE(""https://docs.google.com/spreadsheets/d/""&amp;$A567&amp;""/edit#gid=156619080"",AT$3)"),-85.16483516483517)</f>
        <v>-85.16483516</v>
      </c>
      <c r="AU567" s="3" t="str">
        <f>IFERROR(__xludf.DUMMYFUNCTION("IMPORTRANGE(""https://docs.google.com/spreadsheets/d/""&amp;$A567&amp;""/edit#gid=156619080"",AU$3)"),"-66.48
-66.48
-75.27
-81.87
")</f>
        <v>-66.48
-66.48
-75.27
-81.87
</v>
      </c>
      <c r="AV567" s="18">
        <f>IFERROR(__xludf.DUMMYFUNCTION("IMPORTRANGE(""https://docs.google.com/spreadsheets/d/""&amp;$A567&amp;""/edit#gid=156619080"",AV$3)"),-90.77922077922078)</f>
        <v>-90.77922078</v>
      </c>
      <c r="AW567" s="19" t="str">
        <f>IFERROR(__xludf.DUMMYFUNCTION("IMPORTRANGE(""https://docs.google.com/spreadsheets/d/""&amp;$A567&amp;""/edit#gid=156619080"",AW$3)"),"-88.54
-90.39
-90.65
-91.17
")</f>
        <v>-88.54
-90.39
-90.65
-91.17
</v>
      </c>
      <c r="AX567" s="2">
        <f>IFERROR(__xludf.DUMMYFUNCTION("IMPORTRANGE(""https://docs.google.com/spreadsheets/d/""&amp;$A567&amp;""/edit#gid=156619080"",AX$3)"),30.380000000000003)</f>
        <v>30.38</v>
      </c>
      <c r="AY567" s="2">
        <f>IFERROR(__xludf.DUMMYFUNCTION("IMPORTRANGE(""https://docs.google.com/spreadsheets/d/""&amp;$A567&amp;""/edit#gid=156619080"",AY$3)"),28.549999999999997)</f>
        <v>28.55</v>
      </c>
      <c r="AZ567" s="2">
        <f>IFERROR(__xludf.DUMMYFUNCTION("IMPORTRANGE(""https://docs.google.com/spreadsheets/d/""&amp;$A567&amp;""/edit#gid=156619080"",AZ$3)"),2646.15)</f>
        <v>2646.15</v>
      </c>
      <c r="BA567" s="2">
        <f>IFERROR(__xludf.DUMMYFUNCTION("IMPORTRANGE(""https://docs.google.com/spreadsheets/d/""&amp;$A567&amp;""/edit#gid=156619080"",BA$3)"),-222.8800000000001)</f>
        <v>-222.88</v>
      </c>
      <c r="BB567" s="2">
        <f>IFERROR(__xludf.DUMMYFUNCTION("IMPORTRANGE(""https://docs.google.com/spreadsheets/d/""&amp;$A567&amp;""/edit#gid=156619080"",BB$3)"),-196.23)</f>
        <v>-196.23</v>
      </c>
      <c r="BC567" s="2" t="str">
        <f>IFERROR(__xludf.DUMMYFUNCTION("IMPORTRANGE(""https://docs.google.com/spreadsheets/d/""&amp;$A567&amp;""/edit#gid=156619080"",BC$3)"),"DC→DC")</f>
        <v>DC→DC</v>
      </c>
    </row>
    <row r="568" ht="51.0" customHeight="1">
      <c r="A568" s="7" t="str">
        <f t="shared" si="5"/>
        <v>1e4ug4x64yKv21yYLN900vEPUtXLQRk_YdKLwrBqMKeI</v>
      </c>
      <c r="B568" s="1" t="s">
        <v>595</v>
      </c>
      <c r="C568" s="2">
        <f>IFERROR(__xludf.DUMMYFUNCTION("IMPORTRANGE(""https://docs.google.com/spreadsheets/d/""&amp;$A568&amp;""/edit#gid=156619080"",C$3)"),45.0)</f>
        <v>45</v>
      </c>
      <c r="D568" s="2">
        <f>IFERROR(__xludf.DUMMYFUNCTION("IMPORTRANGE(""https://docs.google.com/spreadsheets/d/""&amp;$A568&amp;""/edit#gid=156619080"",D$3)"),6838.0)</f>
        <v>6838</v>
      </c>
      <c r="E568" s="15">
        <f>IFERROR(__xludf.DUMMYFUNCTION("IMPORTRANGE(""https://docs.google.com/spreadsheets/d/""&amp;$A568&amp;""/edit#gid=156619080"",E$3)"),43882.0)</f>
        <v>43882</v>
      </c>
      <c r="F568" s="2">
        <f>IFERROR(__xludf.DUMMYFUNCTION("IMPORTRANGE(""https://docs.google.com/spreadsheets/d/""&amp;$A568&amp;""/edit#gid=156619080"",F$3)"),42.0)</f>
        <v>42</v>
      </c>
      <c r="G568" s="16">
        <f>IFERROR(__xludf.DUMMYFUNCTION("IMPORTRANGE(""https://docs.google.com/spreadsheets/d/""&amp;$A568&amp;""/edit#gid=156619080"",G$3)"),1.7)</f>
        <v>1.7</v>
      </c>
      <c r="H568" s="16">
        <f>IFERROR(__xludf.DUMMYFUNCTION("IMPORTRANGE(""https://docs.google.com/spreadsheets/d/""&amp;$A568&amp;""/edit#gid=156619080"",H$3)"),2470.0)</f>
        <v>2470</v>
      </c>
      <c r="I568" s="16">
        <f>IFERROR(__xludf.DUMMYFUNCTION("IMPORTRANGE(""https://docs.google.com/spreadsheets/d/""&amp;$A568&amp;""/edit#gid=156619080"",I$3)"),4.0)</f>
        <v>4</v>
      </c>
      <c r="J568" s="16">
        <f>IFERROR(__xludf.DUMMYFUNCTION("IMPORTRANGE(""https://docs.google.com/spreadsheets/d/""&amp;$A568&amp;""/edit#gid=156619080"",J$3)"),2630.0)</f>
        <v>2630</v>
      </c>
      <c r="K568" s="16">
        <f>IFERROR(__xludf.DUMMYFUNCTION("IMPORTRANGE(""https://docs.google.com/spreadsheets/d/""&amp;$A568&amp;""/edit#gid=156619080"",K$3)"),0.39166666666666666)</f>
        <v>0.3916666667</v>
      </c>
      <c r="L568" s="16">
        <f>IFERROR(__xludf.DUMMYFUNCTION("IMPORTRANGE(""https://docs.google.com/spreadsheets/d/""&amp;$A568&amp;""/edit#gid=156619080"",L$3)"),2464.0)</f>
        <v>2464</v>
      </c>
      <c r="M568" s="16">
        <f>IFERROR(__xludf.DUMMYFUNCTION("IMPORTRANGE(""https://docs.google.com/spreadsheets/d/""&amp;$A568&amp;""/edit#gid=156619080"",M$3)"),0.375)</f>
        <v>0.375</v>
      </c>
      <c r="N568" s="16">
        <f>IFERROR(__xludf.DUMMYFUNCTION("IMPORTRANGE(""https://docs.google.com/spreadsheets/d/""&amp;$A568&amp;""/edit#gid=156619080"",N$3)"),2516.0)</f>
        <v>2516</v>
      </c>
      <c r="O568" s="16" t="str">
        <f>IFERROR(__xludf.DUMMYFUNCTION("IMPORTRANGE(""https://docs.google.com/spreadsheets/d/""&amp;$A568&amp;""/edit#gid=156619080"",O$3)"),"339800株")</f>
        <v>339800株</v>
      </c>
      <c r="P568" s="16" t="str">
        <f>IFERROR(__xludf.DUMMYFUNCTION("IMPORTRANGE(""https://docs.google.com/spreadsheets/d/""&amp;$A568&amp;""/edit#gid=156619080"",P$3)"),"859百万円")</f>
        <v>859百万円</v>
      </c>
      <c r="Q568" s="16" t="str">
        <f>IFERROR(__xludf.DUMMYFUNCTION("IMPORTRANGE(""https://docs.google.com/spreadsheets/d/""&amp;$A568&amp;""/edit#gid=156619080"",Q$3)"),"1975回")</f>
        <v>1975回</v>
      </c>
      <c r="R568" s="16" t="str">
        <f>IFERROR(__xludf.DUMMYFUNCTION("IMPORTRANGE(""https://docs.google.com/spreadsheets/d/""&amp;$A568&amp;""/edit#gid=156619080"",R$3)"),"122億円")</f>
        <v>122億円</v>
      </c>
      <c r="S568" s="16" t="str">
        <f>IFERROR(__xludf.DUMMYFUNCTION("IMPORTRANGE(""https://docs.google.com/spreadsheets/d/""&amp;$A568&amp;""/edit#gid=156619080"",S$3)"),"陽線")</f>
        <v>陽線</v>
      </c>
      <c r="T568" s="16" t="str">
        <f>IFERROR(__xludf.DUMMYFUNCTION("IMPORTRANGE(""https://docs.google.com/spreadsheets/d/""&amp;$A568&amp;""/edit#gid=156619080"",T$3)"),"")</f>
        <v/>
      </c>
      <c r="U568" s="16">
        <f>IFERROR(__xludf.DUMMYFUNCTION("IMPORTRANGE(""https://docs.google.com/spreadsheets/d/""&amp;$A568&amp;""/edit#gid=156619080"",U$3)"),2496.0)</f>
        <v>2496</v>
      </c>
      <c r="V568" s="16">
        <f>IFERROR(__xludf.DUMMYFUNCTION("IMPORTRANGE(""https://docs.google.com/spreadsheets/d/""&amp;$A568&amp;""/edit#gid=156619080"",V$3)"),2829.0)</f>
        <v>2829</v>
      </c>
      <c r="W568" s="16">
        <f>IFERROR(__xludf.DUMMYFUNCTION("IMPORTRANGE(""https://docs.google.com/spreadsheets/d/""&amp;$A568&amp;""/edit#gid=156619080"",W$3)"),3057.0)</f>
        <v>3057</v>
      </c>
      <c r="X568" s="2" t="str">
        <f>IFERROR(__xludf.DUMMYFUNCTION("IMPORTRANGE(""https://docs.google.com/spreadsheets/d/""&amp;$A568&amp;""/edit#gid=156619080"",X$3)"),"")</f>
        <v/>
      </c>
      <c r="Y568" s="17">
        <f>IFERROR(__xludf.DUMMYFUNCTION("IMPORTRANGE(""https://docs.google.com/spreadsheets/d/""&amp;$A568&amp;""/edit#gid=156619080"",Y$3)"),0.008012820512820512)</f>
        <v>0.008012820513</v>
      </c>
      <c r="Z568" s="2">
        <f>IFERROR(__xludf.DUMMYFUNCTION("IMPORTRANGE(""https://docs.google.com/spreadsheets/d/""&amp;$A568&amp;""/edit#gid=156619080"",Z$3)"),3903.34)</f>
        <v>3903.34</v>
      </c>
      <c r="AA568" s="2">
        <f>IFERROR(__xludf.DUMMYFUNCTION("IMPORTRANGE(""https://docs.google.com/spreadsheets/d/""&amp;$A568&amp;""/edit#gid=156619080"",AA$3)"),3797.55)</f>
        <v>3797.55</v>
      </c>
      <c r="AB568" s="2">
        <f>IFERROR(__xludf.DUMMYFUNCTION("IMPORTRANGE(""https://docs.google.com/spreadsheets/d/""&amp;$A568&amp;""/edit#gid=156619080"",AB$3)"),3691.75)</f>
        <v>3691.75</v>
      </c>
      <c r="AC568" s="18">
        <f>IFERROR(__xludf.DUMMYFUNCTION("IMPORTRANGE(""https://docs.google.com/spreadsheets/d/""&amp;$A568&amp;""/edit#gid=156619080"",AC$3)"),3585.96)</f>
        <v>3585.96</v>
      </c>
      <c r="AD568" s="18">
        <f>IFERROR(__xludf.DUMMYFUNCTION("IMPORTRANGE(""https://docs.google.com/spreadsheets/d/""&amp;$A568&amp;""/edit#gid=156619080"",AD$3)"),3480.17)</f>
        <v>3480.17</v>
      </c>
      <c r="AE568" s="18">
        <f>IFERROR(__xludf.DUMMYFUNCTION("IMPORTRANGE(""https://docs.google.com/spreadsheets/d/""&amp;$A568&amp;""/edit#gid=156619080"",AE$3)"),3057.0)</f>
        <v>3057</v>
      </c>
      <c r="AF568" s="2">
        <f>IFERROR(__xludf.DUMMYFUNCTION("IMPORTRANGE(""https://docs.google.com/spreadsheets/d/""&amp;$A568&amp;""/edit#gid=156619080"",AF$3)"),2633.83)</f>
        <v>2633.83</v>
      </c>
      <c r="AG568" s="2">
        <f>IFERROR(__xludf.DUMMYFUNCTION("IMPORTRANGE(""https://docs.google.com/spreadsheets/d/""&amp;$A568&amp;""/edit#gid=156619080"",AG$3)"),2528.04)</f>
        <v>2528.04</v>
      </c>
      <c r="AH568" s="2">
        <f>IFERROR(__xludf.DUMMYFUNCTION("IMPORTRANGE(""https://docs.google.com/spreadsheets/d/""&amp;$A568&amp;""/edit#gid=156619080"",AH$3)"),2422.25)</f>
        <v>2422.25</v>
      </c>
      <c r="AI568" s="2">
        <f>IFERROR(__xludf.DUMMYFUNCTION("IMPORTRANGE(""https://docs.google.com/spreadsheets/d/""&amp;$A568&amp;""/edit#gid=156619080"",AI$3)"),2316.45)</f>
        <v>2316.45</v>
      </c>
      <c r="AJ568" s="2">
        <f>IFERROR(__xludf.DUMMYFUNCTION("IMPORTRANGE(""https://docs.google.com/spreadsheets/d/""&amp;$A568&amp;""/edit#gid=156619080"",AJ$3)"),2210.66)</f>
        <v>2210.66</v>
      </c>
      <c r="AK568" s="2" t="str">
        <f>IFERROR(__xludf.DUMMYFUNCTION("IMPORTRANGE(""https://docs.google.com/spreadsheets/d/""&amp;$A568&amp;""/edit#gid=156619080"",AK$3)"),"-1.25σ〜-1.5σ")</f>
        <v>-1.25σ〜-1.5σ</v>
      </c>
      <c r="AL568" s="2">
        <f>IFERROR(__xludf.DUMMYFUNCTION("IMPORTRANGE(""https://docs.google.com/spreadsheets/d/""&amp;$A568&amp;""/edit#gid=156619080"",AL$3)"),-1.0)</f>
        <v>-1</v>
      </c>
      <c r="AM568" s="2" t="str">
        <f>IFERROR(__xludf.DUMMYFUNCTION("IMPORTRANGE(""https://docs.google.com/spreadsheets/d/""&amp;$A568&amp;""/edit#gid=156619080"",AM$3)"),"")</f>
        <v/>
      </c>
      <c r="AN568" s="2">
        <f>IFERROR(__xludf.DUMMYFUNCTION("IMPORTRANGE(""https://docs.google.com/spreadsheets/d/""&amp;$A568&amp;""/edit#gid=156619080"",AN$3)"),-1.0)</f>
        <v>-1</v>
      </c>
      <c r="AO568" s="2" t="str">
        <f>IFERROR(__xludf.DUMMYFUNCTION("IMPORTRANGE(""https://docs.google.com/spreadsheets/d/""&amp;$A568&amp;""/edit#gid=156619080"",AO$3)"),"")</f>
        <v/>
      </c>
      <c r="AP568" s="2">
        <f>IFERROR(__xludf.DUMMYFUNCTION("IMPORTRANGE(""https://docs.google.com/spreadsheets/d/""&amp;$A568&amp;""/edit#gid=156619080"",AP$3)"),-1.0)</f>
        <v>-1</v>
      </c>
      <c r="AQ568" s="2" t="str">
        <f>IFERROR(__xludf.DUMMYFUNCTION("IMPORTRANGE(""https://docs.google.com/spreadsheets/d/""&amp;$A568&amp;""/edit#gid=156619080"",AQ$3)"),"")</f>
        <v/>
      </c>
      <c r="AR568" s="18">
        <f>IFERROR(__xludf.DUMMYFUNCTION("IMPORTRANGE(""https://docs.google.com/spreadsheets/d/""&amp;$A568&amp;""/edit#gid=156619080"",AR$3)"),70.0)</f>
        <v>70</v>
      </c>
      <c r="AS568" s="19" t="str">
        <f>IFERROR(__xludf.DUMMYFUNCTION("IMPORTRANGE(""https://docs.google.com/spreadsheets/d/""&amp;$A568&amp;""/edit#gid=156619080"",AS$3)"),"-100
-90
-30
20
")</f>
        <v>-100
-90
-30
20
</v>
      </c>
      <c r="AT568" s="18">
        <f>IFERROR(__xludf.DUMMYFUNCTION("IMPORTRANGE(""https://docs.google.com/spreadsheets/d/""&amp;$A568&amp;""/edit#gid=156619080"",AT$3)"),-86.26373626373626)</f>
        <v>-86.26373626</v>
      </c>
      <c r="AU568" s="3" t="str">
        <f>IFERROR(__xludf.DUMMYFUNCTION("IMPORTRANGE(""https://docs.google.com/spreadsheets/d/""&amp;$A568&amp;""/edit#gid=156619080"",AU$3)"),"-80.22
-79.67
-84.62
-87.36
")</f>
        <v>-80.22
-79.67
-84.62
-87.36
</v>
      </c>
      <c r="AV568" s="18">
        <f>IFERROR(__xludf.DUMMYFUNCTION("IMPORTRANGE(""https://docs.google.com/spreadsheets/d/""&amp;$A568&amp;""/edit#gid=156619080"",AV$3)"),-91.81818181818183)</f>
        <v>-91.81818182</v>
      </c>
      <c r="AW568" s="19" t="str">
        <f>IFERROR(__xludf.DUMMYFUNCTION("IMPORTRANGE(""https://docs.google.com/spreadsheets/d/""&amp;$A568&amp;""/edit#gid=156619080"",AW$3)"),"-85.32
-86.62
-89.48
-91.56
")</f>
        <v>-85.32
-86.62
-89.48
-91.56
</v>
      </c>
      <c r="AX568" s="2">
        <f>IFERROR(__xludf.DUMMYFUNCTION("IMPORTRANGE(""https://docs.google.com/spreadsheets/d/""&amp;$A568&amp;""/edit#gid=156619080"",AX$3)"),43.89)</f>
        <v>43.89</v>
      </c>
      <c r="AY568" s="2">
        <f>IFERROR(__xludf.DUMMYFUNCTION("IMPORTRANGE(""https://docs.google.com/spreadsheets/d/""&amp;$A568&amp;""/edit#gid=156619080"",AY$3)"),34.42)</f>
        <v>34.42</v>
      </c>
      <c r="AZ568" s="2">
        <f>IFERROR(__xludf.DUMMYFUNCTION("IMPORTRANGE(""https://docs.google.com/spreadsheets/d/""&amp;$A568&amp;""/edit#gid=156619080"",AZ$3)"),2569.37)</f>
        <v>2569.37</v>
      </c>
      <c r="BA568" s="2">
        <f>IFERROR(__xludf.DUMMYFUNCTION("IMPORTRANGE(""https://docs.google.com/spreadsheets/d/""&amp;$A568&amp;""/edit#gid=156619080"",BA$3)"),-329.5999999999999)</f>
        <v>-329.6</v>
      </c>
      <c r="BB568" s="2">
        <f>IFERROR(__xludf.DUMMYFUNCTION("IMPORTRANGE(""https://docs.google.com/spreadsheets/d/""&amp;$A568&amp;""/edit#gid=156619080"",BB$3)"),-197.61)</f>
        <v>-197.61</v>
      </c>
      <c r="BC568" s="2" t="str">
        <f>IFERROR(__xludf.DUMMYFUNCTION("IMPORTRANGE(""https://docs.google.com/spreadsheets/d/""&amp;$A568&amp;""/edit#gid=156619080"",BC$3)"),"DC→DC")</f>
        <v>DC→DC</v>
      </c>
    </row>
    <row r="569" ht="51.0" customHeight="1">
      <c r="A569" s="7" t="str">
        <f t="shared" si="5"/>
        <v>1ujDrQY9_bPH9mAZtaSBHML0bgPmZ776Tyx5rAH6DXiI</v>
      </c>
      <c r="B569" s="1" t="s">
        <v>596</v>
      </c>
      <c r="C569" s="2">
        <f>IFERROR(__xludf.DUMMYFUNCTION("IMPORTRANGE(""https://docs.google.com/spreadsheets/d/""&amp;$A569&amp;""/edit#gid=156619080"",C$3)"),45.0)</f>
        <v>45</v>
      </c>
      <c r="D569" s="2">
        <f>IFERROR(__xludf.DUMMYFUNCTION("IMPORTRANGE(""https://docs.google.com/spreadsheets/d/""&amp;$A569&amp;""/edit#gid=156619080"",D$3)"),6840.0)</f>
        <v>6840</v>
      </c>
      <c r="E569" s="15">
        <f>IFERROR(__xludf.DUMMYFUNCTION("IMPORTRANGE(""https://docs.google.com/spreadsheets/d/""&amp;$A569&amp;""/edit#gid=156619080"",E$3)"),43882.0)</f>
        <v>43882</v>
      </c>
      <c r="F569" s="2">
        <f>IFERROR(__xludf.DUMMYFUNCTION("IMPORTRANGE(""https://docs.google.com/spreadsheets/d/""&amp;$A569&amp;""/edit#gid=156619080"",F$3)"),160.0)</f>
        <v>160</v>
      </c>
      <c r="G569" s="16">
        <f>IFERROR(__xludf.DUMMYFUNCTION("IMPORTRANGE(""https://docs.google.com/spreadsheets/d/""&amp;$A569&amp;""/edit#gid=156619080"",G$3)"),2.9)</f>
        <v>2.9</v>
      </c>
      <c r="H569" s="16">
        <f>IFERROR(__xludf.DUMMYFUNCTION("IMPORTRANGE(""https://docs.google.com/spreadsheets/d/""&amp;$A569&amp;""/edit#gid=156619080"",H$3)"),5410.0)</f>
        <v>5410</v>
      </c>
      <c r="I569" s="16">
        <f>IFERROR(__xludf.DUMMYFUNCTION("IMPORTRANGE(""https://docs.google.com/spreadsheets/d/""&amp;$A569&amp;""/edit#gid=156619080"",I$3)"),100.0)</f>
        <v>100</v>
      </c>
      <c r="J569" s="16">
        <f>IFERROR(__xludf.DUMMYFUNCTION("IMPORTRANGE(""https://docs.google.com/spreadsheets/d/""&amp;$A569&amp;""/edit#gid=156619080"",J$3)"),5710.0)</f>
        <v>5710</v>
      </c>
      <c r="K569" s="16">
        <f>IFERROR(__xludf.DUMMYFUNCTION("IMPORTRANGE(""https://docs.google.com/spreadsheets/d/""&amp;$A569&amp;""/edit#gid=156619080"",K$3)"),0.5791666666666667)</f>
        <v>0.5791666667</v>
      </c>
      <c r="L569" s="16">
        <f>IFERROR(__xludf.DUMMYFUNCTION("IMPORTRANGE(""https://docs.google.com/spreadsheets/d/""&amp;$A569&amp;""/edit#gid=156619080"",L$3)"),5400.0)</f>
        <v>5400</v>
      </c>
      <c r="M569" s="16">
        <f>IFERROR(__xludf.DUMMYFUNCTION("IMPORTRANGE(""https://docs.google.com/spreadsheets/d/""&amp;$A569&amp;""/edit#gid=156619080"",M$3)"),0.375)</f>
        <v>0.375</v>
      </c>
      <c r="N569" s="16">
        <f>IFERROR(__xludf.DUMMYFUNCTION("IMPORTRANGE(""https://docs.google.com/spreadsheets/d/""&amp;$A569&amp;""/edit#gid=156619080"",N$3)"),5670.0)</f>
        <v>5670</v>
      </c>
      <c r="O569" s="16" t="str">
        <f>IFERROR(__xludf.DUMMYFUNCTION("IMPORTRANGE(""https://docs.google.com/spreadsheets/d/""&amp;$A569&amp;""/edit#gid=156619080"",O$3)"),"38800株")</f>
        <v>38800株</v>
      </c>
      <c r="P569" s="16" t="str">
        <f>IFERROR(__xludf.DUMMYFUNCTION("IMPORTRANGE(""https://docs.google.com/spreadsheets/d/""&amp;$A569&amp;""/edit#gid=156619080"",P$3)"),"218百万円")</f>
        <v>218百万円</v>
      </c>
      <c r="Q569" s="16" t="str">
        <f>IFERROR(__xludf.DUMMYFUNCTION("IMPORTRANGE(""https://docs.google.com/spreadsheets/d/""&amp;$A569&amp;""/edit#gid=156619080"",Q$3)"),"238回")</f>
        <v>238回</v>
      </c>
      <c r="R569" s="16" t="str">
        <f>IFERROR(__xludf.DUMMYFUNCTION("IMPORTRANGE(""https://docs.google.com/spreadsheets/d/""&amp;$A569&amp;""/edit#gid=156619080"",R$3)"),"52.1億円")</f>
        <v>52.1億円</v>
      </c>
      <c r="S569" s="16" t="str">
        <f>IFERROR(__xludf.DUMMYFUNCTION("IMPORTRANGE(""https://docs.google.com/spreadsheets/d/""&amp;$A569&amp;""/edit#gid=156619080"",S$3)"),"陽線")</f>
        <v>陽線</v>
      </c>
      <c r="T569" s="16" t="str">
        <f>IFERROR(__xludf.DUMMYFUNCTION("IMPORTRANGE(""https://docs.google.com/spreadsheets/d/""&amp;$A569&amp;""/edit#gid=156619080"",T$3)"),"")</f>
        <v/>
      </c>
      <c r="U569" s="16">
        <f>IFERROR(__xludf.DUMMYFUNCTION("IMPORTRANGE(""https://docs.google.com/spreadsheets/d/""&amp;$A569&amp;""/edit#gid=156619080"",U$3)"),5366.0)</f>
        <v>5366</v>
      </c>
      <c r="V569" s="16">
        <f>IFERROR(__xludf.DUMMYFUNCTION("IMPORTRANGE(""https://docs.google.com/spreadsheets/d/""&amp;$A569&amp;""/edit#gid=156619080"",V$3)"),5762.3)</f>
        <v>5762.3</v>
      </c>
      <c r="W569" s="16">
        <f>IFERROR(__xludf.DUMMYFUNCTION("IMPORTRANGE(""https://docs.google.com/spreadsheets/d/""&amp;$A569&amp;""/edit#gid=156619080"",W$3)"),5951.0)</f>
        <v>5951</v>
      </c>
      <c r="X569" s="2" t="str">
        <f>IFERROR(__xludf.DUMMYFUNCTION("IMPORTRANGE(""https://docs.google.com/spreadsheets/d/""&amp;$A569&amp;""/edit#gid=156619080"",X$3)"),"")</f>
        <v/>
      </c>
      <c r="Y569" s="17">
        <f>IFERROR(__xludf.DUMMYFUNCTION("IMPORTRANGE(""https://docs.google.com/spreadsheets/d/""&amp;$A569&amp;""/edit#gid=156619080"",Y$3)"),0.05665300037271711)</f>
        <v>0.05665300037</v>
      </c>
      <c r="Z569" s="2">
        <f>IFERROR(__xludf.DUMMYFUNCTION("IMPORTRANGE(""https://docs.google.com/spreadsheets/d/""&amp;$A569&amp;""/edit#gid=156619080"",Z$3)"),6849.34)</f>
        <v>6849.34</v>
      </c>
      <c r="AA569" s="2">
        <f>IFERROR(__xludf.DUMMYFUNCTION("IMPORTRANGE(""https://docs.google.com/spreadsheets/d/""&amp;$A569&amp;""/edit#gid=156619080"",AA$3)"),6737.04)</f>
        <v>6737.04</v>
      </c>
      <c r="AB569" s="2">
        <f>IFERROR(__xludf.DUMMYFUNCTION("IMPORTRANGE(""https://docs.google.com/spreadsheets/d/""&amp;$A569&amp;""/edit#gid=156619080"",AB$3)"),6624.75)</f>
        <v>6624.75</v>
      </c>
      <c r="AC569" s="18">
        <f>IFERROR(__xludf.DUMMYFUNCTION("IMPORTRANGE(""https://docs.google.com/spreadsheets/d/""&amp;$A569&amp;""/edit#gid=156619080"",AC$3)"),6512.46)</f>
        <v>6512.46</v>
      </c>
      <c r="AD569" s="18">
        <f>IFERROR(__xludf.DUMMYFUNCTION("IMPORTRANGE(""https://docs.google.com/spreadsheets/d/""&amp;$A569&amp;""/edit#gid=156619080"",AD$3)"),6400.17)</f>
        <v>6400.17</v>
      </c>
      <c r="AE569" s="18">
        <f>IFERROR(__xludf.DUMMYFUNCTION("IMPORTRANGE(""https://docs.google.com/spreadsheets/d/""&amp;$A569&amp;""/edit#gid=156619080"",AE$3)"),5951.0)</f>
        <v>5951</v>
      </c>
      <c r="AF569" s="2">
        <f>IFERROR(__xludf.DUMMYFUNCTION("IMPORTRANGE(""https://docs.google.com/spreadsheets/d/""&amp;$A569&amp;""/edit#gid=156619080"",AF$3)"),5501.83)</f>
        <v>5501.83</v>
      </c>
      <c r="AG569" s="2">
        <f>IFERROR(__xludf.DUMMYFUNCTION("IMPORTRANGE(""https://docs.google.com/spreadsheets/d/""&amp;$A569&amp;""/edit#gid=156619080"",AG$3)"),5389.54)</f>
        <v>5389.54</v>
      </c>
      <c r="AH569" s="2">
        <f>IFERROR(__xludf.DUMMYFUNCTION("IMPORTRANGE(""https://docs.google.com/spreadsheets/d/""&amp;$A569&amp;""/edit#gid=156619080"",AH$3)"),5277.25)</f>
        <v>5277.25</v>
      </c>
      <c r="AI569" s="2">
        <f>IFERROR(__xludf.DUMMYFUNCTION("IMPORTRANGE(""https://docs.google.com/spreadsheets/d/""&amp;$A569&amp;""/edit#gid=156619080"",AI$3)"),5164.96)</f>
        <v>5164.96</v>
      </c>
      <c r="AJ569" s="2">
        <f>IFERROR(__xludf.DUMMYFUNCTION("IMPORTRANGE(""https://docs.google.com/spreadsheets/d/""&amp;$A569&amp;""/edit#gid=156619080"",AJ$3)"),5052.66)</f>
        <v>5052.66</v>
      </c>
      <c r="AK569" s="2" t="str">
        <f>IFERROR(__xludf.DUMMYFUNCTION("IMPORTRANGE(""https://docs.google.com/spreadsheets/d/""&amp;$A569&amp;""/edit#gid=156619080"",AK$3)"),"")</f>
        <v/>
      </c>
      <c r="AL569" s="2">
        <f>IFERROR(__xludf.DUMMYFUNCTION("IMPORTRANGE(""https://docs.google.com/spreadsheets/d/""&amp;$A569&amp;""/edit#gid=156619080"",AL$3)"),-1.0)</f>
        <v>-1</v>
      </c>
      <c r="AM569" s="2" t="str">
        <f>IFERROR(__xludf.DUMMYFUNCTION("IMPORTRANGE(""https://docs.google.com/spreadsheets/d/""&amp;$A569&amp;""/edit#gid=156619080"",AM$3)"),"")</f>
        <v/>
      </c>
      <c r="AN569" s="2">
        <f>IFERROR(__xludf.DUMMYFUNCTION("IMPORTRANGE(""https://docs.google.com/spreadsheets/d/""&amp;$A569&amp;""/edit#gid=156619080"",AN$3)"),-1.0)</f>
        <v>-1</v>
      </c>
      <c r="AO569" s="2" t="str">
        <f>IFERROR(__xludf.DUMMYFUNCTION("IMPORTRANGE(""https://docs.google.com/spreadsheets/d/""&amp;$A569&amp;""/edit#gid=156619080"",AO$3)"),"")</f>
        <v/>
      </c>
      <c r="AP569" s="2">
        <f>IFERROR(__xludf.DUMMYFUNCTION("IMPORTRANGE(""https://docs.google.com/spreadsheets/d/""&amp;$A569&amp;""/edit#gid=156619080"",AP$3)"),-1.0)</f>
        <v>-1</v>
      </c>
      <c r="AQ569" s="2" t="str">
        <f>IFERROR(__xludf.DUMMYFUNCTION("IMPORTRANGE(""https://docs.google.com/spreadsheets/d/""&amp;$A569&amp;""/edit#gid=156619080"",AQ$3)"),"")</f>
        <v/>
      </c>
      <c r="AR569" s="18">
        <f>IFERROR(__xludf.DUMMYFUNCTION("IMPORTRANGE(""https://docs.google.com/spreadsheets/d/""&amp;$A569&amp;""/edit#gid=156619080"",AR$3)"),100.0)</f>
        <v>100</v>
      </c>
      <c r="AS569" s="19" t="str">
        <f>IFERROR(__xludf.DUMMYFUNCTION("IMPORTRANGE(""https://docs.google.com/spreadsheets/d/""&amp;$A569&amp;""/edit#gid=156619080"",AS$3)"),"-60
-80
-60
40
")</f>
        <v>-60
-80
-60
40
</v>
      </c>
      <c r="AT569" s="18">
        <f>IFERROR(__xludf.DUMMYFUNCTION("IMPORTRANGE(""https://docs.google.com/spreadsheets/d/""&amp;$A569&amp;""/edit#gid=156619080"",AT$3)"),-78.70879120879121)</f>
        <v>-78.70879121</v>
      </c>
      <c r="AU569" s="3" t="str">
        <f>IFERROR(__xludf.DUMMYFUNCTION("IMPORTRANGE(""https://docs.google.com/spreadsheets/d/""&amp;$A569&amp;""/edit#gid=156619080"",AU$3)"),"-37.5
-45.19
-68.27
-76.51
")</f>
        <v>-37.5
-45.19
-68.27
-76.51
</v>
      </c>
      <c r="AV569" s="18">
        <f>IFERROR(__xludf.DUMMYFUNCTION("IMPORTRANGE(""https://docs.google.com/spreadsheets/d/""&amp;$A569&amp;""/edit#gid=156619080"",AV$3)"),-80.38961038961038)</f>
        <v>-80.38961039</v>
      </c>
      <c r="AW569" s="19" t="str">
        <f>IFERROR(__xludf.DUMMYFUNCTION("IMPORTRANGE(""https://docs.google.com/spreadsheets/d/""&amp;$A569&amp;""/edit#gid=156619080"",AW$3)"),"-83.77
-83.64
-83.25
-82.34
")</f>
        <v>-83.77
-83.64
-83.25
-82.34
</v>
      </c>
      <c r="AX569" s="2">
        <f>IFERROR(__xludf.DUMMYFUNCTION("IMPORTRANGE(""https://docs.google.com/spreadsheets/d/""&amp;$A569&amp;""/edit#gid=156619080"",AX$3)"),59.809999999999995)</f>
        <v>59.81</v>
      </c>
      <c r="AY569" s="2">
        <f>IFERROR(__xludf.DUMMYFUNCTION("IMPORTRANGE(""https://docs.google.com/spreadsheets/d/""&amp;$A569&amp;""/edit#gid=156619080"",AY$3)"),35.28)</f>
        <v>35.28</v>
      </c>
      <c r="AZ569" s="2">
        <f>IFERROR(__xludf.DUMMYFUNCTION("IMPORTRANGE(""https://docs.google.com/spreadsheets/d/""&amp;$A569&amp;""/edit#gid=156619080"",AZ$3)"),5527.17)</f>
        <v>5527.17</v>
      </c>
      <c r="BA569" s="2">
        <f>IFERROR(__xludf.DUMMYFUNCTION("IMPORTRANGE(""https://docs.google.com/spreadsheets/d/""&amp;$A569&amp;""/edit#gid=156619080"",BA$3)"),-464.60000000000036)</f>
        <v>-464.6</v>
      </c>
      <c r="BB569" s="2">
        <f>IFERROR(__xludf.DUMMYFUNCTION("IMPORTRANGE(""https://docs.google.com/spreadsheets/d/""&amp;$A569&amp;""/edit#gid=156619080"",BB$3)"),-558.47)</f>
        <v>-558.47</v>
      </c>
      <c r="BC569" s="2" t="str">
        <f>IFERROR(__xludf.DUMMYFUNCTION("IMPORTRANGE(""https://docs.google.com/spreadsheets/d/""&amp;$A569&amp;""/edit#gid=156619080"",BC$3)"),"GC→GC")</f>
        <v>GC→GC</v>
      </c>
    </row>
    <row r="570" ht="51.0" customHeight="1">
      <c r="A570" s="7" t="str">
        <f t="shared" si="5"/>
        <v>1Va2ZIY0CcZsf3fizdDL7mrmwu1y7v4UA1CawWCG3njI</v>
      </c>
      <c r="B570" s="1" t="s">
        <v>597</v>
      </c>
      <c r="C570" s="2">
        <f>IFERROR(__xludf.DUMMYFUNCTION("IMPORTRANGE(""https://docs.google.com/spreadsheets/d/""&amp;$A570&amp;""/edit#gid=156619080"",C$3)"),45.0)</f>
        <v>45</v>
      </c>
      <c r="D570" s="2">
        <f>IFERROR(__xludf.DUMMYFUNCTION("IMPORTRANGE(""https://docs.google.com/spreadsheets/d/""&amp;$A570&amp;""/edit#gid=156619080"",D$3)"),6874.0)</f>
        <v>6874</v>
      </c>
      <c r="E570" s="15">
        <f>IFERROR(__xludf.DUMMYFUNCTION("IMPORTRANGE(""https://docs.google.com/spreadsheets/d/""&amp;$A570&amp;""/edit#gid=156619080"",E$3)"),43882.0)</f>
        <v>43882</v>
      </c>
      <c r="F570" s="2">
        <f>IFERROR(__xludf.DUMMYFUNCTION("IMPORTRANGE(""https://docs.google.com/spreadsheets/d/""&amp;$A570&amp;""/edit#gid=156619080"",F$3)"),-7.0)</f>
        <v>-7</v>
      </c>
      <c r="G570" s="16">
        <f>IFERROR(__xludf.DUMMYFUNCTION("IMPORTRANGE(""https://docs.google.com/spreadsheets/d/""&amp;$A570&amp;""/edit#gid=156619080"",G$3)"),-0.3)</f>
        <v>-0.3</v>
      </c>
      <c r="H570" s="16">
        <f>IFERROR(__xludf.DUMMYFUNCTION("IMPORTRANGE(""https://docs.google.com/spreadsheets/d/""&amp;$A570&amp;""/edit#gid=156619080"",H$3)"),2336.0)</f>
        <v>2336</v>
      </c>
      <c r="I570" s="16">
        <f>IFERROR(__xludf.DUMMYFUNCTION("IMPORTRANGE(""https://docs.google.com/spreadsheets/d/""&amp;$A570&amp;""/edit#gid=156619080"",I$3)"),-1.0)</f>
        <v>-1</v>
      </c>
      <c r="J570" s="16">
        <f>IFERROR(__xludf.DUMMYFUNCTION("IMPORTRANGE(""https://docs.google.com/spreadsheets/d/""&amp;$A570&amp;""/edit#gid=156619080"",J$3)"),2385.0)</f>
        <v>2385</v>
      </c>
      <c r="K570" s="16">
        <f>IFERROR(__xludf.DUMMYFUNCTION("IMPORTRANGE(""https://docs.google.com/spreadsheets/d/""&amp;$A570&amp;""/edit#gid=156619080"",K$3)"),0.5208333333333334)</f>
        <v>0.5208333333</v>
      </c>
      <c r="L570" s="16">
        <f>IFERROR(__xludf.DUMMYFUNCTION("IMPORTRANGE(""https://docs.google.com/spreadsheets/d/""&amp;$A570&amp;""/edit#gid=156619080"",L$3)"),2328.0)</f>
        <v>2328</v>
      </c>
      <c r="M570" s="16">
        <f>IFERROR(__xludf.DUMMYFUNCTION("IMPORTRANGE(""https://docs.google.com/spreadsheets/d/""&amp;$A570&amp;""/edit#gid=156619080"",M$3)"),0.625)</f>
        <v>0.625</v>
      </c>
      <c r="N570" s="16">
        <f>IFERROR(__xludf.DUMMYFUNCTION("IMPORTRANGE(""https://docs.google.com/spreadsheets/d/""&amp;$A570&amp;""/edit#gid=156619080"",N$3)"),2328.0)</f>
        <v>2328</v>
      </c>
      <c r="O570" s="16" t="str">
        <f>IFERROR(__xludf.DUMMYFUNCTION("IMPORTRANGE(""https://docs.google.com/spreadsheets/d/""&amp;$A570&amp;""/edit#gid=156619080"",O$3)"),"1900株")</f>
        <v>1900株</v>
      </c>
      <c r="P570" s="16" t="str">
        <f>IFERROR(__xludf.DUMMYFUNCTION("IMPORTRANGE(""https://docs.google.com/spreadsheets/d/""&amp;$A570&amp;""/edit#gid=156619080"",P$3)"),"4百万円")</f>
        <v>4百万円</v>
      </c>
      <c r="Q570" s="16" t="str">
        <f>IFERROR(__xludf.DUMMYFUNCTION("IMPORTRANGE(""https://docs.google.com/spreadsheets/d/""&amp;$A570&amp;""/edit#gid=156619080"",Q$3)"),"9回")</f>
        <v>9回</v>
      </c>
      <c r="R570" s="16" t="str">
        <f>IFERROR(__xludf.DUMMYFUNCTION("IMPORTRANGE(""https://docs.google.com/spreadsheets/d/""&amp;$A570&amp;""/edit#gid=156619080"",R$3)"),"102億円")</f>
        <v>102億円</v>
      </c>
      <c r="S570" s="16" t="str">
        <f>IFERROR(__xludf.DUMMYFUNCTION("IMPORTRANGE(""https://docs.google.com/spreadsheets/d/""&amp;$A570&amp;""/edit#gid=156619080"",S$3)"),"陰線")</f>
        <v>陰線</v>
      </c>
      <c r="T570" s="16" t="str">
        <f>IFERROR(__xludf.DUMMYFUNCTION("IMPORTRANGE(""https://docs.google.com/spreadsheets/d/""&amp;$A570&amp;""/edit#gid=156619080"",T$3)"),"")</f>
        <v/>
      </c>
      <c r="U570" s="16">
        <f>IFERROR(__xludf.DUMMYFUNCTION("IMPORTRANGE(""https://docs.google.com/spreadsheets/d/""&amp;$A570&amp;""/edit#gid=156619080"",U$3)"),2331.0)</f>
        <v>2331</v>
      </c>
      <c r="V570" s="16">
        <f>IFERROR(__xludf.DUMMYFUNCTION("IMPORTRANGE(""https://docs.google.com/spreadsheets/d/""&amp;$A570&amp;""/edit#gid=156619080"",V$3)"),2413.2)</f>
        <v>2413.2</v>
      </c>
      <c r="W570" s="16">
        <f>IFERROR(__xludf.DUMMYFUNCTION("IMPORTRANGE(""https://docs.google.com/spreadsheets/d/""&amp;$A570&amp;""/edit#gid=156619080"",W$3)"),2466.2)</f>
        <v>2466.2</v>
      </c>
      <c r="X570" s="2" t="str">
        <f>IFERROR(__xludf.DUMMYFUNCTION("IMPORTRANGE(""https://docs.google.com/spreadsheets/d/""&amp;$A570&amp;""/edit#gid=156619080"",X$3)"),"")</f>
        <v/>
      </c>
      <c r="Y570" s="17">
        <f>IFERROR(__xludf.DUMMYFUNCTION("IMPORTRANGE(""https://docs.google.com/spreadsheets/d/""&amp;$A570&amp;""/edit#gid=156619080"",Y$3)"),-0.001287001287001287)</f>
        <v>-0.001287001287</v>
      </c>
      <c r="Z570" s="2">
        <f>IFERROR(__xludf.DUMMYFUNCTION("IMPORTRANGE(""https://docs.google.com/spreadsheets/d/""&amp;$A570&amp;""/edit#gid=156619080"",Z$3)"),2681.43)</f>
        <v>2681.43</v>
      </c>
      <c r="AA570" s="2">
        <f>IFERROR(__xludf.DUMMYFUNCTION("IMPORTRANGE(""https://docs.google.com/spreadsheets/d/""&amp;$A570&amp;""/edit#gid=156619080"",AA$3)"),2654.53)</f>
        <v>2654.53</v>
      </c>
      <c r="AB570" s="2">
        <f>IFERROR(__xludf.DUMMYFUNCTION("IMPORTRANGE(""https://docs.google.com/spreadsheets/d/""&amp;$A570&amp;""/edit#gid=156619080"",AB$3)"),2627.62)</f>
        <v>2627.62</v>
      </c>
      <c r="AC570" s="18">
        <f>IFERROR(__xludf.DUMMYFUNCTION("IMPORTRANGE(""https://docs.google.com/spreadsheets/d/""&amp;$A570&amp;""/edit#gid=156619080"",AC$3)"),2600.72)</f>
        <v>2600.72</v>
      </c>
      <c r="AD570" s="18">
        <f>IFERROR(__xludf.DUMMYFUNCTION("IMPORTRANGE(""https://docs.google.com/spreadsheets/d/""&amp;$A570&amp;""/edit#gid=156619080"",AD$3)"),2573.82)</f>
        <v>2573.82</v>
      </c>
      <c r="AE570" s="18">
        <f>IFERROR(__xludf.DUMMYFUNCTION("IMPORTRANGE(""https://docs.google.com/spreadsheets/d/""&amp;$A570&amp;""/edit#gid=156619080"",AE$3)"),2466.2)</f>
        <v>2466.2</v>
      </c>
      <c r="AF570" s="2">
        <f>IFERROR(__xludf.DUMMYFUNCTION("IMPORTRANGE(""https://docs.google.com/spreadsheets/d/""&amp;$A570&amp;""/edit#gid=156619080"",AF$3)"),2358.58)</f>
        <v>2358.58</v>
      </c>
      <c r="AG570" s="2">
        <f>IFERROR(__xludf.DUMMYFUNCTION("IMPORTRANGE(""https://docs.google.com/spreadsheets/d/""&amp;$A570&amp;""/edit#gid=156619080"",AG$3)"),2331.68)</f>
        <v>2331.68</v>
      </c>
      <c r="AH570" s="2">
        <f>IFERROR(__xludf.DUMMYFUNCTION("IMPORTRANGE(""https://docs.google.com/spreadsheets/d/""&amp;$A570&amp;""/edit#gid=156619080"",AH$3)"),2304.78)</f>
        <v>2304.78</v>
      </c>
      <c r="AI570" s="2">
        <f>IFERROR(__xludf.DUMMYFUNCTION("IMPORTRANGE(""https://docs.google.com/spreadsheets/d/""&amp;$A570&amp;""/edit#gid=156619080"",AI$3)"),2277.87)</f>
        <v>2277.87</v>
      </c>
      <c r="AJ570" s="2">
        <f>IFERROR(__xludf.DUMMYFUNCTION("IMPORTRANGE(""https://docs.google.com/spreadsheets/d/""&amp;$A570&amp;""/edit#gid=156619080"",AJ$3)"),2250.97)</f>
        <v>2250.97</v>
      </c>
      <c r="AK570" s="2" t="str">
        <f>IFERROR(__xludf.DUMMYFUNCTION("IMPORTRANGE(""https://docs.google.com/spreadsheets/d/""&amp;$A570&amp;""/edit#gid=156619080"",AK$3)"),"-1.25σ〜-1.5σ")</f>
        <v>-1.25σ〜-1.5σ</v>
      </c>
      <c r="AL570" s="2">
        <f>IFERROR(__xludf.DUMMYFUNCTION("IMPORTRANGE(""https://docs.google.com/spreadsheets/d/""&amp;$A570&amp;""/edit#gid=156619080"",AL$3)"),-1.0)</f>
        <v>-1</v>
      </c>
      <c r="AM570" s="2" t="str">
        <f>IFERROR(__xludf.DUMMYFUNCTION("IMPORTRANGE(""https://docs.google.com/spreadsheets/d/""&amp;$A570&amp;""/edit#gid=156619080"",AM$3)"),"")</f>
        <v/>
      </c>
      <c r="AN570" s="2">
        <f>IFERROR(__xludf.DUMMYFUNCTION("IMPORTRANGE(""https://docs.google.com/spreadsheets/d/""&amp;$A570&amp;""/edit#gid=156619080"",AN$3)"),-1.0)</f>
        <v>-1</v>
      </c>
      <c r="AO570" s="2" t="str">
        <f>IFERROR(__xludf.DUMMYFUNCTION("IMPORTRANGE(""https://docs.google.com/spreadsheets/d/""&amp;$A570&amp;""/edit#gid=156619080"",AO$3)"),"")</f>
        <v/>
      </c>
      <c r="AP570" s="2">
        <f>IFERROR(__xludf.DUMMYFUNCTION("IMPORTRANGE(""https://docs.google.com/spreadsheets/d/""&amp;$A570&amp;""/edit#gid=156619080"",AP$3)"),-1.0)</f>
        <v>-1</v>
      </c>
      <c r="AQ570" s="2" t="str">
        <f>IFERROR(__xludf.DUMMYFUNCTION("IMPORTRANGE(""https://docs.google.com/spreadsheets/d/""&amp;$A570&amp;""/edit#gid=156619080"",AQ$3)"),"")</f>
        <v/>
      </c>
      <c r="AR570" s="18">
        <f>IFERROR(__xludf.DUMMYFUNCTION("IMPORTRANGE(""https://docs.google.com/spreadsheets/d/""&amp;$A570&amp;""/edit#gid=156619080"",AR$3)"),-10.000000000000009)</f>
        <v>-10</v>
      </c>
      <c r="AS570" s="19" t="str">
        <f>IFERROR(__xludf.DUMMYFUNCTION("IMPORTRANGE(""https://docs.google.com/spreadsheets/d/""&amp;$A570&amp;""/edit#gid=156619080"",AS$3)"),"-90
-100
-90
-60
")</f>
        <v>-90
-100
-90
-60
</v>
      </c>
      <c r="AT570" s="18">
        <f>IFERROR(__xludf.DUMMYFUNCTION("IMPORTRANGE(""https://docs.google.com/spreadsheets/d/""&amp;$A570&amp;""/edit#gid=156619080"",AT$3)"),-84.61538461538463)</f>
        <v>-84.61538462</v>
      </c>
      <c r="AU570" s="3" t="str">
        <f>IFERROR(__xludf.DUMMYFUNCTION("IMPORTRANGE(""https://docs.google.com/spreadsheets/d/""&amp;$A570&amp;""/edit#gid=156619080"",AU$3)"),"-47.8
-47.8
-55.49
-67.58
")</f>
        <v>-47.8
-47.8
-55.49
-67.58
</v>
      </c>
      <c r="AV570" s="18">
        <f>IFERROR(__xludf.DUMMYFUNCTION("IMPORTRANGE(""https://docs.google.com/spreadsheets/d/""&amp;$A570&amp;""/edit#gid=156619080"",AV$3)"),-86.36363636363636)</f>
        <v>-86.36363636</v>
      </c>
      <c r="AW570" s="19" t="str">
        <f>IFERROR(__xludf.DUMMYFUNCTION("IMPORTRANGE(""https://docs.google.com/spreadsheets/d/""&amp;$A570&amp;""/edit#gid=156619080"",AW$3)"),"-84.42
-86.36
-87.01
-87.01
")</f>
        <v>-84.42
-86.36
-87.01
-87.01
</v>
      </c>
      <c r="AX570" s="2">
        <f>IFERROR(__xludf.DUMMYFUNCTION("IMPORTRANGE(""https://docs.google.com/spreadsheets/d/""&amp;$A570&amp;""/edit#gid=156619080"",AX$3)"),22.56)</f>
        <v>22.56</v>
      </c>
      <c r="AY570" s="2">
        <f>IFERROR(__xludf.DUMMYFUNCTION("IMPORTRANGE(""https://docs.google.com/spreadsheets/d/""&amp;$A570&amp;""/edit#gid=156619080"",AY$3)"),25.88)</f>
        <v>25.88</v>
      </c>
      <c r="AZ570" s="2">
        <f>IFERROR(__xludf.DUMMYFUNCTION("IMPORTRANGE(""https://docs.google.com/spreadsheets/d/""&amp;$A570&amp;""/edit#gid=156619080"",AZ$3)"),2344.16)</f>
        <v>2344.16</v>
      </c>
      <c r="BA570" s="2">
        <f>IFERROR(__xludf.DUMMYFUNCTION("IMPORTRANGE(""https://docs.google.com/spreadsheets/d/""&amp;$A570&amp;""/edit#gid=156619080"",BA$3)"),-113.70000000000027)</f>
        <v>-113.7</v>
      </c>
      <c r="BB570" s="2">
        <f>IFERROR(__xludf.DUMMYFUNCTION("IMPORTRANGE(""https://docs.google.com/spreadsheets/d/""&amp;$A570&amp;""/edit#gid=156619080"",BB$3)"),-102.35)</f>
        <v>-102.35</v>
      </c>
      <c r="BC570" s="2" t="str">
        <f>IFERROR(__xludf.DUMMYFUNCTION("IMPORTRANGE(""https://docs.google.com/spreadsheets/d/""&amp;$A570&amp;""/edit#gid=156619080"",BC$3)"),"DC→DC")</f>
        <v>DC→DC</v>
      </c>
    </row>
    <row r="571" ht="51.0" customHeight="1">
      <c r="A571" s="7" t="str">
        <f t="shared" si="5"/>
        <v>17e6N_PK2a6cyPI9lzcTcJr1jB_wUV8bQdHbuhaw1xVg</v>
      </c>
      <c r="B571" s="1" t="s">
        <v>598</v>
      </c>
      <c r="C571" s="2">
        <f>IFERROR(__xludf.DUMMYFUNCTION("IMPORTRANGE(""https://docs.google.com/spreadsheets/d/""&amp;$A571&amp;""/edit#gid=156619080"",C$3)"),45.0)</f>
        <v>45</v>
      </c>
      <c r="D571" s="2">
        <f>IFERROR(__xludf.DUMMYFUNCTION("IMPORTRANGE(""https://docs.google.com/spreadsheets/d/""&amp;$A571&amp;""/edit#gid=156619080"",D$3)"),6875.0)</f>
        <v>6875</v>
      </c>
      <c r="E571" s="15">
        <f>IFERROR(__xludf.DUMMYFUNCTION("IMPORTRANGE(""https://docs.google.com/spreadsheets/d/""&amp;$A571&amp;""/edit#gid=156619080"",E$3)"),43882.0)</f>
        <v>43882</v>
      </c>
      <c r="F571" s="2">
        <f>IFERROR(__xludf.DUMMYFUNCTION("IMPORTRANGE(""https://docs.google.com/spreadsheets/d/""&amp;$A571&amp;""/edit#gid=156619080"",F$3)"),16.0)</f>
        <v>16</v>
      </c>
      <c r="G571" s="16">
        <f>IFERROR(__xludf.DUMMYFUNCTION("IMPORTRANGE(""https://docs.google.com/spreadsheets/d/""&amp;$A571&amp;""/edit#gid=156619080"",G$3)"),0.89)</f>
        <v>0.89</v>
      </c>
      <c r="H571" s="16">
        <f>IFERROR(__xludf.DUMMYFUNCTION("IMPORTRANGE(""https://docs.google.com/spreadsheets/d/""&amp;$A571&amp;""/edit#gid=156619080"",H$3)"),1794.0)</f>
        <v>1794</v>
      </c>
      <c r="I571" s="16">
        <f>IFERROR(__xludf.DUMMYFUNCTION("IMPORTRANGE(""https://docs.google.com/spreadsheets/d/""&amp;$A571&amp;""/edit#gid=156619080"",I$3)"),6.0)</f>
        <v>6</v>
      </c>
      <c r="J571" s="16">
        <f>IFERROR(__xludf.DUMMYFUNCTION("IMPORTRANGE(""https://docs.google.com/spreadsheets/d/""&amp;$A571&amp;""/edit#gid=156619080"",J$3)"),1834.0)</f>
        <v>1834</v>
      </c>
      <c r="K571" s="16">
        <f>IFERROR(__xludf.DUMMYFUNCTION("IMPORTRANGE(""https://docs.google.com/spreadsheets/d/""&amp;$A571&amp;""/edit#gid=156619080"",K$3)"),0.5791666666666667)</f>
        <v>0.5791666667</v>
      </c>
      <c r="L571" s="16">
        <f>IFERROR(__xludf.DUMMYFUNCTION("IMPORTRANGE(""https://docs.google.com/spreadsheets/d/""&amp;$A571&amp;""/edit#gid=156619080"",L$3)"),1790.0)</f>
        <v>1790</v>
      </c>
      <c r="M571" s="16">
        <f>IFERROR(__xludf.DUMMYFUNCTION("IMPORTRANGE(""https://docs.google.com/spreadsheets/d/""&amp;$A571&amp;""/edit#gid=156619080"",M$3)"),0.375)</f>
        <v>0.375</v>
      </c>
      <c r="N571" s="16">
        <f>IFERROR(__xludf.DUMMYFUNCTION("IMPORTRANGE(""https://docs.google.com/spreadsheets/d/""&amp;$A571&amp;""/edit#gid=156619080"",N$3)"),1816.0)</f>
        <v>1816</v>
      </c>
      <c r="O571" s="16" t="str">
        <f>IFERROR(__xludf.DUMMYFUNCTION("IMPORTRANGE(""https://docs.google.com/spreadsheets/d/""&amp;$A571&amp;""/edit#gid=156619080"",O$3)"),"74700株")</f>
        <v>74700株</v>
      </c>
      <c r="P571" s="16" t="str">
        <f>IFERROR(__xludf.DUMMYFUNCTION("IMPORTRANGE(""https://docs.google.com/spreadsheets/d/""&amp;$A571&amp;""/edit#gid=156619080"",P$3)"),"136百万円")</f>
        <v>136百万円</v>
      </c>
      <c r="Q571" s="16" t="str">
        <f>IFERROR(__xludf.DUMMYFUNCTION("IMPORTRANGE(""https://docs.google.com/spreadsheets/d/""&amp;$A571&amp;""/edit#gid=156619080"",Q$3)"),"360回")</f>
        <v>360回</v>
      </c>
      <c r="R571" s="16" t="str">
        <f>IFERROR(__xludf.DUMMYFUNCTION("IMPORTRANGE(""https://docs.google.com/spreadsheets/d/""&amp;$A571&amp;""/edit#gid=156619080"",R$3)"),"418億円")</f>
        <v>418億円</v>
      </c>
      <c r="S571" s="16" t="str">
        <f>IFERROR(__xludf.DUMMYFUNCTION("IMPORTRANGE(""https://docs.google.com/spreadsheets/d/""&amp;$A571&amp;""/edit#gid=156619080"",S$3)"),"陽線")</f>
        <v>陽線</v>
      </c>
      <c r="T571" s="16" t="str">
        <f>IFERROR(__xludf.DUMMYFUNCTION("IMPORTRANGE(""https://docs.google.com/spreadsheets/d/""&amp;$A571&amp;""/edit#gid=156619080"",T$3)"),"")</f>
        <v/>
      </c>
      <c r="U571" s="16">
        <f>IFERROR(__xludf.DUMMYFUNCTION("IMPORTRANGE(""https://docs.google.com/spreadsheets/d/""&amp;$A571&amp;""/edit#gid=156619080"",U$3)"),1797.2)</f>
        <v>1797.2</v>
      </c>
      <c r="V571" s="16">
        <f>IFERROR(__xludf.DUMMYFUNCTION("IMPORTRANGE(""https://docs.google.com/spreadsheets/d/""&amp;$A571&amp;""/edit#gid=156619080"",V$3)"),1809.9)</f>
        <v>1809.9</v>
      </c>
      <c r="W571" s="16">
        <f>IFERROR(__xludf.DUMMYFUNCTION("IMPORTRANGE(""https://docs.google.com/spreadsheets/d/""&amp;$A571&amp;""/edit#gid=156619080"",W$3)"),1800.9)</f>
        <v>1800.9</v>
      </c>
      <c r="X571" s="2" t="str">
        <f>IFERROR(__xludf.DUMMYFUNCTION("IMPORTRANGE(""https://docs.google.com/spreadsheets/d/""&amp;$A571&amp;""/edit#gid=156619080"",X$3)"),"")</f>
        <v/>
      </c>
      <c r="Y571" s="17">
        <f>IFERROR(__xludf.DUMMYFUNCTION("IMPORTRANGE(""https://docs.google.com/spreadsheets/d/""&amp;$A571&amp;""/edit#gid=156619080"",Y$3)"),0.010460716670376116)</f>
        <v>0.01046071667</v>
      </c>
      <c r="Z571" s="2">
        <f>IFERROR(__xludf.DUMMYFUNCTION("IMPORTRANGE(""https://docs.google.com/spreadsheets/d/""&amp;$A571&amp;""/edit#gid=156619080"",Z$3)"),1905.11)</f>
        <v>1905.11</v>
      </c>
      <c r="AA571" s="2">
        <f>IFERROR(__xludf.DUMMYFUNCTION("IMPORTRANGE(""https://docs.google.com/spreadsheets/d/""&amp;$A571&amp;""/edit#gid=156619080"",AA$3)"),1892.08)</f>
        <v>1892.08</v>
      </c>
      <c r="AB571" s="2">
        <f>IFERROR(__xludf.DUMMYFUNCTION("IMPORTRANGE(""https://docs.google.com/spreadsheets/d/""&amp;$A571&amp;""/edit#gid=156619080"",AB$3)"),1879.06)</f>
        <v>1879.06</v>
      </c>
      <c r="AC571" s="18">
        <f>IFERROR(__xludf.DUMMYFUNCTION("IMPORTRANGE(""https://docs.google.com/spreadsheets/d/""&amp;$A571&amp;""/edit#gid=156619080"",AC$3)"),1866.03)</f>
        <v>1866.03</v>
      </c>
      <c r="AD571" s="18">
        <f>IFERROR(__xludf.DUMMYFUNCTION("IMPORTRANGE(""https://docs.google.com/spreadsheets/d/""&amp;$A571&amp;""/edit#gid=156619080"",AD$3)"),1853.01)</f>
        <v>1853.01</v>
      </c>
      <c r="AE571" s="18">
        <f>IFERROR(__xludf.DUMMYFUNCTION("IMPORTRANGE(""https://docs.google.com/spreadsheets/d/""&amp;$A571&amp;""/edit#gid=156619080"",AE$3)"),1800.9)</f>
        <v>1800.9</v>
      </c>
      <c r="AF571" s="2">
        <f>IFERROR(__xludf.DUMMYFUNCTION("IMPORTRANGE(""https://docs.google.com/spreadsheets/d/""&amp;$A571&amp;""/edit#gid=156619080"",AF$3)"),1748.79)</f>
        <v>1748.79</v>
      </c>
      <c r="AG571" s="2">
        <f>IFERROR(__xludf.DUMMYFUNCTION("IMPORTRANGE(""https://docs.google.com/spreadsheets/d/""&amp;$A571&amp;""/edit#gid=156619080"",AG$3)"),1735.77)</f>
        <v>1735.77</v>
      </c>
      <c r="AH571" s="2">
        <f>IFERROR(__xludf.DUMMYFUNCTION("IMPORTRANGE(""https://docs.google.com/spreadsheets/d/""&amp;$A571&amp;""/edit#gid=156619080"",AH$3)"),1722.74)</f>
        <v>1722.74</v>
      </c>
      <c r="AI571" s="2">
        <f>IFERROR(__xludf.DUMMYFUNCTION("IMPORTRANGE(""https://docs.google.com/spreadsheets/d/""&amp;$A571&amp;""/edit#gid=156619080"",AI$3)"),1709.72)</f>
        <v>1709.72</v>
      </c>
      <c r="AJ571" s="2">
        <f>IFERROR(__xludf.DUMMYFUNCTION("IMPORTRANGE(""https://docs.google.com/spreadsheets/d/""&amp;$A571&amp;""/edit#gid=156619080"",AJ$3)"),1696.69)</f>
        <v>1696.69</v>
      </c>
      <c r="AK571" s="2" t="str">
        <f>IFERROR(__xludf.DUMMYFUNCTION("IMPORTRANGE(""https://docs.google.com/spreadsheets/d/""&amp;$A571&amp;""/edit#gid=156619080"",AK$3)"),"")</f>
        <v/>
      </c>
      <c r="AL571" s="2">
        <f>IFERROR(__xludf.DUMMYFUNCTION("IMPORTRANGE(""https://docs.google.com/spreadsheets/d/""&amp;$A571&amp;""/edit#gid=156619080"",AL$3)"),-1.0)</f>
        <v>-1</v>
      </c>
      <c r="AM571" s="2" t="str">
        <f>IFERROR(__xludf.DUMMYFUNCTION("IMPORTRANGE(""https://docs.google.com/spreadsheets/d/""&amp;$A571&amp;""/edit#gid=156619080"",AM$3)"),"")</f>
        <v/>
      </c>
      <c r="AN571" s="2">
        <f>IFERROR(__xludf.DUMMYFUNCTION("IMPORTRANGE(""https://docs.google.com/spreadsheets/d/""&amp;$A571&amp;""/edit#gid=156619080"",AN$3)"),-1.0)</f>
        <v>-1</v>
      </c>
      <c r="AO571" s="2" t="str">
        <f>IFERROR(__xludf.DUMMYFUNCTION("IMPORTRANGE(""https://docs.google.com/spreadsheets/d/""&amp;$A571&amp;""/edit#gid=156619080"",AO$3)"),"")</f>
        <v/>
      </c>
      <c r="AP571" s="2">
        <f>IFERROR(__xludf.DUMMYFUNCTION("IMPORTRANGE(""https://docs.google.com/spreadsheets/d/""&amp;$A571&amp;""/edit#gid=156619080"",AP$3)"),1.0)</f>
        <v>1</v>
      </c>
      <c r="AQ571" s="2" t="str">
        <f>IFERROR(__xludf.DUMMYFUNCTION("IMPORTRANGE(""https://docs.google.com/spreadsheets/d/""&amp;$A571&amp;""/edit#gid=156619080"",AQ$3)"),"ws3")</f>
        <v>ws3</v>
      </c>
      <c r="AR571" s="18">
        <f>IFERROR(__xludf.DUMMYFUNCTION("IMPORTRANGE(""https://docs.google.com/spreadsheets/d/""&amp;$A571&amp;""/edit#gid=156619080"",AR$3)"),72.5)</f>
        <v>72.5</v>
      </c>
      <c r="AS571" s="19" t="str">
        <f>IFERROR(__xludf.DUMMYFUNCTION("IMPORTRANGE(""https://docs.google.com/spreadsheets/d/""&amp;$A571&amp;""/edit#gid=156619080"",AS$3)"),"-30
-90
-70
-20
")</f>
        <v>-30
-90
-70
-20
</v>
      </c>
      <c r="AT571" s="18">
        <f>IFERROR(__xludf.DUMMYFUNCTION("IMPORTRANGE(""https://docs.google.com/spreadsheets/d/""&amp;$A571&amp;""/edit#gid=156619080"",AT$3)"),14.835164835164838)</f>
        <v>14.83516484</v>
      </c>
      <c r="AU571" s="3" t="str">
        <f>IFERROR(__xludf.DUMMYFUNCTION("IMPORTRANGE(""https://docs.google.com/spreadsheets/d/""&amp;$A571&amp;""/edit#gid=156619080"",AU$3)"),"73.08
61.54
50.14
32.55
")</f>
        <v>73.08
61.54
50.14
32.55
</v>
      </c>
      <c r="AV571" s="18">
        <f>IFERROR(__xludf.DUMMYFUNCTION("IMPORTRANGE(""https://docs.google.com/spreadsheets/d/""&amp;$A571&amp;""/edit#gid=156619080"",AV$3)"),13.896103896103895)</f>
        <v>13.8961039</v>
      </c>
      <c r="AW571" s="19" t="str">
        <f>IFERROR(__xludf.DUMMYFUNCTION("IMPORTRANGE(""https://docs.google.com/spreadsheets/d/""&amp;$A571&amp;""/edit#gid=156619080"",AW$3)"),"-29.25
-30.29
-16.75
-4.03
")</f>
        <v>-29.25
-30.29
-16.75
-4.03
</v>
      </c>
      <c r="AX571" s="2">
        <f>IFERROR(__xludf.DUMMYFUNCTION("IMPORTRANGE(""https://docs.google.com/spreadsheets/d/""&amp;$A571&amp;""/edit#gid=156619080"",AX$3)"),46.2)</f>
        <v>46.2</v>
      </c>
      <c r="AY571" s="2">
        <f>IFERROR(__xludf.DUMMYFUNCTION("IMPORTRANGE(""https://docs.google.com/spreadsheets/d/""&amp;$A571&amp;""/edit#gid=156619080"",AY$3)"),44.68)</f>
        <v>44.68</v>
      </c>
      <c r="AZ571" s="2">
        <f>IFERROR(__xludf.DUMMYFUNCTION("IMPORTRANGE(""https://docs.google.com/spreadsheets/d/""&amp;$A571&amp;""/edit#gid=156619080"",AZ$3)"),1808.02)</f>
        <v>1808.02</v>
      </c>
      <c r="BA571" s="2">
        <f>IFERROR(__xludf.DUMMYFUNCTION("IMPORTRANGE(""https://docs.google.com/spreadsheets/d/""&amp;$A571&amp;""/edit#gid=156619080"",BA$3)"),-8.059999999999945)</f>
        <v>-8.06</v>
      </c>
      <c r="BB571" s="2">
        <f>IFERROR(__xludf.DUMMYFUNCTION("IMPORTRANGE(""https://docs.google.com/spreadsheets/d/""&amp;$A571&amp;""/edit#gid=156619080"",BB$3)"),-15.61)</f>
        <v>-15.61</v>
      </c>
      <c r="BC571" s="2" t="str">
        <f>IFERROR(__xludf.DUMMYFUNCTION("IMPORTRANGE(""https://docs.google.com/spreadsheets/d/""&amp;$A571&amp;""/edit#gid=156619080"",BC$3)"),"GC→GC")</f>
        <v>GC→GC</v>
      </c>
    </row>
    <row r="572" ht="51.0" customHeight="1">
      <c r="A572" s="7" t="str">
        <f t="shared" si="5"/>
        <v>1lLOAQcwC2Ls7p9_-BBB4FH5Hpapi97p-GlImGQeIH6k</v>
      </c>
      <c r="B572" s="1" t="s">
        <v>599</v>
      </c>
      <c r="C572" s="2">
        <f>IFERROR(__xludf.DUMMYFUNCTION("IMPORTRANGE(""https://docs.google.com/spreadsheets/d/""&amp;$A572&amp;""/edit#gid=156619080"",C$3)"),45.0)</f>
        <v>45</v>
      </c>
      <c r="D572" s="2">
        <f>IFERROR(__xludf.DUMMYFUNCTION("IMPORTRANGE(""https://docs.google.com/spreadsheets/d/""&amp;$A572&amp;""/edit#gid=156619080"",D$3)"),6890.0)</f>
        <v>6890</v>
      </c>
      <c r="E572" s="15">
        <f>IFERROR(__xludf.DUMMYFUNCTION("IMPORTRANGE(""https://docs.google.com/spreadsheets/d/""&amp;$A572&amp;""/edit#gid=156619080"",E$3)"),43882.0)</f>
        <v>43882</v>
      </c>
      <c r="F572" s="2">
        <f>IFERROR(__xludf.DUMMYFUNCTION("IMPORTRANGE(""https://docs.google.com/spreadsheets/d/""&amp;$A572&amp;""/edit#gid=156619080"",F$3)"),3.0)</f>
        <v>3</v>
      </c>
      <c r="G572" s="16">
        <f>IFERROR(__xludf.DUMMYFUNCTION("IMPORTRANGE(""https://docs.google.com/spreadsheets/d/""&amp;$A572&amp;""/edit#gid=156619080"",G$3)"),0.4)</f>
        <v>0.4</v>
      </c>
      <c r="H572" s="16">
        <f>IFERROR(__xludf.DUMMYFUNCTION("IMPORTRANGE(""https://docs.google.com/spreadsheets/d/""&amp;$A572&amp;""/edit#gid=156619080"",H$3)"),760.0)</f>
        <v>760</v>
      </c>
      <c r="I572" s="16">
        <f>IFERROR(__xludf.DUMMYFUNCTION("IMPORTRANGE(""https://docs.google.com/spreadsheets/d/""&amp;$A572&amp;""/edit#gid=156619080"",I$3)"),-5.0)</f>
        <v>-5</v>
      </c>
      <c r="J572" s="16">
        <f>IFERROR(__xludf.DUMMYFUNCTION("IMPORTRANGE(""https://docs.google.com/spreadsheets/d/""&amp;$A572&amp;""/edit#gid=156619080"",J$3)"),784.0)</f>
        <v>784</v>
      </c>
      <c r="K572" s="16">
        <f>IFERROR(__xludf.DUMMYFUNCTION("IMPORTRANGE(""https://docs.google.com/spreadsheets/d/""&amp;$A572&amp;""/edit#gid=156619080"",K$3)"),0.3854166666666667)</f>
        <v>0.3854166667</v>
      </c>
      <c r="L572" s="16">
        <f>IFERROR(__xludf.DUMMYFUNCTION("IMPORTRANGE(""https://docs.google.com/spreadsheets/d/""&amp;$A572&amp;""/edit#gid=156619080"",L$3)"),757.0)</f>
        <v>757</v>
      </c>
      <c r="M572" s="16">
        <f>IFERROR(__xludf.DUMMYFUNCTION("IMPORTRANGE(""https://docs.google.com/spreadsheets/d/""&amp;$A572&amp;""/edit#gid=156619080"",M$3)"),0.5666666666666667)</f>
        <v>0.5666666667</v>
      </c>
      <c r="N572" s="16">
        <f>IFERROR(__xludf.DUMMYFUNCTION("IMPORTRANGE(""https://docs.google.com/spreadsheets/d/""&amp;$A572&amp;""/edit#gid=156619080"",N$3)"),758.0)</f>
        <v>758</v>
      </c>
      <c r="O572" s="16" t="str">
        <f>IFERROR(__xludf.DUMMYFUNCTION("IMPORTRANGE(""https://docs.google.com/spreadsheets/d/""&amp;$A572&amp;""/edit#gid=156619080"",O$3)"),"474400株")</f>
        <v>474400株</v>
      </c>
      <c r="P572" s="16" t="str">
        <f>IFERROR(__xludf.DUMMYFUNCTION("IMPORTRANGE(""https://docs.google.com/spreadsheets/d/""&amp;$A572&amp;""/edit#gid=156619080"",P$3)"),"363百万円")</f>
        <v>363百万円</v>
      </c>
      <c r="Q572" s="16" t="str">
        <f>IFERROR(__xludf.DUMMYFUNCTION("IMPORTRANGE(""https://docs.google.com/spreadsheets/d/""&amp;$A572&amp;""/edit#gid=156619080"",Q$3)"),"832回")</f>
        <v>832回</v>
      </c>
      <c r="R572" s="16" t="str">
        <f>IFERROR(__xludf.DUMMYFUNCTION("IMPORTRANGE(""https://docs.google.com/spreadsheets/d/""&amp;$A572&amp;""/edit#gid=156619080"",R$3)"),"282億円")</f>
        <v>282億円</v>
      </c>
      <c r="S572" s="16" t="str">
        <f>IFERROR(__xludf.DUMMYFUNCTION("IMPORTRANGE(""https://docs.google.com/spreadsheets/d/""&amp;$A572&amp;""/edit#gid=156619080"",S$3)"),"陰線")</f>
        <v>陰線</v>
      </c>
      <c r="T572" s="16" t="str">
        <f>IFERROR(__xludf.DUMMYFUNCTION("IMPORTRANGE(""https://docs.google.com/spreadsheets/d/""&amp;$A572&amp;""/edit#gid=156619080"",T$3)"),"")</f>
        <v/>
      </c>
      <c r="U572" s="16">
        <f>IFERROR(__xludf.DUMMYFUNCTION("IMPORTRANGE(""https://docs.google.com/spreadsheets/d/""&amp;$A572&amp;""/edit#gid=156619080"",U$3)"),754.0)</f>
        <v>754</v>
      </c>
      <c r="V572" s="16">
        <f>IFERROR(__xludf.DUMMYFUNCTION("IMPORTRANGE(""https://docs.google.com/spreadsheets/d/""&amp;$A572&amp;""/edit#gid=156619080"",V$3)"),793.9)</f>
        <v>793.9</v>
      </c>
      <c r="W572" s="16">
        <f>IFERROR(__xludf.DUMMYFUNCTION("IMPORTRANGE(""https://docs.google.com/spreadsheets/d/""&amp;$A572&amp;""/edit#gid=156619080"",W$3)"),816.9)</f>
        <v>816.9</v>
      </c>
      <c r="X572" s="2" t="str">
        <f>IFERROR(__xludf.DUMMYFUNCTION("IMPORTRANGE(""https://docs.google.com/spreadsheets/d/""&amp;$A572&amp;""/edit#gid=156619080"",X$3)"),"")</f>
        <v/>
      </c>
      <c r="Y572" s="17">
        <f>IFERROR(__xludf.DUMMYFUNCTION("IMPORTRANGE(""https://docs.google.com/spreadsheets/d/""&amp;$A572&amp;""/edit#gid=156619080"",Y$3)"),0.005305039787798408)</f>
        <v>0.005305039788</v>
      </c>
      <c r="Z572" s="2">
        <f>IFERROR(__xludf.DUMMYFUNCTION("IMPORTRANGE(""https://docs.google.com/spreadsheets/d/""&amp;$A572&amp;""/edit#gid=156619080"",Z$3)"),905.49)</f>
        <v>905.49</v>
      </c>
      <c r="AA572" s="2">
        <f>IFERROR(__xludf.DUMMYFUNCTION("IMPORTRANGE(""https://docs.google.com/spreadsheets/d/""&amp;$A572&amp;""/edit#gid=156619080"",AA$3)"),894.42)</f>
        <v>894.42</v>
      </c>
      <c r="AB572" s="2">
        <f>IFERROR(__xludf.DUMMYFUNCTION("IMPORTRANGE(""https://docs.google.com/spreadsheets/d/""&amp;$A572&amp;""/edit#gid=156619080"",AB$3)"),883.34)</f>
        <v>883.34</v>
      </c>
      <c r="AC572" s="18">
        <f>IFERROR(__xludf.DUMMYFUNCTION("IMPORTRANGE(""https://docs.google.com/spreadsheets/d/""&amp;$A572&amp;""/edit#gid=156619080"",AC$3)"),872.27)</f>
        <v>872.27</v>
      </c>
      <c r="AD572" s="18">
        <f>IFERROR(__xludf.DUMMYFUNCTION("IMPORTRANGE(""https://docs.google.com/spreadsheets/d/""&amp;$A572&amp;""/edit#gid=156619080"",AD$3)"),861.19)</f>
        <v>861.19</v>
      </c>
      <c r="AE572" s="18">
        <f>IFERROR(__xludf.DUMMYFUNCTION("IMPORTRANGE(""https://docs.google.com/spreadsheets/d/""&amp;$A572&amp;""/edit#gid=156619080"",AE$3)"),816.9)</f>
        <v>816.9</v>
      </c>
      <c r="AF572" s="2">
        <f>IFERROR(__xludf.DUMMYFUNCTION("IMPORTRANGE(""https://docs.google.com/spreadsheets/d/""&amp;$A572&amp;""/edit#gid=156619080"",AF$3)"),772.61)</f>
        <v>772.61</v>
      </c>
      <c r="AG572" s="2">
        <f>IFERROR(__xludf.DUMMYFUNCTION("IMPORTRANGE(""https://docs.google.com/spreadsheets/d/""&amp;$A572&amp;""/edit#gid=156619080"",AG$3)"),761.53)</f>
        <v>761.53</v>
      </c>
      <c r="AH572" s="2">
        <f>IFERROR(__xludf.DUMMYFUNCTION("IMPORTRANGE(""https://docs.google.com/spreadsheets/d/""&amp;$A572&amp;""/edit#gid=156619080"",AH$3)"),750.46)</f>
        <v>750.46</v>
      </c>
      <c r="AI572" s="2">
        <f>IFERROR(__xludf.DUMMYFUNCTION("IMPORTRANGE(""https://docs.google.com/spreadsheets/d/""&amp;$A572&amp;""/edit#gid=156619080"",AI$3)"),739.38)</f>
        <v>739.38</v>
      </c>
      <c r="AJ572" s="2">
        <f>IFERROR(__xludf.DUMMYFUNCTION("IMPORTRANGE(""https://docs.google.com/spreadsheets/d/""&amp;$A572&amp;""/edit#gid=156619080"",AJ$3)"),728.31)</f>
        <v>728.31</v>
      </c>
      <c r="AK572" s="2" t="str">
        <f>IFERROR(__xludf.DUMMYFUNCTION("IMPORTRANGE(""https://docs.google.com/spreadsheets/d/""&amp;$A572&amp;""/edit#gid=156619080"",AK$3)"),"-1.25σ〜-1.5σ")</f>
        <v>-1.25σ〜-1.5σ</v>
      </c>
      <c r="AL572" s="2">
        <f>IFERROR(__xludf.DUMMYFUNCTION("IMPORTRANGE(""https://docs.google.com/spreadsheets/d/""&amp;$A572&amp;""/edit#gid=156619080"",AL$3)"),-1.0)</f>
        <v>-1</v>
      </c>
      <c r="AM572" s="2" t="str">
        <f>IFERROR(__xludf.DUMMYFUNCTION("IMPORTRANGE(""https://docs.google.com/spreadsheets/d/""&amp;$A572&amp;""/edit#gid=156619080"",AM$3)"),"")</f>
        <v/>
      </c>
      <c r="AN572" s="2">
        <f>IFERROR(__xludf.DUMMYFUNCTION("IMPORTRANGE(""https://docs.google.com/spreadsheets/d/""&amp;$A572&amp;""/edit#gid=156619080"",AN$3)"),-1.0)</f>
        <v>-1</v>
      </c>
      <c r="AO572" s="2" t="str">
        <f>IFERROR(__xludf.DUMMYFUNCTION("IMPORTRANGE(""https://docs.google.com/spreadsheets/d/""&amp;$A572&amp;""/edit#gid=156619080"",AO$3)"),"")</f>
        <v/>
      </c>
      <c r="AP572" s="2">
        <f>IFERROR(__xludf.DUMMYFUNCTION("IMPORTRANGE(""https://docs.google.com/spreadsheets/d/""&amp;$A572&amp;""/edit#gid=156619080"",AP$3)"),-1.0)</f>
        <v>-1</v>
      </c>
      <c r="AQ572" s="2" t="str">
        <f>IFERROR(__xludf.DUMMYFUNCTION("IMPORTRANGE(""https://docs.google.com/spreadsheets/d/""&amp;$A572&amp;""/edit#gid=156619080"",AQ$3)"),"")</f>
        <v/>
      </c>
      <c r="AR572" s="18">
        <f>IFERROR(__xludf.DUMMYFUNCTION("IMPORTRANGE(""https://docs.google.com/spreadsheets/d/""&amp;$A572&amp;""/edit#gid=156619080"",AR$3)"),-30.000000000000004)</f>
        <v>-30</v>
      </c>
      <c r="AS572" s="19" t="str">
        <f>IFERROR(__xludf.DUMMYFUNCTION("IMPORTRANGE(""https://docs.google.com/spreadsheets/d/""&amp;$A572&amp;""/edit#gid=156619080"",AS$3)"),"-100
-100
-90
-70
")</f>
        <v>-100
-100
-90
-70
</v>
      </c>
      <c r="AT572" s="18">
        <f>IFERROR(__xludf.DUMMYFUNCTION("IMPORTRANGE(""https://docs.google.com/spreadsheets/d/""&amp;$A572&amp;""/edit#gid=156619080"",AT$3)"),-92.3076923076923)</f>
        <v>-92.30769231</v>
      </c>
      <c r="AU572" s="3" t="str">
        <f>IFERROR(__xludf.DUMMYFUNCTION("IMPORTRANGE(""https://docs.google.com/spreadsheets/d/""&amp;$A572&amp;""/edit#gid=156619080"",AU$3)"),"-73.63
-73.63
-83.52
-86.26
")</f>
        <v>-73.63
-73.63
-83.52
-86.26
</v>
      </c>
      <c r="AV572" s="18">
        <f>IFERROR(__xludf.DUMMYFUNCTION("IMPORTRANGE(""https://docs.google.com/spreadsheets/d/""&amp;$A572&amp;""/edit#gid=156619080"",AV$3)"),-92.72727272727272)</f>
        <v>-92.72727273</v>
      </c>
      <c r="AW572" s="19" t="str">
        <f>IFERROR(__xludf.DUMMYFUNCTION("IMPORTRANGE(""https://docs.google.com/spreadsheets/d/""&amp;$A572&amp;""/edit#gid=156619080"",AW$3)"),"-93.51
-93.51
-93.38
-93.25
")</f>
        <v>-93.51
-93.51
-93.38
-93.25
</v>
      </c>
      <c r="AX572" s="2">
        <f>IFERROR(__xludf.DUMMYFUNCTION("IMPORTRANGE(""https://docs.google.com/spreadsheets/d/""&amp;$A572&amp;""/edit#gid=156619080"",AX$3)"),35.23)</f>
        <v>35.23</v>
      </c>
      <c r="AY572" s="2">
        <f>IFERROR(__xludf.DUMMYFUNCTION("IMPORTRANGE(""https://docs.google.com/spreadsheets/d/""&amp;$A572&amp;""/edit#gid=156619080"",AY$3)"),23.65)</f>
        <v>23.65</v>
      </c>
      <c r="AZ572" s="2">
        <f>IFERROR(__xludf.DUMMYFUNCTION("IMPORTRANGE(""https://docs.google.com/spreadsheets/d/""&amp;$A572&amp;""/edit#gid=156619080"",AZ$3)"),761.82)</f>
        <v>761.82</v>
      </c>
      <c r="BA572" s="2">
        <f>IFERROR(__xludf.DUMMYFUNCTION("IMPORTRANGE(""https://docs.google.com/spreadsheets/d/""&amp;$A572&amp;""/edit#gid=156619080"",BA$3)"),-50.42999999999995)</f>
        <v>-50.43</v>
      </c>
      <c r="BB572" s="2">
        <f>IFERROR(__xludf.DUMMYFUNCTION("IMPORTRANGE(""https://docs.google.com/spreadsheets/d/""&amp;$A572&amp;""/edit#gid=156619080"",BB$3)"),-45.0)</f>
        <v>-45</v>
      </c>
      <c r="BC572" s="2" t="str">
        <f>IFERROR(__xludf.DUMMYFUNCTION("IMPORTRANGE(""https://docs.google.com/spreadsheets/d/""&amp;$A572&amp;""/edit#gid=156619080"",BC$3)"),"DC→DC")</f>
        <v>DC→DC</v>
      </c>
    </row>
    <row r="573" ht="51.0" customHeight="1">
      <c r="A573" s="7" t="str">
        <f t="shared" si="5"/>
        <v/>
      </c>
      <c r="C573" s="2" t="str">
        <f>IFERROR(__xludf.DUMMYFUNCTION("IMPORTRANGE(""https://docs.google.com/spreadsheets/d/""&amp;$A573&amp;""/edit#gid=156619080"",C$3)"),"#REF!")</f>
        <v>#REF!</v>
      </c>
      <c r="D573" s="2" t="str">
        <f>IFERROR(__xludf.DUMMYFUNCTION("IMPORTRANGE(""https://docs.google.com/spreadsheets/d/""&amp;$A573&amp;""/edit#gid=156619080"",D$3)"),"#REF!")</f>
        <v>#REF!</v>
      </c>
      <c r="E573" s="2" t="str">
        <f>IFERROR(__xludf.DUMMYFUNCTION("IMPORTRANGE(""https://docs.google.com/spreadsheets/d/""&amp;$A573&amp;""/edit#gid=156619080"",E$3)"),"#REF!")</f>
        <v>#REF!</v>
      </c>
      <c r="F573" s="2" t="str">
        <f>IFERROR(__xludf.DUMMYFUNCTION("IMPORTRANGE(""https://docs.google.com/spreadsheets/d/""&amp;$A573&amp;""/edit#gid=156619080"",F$3)"),"#REF!")</f>
        <v>#REF!</v>
      </c>
      <c r="G573" s="2" t="str">
        <f>IFERROR(__xludf.DUMMYFUNCTION("IMPORTRANGE(""https://docs.google.com/spreadsheets/d/""&amp;$A573&amp;""/edit#gid=156619080"",G$3)"),"#REF!")</f>
        <v>#REF!</v>
      </c>
      <c r="H573" s="2" t="str">
        <f>IFERROR(__xludf.DUMMYFUNCTION("IMPORTRANGE(""https://docs.google.com/spreadsheets/d/""&amp;$A573&amp;""/edit#gid=156619080"",H$3)"),"#REF!")</f>
        <v>#REF!</v>
      </c>
      <c r="I573" s="2" t="str">
        <f>IFERROR(__xludf.DUMMYFUNCTION("IMPORTRANGE(""https://docs.google.com/spreadsheets/d/""&amp;$A573&amp;""/edit#gid=156619080"",I$3)"),"#REF!")</f>
        <v>#REF!</v>
      </c>
      <c r="J573" s="2" t="str">
        <f>IFERROR(__xludf.DUMMYFUNCTION("IMPORTRANGE(""https://docs.google.com/spreadsheets/d/""&amp;$A573&amp;""/edit#gid=156619080"",J$3)"),"#REF!")</f>
        <v>#REF!</v>
      </c>
      <c r="K573" s="2" t="str">
        <f>IFERROR(__xludf.DUMMYFUNCTION("IMPORTRANGE(""https://docs.google.com/spreadsheets/d/""&amp;$A573&amp;""/edit#gid=156619080"",K$3)"),"#REF!")</f>
        <v>#REF!</v>
      </c>
      <c r="L573" s="2" t="str">
        <f>IFERROR(__xludf.DUMMYFUNCTION("IMPORTRANGE(""https://docs.google.com/spreadsheets/d/""&amp;$A573&amp;""/edit#gid=156619080"",L$3)"),"#REF!")</f>
        <v>#REF!</v>
      </c>
      <c r="M573" s="2" t="str">
        <f>IFERROR(__xludf.DUMMYFUNCTION("IMPORTRANGE(""https://docs.google.com/spreadsheets/d/""&amp;$A573&amp;""/edit#gid=156619080"",M$3)"),"#REF!")</f>
        <v>#REF!</v>
      </c>
      <c r="N573" s="2" t="str">
        <f>IFERROR(__xludf.DUMMYFUNCTION("IMPORTRANGE(""https://docs.google.com/spreadsheets/d/""&amp;$A573&amp;""/edit#gid=156619080"",N$3)"),"#REF!")</f>
        <v>#REF!</v>
      </c>
      <c r="O573" s="2" t="str">
        <f>IFERROR(__xludf.DUMMYFUNCTION("IMPORTRANGE(""https://docs.google.com/spreadsheets/d/""&amp;$A573&amp;""/edit#gid=156619080"",O$3)"),"#REF!")</f>
        <v>#REF!</v>
      </c>
      <c r="P573" s="2" t="str">
        <f>IFERROR(__xludf.DUMMYFUNCTION("IMPORTRANGE(""https://docs.google.com/spreadsheets/d/""&amp;$A573&amp;""/edit#gid=156619080"",P$3)"),"#REF!")</f>
        <v>#REF!</v>
      </c>
      <c r="Q573" s="2" t="str">
        <f>IFERROR(__xludf.DUMMYFUNCTION("IMPORTRANGE(""https://docs.google.com/spreadsheets/d/""&amp;$A573&amp;""/edit#gid=156619080"",Q$3)"),"#REF!")</f>
        <v>#REF!</v>
      </c>
      <c r="R573" s="2" t="str">
        <f>IFERROR(__xludf.DUMMYFUNCTION("IMPORTRANGE(""https://docs.google.com/spreadsheets/d/""&amp;$A573&amp;""/edit#gid=156619080"",R$3)"),"#REF!")</f>
        <v>#REF!</v>
      </c>
      <c r="S573" s="2" t="str">
        <f>IFERROR(__xludf.DUMMYFUNCTION("IMPORTRANGE(""https://docs.google.com/spreadsheets/d/""&amp;$A573&amp;""/edit#gid=156619080"",S$3)"),"#REF!")</f>
        <v>#REF!</v>
      </c>
      <c r="T573" s="2" t="str">
        <f>IFERROR(__xludf.DUMMYFUNCTION("IMPORTRANGE(""https://docs.google.com/spreadsheets/d/""&amp;$A573&amp;""/edit#gid=156619080"",T$3)"),"#REF!")</f>
        <v>#REF!</v>
      </c>
      <c r="U573" s="2" t="str">
        <f>IFERROR(__xludf.DUMMYFUNCTION("IMPORTRANGE(""https://docs.google.com/spreadsheets/d/""&amp;$A573&amp;""/edit#gid=156619080"",U$3)"),"#REF!")</f>
        <v>#REF!</v>
      </c>
      <c r="V573" s="2" t="str">
        <f>IFERROR(__xludf.DUMMYFUNCTION("IMPORTRANGE(""https://docs.google.com/spreadsheets/d/""&amp;$A573&amp;""/edit#gid=156619080"",V$3)"),"#REF!")</f>
        <v>#REF!</v>
      </c>
      <c r="W573" s="2" t="str">
        <f>IFERROR(__xludf.DUMMYFUNCTION("IMPORTRANGE(""https://docs.google.com/spreadsheets/d/""&amp;$A573&amp;""/edit#gid=156619080"",W$3)"),"#REF!")</f>
        <v>#REF!</v>
      </c>
      <c r="X573" s="2" t="str">
        <f>IFERROR(__xludf.DUMMYFUNCTION("IMPORTRANGE(""https://docs.google.com/spreadsheets/d/""&amp;$A573&amp;""/edit#gid=156619080"",X$3)"),"#REF!")</f>
        <v>#REF!</v>
      </c>
      <c r="Y573" s="2" t="str">
        <f>IFERROR(__xludf.DUMMYFUNCTION("IMPORTRANGE(""https://docs.google.com/spreadsheets/d/""&amp;$A573&amp;""/edit#gid=156619080"",Y$3)"),"#REF!")</f>
        <v>#REF!</v>
      </c>
      <c r="Z573" s="2" t="str">
        <f>IFERROR(__xludf.DUMMYFUNCTION("IMPORTRANGE(""https://docs.google.com/spreadsheets/d/""&amp;$A573&amp;""/edit#gid=156619080"",Z$3)"),"#REF!")</f>
        <v>#REF!</v>
      </c>
      <c r="AA573" s="2" t="str">
        <f>IFERROR(__xludf.DUMMYFUNCTION("IMPORTRANGE(""https://docs.google.com/spreadsheets/d/""&amp;$A573&amp;""/edit#gid=156619080"",AA$3)"),"#REF!")</f>
        <v>#REF!</v>
      </c>
      <c r="AB573" s="2" t="str">
        <f>IFERROR(__xludf.DUMMYFUNCTION("IMPORTRANGE(""https://docs.google.com/spreadsheets/d/""&amp;$A573&amp;""/edit#gid=156619080"",AB$3)"),"#REF!")</f>
        <v>#REF!</v>
      </c>
      <c r="AC573" s="2" t="str">
        <f>IFERROR(__xludf.DUMMYFUNCTION("IMPORTRANGE(""https://docs.google.com/spreadsheets/d/""&amp;$A573&amp;""/edit#gid=156619080"",AC$3)"),"#REF!")</f>
        <v>#REF!</v>
      </c>
      <c r="AD573" s="2" t="str">
        <f>IFERROR(__xludf.DUMMYFUNCTION("IMPORTRANGE(""https://docs.google.com/spreadsheets/d/""&amp;$A573&amp;""/edit#gid=156619080"",AD$3)"),"#REF!")</f>
        <v>#REF!</v>
      </c>
      <c r="AE573" s="2" t="str">
        <f>IFERROR(__xludf.DUMMYFUNCTION("IMPORTRANGE(""https://docs.google.com/spreadsheets/d/""&amp;$A573&amp;""/edit#gid=156619080"",AE$3)"),"#REF!")</f>
        <v>#REF!</v>
      </c>
      <c r="AF573" s="2" t="str">
        <f>IFERROR(__xludf.DUMMYFUNCTION("IMPORTRANGE(""https://docs.google.com/spreadsheets/d/""&amp;$A573&amp;""/edit#gid=156619080"",AF$3)"),"#REF!")</f>
        <v>#REF!</v>
      </c>
      <c r="AG573" s="2" t="str">
        <f>IFERROR(__xludf.DUMMYFUNCTION("IMPORTRANGE(""https://docs.google.com/spreadsheets/d/""&amp;$A573&amp;""/edit#gid=156619080"",AG$3)"),"#REF!")</f>
        <v>#REF!</v>
      </c>
      <c r="AH573" s="2" t="str">
        <f>IFERROR(__xludf.DUMMYFUNCTION("IMPORTRANGE(""https://docs.google.com/spreadsheets/d/""&amp;$A573&amp;""/edit#gid=156619080"",AH$3)"),"#REF!")</f>
        <v>#REF!</v>
      </c>
      <c r="AI573" s="2" t="str">
        <f>IFERROR(__xludf.DUMMYFUNCTION("IMPORTRANGE(""https://docs.google.com/spreadsheets/d/""&amp;$A573&amp;""/edit#gid=156619080"",AI$3)"),"#REF!")</f>
        <v>#REF!</v>
      </c>
      <c r="AJ573" s="2" t="str">
        <f>IFERROR(__xludf.DUMMYFUNCTION("IMPORTRANGE(""https://docs.google.com/spreadsheets/d/""&amp;$A573&amp;""/edit#gid=156619080"",AJ$3)"),"#REF!")</f>
        <v>#REF!</v>
      </c>
      <c r="AK573" s="2" t="str">
        <f>IFERROR(__xludf.DUMMYFUNCTION("IMPORTRANGE(""https://docs.google.com/spreadsheets/d/""&amp;$A573&amp;""/edit#gid=156619080"",AK$3)"),"#REF!")</f>
        <v>#REF!</v>
      </c>
      <c r="AL573" s="2" t="str">
        <f>IFERROR(__xludf.DUMMYFUNCTION("IMPORTRANGE(""https://docs.google.com/spreadsheets/d/""&amp;$A573&amp;""/edit#gid=156619080"",AL$3)"),"#REF!")</f>
        <v>#REF!</v>
      </c>
      <c r="AM573" s="2" t="str">
        <f>IFERROR(__xludf.DUMMYFUNCTION("IMPORTRANGE(""https://docs.google.com/spreadsheets/d/""&amp;$A573&amp;""/edit#gid=156619080"",AM$3)"),"#REF!")</f>
        <v>#REF!</v>
      </c>
      <c r="AN573" s="2" t="str">
        <f>IFERROR(__xludf.DUMMYFUNCTION("IMPORTRANGE(""https://docs.google.com/spreadsheets/d/""&amp;$A573&amp;""/edit#gid=156619080"",AN$3)"),"#REF!")</f>
        <v>#REF!</v>
      </c>
      <c r="AO573" s="2" t="str">
        <f>IFERROR(__xludf.DUMMYFUNCTION("IMPORTRANGE(""https://docs.google.com/spreadsheets/d/""&amp;$A573&amp;""/edit#gid=156619080"",AO$3)"),"#REF!")</f>
        <v>#REF!</v>
      </c>
      <c r="AP573" s="2" t="str">
        <f>IFERROR(__xludf.DUMMYFUNCTION("IMPORTRANGE(""https://docs.google.com/spreadsheets/d/""&amp;$A573&amp;""/edit#gid=156619080"",AP$3)"),"#REF!")</f>
        <v>#REF!</v>
      </c>
      <c r="AQ573" s="2" t="str">
        <f>IFERROR(__xludf.DUMMYFUNCTION("IMPORTRANGE(""https://docs.google.com/spreadsheets/d/""&amp;$A573&amp;""/edit#gid=156619080"",AQ$3)"),"#REF!")</f>
        <v>#REF!</v>
      </c>
      <c r="AR573" s="2" t="str">
        <f>IFERROR(__xludf.DUMMYFUNCTION("IMPORTRANGE(""https://docs.google.com/spreadsheets/d/""&amp;$A573&amp;""/edit#gid=156619080"",AR$3)"),"#REF!")</f>
        <v>#REF!</v>
      </c>
      <c r="AS573" s="19" t="str">
        <f>IFERROR(__xludf.DUMMYFUNCTION("IMPORTRANGE(""https://docs.google.com/spreadsheets/d/""&amp;$A573&amp;""/edit#gid=156619080"",AS$3)"),"#REF!")</f>
        <v>#REF!</v>
      </c>
      <c r="AT573" s="2" t="str">
        <f>IFERROR(__xludf.DUMMYFUNCTION("IMPORTRANGE(""https://docs.google.com/spreadsheets/d/""&amp;$A573&amp;""/edit#gid=156619080"",AT$3)"),"#REF!")</f>
        <v>#REF!</v>
      </c>
      <c r="AU573" s="3" t="str">
        <f>IFERROR(__xludf.DUMMYFUNCTION("IMPORTRANGE(""https://docs.google.com/spreadsheets/d/""&amp;$A573&amp;""/edit#gid=156619080"",AU$3)"),"#REF!")</f>
        <v>#REF!</v>
      </c>
      <c r="AV573" s="2" t="str">
        <f>IFERROR(__xludf.DUMMYFUNCTION("IMPORTRANGE(""https://docs.google.com/spreadsheets/d/""&amp;$A573&amp;""/edit#gid=156619080"",AV$3)"),"#REF!")</f>
        <v>#REF!</v>
      </c>
      <c r="AW573" s="19" t="str">
        <f>IFERROR(__xludf.DUMMYFUNCTION("IMPORTRANGE(""https://docs.google.com/spreadsheets/d/""&amp;$A573&amp;""/edit#gid=156619080"",AW$3)"),"#REF!")</f>
        <v>#REF!</v>
      </c>
      <c r="AX573" s="2" t="str">
        <f>IFERROR(__xludf.DUMMYFUNCTION("IMPORTRANGE(""https://docs.google.com/spreadsheets/d/""&amp;$A573&amp;""/edit#gid=156619080"",AX$3)"),"#REF!")</f>
        <v>#REF!</v>
      </c>
      <c r="AY573" s="2" t="str">
        <f>IFERROR(__xludf.DUMMYFUNCTION("IMPORTRANGE(""https://docs.google.com/spreadsheets/d/""&amp;$A573&amp;""/edit#gid=156619080"",AY$3)"),"#REF!")</f>
        <v>#REF!</v>
      </c>
      <c r="AZ573" s="2" t="str">
        <f>IFERROR(__xludf.DUMMYFUNCTION("IMPORTRANGE(""https://docs.google.com/spreadsheets/d/""&amp;$A573&amp;""/edit#gid=156619080"",AZ$3)"),"#REF!")</f>
        <v>#REF!</v>
      </c>
      <c r="BA573" s="2" t="str">
        <f>IFERROR(__xludf.DUMMYFUNCTION("IMPORTRANGE(""https://docs.google.com/spreadsheets/d/""&amp;$A573&amp;""/edit#gid=156619080"",BA$3)"),"#REF!")</f>
        <v>#REF!</v>
      </c>
      <c r="BB573" s="2" t="str">
        <f>IFERROR(__xludf.DUMMYFUNCTION("IMPORTRANGE(""https://docs.google.com/spreadsheets/d/""&amp;$A573&amp;""/edit#gid=156619080"",BB$3)"),"#REF!")</f>
        <v>#REF!</v>
      </c>
      <c r="BC573" s="2" t="str">
        <f>IFERROR(__xludf.DUMMYFUNCTION("IMPORTRANGE(""https://docs.google.com/spreadsheets/d/""&amp;$A573&amp;""/edit#gid=156619080"",BC$3)"),"#REF!")</f>
        <v>#REF!</v>
      </c>
    </row>
    <row r="574" ht="51.0" customHeight="1">
      <c r="A574" s="7" t="str">
        <f t="shared" si="5"/>
        <v/>
      </c>
      <c r="C574" s="2" t="str">
        <f>IFERROR(__xludf.DUMMYFUNCTION("IMPORTRANGE(""https://docs.google.com/spreadsheets/d/""&amp;$A574&amp;""/edit#gid=156619080"",C$3)"),"#REF!")</f>
        <v>#REF!</v>
      </c>
      <c r="D574" s="2" t="str">
        <f>IFERROR(__xludf.DUMMYFUNCTION("IMPORTRANGE(""https://docs.google.com/spreadsheets/d/""&amp;$A574&amp;""/edit#gid=156619080"",D$3)"),"#REF!")</f>
        <v>#REF!</v>
      </c>
      <c r="E574" s="2" t="str">
        <f>IFERROR(__xludf.DUMMYFUNCTION("IMPORTRANGE(""https://docs.google.com/spreadsheets/d/""&amp;$A574&amp;""/edit#gid=156619080"",E$3)"),"#REF!")</f>
        <v>#REF!</v>
      </c>
      <c r="F574" s="2" t="str">
        <f>IFERROR(__xludf.DUMMYFUNCTION("IMPORTRANGE(""https://docs.google.com/spreadsheets/d/""&amp;$A574&amp;""/edit#gid=156619080"",F$3)"),"#REF!")</f>
        <v>#REF!</v>
      </c>
      <c r="G574" s="2" t="str">
        <f>IFERROR(__xludf.DUMMYFUNCTION("IMPORTRANGE(""https://docs.google.com/spreadsheets/d/""&amp;$A574&amp;""/edit#gid=156619080"",G$3)"),"#REF!")</f>
        <v>#REF!</v>
      </c>
      <c r="H574" s="2" t="str">
        <f>IFERROR(__xludf.DUMMYFUNCTION("IMPORTRANGE(""https://docs.google.com/spreadsheets/d/""&amp;$A574&amp;""/edit#gid=156619080"",H$3)"),"#REF!")</f>
        <v>#REF!</v>
      </c>
      <c r="I574" s="2" t="str">
        <f>IFERROR(__xludf.DUMMYFUNCTION("IMPORTRANGE(""https://docs.google.com/spreadsheets/d/""&amp;$A574&amp;""/edit#gid=156619080"",I$3)"),"#REF!")</f>
        <v>#REF!</v>
      </c>
      <c r="J574" s="2" t="str">
        <f>IFERROR(__xludf.DUMMYFUNCTION("IMPORTRANGE(""https://docs.google.com/spreadsheets/d/""&amp;$A574&amp;""/edit#gid=156619080"",J$3)"),"#REF!")</f>
        <v>#REF!</v>
      </c>
      <c r="K574" s="2" t="str">
        <f>IFERROR(__xludf.DUMMYFUNCTION("IMPORTRANGE(""https://docs.google.com/spreadsheets/d/""&amp;$A574&amp;""/edit#gid=156619080"",K$3)"),"#REF!")</f>
        <v>#REF!</v>
      </c>
      <c r="L574" s="2" t="str">
        <f>IFERROR(__xludf.DUMMYFUNCTION("IMPORTRANGE(""https://docs.google.com/spreadsheets/d/""&amp;$A574&amp;""/edit#gid=156619080"",L$3)"),"#REF!")</f>
        <v>#REF!</v>
      </c>
      <c r="M574" s="2" t="str">
        <f>IFERROR(__xludf.DUMMYFUNCTION("IMPORTRANGE(""https://docs.google.com/spreadsheets/d/""&amp;$A574&amp;""/edit#gid=156619080"",M$3)"),"#REF!")</f>
        <v>#REF!</v>
      </c>
      <c r="N574" s="2" t="str">
        <f>IFERROR(__xludf.DUMMYFUNCTION("IMPORTRANGE(""https://docs.google.com/spreadsheets/d/""&amp;$A574&amp;""/edit#gid=156619080"",N$3)"),"#REF!")</f>
        <v>#REF!</v>
      </c>
      <c r="O574" s="2" t="str">
        <f>IFERROR(__xludf.DUMMYFUNCTION("IMPORTRANGE(""https://docs.google.com/spreadsheets/d/""&amp;$A574&amp;""/edit#gid=156619080"",O$3)"),"#REF!")</f>
        <v>#REF!</v>
      </c>
      <c r="P574" s="2" t="str">
        <f>IFERROR(__xludf.DUMMYFUNCTION("IMPORTRANGE(""https://docs.google.com/spreadsheets/d/""&amp;$A574&amp;""/edit#gid=156619080"",P$3)"),"#REF!")</f>
        <v>#REF!</v>
      </c>
      <c r="Q574" s="2" t="str">
        <f>IFERROR(__xludf.DUMMYFUNCTION("IMPORTRANGE(""https://docs.google.com/spreadsheets/d/""&amp;$A574&amp;""/edit#gid=156619080"",Q$3)"),"#REF!")</f>
        <v>#REF!</v>
      </c>
      <c r="R574" s="2" t="str">
        <f>IFERROR(__xludf.DUMMYFUNCTION("IMPORTRANGE(""https://docs.google.com/spreadsheets/d/""&amp;$A574&amp;""/edit#gid=156619080"",R$3)"),"#REF!")</f>
        <v>#REF!</v>
      </c>
      <c r="S574" s="2" t="str">
        <f>IFERROR(__xludf.DUMMYFUNCTION("IMPORTRANGE(""https://docs.google.com/spreadsheets/d/""&amp;$A574&amp;""/edit#gid=156619080"",S$3)"),"#REF!")</f>
        <v>#REF!</v>
      </c>
      <c r="T574" s="2" t="str">
        <f>IFERROR(__xludf.DUMMYFUNCTION("IMPORTRANGE(""https://docs.google.com/spreadsheets/d/""&amp;$A574&amp;""/edit#gid=156619080"",T$3)"),"#REF!")</f>
        <v>#REF!</v>
      </c>
      <c r="U574" s="2" t="str">
        <f>IFERROR(__xludf.DUMMYFUNCTION("IMPORTRANGE(""https://docs.google.com/spreadsheets/d/""&amp;$A574&amp;""/edit#gid=156619080"",U$3)"),"#REF!")</f>
        <v>#REF!</v>
      </c>
      <c r="V574" s="2" t="str">
        <f>IFERROR(__xludf.DUMMYFUNCTION("IMPORTRANGE(""https://docs.google.com/spreadsheets/d/""&amp;$A574&amp;""/edit#gid=156619080"",V$3)"),"#REF!")</f>
        <v>#REF!</v>
      </c>
      <c r="W574" s="2" t="str">
        <f>IFERROR(__xludf.DUMMYFUNCTION("IMPORTRANGE(""https://docs.google.com/spreadsheets/d/""&amp;$A574&amp;""/edit#gid=156619080"",W$3)"),"#REF!")</f>
        <v>#REF!</v>
      </c>
      <c r="X574" s="2" t="str">
        <f>IFERROR(__xludf.DUMMYFUNCTION("IMPORTRANGE(""https://docs.google.com/spreadsheets/d/""&amp;$A574&amp;""/edit#gid=156619080"",X$3)"),"#REF!")</f>
        <v>#REF!</v>
      </c>
      <c r="Y574" s="2" t="str">
        <f>IFERROR(__xludf.DUMMYFUNCTION("IMPORTRANGE(""https://docs.google.com/spreadsheets/d/""&amp;$A574&amp;""/edit#gid=156619080"",Y$3)"),"#REF!")</f>
        <v>#REF!</v>
      </c>
      <c r="Z574" s="2" t="str">
        <f>IFERROR(__xludf.DUMMYFUNCTION("IMPORTRANGE(""https://docs.google.com/spreadsheets/d/""&amp;$A574&amp;""/edit#gid=156619080"",Z$3)"),"#REF!")</f>
        <v>#REF!</v>
      </c>
      <c r="AA574" s="2" t="str">
        <f>IFERROR(__xludf.DUMMYFUNCTION("IMPORTRANGE(""https://docs.google.com/spreadsheets/d/""&amp;$A574&amp;""/edit#gid=156619080"",AA$3)"),"#REF!")</f>
        <v>#REF!</v>
      </c>
      <c r="AB574" s="2" t="str">
        <f>IFERROR(__xludf.DUMMYFUNCTION("IMPORTRANGE(""https://docs.google.com/spreadsheets/d/""&amp;$A574&amp;""/edit#gid=156619080"",AB$3)"),"#REF!")</f>
        <v>#REF!</v>
      </c>
      <c r="AC574" s="2" t="str">
        <f>IFERROR(__xludf.DUMMYFUNCTION("IMPORTRANGE(""https://docs.google.com/spreadsheets/d/""&amp;$A574&amp;""/edit#gid=156619080"",AC$3)"),"#REF!")</f>
        <v>#REF!</v>
      </c>
      <c r="AD574" s="2" t="str">
        <f>IFERROR(__xludf.DUMMYFUNCTION("IMPORTRANGE(""https://docs.google.com/spreadsheets/d/""&amp;$A574&amp;""/edit#gid=156619080"",AD$3)"),"#REF!")</f>
        <v>#REF!</v>
      </c>
      <c r="AE574" s="2" t="str">
        <f>IFERROR(__xludf.DUMMYFUNCTION("IMPORTRANGE(""https://docs.google.com/spreadsheets/d/""&amp;$A574&amp;""/edit#gid=156619080"",AE$3)"),"#REF!")</f>
        <v>#REF!</v>
      </c>
      <c r="AF574" s="2" t="str">
        <f>IFERROR(__xludf.DUMMYFUNCTION("IMPORTRANGE(""https://docs.google.com/spreadsheets/d/""&amp;$A574&amp;""/edit#gid=156619080"",AF$3)"),"#REF!")</f>
        <v>#REF!</v>
      </c>
      <c r="AG574" s="2" t="str">
        <f>IFERROR(__xludf.DUMMYFUNCTION("IMPORTRANGE(""https://docs.google.com/spreadsheets/d/""&amp;$A574&amp;""/edit#gid=156619080"",AG$3)"),"#REF!")</f>
        <v>#REF!</v>
      </c>
      <c r="AH574" s="2" t="str">
        <f>IFERROR(__xludf.DUMMYFUNCTION("IMPORTRANGE(""https://docs.google.com/spreadsheets/d/""&amp;$A574&amp;""/edit#gid=156619080"",AH$3)"),"#REF!")</f>
        <v>#REF!</v>
      </c>
      <c r="AI574" s="2" t="str">
        <f>IFERROR(__xludf.DUMMYFUNCTION("IMPORTRANGE(""https://docs.google.com/spreadsheets/d/""&amp;$A574&amp;""/edit#gid=156619080"",AI$3)"),"#REF!")</f>
        <v>#REF!</v>
      </c>
      <c r="AJ574" s="2" t="str">
        <f>IFERROR(__xludf.DUMMYFUNCTION("IMPORTRANGE(""https://docs.google.com/spreadsheets/d/""&amp;$A574&amp;""/edit#gid=156619080"",AJ$3)"),"#REF!")</f>
        <v>#REF!</v>
      </c>
      <c r="AK574" s="2" t="str">
        <f>IFERROR(__xludf.DUMMYFUNCTION("IMPORTRANGE(""https://docs.google.com/spreadsheets/d/""&amp;$A574&amp;""/edit#gid=156619080"",AK$3)"),"#REF!")</f>
        <v>#REF!</v>
      </c>
      <c r="AL574" s="2" t="str">
        <f>IFERROR(__xludf.DUMMYFUNCTION("IMPORTRANGE(""https://docs.google.com/spreadsheets/d/""&amp;$A574&amp;""/edit#gid=156619080"",AL$3)"),"#REF!")</f>
        <v>#REF!</v>
      </c>
      <c r="AM574" s="2" t="str">
        <f>IFERROR(__xludf.DUMMYFUNCTION("IMPORTRANGE(""https://docs.google.com/spreadsheets/d/""&amp;$A574&amp;""/edit#gid=156619080"",AM$3)"),"#REF!")</f>
        <v>#REF!</v>
      </c>
      <c r="AN574" s="2" t="str">
        <f>IFERROR(__xludf.DUMMYFUNCTION("IMPORTRANGE(""https://docs.google.com/spreadsheets/d/""&amp;$A574&amp;""/edit#gid=156619080"",AN$3)"),"#REF!")</f>
        <v>#REF!</v>
      </c>
      <c r="AO574" s="2" t="str">
        <f>IFERROR(__xludf.DUMMYFUNCTION("IMPORTRANGE(""https://docs.google.com/spreadsheets/d/""&amp;$A574&amp;""/edit#gid=156619080"",AO$3)"),"#REF!")</f>
        <v>#REF!</v>
      </c>
      <c r="AP574" s="2" t="str">
        <f>IFERROR(__xludf.DUMMYFUNCTION("IMPORTRANGE(""https://docs.google.com/spreadsheets/d/""&amp;$A574&amp;""/edit#gid=156619080"",AP$3)"),"#REF!")</f>
        <v>#REF!</v>
      </c>
      <c r="AQ574" s="2" t="str">
        <f>IFERROR(__xludf.DUMMYFUNCTION("IMPORTRANGE(""https://docs.google.com/spreadsheets/d/""&amp;$A574&amp;""/edit#gid=156619080"",AQ$3)"),"#REF!")</f>
        <v>#REF!</v>
      </c>
      <c r="AR574" s="2" t="str">
        <f>IFERROR(__xludf.DUMMYFUNCTION("IMPORTRANGE(""https://docs.google.com/spreadsheets/d/""&amp;$A574&amp;""/edit#gid=156619080"",AR$3)"),"#REF!")</f>
        <v>#REF!</v>
      </c>
      <c r="AS574" s="19" t="str">
        <f>IFERROR(__xludf.DUMMYFUNCTION("IMPORTRANGE(""https://docs.google.com/spreadsheets/d/""&amp;$A574&amp;""/edit#gid=156619080"",AS$3)"),"#REF!")</f>
        <v>#REF!</v>
      </c>
      <c r="AT574" s="2" t="str">
        <f>IFERROR(__xludf.DUMMYFUNCTION("IMPORTRANGE(""https://docs.google.com/spreadsheets/d/""&amp;$A574&amp;""/edit#gid=156619080"",AT$3)"),"#REF!")</f>
        <v>#REF!</v>
      </c>
      <c r="AU574" s="3" t="str">
        <f>IFERROR(__xludf.DUMMYFUNCTION("IMPORTRANGE(""https://docs.google.com/spreadsheets/d/""&amp;$A574&amp;""/edit#gid=156619080"",AU$3)"),"#REF!")</f>
        <v>#REF!</v>
      </c>
      <c r="AV574" s="2" t="str">
        <f>IFERROR(__xludf.DUMMYFUNCTION("IMPORTRANGE(""https://docs.google.com/spreadsheets/d/""&amp;$A574&amp;""/edit#gid=156619080"",AV$3)"),"#REF!")</f>
        <v>#REF!</v>
      </c>
      <c r="AW574" s="19" t="str">
        <f>IFERROR(__xludf.DUMMYFUNCTION("IMPORTRANGE(""https://docs.google.com/spreadsheets/d/""&amp;$A574&amp;""/edit#gid=156619080"",AW$3)"),"#REF!")</f>
        <v>#REF!</v>
      </c>
      <c r="AX574" s="2" t="str">
        <f>IFERROR(__xludf.DUMMYFUNCTION("IMPORTRANGE(""https://docs.google.com/spreadsheets/d/""&amp;$A574&amp;""/edit#gid=156619080"",AX$3)"),"#REF!")</f>
        <v>#REF!</v>
      </c>
      <c r="AY574" s="2" t="str">
        <f>IFERROR(__xludf.DUMMYFUNCTION("IMPORTRANGE(""https://docs.google.com/spreadsheets/d/""&amp;$A574&amp;""/edit#gid=156619080"",AY$3)"),"#REF!")</f>
        <v>#REF!</v>
      </c>
      <c r="AZ574" s="2" t="str">
        <f>IFERROR(__xludf.DUMMYFUNCTION("IMPORTRANGE(""https://docs.google.com/spreadsheets/d/""&amp;$A574&amp;""/edit#gid=156619080"",AZ$3)"),"#REF!")</f>
        <v>#REF!</v>
      </c>
      <c r="BA574" s="2" t="str">
        <f>IFERROR(__xludf.DUMMYFUNCTION("IMPORTRANGE(""https://docs.google.com/spreadsheets/d/""&amp;$A574&amp;""/edit#gid=156619080"",BA$3)"),"#REF!")</f>
        <v>#REF!</v>
      </c>
      <c r="BB574" s="2" t="str">
        <f>IFERROR(__xludf.DUMMYFUNCTION("IMPORTRANGE(""https://docs.google.com/spreadsheets/d/""&amp;$A574&amp;""/edit#gid=156619080"",BB$3)"),"#REF!")</f>
        <v>#REF!</v>
      </c>
      <c r="BC574" s="2" t="str">
        <f>IFERROR(__xludf.DUMMYFUNCTION("IMPORTRANGE(""https://docs.google.com/spreadsheets/d/""&amp;$A574&amp;""/edit#gid=156619080"",BC$3)"),"#REF!")</f>
        <v>#REF!</v>
      </c>
    </row>
    <row r="575" ht="51.0" customHeight="1">
      <c r="A575" s="7" t="str">
        <f t="shared" si="5"/>
        <v/>
      </c>
      <c r="C575" s="2" t="str">
        <f>IFERROR(__xludf.DUMMYFUNCTION("IMPORTRANGE(""https://docs.google.com/spreadsheets/d/""&amp;$A575&amp;""/edit#gid=156619080"",C$3)"),"#REF!")</f>
        <v>#REF!</v>
      </c>
      <c r="D575" s="2" t="str">
        <f>IFERROR(__xludf.DUMMYFUNCTION("IMPORTRANGE(""https://docs.google.com/spreadsheets/d/""&amp;$A575&amp;""/edit#gid=156619080"",D$3)"),"#REF!")</f>
        <v>#REF!</v>
      </c>
      <c r="E575" s="2" t="str">
        <f>IFERROR(__xludf.DUMMYFUNCTION("IMPORTRANGE(""https://docs.google.com/spreadsheets/d/""&amp;$A575&amp;""/edit#gid=156619080"",E$3)"),"#REF!")</f>
        <v>#REF!</v>
      </c>
      <c r="F575" s="2" t="str">
        <f>IFERROR(__xludf.DUMMYFUNCTION("IMPORTRANGE(""https://docs.google.com/spreadsheets/d/""&amp;$A575&amp;""/edit#gid=156619080"",F$3)"),"#REF!")</f>
        <v>#REF!</v>
      </c>
      <c r="G575" s="2" t="str">
        <f>IFERROR(__xludf.DUMMYFUNCTION("IMPORTRANGE(""https://docs.google.com/spreadsheets/d/""&amp;$A575&amp;""/edit#gid=156619080"",G$3)"),"#REF!")</f>
        <v>#REF!</v>
      </c>
      <c r="H575" s="2" t="str">
        <f>IFERROR(__xludf.DUMMYFUNCTION("IMPORTRANGE(""https://docs.google.com/spreadsheets/d/""&amp;$A575&amp;""/edit#gid=156619080"",H$3)"),"#REF!")</f>
        <v>#REF!</v>
      </c>
      <c r="I575" s="2" t="str">
        <f>IFERROR(__xludf.DUMMYFUNCTION("IMPORTRANGE(""https://docs.google.com/spreadsheets/d/""&amp;$A575&amp;""/edit#gid=156619080"",I$3)"),"#REF!")</f>
        <v>#REF!</v>
      </c>
      <c r="J575" s="2" t="str">
        <f>IFERROR(__xludf.DUMMYFUNCTION("IMPORTRANGE(""https://docs.google.com/spreadsheets/d/""&amp;$A575&amp;""/edit#gid=156619080"",J$3)"),"#REF!")</f>
        <v>#REF!</v>
      </c>
      <c r="K575" s="2" t="str">
        <f>IFERROR(__xludf.DUMMYFUNCTION("IMPORTRANGE(""https://docs.google.com/spreadsheets/d/""&amp;$A575&amp;""/edit#gid=156619080"",K$3)"),"#REF!")</f>
        <v>#REF!</v>
      </c>
      <c r="L575" s="2" t="str">
        <f>IFERROR(__xludf.DUMMYFUNCTION("IMPORTRANGE(""https://docs.google.com/spreadsheets/d/""&amp;$A575&amp;""/edit#gid=156619080"",L$3)"),"#REF!")</f>
        <v>#REF!</v>
      </c>
      <c r="M575" s="2" t="str">
        <f>IFERROR(__xludf.DUMMYFUNCTION("IMPORTRANGE(""https://docs.google.com/spreadsheets/d/""&amp;$A575&amp;""/edit#gid=156619080"",M$3)"),"#REF!")</f>
        <v>#REF!</v>
      </c>
      <c r="N575" s="2" t="str">
        <f>IFERROR(__xludf.DUMMYFUNCTION("IMPORTRANGE(""https://docs.google.com/spreadsheets/d/""&amp;$A575&amp;""/edit#gid=156619080"",N$3)"),"#REF!")</f>
        <v>#REF!</v>
      </c>
      <c r="O575" s="2" t="str">
        <f>IFERROR(__xludf.DUMMYFUNCTION("IMPORTRANGE(""https://docs.google.com/spreadsheets/d/""&amp;$A575&amp;""/edit#gid=156619080"",O$3)"),"#REF!")</f>
        <v>#REF!</v>
      </c>
      <c r="P575" s="2" t="str">
        <f>IFERROR(__xludf.DUMMYFUNCTION("IMPORTRANGE(""https://docs.google.com/spreadsheets/d/""&amp;$A575&amp;""/edit#gid=156619080"",P$3)"),"#REF!")</f>
        <v>#REF!</v>
      </c>
      <c r="Q575" s="2" t="str">
        <f>IFERROR(__xludf.DUMMYFUNCTION("IMPORTRANGE(""https://docs.google.com/spreadsheets/d/""&amp;$A575&amp;""/edit#gid=156619080"",Q$3)"),"#REF!")</f>
        <v>#REF!</v>
      </c>
      <c r="R575" s="2" t="str">
        <f>IFERROR(__xludf.DUMMYFUNCTION("IMPORTRANGE(""https://docs.google.com/spreadsheets/d/""&amp;$A575&amp;""/edit#gid=156619080"",R$3)"),"#REF!")</f>
        <v>#REF!</v>
      </c>
      <c r="S575" s="2" t="str">
        <f>IFERROR(__xludf.DUMMYFUNCTION("IMPORTRANGE(""https://docs.google.com/spreadsheets/d/""&amp;$A575&amp;""/edit#gid=156619080"",S$3)"),"#REF!")</f>
        <v>#REF!</v>
      </c>
      <c r="T575" s="2" t="str">
        <f>IFERROR(__xludf.DUMMYFUNCTION("IMPORTRANGE(""https://docs.google.com/spreadsheets/d/""&amp;$A575&amp;""/edit#gid=156619080"",T$3)"),"#REF!")</f>
        <v>#REF!</v>
      </c>
      <c r="U575" s="2" t="str">
        <f>IFERROR(__xludf.DUMMYFUNCTION("IMPORTRANGE(""https://docs.google.com/spreadsheets/d/""&amp;$A575&amp;""/edit#gid=156619080"",U$3)"),"#REF!")</f>
        <v>#REF!</v>
      </c>
      <c r="V575" s="2" t="str">
        <f>IFERROR(__xludf.DUMMYFUNCTION("IMPORTRANGE(""https://docs.google.com/spreadsheets/d/""&amp;$A575&amp;""/edit#gid=156619080"",V$3)"),"#REF!")</f>
        <v>#REF!</v>
      </c>
      <c r="W575" s="2" t="str">
        <f>IFERROR(__xludf.DUMMYFUNCTION("IMPORTRANGE(""https://docs.google.com/spreadsheets/d/""&amp;$A575&amp;""/edit#gid=156619080"",W$3)"),"#REF!")</f>
        <v>#REF!</v>
      </c>
      <c r="X575" s="2" t="str">
        <f>IFERROR(__xludf.DUMMYFUNCTION("IMPORTRANGE(""https://docs.google.com/spreadsheets/d/""&amp;$A575&amp;""/edit#gid=156619080"",X$3)"),"#REF!")</f>
        <v>#REF!</v>
      </c>
      <c r="Y575" s="2" t="str">
        <f>IFERROR(__xludf.DUMMYFUNCTION("IMPORTRANGE(""https://docs.google.com/spreadsheets/d/""&amp;$A575&amp;""/edit#gid=156619080"",Y$3)"),"#REF!")</f>
        <v>#REF!</v>
      </c>
      <c r="Z575" s="2" t="str">
        <f>IFERROR(__xludf.DUMMYFUNCTION("IMPORTRANGE(""https://docs.google.com/spreadsheets/d/""&amp;$A575&amp;""/edit#gid=156619080"",Z$3)"),"#REF!")</f>
        <v>#REF!</v>
      </c>
      <c r="AA575" s="2" t="str">
        <f>IFERROR(__xludf.DUMMYFUNCTION("IMPORTRANGE(""https://docs.google.com/spreadsheets/d/""&amp;$A575&amp;""/edit#gid=156619080"",AA$3)"),"#REF!")</f>
        <v>#REF!</v>
      </c>
      <c r="AB575" s="2" t="str">
        <f>IFERROR(__xludf.DUMMYFUNCTION("IMPORTRANGE(""https://docs.google.com/spreadsheets/d/""&amp;$A575&amp;""/edit#gid=156619080"",AB$3)"),"#REF!")</f>
        <v>#REF!</v>
      </c>
      <c r="AC575" s="2" t="str">
        <f>IFERROR(__xludf.DUMMYFUNCTION("IMPORTRANGE(""https://docs.google.com/spreadsheets/d/""&amp;$A575&amp;""/edit#gid=156619080"",AC$3)"),"#REF!")</f>
        <v>#REF!</v>
      </c>
      <c r="AD575" s="2" t="str">
        <f>IFERROR(__xludf.DUMMYFUNCTION("IMPORTRANGE(""https://docs.google.com/spreadsheets/d/""&amp;$A575&amp;""/edit#gid=156619080"",AD$3)"),"#REF!")</f>
        <v>#REF!</v>
      </c>
      <c r="AE575" s="2" t="str">
        <f>IFERROR(__xludf.DUMMYFUNCTION("IMPORTRANGE(""https://docs.google.com/spreadsheets/d/""&amp;$A575&amp;""/edit#gid=156619080"",AE$3)"),"#REF!")</f>
        <v>#REF!</v>
      </c>
      <c r="AF575" s="2" t="str">
        <f>IFERROR(__xludf.DUMMYFUNCTION("IMPORTRANGE(""https://docs.google.com/spreadsheets/d/""&amp;$A575&amp;""/edit#gid=156619080"",AF$3)"),"#REF!")</f>
        <v>#REF!</v>
      </c>
      <c r="AG575" s="2" t="str">
        <f>IFERROR(__xludf.DUMMYFUNCTION("IMPORTRANGE(""https://docs.google.com/spreadsheets/d/""&amp;$A575&amp;""/edit#gid=156619080"",AG$3)"),"#REF!")</f>
        <v>#REF!</v>
      </c>
      <c r="AH575" s="2" t="str">
        <f>IFERROR(__xludf.DUMMYFUNCTION("IMPORTRANGE(""https://docs.google.com/spreadsheets/d/""&amp;$A575&amp;""/edit#gid=156619080"",AH$3)"),"#REF!")</f>
        <v>#REF!</v>
      </c>
      <c r="AI575" s="2" t="str">
        <f>IFERROR(__xludf.DUMMYFUNCTION("IMPORTRANGE(""https://docs.google.com/spreadsheets/d/""&amp;$A575&amp;""/edit#gid=156619080"",AI$3)"),"#REF!")</f>
        <v>#REF!</v>
      </c>
      <c r="AJ575" s="2" t="str">
        <f>IFERROR(__xludf.DUMMYFUNCTION("IMPORTRANGE(""https://docs.google.com/spreadsheets/d/""&amp;$A575&amp;""/edit#gid=156619080"",AJ$3)"),"#REF!")</f>
        <v>#REF!</v>
      </c>
      <c r="AK575" s="2" t="str">
        <f>IFERROR(__xludf.DUMMYFUNCTION("IMPORTRANGE(""https://docs.google.com/spreadsheets/d/""&amp;$A575&amp;""/edit#gid=156619080"",AK$3)"),"#REF!")</f>
        <v>#REF!</v>
      </c>
      <c r="AL575" s="2" t="str">
        <f>IFERROR(__xludf.DUMMYFUNCTION("IMPORTRANGE(""https://docs.google.com/spreadsheets/d/""&amp;$A575&amp;""/edit#gid=156619080"",AL$3)"),"#REF!")</f>
        <v>#REF!</v>
      </c>
      <c r="AM575" s="2" t="str">
        <f>IFERROR(__xludf.DUMMYFUNCTION("IMPORTRANGE(""https://docs.google.com/spreadsheets/d/""&amp;$A575&amp;""/edit#gid=156619080"",AM$3)"),"#REF!")</f>
        <v>#REF!</v>
      </c>
      <c r="AN575" s="2" t="str">
        <f>IFERROR(__xludf.DUMMYFUNCTION("IMPORTRANGE(""https://docs.google.com/spreadsheets/d/""&amp;$A575&amp;""/edit#gid=156619080"",AN$3)"),"#REF!")</f>
        <v>#REF!</v>
      </c>
      <c r="AO575" s="2" t="str">
        <f>IFERROR(__xludf.DUMMYFUNCTION("IMPORTRANGE(""https://docs.google.com/spreadsheets/d/""&amp;$A575&amp;""/edit#gid=156619080"",AO$3)"),"#REF!")</f>
        <v>#REF!</v>
      </c>
      <c r="AP575" s="2" t="str">
        <f>IFERROR(__xludf.DUMMYFUNCTION("IMPORTRANGE(""https://docs.google.com/spreadsheets/d/""&amp;$A575&amp;""/edit#gid=156619080"",AP$3)"),"#REF!")</f>
        <v>#REF!</v>
      </c>
      <c r="AQ575" s="2" t="str">
        <f>IFERROR(__xludf.DUMMYFUNCTION("IMPORTRANGE(""https://docs.google.com/spreadsheets/d/""&amp;$A575&amp;""/edit#gid=156619080"",AQ$3)"),"#REF!")</f>
        <v>#REF!</v>
      </c>
      <c r="AR575" s="2" t="str">
        <f>IFERROR(__xludf.DUMMYFUNCTION("IMPORTRANGE(""https://docs.google.com/spreadsheets/d/""&amp;$A575&amp;""/edit#gid=156619080"",AR$3)"),"#REF!")</f>
        <v>#REF!</v>
      </c>
      <c r="AS575" s="19" t="str">
        <f>IFERROR(__xludf.DUMMYFUNCTION("IMPORTRANGE(""https://docs.google.com/spreadsheets/d/""&amp;$A575&amp;""/edit#gid=156619080"",AS$3)"),"#REF!")</f>
        <v>#REF!</v>
      </c>
      <c r="AT575" s="2" t="str">
        <f>IFERROR(__xludf.DUMMYFUNCTION("IMPORTRANGE(""https://docs.google.com/spreadsheets/d/""&amp;$A575&amp;""/edit#gid=156619080"",AT$3)"),"#REF!")</f>
        <v>#REF!</v>
      </c>
      <c r="AU575" s="3" t="str">
        <f>IFERROR(__xludf.DUMMYFUNCTION("IMPORTRANGE(""https://docs.google.com/spreadsheets/d/""&amp;$A575&amp;""/edit#gid=156619080"",AU$3)"),"#REF!")</f>
        <v>#REF!</v>
      </c>
      <c r="AV575" s="2" t="str">
        <f>IFERROR(__xludf.DUMMYFUNCTION("IMPORTRANGE(""https://docs.google.com/spreadsheets/d/""&amp;$A575&amp;""/edit#gid=156619080"",AV$3)"),"#REF!")</f>
        <v>#REF!</v>
      </c>
      <c r="AW575" s="19" t="str">
        <f>IFERROR(__xludf.DUMMYFUNCTION("IMPORTRANGE(""https://docs.google.com/spreadsheets/d/""&amp;$A575&amp;""/edit#gid=156619080"",AW$3)"),"#REF!")</f>
        <v>#REF!</v>
      </c>
      <c r="AX575" s="2" t="str">
        <f>IFERROR(__xludf.DUMMYFUNCTION("IMPORTRANGE(""https://docs.google.com/spreadsheets/d/""&amp;$A575&amp;""/edit#gid=156619080"",AX$3)"),"#REF!")</f>
        <v>#REF!</v>
      </c>
      <c r="AY575" s="2" t="str">
        <f>IFERROR(__xludf.DUMMYFUNCTION("IMPORTRANGE(""https://docs.google.com/spreadsheets/d/""&amp;$A575&amp;""/edit#gid=156619080"",AY$3)"),"#REF!")</f>
        <v>#REF!</v>
      </c>
      <c r="AZ575" s="2" t="str">
        <f>IFERROR(__xludf.DUMMYFUNCTION("IMPORTRANGE(""https://docs.google.com/spreadsheets/d/""&amp;$A575&amp;""/edit#gid=156619080"",AZ$3)"),"#REF!")</f>
        <v>#REF!</v>
      </c>
      <c r="BA575" s="2" t="str">
        <f>IFERROR(__xludf.DUMMYFUNCTION("IMPORTRANGE(""https://docs.google.com/spreadsheets/d/""&amp;$A575&amp;""/edit#gid=156619080"",BA$3)"),"#REF!")</f>
        <v>#REF!</v>
      </c>
      <c r="BB575" s="2" t="str">
        <f>IFERROR(__xludf.DUMMYFUNCTION("IMPORTRANGE(""https://docs.google.com/spreadsheets/d/""&amp;$A575&amp;""/edit#gid=156619080"",BB$3)"),"#REF!")</f>
        <v>#REF!</v>
      </c>
      <c r="BC575" s="2" t="str">
        <f>IFERROR(__xludf.DUMMYFUNCTION("IMPORTRANGE(""https://docs.google.com/spreadsheets/d/""&amp;$A575&amp;""/edit#gid=156619080"",BC$3)"),"#REF!")</f>
        <v>#REF!</v>
      </c>
    </row>
    <row r="576" ht="51.0" customHeight="1">
      <c r="A576" s="7" t="str">
        <f t="shared" si="5"/>
        <v/>
      </c>
      <c r="C576" s="2" t="str">
        <f>IFERROR(__xludf.DUMMYFUNCTION("IMPORTRANGE(""https://docs.google.com/spreadsheets/d/""&amp;$A576&amp;""/edit#gid=156619080"",C$3)"),"#REF!")</f>
        <v>#REF!</v>
      </c>
      <c r="D576" s="2" t="str">
        <f>IFERROR(__xludf.DUMMYFUNCTION("IMPORTRANGE(""https://docs.google.com/spreadsheets/d/""&amp;$A576&amp;""/edit#gid=156619080"",D$3)"),"#REF!")</f>
        <v>#REF!</v>
      </c>
      <c r="E576" s="2" t="str">
        <f>IFERROR(__xludf.DUMMYFUNCTION("IMPORTRANGE(""https://docs.google.com/spreadsheets/d/""&amp;$A576&amp;""/edit#gid=156619080"",E$3)"),"#REF!")</f>
        <v>#REF!</v>
      </c>
      <c r="F576" s="2" t="str">
        <f>IFERROR(__xludf.DUMMYFUNCTION("IMPORTRANGE(""https://docs.google.com/spreadsheets/d/""&amp;$A576&amp;""/edit#gid=156619080"",F$3)"),"#REF!")</f>
        <v>#REF!</v>
      </c>
      <c r="G576" s="2" t="str">
        <f>IFERROR(__xludf.DUMMYFUNCTION("IMPORTRANGE(""https://docs.google.com/spreadsheets/d/""&amp;$A576&amp;""/edit#gid=156619080"",G$3)"),"#REF!")</f>
        <v>#REF!</v>
      </c>
      <c r="H576" s="2" t="str">
        <f>IFERROR(__xludf.DUMMYFUNCTION("IMPORTRANGE(""https://docs.google.com/spreadsheets/d/""&amp;$A576&amp;""/edit#gid=156619080"",H$3)"),"#REF!")</f>
        <v>#REF!</v>
      </c>
      <c r="I576" s="2" t="str">
        <f>IFERROR(__xludf.DUMMYFUNCTION("IMPORTRANGE(""https://docs.google.com/spreadsheets/d/""&amp;$A576&amp;""/edit#gid=156619080"",I$3)"),"#REF!")</f>
        <v>#REF!</v>
      </c>
      <c r="J576" s="2" t="str">
        <f>IFERROR(__xludf.DUMMYFUNCTION("IMPORTRANGE(""https://docs.google.com/spreadsheets/d/""&amp;$A576&amp;""/edit#gid=156619080"",J$3)"),"#REF!")</f>
        <v>#REF!</v>
      </c>
      <c r="K576" s="2" t="str">
        <f>IFERROR(__xludf.DUMMYFUNCTION("IMPORTRANGE(""https://docs.google.com/spreadsheets/d/""&amp;$A576&amp;""/edit#gid=156619080"",K$3)"),"#REF!")</f>
        <v>#REF!</v>
      </c>
      <c r="L576" s="2" t="str">
        <f>IFERROR(__xludf.DUMMYFUNCTION("IMPORTRANGE(""https://docs.google.com/spreadsheets/d/""&amp;$A576&amp;""/edit#gid=156619080"",L$3)"),"#REF!")</f>
        <v>#REF!</v>
      </c>
      <c r="M576" s="2" t="str">
        <f>IFERROR(__xludf.DUMMYFUNCTION("IMPORTRANGE(""https://docs.google.com/spreadsheets/d/""&amp;$A576&amp;""/edit#gid=156619080"",M$3)"),"#REF!")</f>
        <v>#REF!</v>
      </c>
      <c r="N576" s="2" t="str">
        <f>IFERROR(__xludf.DUMMYFUNCTION("IMPORTRANGE(""https://docs.google.com/spreadsheets/d/""&amp;$A576&amp;""/edit#gid=156619080"",N$3)"),"#REF!")</f>
        <v>#REF!</v>
      </c>
      <c r="O576" s="2" t="str">
        <f>IFERROR(__xludf.DUMMYFUNCTION("IMPORTRANGE(""https://docs.google.com/spreadsheets/d/""&amp;$A576&amp;""/edit#gid=156619080"",O$3)"),"#REF!")</f>
        <v>#REF!</v>
      </c>
      <c r="P576" s="2" t="str">
        <f>IFERROR(__xludf.DUMMYFUNCTION("IMPORTRANGE(""https://docs.google.com/spreadsheets/d/""&amp;$A576&amp;""/edit#gid=156619080"",P$3)"),"#REF!")</f>
        <v>#REF!</v>
      </c>
      <c r="Q576" s="2" t="str">
        <f>IFERROR(__xludf.DUMMYFUNCTION("IMPORTRANGE(""https://docs.google.com/spreadsheets/d/""&amp;$A576&amp;""/edit#gid=156619080"",Q$3)"),"#REF!")</f>
        <v>#REF!</v>
      </c>
      <c r="R576" s="2" t="str">
        <f>IFERROR(__xludf.DUMMYFUNCTION("IMPORTRANGE(""https://docs.google.com/spreadsheets/d/""&amp;$A576&amp;""/edit#gid=156619080"",R$3)"),"#REF!")</f>
        <v>#REF!</v>
      </c>
      <c r="S576" s="2" t="str">
        <f>IFERROR(__xludf.DUMMYFUNCTION("IMPORTRANGE(""https://docs.google.com/spreadsheets/d/""&amp;$A576&amp;""/edit#gid=156619080"",S$3)"),"#REF!")</f>
        <v>#REF!</v>
      </c>
      <c r="T576" s="2" t="str">
        <f>IFERROR(__xludf.DUMMYFUNCTION("IMPORTRANGE(""https://docs.google.com/spreadsheets/d/""&amp;$A576&amp;""/edit#gid=156619080"",T$3)"),"#REF!")</f>
        <v>#REF!</v>
      </c>
      <c r="U576" s="2" t="str">
        <f>IFERROR(__xludf.DUMMYFUNCTION("IMPORTRANGE(""https://docs.google.com/spreadsheets/d/""&amp;$A576&amp;""/edit#gid=156619080"",U$3)"),"#REF!")</f>
        <v>#REF!</v>
      </c>
      <c r="V576" s="2" t="str">
        <f>IFERROR(__xludf.DUMMYFUNCTION("IMPORTRANGE(""https://docs.google.com/spreadsheets/d/""&amp;$A576&amp;""/edit#gid=156619080"",V$3)"),"#REF!")</f>
        <v>#REF!</v>
      </c>
      <c r="W576" s="2" t="str">
        <f>IFERROR(__xludf.DUMMYFUNCTION("IMPORTRANGE(""https://docs.google.com/spreadsheets/d/""&amp;$A576&amp;""/edit#gid=156619080"",W$3)"),"#REF!")</f>
        <v>#REF!</v>
      </c>
      <c r="X576" s="2" t="str">
        <f>IFERROR(__xludf.DUMMYFUNCTION("IMPORTRANGE(""https://docs.google.com/spreadsheets/d/""&amp;$A576&amp;""/edit#gid=156619080"",X$3)"),"#REF!")</f>
        <v>#REF!</v>
      </c>
      <c r="Y576" s="2" t="str">
        <f>IFERROR(__xludf.DUMMYFUNCTION("IMPORTRANGE(""https://docs.google.com/spreadsheets/d/""&amp;$A576&amp;""/edit#gid=156619080"",Y$3)"),"#REF!")</f>
        <v>#REF!</v>
      </c>
      <c r="Z576" s="2" t="str">
        <f>IFERROR(__xludf.DUMMYFUNCTION("IMPORTRANGE(""https://docs.google.com/spreadsheets/d/""&amp;$A576&amp;""/edit#gid=156619080"",Z$3)"),"#REF!")</f>
        <v>#REF!</v>
      </c>
      <c r="AA576" s="2" t="str">
        <f>IFERROR(__xludf.DUMMYFUNCTION("IMPORTRANGE(""https://docs.google.com/spreadsheets/d/""&amp;$A576&amp;""/edit#gid=156619080"",AA$3)"),"#REF!")</f>
        <v>#REF!</v>
      </c>
      <c r="AB576" s="2" t="str">
        <f>IFERROR(__xludf.DUMMYFUNCTION("IMPORTRANGE(""https://docs.google.com/spreadsheets/d/""&amp;$A576&amp;""/edit#gid=156619080"",AB$3)"),"#REF!")</f>
        <v>#REF!</v>
      </c>
      <c r="AC576" s="2" t="str">
        <f>IFERROR(__xludf.DUMMYFUNCTION("IMPORTRANGE(""https://docs.google.com/spreadsheets/d/""&amp;$A576&amp;""/edit#gid=156619080"",AC$3)"),"#REF!")</f>
        <v>#REF!</v>
      </c>
      <c r="AD576" s="2" t="str">
        <f>IFERROR(__xludf.DUMMYFUNCTION("IMPORTRANGE(""https://docs.google.com/spreadsheets/d/""&amp;$A576&amp;""/edit#gid=156619080"",AD$3)"),"#REF!")</f>
        <v>#REF!</v>
      </c>
      <c r="AE576" s="2" t="str">
        <f>IFERROR(__xludf.DUMMYFUNCTION("IMPORTRANGE(""https://docs.google.com/spreadsheets/d/""&amp;$A576&amp;""/edit#gid=156619080"",AE$3)"),"#REF!")</f>
        <v>#REF!</v>
      </c>
      <c r="AF576" s="2" t="str">
        <f>IFERROR(__xludf.DUMMYFUNCTION("IMPORTRANGE(""https://docs.google.com/spreadsheets/d/""&amp;$A576&amp;""/edit#gid=156619080"",AF$3)"),"#REF!")</f>
        <v>#REF!</v>
      </c>
      <c r="AG576" s="2" t="str">
        <f>IFERROR(__xludf.DUMMYFUNCTION("IMPORTRANGE(""https://docs.google.com/spreadsheets/d/""&amp;$A576&amp;""/edit#gid=156619080"",AG$3)"),"#REF!")</f>
        <v>#REF!</v>
      </c>
      <c r="AH576" s="2" t="str">
        <f>IFERROR(__xludf.DUMMYFUNCTION("IMPORTRANGE(""https://docs.google.com/spreadsheets/d/""&amp;$A576&amp;""/edit#gid=156619080"",AH$3)"),"#REF!")</f>
        <v>#REF!</v>
      </c>
      <c r="AI576" s="2" t="str">
        <f>IFERROR(__xludf.DUMMYFUNCTION("IMPORTRANGE(""https://docs.google.com/spreadsheets/d/""&amp;$A576&amp;""/edit#gid=156619080"",AI$3)"),"#REF!")</f>
        <v>#REF!</v>
      </c>
      <c r="AJ576" s="2" t="str">
        <f>IFERROR(__xludf.DUMMYFUNCTION("IMPORTRANGE(""https://docs.google.com/spreadsheets/d/""&amp;$A576&amp;""/edit#gid=156619080"",AJ$3)"),"#REF!")</f>
        <v>#REF!</v>
      </c>
      <c r="AK576" s="2" t="str">
        <f>IFERROR(__xludf.DUMMYFUNCTION("IMPORTRANGE(""https://docs.google.com/spreadsheets/d/""&amp;$A576&amp;""/edit#gid=156619080"",AK$3)"),"#REF!")</f>
        <v>#REF!</v>
      </c>
      <c r="AL576" s="2" t="str">
        <f>IFERROR(__xludf.DUMMYFUNCTION("IMPORTRANGE(""https://docs.google.com/spreadsheets/d/""&amp;$A576&amp;""/edit#gid=156619080"",AL$3)"),"#REF!")</f>
        <v>#REF!</v>
      </c>
      <c r="AM576" s="2" t="str">
        <f>IFERROR(__xludf.DUMMYFUNCTION("IMPORTRANGE(""https://docs.google.com/spreadsheets/d/""&amp;$A576&amp;""/edit#gid=156619080"",AM$3)"),"#REF!")</f>
        <v>#REF!</v>
      </c>
      <c r="AN576" s="2" t="str">
        <f>IFERROR(__xludf.DUMMYFUNCTION("IMPORTRANGE(""https://docs.google.com/spreadsheets/d/""&amp;$A576&amp;""/edit#gid=156619080"",AN$3)"),"#REF!")</f>
        <v>#REF!</v>
      </c>
      <c r="AO576" s="2" t="str">
        <f>IFERROR(__xludf.DUMMYFUNCTION("IMPORTRANGE(""https://docs.google.com/spreadsheets/d/""&amp;$A576&amp;""/edit#gid=156619080"",AO$3)"),"#REF!")</f>
        <v>#REF!</v>
      </c>
      <c r="AP576" s="2" t="str">
        <f>IFERROR(__xludf.DUMMYFUNCTION("IMPORTRANGE(""https://docs.google.com/spreadsheets/d/""&amp;$A576&amp;""/edit#gid=156619080"",AP$3)"),"#REF!")</f>
        <v>#REF!</v>
      </c>
      <c r="AQ576" s="2" t="str">
        <f>IFERROR(__xludf.DUMMYFUNCTION("IMPORTRANGE(""https://docs.google.com/spreadsheets/d/""&amp;$A576&amp;""/edit#gid=156619080"",AQ$3)"),"#REF!")</f>
        <v>#REF!</v>
      </c>
      <c r="AR576" s="2" t="str">
        <f>IFERROR(__xludf.DUMMYFUNCTION("IMPORTRANGE(""https://docs.google.com/spreadsheets/d/""&amp;$A576&amp;""/edit#gid=156619080"",AR$3)"),"#REF!")</f>
        <v>#REF!</v>
      </c>
      <c r="AS576" s="19" t="str">
        <f>IFERROR(__xludf.DUMMYFUNCTION("IMPORTRANGE(""https://docs.google.com/spreadsheets/d/""&amp;$A576&amp;""/edit#gid=156619080"",AS$3)"),"#REF!")</f>
        <v>#REF!</v>
      </c>
      <c r="AT576" s="2" t="str">
        <f>IFERROR(__xludf.DUMMYFUNCTION("IMPORTRANGE(""https://docs.google.com/spreadsheets/d/""&amp;$A576&amp;""/edit#gid=156619080"",AT$3)"),"#REF!")</f>
        <v>#REF!</v>
      </c>
      <c r="AU576" s="3" t="str">
        <f>IFERROR(__xludf.DUMMYFUNCTION("IMPORTRANGE(""https://docs.google.com/spreadsheets/d/""&amp;$A576&amp;""/edit#gid=156619080"",AU$3)"),"#REF!")</f>
        <v>#REF!</v>
      </c>
      <c r="AV576" s="2" t="str">
        <f>IFERROR(__xludf.DUMMYFUNCTION("IMPORTRANGE(""https://docs.google.com/spreadsheets/d/""&amp;$A576&amp;""/edit#gid=156619080"",AV$3)"),"#REF!")</f>
        <v>#REF!</v>
      </c>
      <c r="AW576" s="19" t="str">
        <f>IFERROR(__xludf.DUMMYFUNCTION("IMPORTRANGE(""https://docs.google.com/spreadsheets/d/""&amp;$A576&amp;""/edit#gid=156619080"",AW$3)"),"#REF!")</f>
        <v>#REF!</v>
      </c>
      <c r="AX576" s="2" t="str">
        <f>IFERROR(__xludf.DUMMYFUNCTION("IMPORTRANGE(""https://docs.google.com/spreadsheets/d/""&amp;$A576&amp;""/edit#gid=156619080"",AX$3)"),"#REF!")</f>
        <v>#REF!</v>
      </c>
      <c r="AY576" s="2" t="str">
        <f>IFERROR(__xludf.DUMMYFUNCTION("IMPORTRANGE(""https://docs.google.com/spreadsheets/d/""&amp;$A576&amp;""/edit#gid=156619080"",AY$3)"),"#REF!")</f>
        <v>#REF!</v>
      </c>
      <c r="AZ576" s="2" t="str">
        <f>IFERROR(__xludf.DUMMYFUNCTION("IMPORTRANGE(""https://docs.google.com/spreadsheets/d/""&amp;$A576&amp;""/edit#gid=156619080"",AZ$3)"),"#REF!")</f>
        <v>#REF!</v>
      </c>
      <c r="BA576" s="2" t="str">
        <f>IFERROR(__xludf.DUMMYFUNCTION("IMPORTRANGE(""https://docs.google.com/spreadsheets/d/""&amp;$A576&amp;""/edit#gid=156619080"",BA$3)"),"#REF!")</f>
        <v>#REF!</v>
      </c>
      <c r="BB576" s="2" t="str">
        <f>IFERROR(__xludf.DUMMYFUNCTION("IMPORTRANGE(""https://docs.google.com/spreadsheets/d/""&amp;$A576&amp;""/edit#gid=156619080"",BB$3)"),"#REF!")</f>
        <v>#REF!</v>
      </c>
      <c r="BC576" s="2" t="str">
        <f>IFERROR(__xludf.DUMMYFUNCTION("IMPORTRANGE(""https://docs.google.com/spreadsheets/d/""&amp;$A576&amp;""/edit#gid=156619080"",BC$3)"),"#REF!")</f>
        <v>#REF!</v>
      </c>
    </row>
    <row r="577" ht="51.0" customHeight="1">
      <c r="A577" s="7" t="str">
        <f t="shared" si="5"/>
        <v/>
      </c>
      <c r="C577" s="2" t="str">
        <f>IFERROR(__xludf.DUMMYFUNCTION("IMPORTRANGE(""https://docs.google.com/spreadsheets/d/""&amp;$A577&amp;""/edit#gid=156619080"",C$3)"),"#REF!")</f>
        <v>#REF!</v>
      </c>
      <c r="D577" s="2" t="str">
        <f>IFERROR(__xludf.DUMMYFUNCTION("IMPORTRANGE(""https://docs.google.com/spreadsheets/d/""&amp;$A577&amp;""/edit#gid=156619080"",D$3)"),"#REF!")</f>
        <v>#REF!</v>
      </c>
      <c r="E577" s="2" t="str">
        <f>IFERROR(__xludf.DUMMYFUNCTION("IMPORTRANGE(""https://docs.google.com/spreadsheets/d/""&amp;$A577&amp;""/edit#gid=156619080"",E$3)"),"#REF!")</f>
        <v>#REF!</v>
      </c>
      <c r="F577" s="2" t="str">
        <f>IFERROR(__xludf.DUMMYFUNCTION("IMPORTRANGE(""https://docs.google.com/spreadsheets/d/""&amp;$A577&amp;""/edit#gid=156619080"",F$3)"),"#REF!")</f>
        <v>#REF!</v>
      </c>
      <c r="G577" s="2" t="str">
        <f>IFERROR(__xludf.DUMMYFUNCTION("IMPORTRANGE(""https://docs.google.com/spreadsheets/d/""&amp;$A577&amp;""/edit#gid=156619080"",G$3)"),"#REF!")</f>
        <v>#REF!</v>
      </c>
      <c r="H577" s="2" t="str">
        <f>IFERROR(__xludf.DUMMYFUNCTION("IMPORTRANGE(""https://docs.google.com/spreadsheets/d/""&amp;$A577&amp;""/edit#gid=156619080"",H$3)"),"#REF!")</f>
        <v>#REF!</v>
      </c>
      <c r="I577" s="2" t="str">
        <f>IFERROR(__xludf.DUMMYFUNCTION("IMPORTRANGE(""https://docs.google.com/spreadsheets/d/""&amp;$A577&amp;""/edit#gid=156619080"",I$3)"),"#REF!")</f>
        <v>#REF!</v>
      </c>
      <c r="J577" s="2" t="str">
        <f>IFERROR(__xludf.DUMMYFUNCTION("IMPORTRANGE(""https://docs.google.com/spreadsheets/d/""&amp;$A577&amp;""/edit#gid=156619080"",J$3)"),"#REF!")</f>
        <v>#REF!</v>
      </c>
      <c r="K577" s="2" t="str">
        <f>IFERROR(__xludf.DUMMYFUNCTION("IMPORTRANGE(""https://docs.google.com/spreadsheets/d/""&amp;$A577&amp;""/edit#gid=156619080"",K$3)"),"#REF!")</f>
        <v>#REF!</v>
      </c>
      <c r="L577" s="2" t="str">
        <f>IFERROR(__xludf.DUMMYFUNCTION("IMPORTRANGE(""https://docs.google.com/spreadsheets/d/""&amp;$A577&amp;""/edit#gid=156619080"",L$3)"),"#REF!")</f>
        <v>#REF!</v>
      </c>
      <c r="M577" s="2" t="str">
        <f>IFERROR(__xludf.DUMMYFUNCTION("IMPORTRANGE(""https://docs.google.com/spreadsheets/d/""&amp;$A577&amp;""/edit#gid=156619080"",M$3)"),"#REF!")</f>
        <v>#REF!</v>
      </c>
      <c r="N577" s="2" t="str">
        <f>IFERROR(__xludf.DUMMYFUNCTION("IMPORTRANGE(""https://docs.google.com/spreadsheets/d/""&amp;$A577&amp;""/edit#gid=156619080"",N$3)"),"#REF!")</f>
        <v>#REF!</v>
      </c>
      <c r="O577" s="2" t="str">
        <f>IFERROR(__xludf.DUMMYFUNCTION("IMPORTRANGE(""https://docs.google.com/spreadsheets/d/""&amp;$A577&amp;""/edit#gid=156619080"",O$3)"),"#REF!")</f>
        <v>#REF!</v>
      </c>
      <c r="P577" s="2" t="str">
        <f>IFERROR(__xludf.DUMMYFUNCTION("IMPORTRANGE(""https://docs.google.com/spreadsheets/d/""&amp;$A577&amp;""/edit#gid=156619080"",P$3)"),"#REF!")</f>
        <v>#REF!</v>
      </c>
      <c r="Q577" s="2" t="str">
        <f>IFERROR(__xludf.DUMMYFUNCTION("IMPORTRANGE(""https://docs.google.com/spreadsheets/d/""&amp;$A577&amp;""/edit#gid=156619080"",Q$3)"),"#REF!")</f>
        <v>#REF!</v>
      </c>
      <c r="R577" s="2" t="str">
        <f>IFERROR(__xludf.DUMMYFUNCTION("IMPORTRANGE(""https://docs.google.com/spreadsheets/d/""&amp;$A577&amp;""/edit#gid=156619080"",R$3)"),"#REF!")</f>
        <v>#REF!</v>
      </c>
      <c r="S577" s="2" t="str">
        <f>IFERROR(__xludf.DUMMYFUNCTION("IMPORTRANGE(""https://docs.google.com/spreadsheets/d/""&amp;$A577&amp;""/edit#gid=156619080"",S$3)"),"#REF!")</f>
        <v>#REF!</v>
      </c>
      <c r="T577" s="2" t="str">
        <f>IFERROR(__xludf.DUMMYFUNCTION("IMPORTRANGE(""https://docs.google.com/spreadsheets/d/""&amp;$A577&amp;""/edit#gid=156619080"",T$3)"),"#REF!")</f>
        <v>#REF!</v>
      </c>
      <c r="U577" s="2" t="str">
        <f>IFERROR(__xludf.DUMMYFUNCTION("IMPORTRANGE(""https://docs.google.com/spreadsheets/d/""&amp;$A577&amp;""/edit#gid=156619080"",U$3)"),"#REF!")</f>
        <v>#REF!</v>
      </c>
      <c r="V577" s="2" t="str">
        <f>IFERROR(__xludf.DUMMYFUNCTION("IMPORTRANGE(""https://docs.google.com/spreadsheets/d/""&amp;$A577&amp;""/edit#gid=156619080"",V$3)"),"#REF!")</f>
        <v>#REF!</v>
      </c>
      <c r="W577" s="2" t="str">
        <f>IFERROR(__xludf.DUMMYFUNCTION("IMPORTRANGE(""https://docs.google.com/spreadsheets/d/""&amp;$A577&amp;""/edit#gid=156619080"",W$3)"),"#REF!")</f>
        <v>#REF!</v>
      </c>
      <c r="X577" s="2" t="str">
        <f>IFERROR(__xludf.DUMMYFUNCTION("IMPORTRANGE(""https://docs.google.com/spreadsheets/d/""&amp;$A577&amp;""/edit#gid=156619080"",X$3)"),"#REF!")</f>
        <v>#REF!</v>
      </c>
      <c r="Y577" s="2" t="str">
        <f>IFERROR(__xludf.DUMMYFUNCTION("IMPORTRANGE(""https://docs.google.com/spreadsheets/d/""&amp;$A577&amp;""/edit#gid=156619080"",Y$3)"),"#REF!")</f>
        <v>#REF!</v>
      </c>
      <c r="Z577" s="2" t="str">
        <f>IFERROR(__xludf.DUMMYFUNCTION("IMPORTRANGE(""https://docs.google.com/spreadsheets/d/""&amp;$A577&amp;""/edit#gid=156619080"",Z$3)"),"#REF!")</f>
        <v>#REF!</v>
      </c>
      <c r="AA577" s="2" t="str">
        <f>IFERROR(__xludf.DUMMYFUNCTION("IMPORTRANGE(""https://docs.google.com/spreadsheets/d/""&amp;$A577&amp;""/edit#gid=156619080"",AA$3)"),"#REF!")</f>
        <v>#REF!</v>
      </c>
      <c r="AB577" s="2" t="str">
        <f>IFERROR(__xludf.DUMMYFUNCTION("IMPORTRANGE(""https://docs.google.com/spreadsheets/d/""&amp;$A577&amp;""/edit#gid=156619080"",AB$3)"),"#REF!")</f>
        <v>#REF!</v>
      </c>
      <c r="AC577" s="2" t="str">
        <f>IFERROR(__xludf.DUMMYFUNCTION("IMPORTRANGE(""https://docs.google.com/spreadsheets/d/""&amp;$A577&amp;""/edit#gid=156619080"",AC$3)"),"#REF!")</f>
        <v>#REF!</v>
      </c>
      <c r="AD577" s="2" t="str">
        <f>IFERROR(__xludf.DUMMYFUNCTION("IMPORTRANGE(""https://docs.google.com/spreadsheets/d/""&amp;$A577&amp;""/edit#gid=156619080"",AD$3)"),"#REF!")</f>
        <v>#REF!</v>
      </c>
      <c r="AE577" s="2" t="str">
        <f>IFERROR(__xludf.DUMMYFUNCTION("IMPORTRANGE(""https://docs.google.com/spreadsheets/d/""&amp;$A577&amp;""/edit#gid=156619080"",AE$3)"),"#REF!")</f>
        <v>#REF!</v>
      </c>
      <c r="AF577" s="2" t="str">
        <f>IFERROR(__xludf.DUMMYFUNCTION("IMPORTRANGE(""https://docs.google.com/spreadsheets/d/""&amp;$A577&amp;""/edit#gid=156619080"",AF$3)"),"#REF!")</f>
        <v>#REF!</v>
      </c>
      <c r="AG577" s="2" t="str">
        <f>IFERROR(__xludf.DUMMYFUNCTION("IMPORTRANGE(""https://docs.google.com/spreadsheets/d/""&amp;$A577&amp;""/edit#gid=156619080"",AG$3)"),"#REF!")</f>
        <v>#REF!</v>
      </c>
      <c r="AH577" s="2" t="str">
        <f>IFERROR(__xludf.DUMMYFUNCTION("IMPORTRANGE(""https://docs.google.com/spreadsheets/d/""&amp;$A577&amp;""/edit#gid=156619080"",AH$3)"),"#REF!")</f>
        <v>#REF!</v>
      </c>
      <c r="AI577" s="2" t="str">
        <f>IFERROR(__xludf.DUMMYFUNCTION("IMPORTRANGE(""https://docs.google.com/spreadsheets/d/""&amp;$A577&amp;""/edit#gid=156619080"",AI$3)"),"#REF!")</f>
        <v>#REF!</v>
      </c>
      <c r="AJ577" s="2" t="str">
        <f>IFERROR(__xludf.DUMMYFUNCTION("IMPORTRANGE(""https://docs.google.com/spreadsheets/d/""&amp;$A577&amp;""/edit#gid=156619080"",AJ$3)"),"#REF!")</f>
        <v>#REF!</v>
      </c>
      <c r="AK577" s="2" t="str">
        <f>IFERROR(__xludf.DUMMYFUNCTION("IMPORTRANGE(""https://docs.google.com/spreadsheets/d/""&amp;$A577&amp;""/edit#gid=156619080"",AK$3)"),"#REF!")</f>
        <v>#REF!</v>
      </c>
      <c r="AL577" s="2" t="str">
        <f>IFERROR(__xludf.DUMMYFUNCTION("IMPORTRANGE(""https://docs.google.com/spreadsheets/d/""&amp;$A577&amp;""/edit#gid=156619080"",AL$3)"),"#REF!")</f>
        <v>#REF!</v>
      </c>
      <c r="AM577" s="2" t="str">
        <f>IFERROR(__xludf.DUMMYFUNCTION("IMPORTRANGE(""https://docs.google.com/spreadsheets/d/""&amp;$A577&amp;""/edit#gid=156619080"",AM$3)"),"#REF!")</f>
        <v>#REF!</v>
      </c>
      <c r="AN577" s="2" t="str">
        <f>IFERROR(__xludf.DUMMYFUNCTION("IMPORTRANGE(""https://docs.google.com/spreadsheets/d/""&amp;$A577&amp;""/edit#gid=156619080"",AN$3)"),"#REF!")</f>
        <v>#REF!</v>
      </c>
      <c r="AO577" s="2" t="str">
        <f>IFERROR(__xludf.DUMMYFUNCTION("IMPORTRANGE(""https://docs.google.com/spreadsheets/d/""&amp;$A577&amp;""/edit#gid=156619080"",AO$3)"),"#REF!")</f>
        <v>#REF!</v>
      </c>
      <c r="AP577" s="2" t="str">
        <f>IFERROR(__xludf.DUMMYFUNCTION("IMPORTRANGE(""https://docs.google.com/spreadsheets/d/""&amp;$A577&amp;""/edit#gid=156619080"",AP$3)"),"#REF!")</f>
        <v>#REF!</v>
      </c>
      <c r="AQ577" s="2" t="str">
        <f>IFERROR(__xludf.DUMMYFUNCTION("IMPORTRANGE(""https://docs.google.com/spreadsheets/d/""&amp;$A577&amp;""/edit#gid=156619080"",AQ$3)"),"#REF!")</f>
        <v>#REF!</v>
      </c>
      <c r="AR577" s="2" t="str">
        <f>IFERROR(__xludf.DUMMYFUNCTION("IMPORTRANGE(""https://docs.google.com/spreadsheets/d/""&amp;$A577&amp;""/edit#gid=156619080"",AR$3)"),"#REF!")</f>
        <v>#REF!</v>
      </c>
      <c r="AS577" s="19" t="str">
        <f>IFERROR(__xludf.DUMMYFUNCTION("IMPORTRANGE(""https://docs.google.com/spreadsheets/d/""&amp;$A577&amp;""/edit#gid=156619080"",AS$3)"),"#REF!")</f>
        <v>#REF!</v>
      </c>
      <c r="AT577" s="2" t="str">
        <f>IFERROR(__xludf.DUMMYFUNCTION("IMPORTRANGE(""https://docs.google.com/spreadsheets/d/""&amp;$A577&amp;""/edit#gid=156619080"",AT$3)"),"#REF!")</f>
        <v>#REF!</v>
      </c>
      <c r="AU577" s="3" t="str">
        <f>IFERROR(__xludf.DUMMYFUNCTION("IMPORTRANGE(""https://docs.google.com/spreadsheets/d/""&amp;$A577&amp;""/edit#gid=156619080"",AU$3)"),"#REF!")</f>
        <v>#REF!</v>
      </c>
      <c r="AV577" s="2" t="str">
        <f>IFERROR(__xludf.DUMMYFUNCTION("IMPORTRANGE(""https://docs.google.com/spreadsheets/d/""&amp;$A577&amp;""/edit#gid=156619080"",AV$3)"),"#REF!")</f>
        <v>#REF!</v>
      </c>
      <c r="AW577" s="19" t="str">
        <f>IFERROR(__xludf.DUMMYFUNCTION("IMPORTRANGE(""https://docs.google.com/spreadsheets/d/""&amp;$A577&amp;""/edit#gid=156619080"",AW$3)"),"#REF!")</f>
        <v>#REF!</v>
      </c>
      <c r="AX577" s="2" t="str">
        <f>IFERROR(__xludf.DUMMYFUNCTION("IMPORTRANGE(""https://docs.google.com/spreadsheets/d/""&amp;$A577&amp;""/edit#gid=156619080"",AX$3)"),"#REF!")</f>
        <v>#REF!</v>
      </c>
      <c r="AY577" s="2" t="str">
        <f>IFERROR(__xludf.DUMMYFUNCTION("IMPORTRANGE(""https://docs.google.com/spreadsheets/d/""&amp;$A577&amp;""/edit#gid=156619080"",AY$3)"),"#REF!")</f>
        <v>#REF!</v>
      </c>
      <c r="AZ577" s="2" t="str">
        <f>IFERROR(__xludf.DUMMYFUNCTION("IMPORTRANGE(""https://docs.google.com/spreadsheets/d/""&amp;$A577&amp;""/edit#gid=156619080"",AZ$3)"),"#REF!")</f>
        <v>#REF!</v>
      </c>
      <c r="BA577" s="2" t="str">
        <f>IFERROR(__xludf.DUMMYFUNCTION("IMPORTRANGE(""https://docs.google.com/spreadsheets/d/""&amp;$A577&amp;""/edit#gid=156619080"",BA$3)"),"#REF!")</f>
        <v>#REF!</v>
      </c>
      <c r="BB577" s="2" t="str">
        <f>IFERROR(__xludf.DUMMYFUNCTION("IMPORTRANGE(""https://docs.google.com/spreadsheets/d/""&amp;$A577&amp;""/edit#gid=156619080"",BB$3)"),"#REF!")</f>
        <v>#REF!</v>
      </c>
      <c r="BC577" s="2" t="str">
        <f>IFERROR(__xludf.DUMMYFUNCTION("IMPORTRANGE(""https://docs.google.com/spreadsheets/d/""&amp;$A577&amp;""/edit#gid=156619080"",BC$3)"),"#REF!")</f>
        <v>#REF!</v>
      </c>
    </row>
    <row r="578" ht="51.0" customHeight="1">
      <c r="A578" s="7" t="str">
        <f t="shared" si="5"/>
        <v/>
      </c>
      <c r="C578" s="2" t="str">
        <f>IFERROR(__xludf.DUMMYFUNCTION("IMPORTRANGE(""https://docs.google.com/spreadsheets/d/""&amp;$A578&amp;""/edit#gid=156619080"",C$3)"),"#REF!")</f>
        <v>#REF!</v>
      </c>
      <c r="D578" s="2" t="str">
        <f>IFERROR(__xludf.DUMMYFUNCTION("IMPORTRANGE(""https://docs.google.com/spreadsheets/d/""&amp;$A578&amp;""/edit#gid=156619080"",D$3)"),"#REF!")</f>
        <v>#REF!</v>
      </c>
      <c r="E578" s="2" t="str">
        <f>IFERROR(__xludf.DUMMYFUNCTION("IMPORTRANGE(""https://docs.google.com/spreadsheets/d/""&amp;$A578&amp;""/edit#gid=156619080"",E$3)"),"#REF!")</f>
        <v>#REF!</v>
      </c>
      <c r="F578" s="2" t="str">
        <f>IFERROR(__xludf.DUMMYFUNCTION("IMPORTRANGE(""https://docs.google.com/spreadsheets/d/""&amp;$A578&amp;""/edit#gid=156619080"",F$3)"),"#REF!")</f>
        <v>#REF!</v>
      </c>
      <c r="G578" s="2" t="str">
        <f>IFERROR(__xludf.DUMMYFUNCTION("IMPORTRANGE(""https://docs.google.com/spreadsheets/d/""&amp;$A578&amp;""/edit#gid=156619080"",G$3)"),"#REF!")</f>
        <v>#REF!</v>
      </c>
      <c r="H578" s="2" t="str">
        <f>IFERROR(__xludf.DUMMYFUNCTION("IMPORTRANGE(""https://docs.google.com/spreadsheets/d/""&amp;$A578&amp;""/edit#gid=156619080"",H$3)"),"#REF!")</f>
        <v>#REF!</v>
      </c>
      <c r="I578" s="2" t="str">
        <f>IFERROR(__xludf.DUMMYFUNCTION("IMPORTRANGE(""https://docs.google.com/spreadsheets/d/""&amp;$A578&amp;""/edit#gid=156619080"",I$3)"),"#REF!")</f>
        <v>#REF!</v>
      </c>
      <c r="J578" s="2" t="str">
        <f>IFERROR(__xludf.DUMMYFUNCTION("IMPORTRANGE(""https://docs.google.com/spreadsheets/d/""&amp;$A578&amp;""/edit#gid=156619080"",J$3)"),"#REF!")</f>
        <v>#REF!</v>
      </c>
      <c r="K578" s="2" t="str">
        <f>IFERROR(__xludf.DUMMYFUNCTION("IMPORTRANGE(""https://docs.google.com/spreadsheets/d/""&amp;$A578&amp;""/edit#gid=156619080"",K$3)"),"#REF!")</f>
        <v>#REF!</v>
      </c>
      <c r="L578" s="2" t="str">
        <f>IFERROR(__xludf.DUMMYFUNCTION("IMPORTRANGE(""https://docs.google.com/spreadsheets/d/""&amp;$A578&amp;""/edit#gid=156619080"",L$3)"),"#REF!")</f>
        <v>#REF!</v>
      </c>
      <c r="M578" s="2" t="str">
        <f>IFERROR(__xludf.DUMMYFUNCTION("IMPORTRANGE(""https://docs.google.com/spreadsheets/d/""&amp;$A578&amp;""/edit#gid=156619080"",M$3)"),"#REF!")</f>
        <v>#REF!</v>
      </c>
      <c r="N578" s="2" t="str">
        <f>IFERROR(__xludf.DUMMYFUNCTION("IMPORTRANGE(""https://docs.google.com/spreadsheets/d/""&amp;$A578&amp;""/edit#gid=156619080"",N$3)"),"#REF!")</f>
        <v>#REF!</v>
      </c>
      <c r="O578" s="2" t="str">
        <f>IFERROR(__xludf.DUMMYFUNCTION("IMPORTRANGE(""https://docs.google.com/spreadsheets/d/""&amp;$A578&amp;""/edit#gid=156619080"",O$3)"),"#REF!")</f>
        <v>#REF!</v>
      </c>
      <c r="P578" s="2" t="str">
        <f>IFERROR(__xludf.DUMMYFUNCTION("IMPORTRANGE(""https://docs.google.com/spreadsheets/d/""&amp;$A578&amp;""/edit#gid=156619080"",P$3)"),"#REF!")</f>
        <v>#REF!</v>
      </c>
      <c r="Q578" s="2" t="str">
        <f>IFERROR(__xludf.DUMMYFUNCTION("IMPORTRANGE(""https://docs.google.com/spreadsheets/d/""&amp;$A578&amp;""/edit#gid=156619080"",Q$3)"),"#REF!")</f>
        <v>#REF!</v>
      </c>
      <c r="R578" s="2" t="str">
        <f>IFERROR(__xludf.DUMMYFUNCTION("IMPORTRANGE(""https://docs.google.com/spreadsheets/d/""&amp;$A578&amp;""/edit#gid=156619080"",R$3)"),"#REF!")</f>
        <v>#REF!</v>
      </c>
      <c r="S578" s="2" t="str">
        <f>IFERROR(__xludf.DUMMYFUNCTION("IMPORTRANGE(""https://docs.google.com/spreadsheets/d/""&amp;$A578&amp;""/edit#gid=156619080"",S$3)"),"#REF!")</f>
        <v>#REF!</v>
      </c>
      <c r="T578" s="2" t="str">
        <f>IFERROR(__xludf.DUMMYFUNCTION("IMPORTRANGE(""https://docs.google.com/spreadsheets/d/""&amp;$A578&amp;""/edit#gid=156619080"",T$3)"),"#REF!")</f>
        <v>#REF!</v>
      </c>
      <c r="U578" s="2" t="str">
        <f>IFERROR(__xludf.DUMMYFUNCTION("IMPORTRANGE(""https://docs.google.com/spreadsheets/d/""&amp;$A578&amp;""/edit#gid=156619080"",U$3)"),"#REF!")</f>
        <v>#REF!</v>
      </c>
      <c r="V578" s="2" t="str">
        <f>IFERROR(__xludf.DUMMYFUNCTION("IMPORTRANGE(""https://docs.google.com/spreadsheets/d/""&amp;$A578&amp;""/edit#gid=156619080"",V$3)"),"#REF!")</f>
        <v>#REF!</v>
      </c>
      <c r="W578" s="2" t="str">
        <f>IFERROR(__xludf.DUMMYFUNCTION("IMPORTRANGE(""https://docs.google.com/spreadsheets/d/""&amp;$A578&amp;""/edit#gid=156619080"",W$3)"),"#REF!")</f>
        <v>#REF!</v>
      </c>
      <c r="X578" s="2" t="str">
        <f>IFERROR(__xludf.DUMMYFUNCTION("IMPORTRANGE(""https://docs.google.com/spreadsheets/d/""&amp;$A578&amp;""/edit#gid=156619080"",X$3)"),"#REF!")</f>
        <v>#REF!</v>
      </c>
      <c r="Y578" s="2" t="str">
        <f>IFERROR(__xludf.DUMMYFUNCTION("IMPORTRANGE(""https://docs.google.com/spreadsheets/d/""&amp;$A578&amp;""/edit#gid=156619080"",Y$3)"),"#REF!")</f>
        <v>#REF!</v>
      </c>
      <c r="Z578" s="2" t="str">
        <f>IFERROR(__xludf.DUMMYFUNCTION("IMPORTRANGE(""https://docs.google.com/spreadsheets/d/""&amp;$A578&amp;""/edit#gid=156619080"",Z$3)"),"#REF!")</f>
        <v>#REF!</v>
      </c>
      <c r="AA578" s="2" t="str">
        <f>IFERROR(__xludf.DUMMYFUNCTION("IMPORTRANGE(""https://docs.google.com/spreadsheets/d/""&amp;$A578&amp;""/edit#gid=156619080"",AA$3)"),"#REF!")</f>
        <v>#REF!</v>
      </c>
      <c r="AB578" s="2" t="str">
        <f>IFERROR(__xludf.DUMMYFUNCTION("IMPORTRANGE(""https://docs.google.com/spreadsheets/d/""&amp;$A578&amp;""/edit#gid=156619080"",AB$3)"),"#REF!")</f>
        <v>#REF!</v>
      </c>
      <c r="AC578" s="2" t="str">
        <f>IFERROR(__xludf.DUMMYFUNCTION("IMPORTRANGE(""https://docs.google.com/spreadsheets/d/""&amp;$A578&amp;""/edit#gid=156619080"",AC$3)"),"#REF!")</f>
        <v>#REF!</v>
      </c>
      <c r="AD578" s="2" t="str">
        <f>IFERROR(__xludf.DUMMYFUNCTION("IMPORTRANGE(""https://docs.google.com/spreadsheets/d/""&amp;$A578&amp;""/edit#gid=156619080"",AD$3)"),"#REF!")</f>
        <v>#REF!</v>
      </c>
      <c r="AE578" s="2" t="str">
        <f>IFERROR(__xludf.DUMMYFUNCTION("IMPORTRANGE(""https://docs.google.com/spreadsheets/d/""&amp;$A578&amp;""/edit#gid=156619080"",AE$3)"),"#REF!")</f>
        <v>#REF!</v>
      </c>
      <c r="AF578" s="2" t="str">
        <f>IFERROR(__xludf.DUMMYFUNCTION("IMPORTRANGE(""https://docs.google.com/spreadsheets/d/""&amp;$A578&amp;""/edit#gid=156619080"",AF$3)"),"#REF!")</f>
        <v>#REF!</v>
      </c>
      <c r="AG578" s="2" t="str">
        <f>IFERROR(__xludf.DUMMYFUNCTION("IMPORTRANGE(""https://docs.google.com/spreadsheets/d/""&amp;$A578&amp;""/edit#gid=156619080"",AG$3)"),"#REF!")</f>
        <v>#REF!</v>
      </c>
      <c r="AH578" s="2" t="str">
        <f>IFERROR(__xludf.DUMMYFUNCTION("IMPORTRANGE(""https://docs.google.com/spreadsheets/d/""&amp;$A578&amp;""/edit#gid=156619080"",AH$3)"),"#REF!")</f>
        <v>#REF!</v>
      </c>
      <c r="AI578" s="2" t="str">
        <f>IFERROR(__xludf.DUMMYFUNCTION("IMPORTRANGE(""https://docs.google.com/spreadsheets/d/""&amp;$A578&amp;""/edit#gid=156619080"",AI$3)"),"#REF!")</f>
        <v>#REF!</v>
      </c>
      <c r="AJ578" s="2" t="str">
        <f>IFERROR(__xludf.DUMMYFUNCTION("IMPORTRANGE(""https://docs.google.com/spreadsheets/d/""&amp;$A578&amp;""/edit#gid=156619080"",AJ$3)"),"#REF!")</f>
        <v>#REF!</v>
      </c>
      <c r="AK578" s="2" t="str">
        <f>IFERROR(__xludf.DUMMYFUNCTION("IMPORTRANGE(""https://docs.google.com/spreadsheets/d/""&amp;$A578&amp;""/edit#gid=156619080"",AK$3)"),"#REF!")</f>
        <v>#REF!</v>
      </c>
      <c r="AL578" s="2" t="str">
        <f>IFERROR(__xludf.DUMMYFUNCTION("IMPORTRANGE(""https://docs.google.com/spreadsheets/d/""&amp;$A578&amp;""/edit#gid=156619080"",AL$3)"),"#REF!")</f>
        <v>#REF!</v>
      </c>
      <c r="AM578" s="2" t="str">
        <f>IFERROR(__xludf.DUMMYFUNCTION("IMPORTRANGE(""https://docs.google.com/spreadsheets/d/""&amp;$A578&amp;""/edit#gid=156619080"",AM$3)"),"#REF!")</f>
        <v>#REF!</v>
      </c>
      <c r="AN578" s="2" t="str">
        <f>IFERROR(__xludf.DUMMYFUNCTION("IMPORTRANGE(""https://docs.google.com/spreadsheets/d/""&amp;$A578&amp;""/edit#gid=156619080"",AN$3)"),"#REF!")</f>
        <v>#REF!</v>
      </c>
      <c r="AO578" s="2" t="str">
        <f>IFERROR(__xludf.DUMMYFUNCTION("IMPORTRANGE(""https://docs.google.com/spreadsheets/d/""&amp;$A578&amp;""/edit#gid=156619080"",AO$3)"),"#REF!")</f>
        <v>#REF!</v>
      </c>
      <c r="AP578" s="2" t="str">
        <f>IFERROR(__xludf.DUMMYFUNCTION("IMPORTRANGE(""https://docs.google.com/spreadsheets/d/""&amp;$A578&amp;""/edit#gid=156619080"",AP$3)"),"#REF!")</f>
        <v>#REF!</v>
      </c>
      <c r="AQ578" s="2" t="str">
        <f>IFERROR(__xludf.DUMMYFUNCTION("IMPORTRANGE(""https://docs.google.com/spreadsheets/d/""&amp;$A578&amp;""/edit#gid=156619080"",AQ$3)"),"#REF!")</f>
        <v>#REF!</v>
      </c>
      <c r="AR578" s="2" t="str">
        <f>IFERROR(__xludf.DUMMYFUNCTION("IMPORTRANGE(""https://docs.google.com/spreadsheets/d/""&amp;$A578&amp;""/edit#gid=156619080"",AR$3)"),"#REF!")</f>
        <v>#REF!</v>
      </c>
      <c r="AS578" s="19" t="str">
        <f>IFERROR(__xludf.DUMMYFUNCTION("IMPORTRANGE(""https://docs.google.com/spreadsheets/d/""&amp;$A578&amp;""/edit#gid=156619080"",AS$3)"),"#REF!")</f>
        <v>#REF!</v>
      </c>
      <c r="AT578" s="2" t="str">
        <f>IFERROR(__xludf.DUMMYFUNCTION("IMPORTRANGE(""https://docs.google.com/spreadsheets/d/""&amp;$A578&amp;""/edit#gid=156619080"",AT$3)"),"#REF!")</f>
        <v>#REF!</v>
      </c>
      <c r="AU578" s="3" t="str">
        <f>IFERROR(__xludf.DUMMYFUNCTION("IMPORTRANGE(""https://docs.google.com/spreadsheets/d/""&amp;$A578&amp;""/edit#gid=156619080"",AU$3)"),"#REF!")</f>
        <v>#REF!</v>
      </c>
      <c r="AV578" s="2" t="str">
        <f>IFERROR(__xludf.DUMMYFUNCTION("IMPORTRANGE(""https://docs.google.com/spreadsheets/d/""&amp;$A578&amp;""/edit#gid=156619080"",AV$3)"),"#REF!")</f>
        <v>#REF!</v>
      </c>
      <c r="AW578" s="19" t="str">
        <f>IFERROR(__xludf.DUMMYFUNCTION("IMPORTRANGE(""https://docs.google.com/spreadsheets/d/""&amp;$A578&amp;""/edit#gid=156619080"",AW$3)"),"#REF!")</f>
        <v>#REF!</v>
      </c>
      <c r="AX578" s="2" t="str">
        <f>IFERROR(__xludf.DUMMYFUNCTION("IMPORTRANGE(""https://docs.google.com/spreadsheets/d/""&amp;$A578&amp;""/edit#gid=156619080"",AX$3)"),"#REF!")</f>
        <v>#REF!</v>
      </c>
      <c r="AY578" s="2" t="str">
        <f>IFERROR(__xludf.DUMMYFUNCTION("IMPORTRANGE(""https://docs.google.com/spreadsheets/d/""&amp;$A578&amp;""/edit#gid=156619080"",AY$3)"),"#REF!")</f>
        <v>#REF!</v>
      </c>
      <c r="AZ578" s="2" t="str">
        <f>IFERROR(__xludf.DUMMYFUNCTION("IMPORTRANGE(""https://docs.google.com/spreadsheets/d/""&amp;$A578&amp;""/edit#gid=156619080"",AZ$3)"),"#REF!")</f>
        <v>#REF!</v>
      </c>
      <c r="BA578" s="2" t="str">
        <f>IFERROR(__xludf.DUMMYFUNCTION("IMPORTRANGE(""https://docs.google.com/spreadsheets/d/""&amp;$A578&amp;""/edit#gid=156619080"",BA$3)"),"#REF!")</f>
        <v>#REF!</v>
      </c>
      <c r="BB578" s="2" t="str">
        <f>IFERROR(__xludf.DUMMYFUNCTION("IMPORTRANGE(""https://docs.google.com/spreadsheets/d/""&amp;$A578&amp;""/edit#gid=156619080"",BB$3)"),"#REF!")</f>
        <v>#REF!</v>
      </c>
      <c r="BC578" s="2" t="str">
        <f>IFERROR(__xludf.DUMMYFUNCTION("IMPORTRANGE(""https://docs.google.com/spreadsheets/d/""&amp;$A578&amp;""/edit#gid=156619080"",BC$3)"),"#REF!")</f>
        <v>#REF!</v>
      </c>
    </row>
    <row r="579" ht="51.0" customHeight="1">
      <c r="A579" s="7" t="str">
        <f t="shared" si="5"/>
        <v/>
      </c>
      <c r="C579" s="2" t="str">
        <f>IFERROR(__xludf.DUMMYFUNCTION("IMPORTRANGE(""https://docs.google.com/spreadsheets/d/""&amp;$A579&amp;""/edit#gid=156619080"",C$3)"),"#REF!")</f>
        <v>#REF!</v>
      </c>
      <c r="D579" s="2" t="str">
        <f>IFERROR(__xludf.DUMMYFUNCTION("IMPORTRANGE(""https://docs.google.com/spreadsheets/d/""&amp;$A579&amp;""/edit#gid=156619080"",D$3)"),"#REF!")</f>
        <v>#REF!</v>
      </c>
      <c r="E579" s="2" t="str">
        <f>IFERROR(__xludf.DUMMYFUNCTION("IMPORTRANGE(""https://docs.google.com/spreadsheets/d/""&amp;$A579&amp;""/edit#gid=156619080"",E$3)"),"#REF!")</f>
        <v>#REF!</v>
      </c>
      <c r="F579" s="2" t="str">
        <f>IFERROR(__xludf.DUMMYFUNCTION("IMPORTRANGE(""https://docs.google.com/spreadsheets/d/""&amp;$A579&amp;""/edit#gid=156619080"",F$3)"),"#REF!")</f>
        <v>#REF!</v>
      </c>
      <c r="G579" s="2" t="str">
        <f>IFERROR(__xludf.DUMMYFUNCTION("IMPORTRANGE(""https://docs.google.com/spreadsheets/d/""&amp;$A579&amp;""/edit#gid=156619080"",G$3)"),"#REF!")</f>
        <v>#REF!</v>
      </c>
      <c r="H579" s="2" t="str">
        <f>IFERROR(__xludf.DUMMYFUNCTION("IMPORTRANGE(""https://docs.google.com/spreadsheets/d/""&amp;$A579&amp;""/edit#gid=156619080"",H$3)"),"#REF!")</f>
        <v>#REF!</v>
      </c>
      <c r="I579" s="2" t="str">
        <f>IFERROR(__xludf.DUMMYFUNCTION("IMPORTRANGE(""https://docs.google.com/spreadsheets/d/""&amp;$A579&amp;""/edit#gid=156619080"",I$3)"),"#REF!")</f>
        <v>#REF!</v>
      </c>
      <c r="J579" s="2" t="str">
        <f>IFERROR(__xludf.DUMMYFUNCTION("IMPORTRANGE(""https://docs.google.com/spreadsheets/d/""&amp;$A579&amp;""/edit#gid=156619080"",J$3)"),"#REF!")</f>
        <v>#REF!</v>
      </c>
      <c r="K579" s="2" t="str">
        <f>IFERROR(__xludf.DUMMYFUNCTION("IMPORTRANGE(""https://docs.google.com/spreadsheets/d/""&amp;$A579&amp;""/edit#gid=156619080"",K$3)"),"#REF!")</f>
        <v>#REF!</v>
      </c>
      <c r="L579" s="2" t="str">
        <f>IFERROR(__xludf.DUMMYFUNCTION("IMPORTRANGE(""https://docs.google.com/spreadsheets/d/""&amp;$A579&amp;""/edit#gid=156619080"",L$3)"),"#REF!")</f>
        <v>#REF!</v>
      </c>
      <c r="M579" s="2" t="str">
        <f>IFERROR(__xludf.DUMMYFUNCTION("IMPORTRANGE(""https://docs.google.com/spreadsheets/d/""&amp;$A579&amp;""/edit#gid=156619080"",M$3)"),"#REF!")</f>
        <v>#REF!</v>
      </c>
      <c r="N579" s="2" t="str">
        <f>IFERROR(__xludf.DUMMYFUNCTION("IMPORTRANGE(""https://docs.google.com/spreadsheets/d/""&amp;$A579&amp;""/edit#gid=156619080"",N$3)"),"#REF!")</f>
        <v>#REF!</v>
      </c>
      <c r="O579" s="2" t="str">
        <f>IFERROR(__xludf.DUMMYFUNCTION("IMPORTRANGE(""https://docs.google.com/spreadsheets/d/""&amp;$A579&amp;""/edit#gid=156619080"",O$3)"),"#REF!")</f>
        <v>#REF!</v>
      </c>
      <c r="P579" s="2" t="str">
        <f>IFERROR(__xludf.DUMMYFUNCTION("IMPORTRANGE(""https://docs.google.com/spreadsheets/d/""&amp;$A579&amp;""/edit#gid=156619080"",P$3)"),"#REF!")</f>
        <v>#REF!</v>
      </c>
      <c r="Q579" s="2" t="str">
        <f>IFERROR(__xludf.DUMMYFUNCTION("IMPORTRANGE(""https://docs.google.com/spreadsheets/d/""&amp;$A579&amp;""/edit#gid=156619080"",Q$3)"),"#REF!")</f>
        <v>#REF!</v>
      </c>
      <c r="R579" s="2" t="str">
        <f>IFERROR(__xludf.DUMMYFUNCTION("IMPORTRANGE(""https://docs.google.com/spreadsheets/d/""&amp;$A579&amp;""/edit#gid=156619080"",R$3)"),"#REF!")</f>
        <v>#REF!</v>
      </c>
      <c r="S579" s="2" t="str">
        <f>IFERROR(__xludf.DUMMYFUNCTION("IMPORTRANGE(""https://docs.google.com/spreadsheets/d/""&amp;$A579&amp;""/edit#gid=156619080"",S$3)"),"#REF!")</f>
        <v>#REF!</v>
      </c>
      <c r="T579" s="2" t="str">
        <f>IFERROR(__xludf.DUMMYFUNCTION("IMPORTRANGE(""https://docs.google.com/spreadsheets/d/""&amp;$A579&amp;""/edit#gid=156619080"",T$3)"),"#REF!")</f>
        <v>#REF!</v>
      </c>
      <c r="U579" s="2" t="str">
        <f>IFERROR(__xludf.DUMMYFUNCTION("IMPORTRANGE(""https://docs.google.com/spreadsheets/d/""&amp;$A579&amp;""/edit#gid=156619080"",U$3)"),"#REF!")</f>
        <v>#REF!</v>
      </c>
      <c r="V579" s="2" t="str">
        <f>IFERROR(__xludf.DUMMYFUNCTION("IMPORTRANGE(""https://docs.google.com/spreadsheets/d/""&amp;$A579&amp;""/edit#gid=156619080"",V$3)"),"#REF!")</f>
        <v>#REF!</v>
      </c>
      <c r="W579" s="2" t="str">
        <f>IFERROR(__xludf.DUMMYFUNCTION("IMPORTRANGE(""https://docs.google.com/spreadsheets/d/""&amp;$A579&amp;""/edit#gid=156619080"",W$3)"),"#REF!")</f>
        <v>#REF!</v>
      </c>
      <c r="X579" s="2" t="str">
        <f>IFERROR(__xludf.DUMMYFUNCTION("IMPORTRANGE(""https://docs.google.com/spreadsheets/d/""&amp;$A579&amp;""/edit#gid=156619080"",X$3)"),"#REF!")</f>
        <v>#REF!</v>
      </c>
      <c r="Y579" s="2" t="str">
        <f>IFERROR(__xludf.DUMMYFUNCTION("IMPORTRANGE(""https://docs.google.com/spreadsheets/d/""&amp;$A579&amp;""/edit#gid=156619080"",Y$3)"),"#REF!")</f>
        <v>#REF!</v>
      </c>
      <c r="Z579" s="2" t="str">
        <f>IFERROR(__xludf.DUMMYFUNCTION("IMPORTRANGE(""https://docs.google.com/spreadsheets/d/""&amp;$A579&amp;""/edit#gid=156619080"",Z$3)"),"#REF!")</f>
        <v>#REF!</v>
      </c>
      <c r="AA579" s="2" t="str">
        <f>IFERROR(__xludf.DUMMYFUNCTION("IMPORTRANGE(""https://docs.google.com/spreadsheets/d/""&amp;$A579&amp;""/edit#gid=156619080"",AA$3)"),"#REF!")</f>
        <v>#REF!</v>
      </c>
      <c r="AB579" s="2" t="str">
        <f>IFERROR(__xludf.DUMMYFUNCTION("IMPORTRANGE(""https://docs.google.com/spreadsheets/d/""&amp;$A579&amp;""/edit#gid=156619080"",AB$3)"),"#REF!")</f>
        <v>#REF!</v>
      </c>
      <c r="AC579" s="2" t="str">
        <f>IFERROR(__xludf.DUMMYFUNCTION("IMPORTRANGE(""https://docs.google.com/spreadsheets/d/""&amp;$A579&amp;""/edit#gid=156619080"",AC$3)"),"#REF!")</f>
        <v>#REF!</v>
      </c>
      <c r="AD579" s="2" t="str">
        <f>IFERROR(__xludf.DUMMYFUNCTION("IMPORTRANGE(""https://docs.google.com/spreadsheets/d/""&amp;$A579&amp;""/edit#gid=156619080"",AD$3)"),"#REF!")</f>
        <v>#REF!</v>
      </c>
      <c r="AE579" s="2" t="str">
        <f>IFERROR(__xludf.DUMMYFUNCTION("IMPORTRANGE(""https://docs.google.com/spreadsheets/d/""&amp;$A579&amp;""/edit#gid=156619080"",AE$3)"),"#REF!")</f>
        <v>#REF!</v>
      </c>
      <c r="AF579" s="2" t="str">
        <f>IFERROR(__xludf.DUMMYFUNCTION("IMPORTRANGE(""https://docs.google.com/spreadsheets/d/""&amp;$A579&amp;""/edit#gid=156619080"",AF$3)"),"#REF!")</f>
        <v>#REF!</v>
      </c>
      <c r="AG579" s="2" t="str">
        <f>IFERROR(__xludf.DUMMYFUNCTION("IMPORTRANGE(""https://docs.google.com/spreadsheets/d/""&amp;$A579&amp;""/edit#gid=156619080"",AG$3)"),"#REF!")</f>
        <v>#REF!</v>
      </c>
      <c r="AH579" s="2" t="str">
        <f>IFERROR(__xludf.DUMMYFUNCTION("IMPORTRANGE(""https://docs.google.com/spreadsheets/d/""&amp;$A579&amp;""/edit#gid=156619080"",AH$3)"),"#REF!")</f>
        <v>#REF!</v>
      </c>
      <c r="AI579" s="2" t="str">
        <f>IFERROR(__xludf.DUMMYFUNCTION("IMPORTRANGE(""https://docs.google.com/spreadsheets/d/""&amp;$A579&amp;""/edit#gid=156619080"",AI$3)"),"#REF!")</f>
        <v>#REF!</v>
      </c>
      <c r="AJ579" s="2" t="str">
        <f>IFERROR(__xludf.DUMMYFUNCTION("IMPORTRANGE(""https://docs.google.com/spreadsheets/d/""&amp;$A579&amp;""/edit#gid=156619080"",AJ$3)"),"#REF!")</f>
        <v>#REF!</v>
      </c>
      <c r="AK579" s="2" t="str">
        <f>IFERROR(__xludf.DUMMYFUNCTION("IMPORTRANGE(""https://docs.google.com/spreadsheets/d/""&amp;$A579&amp;""/edit#gid=156619080"",AK$3)"),"#REF!")</f>
        <v>#REF!</v>
      </c>
      <c r="AL579" s="2" t="str">
        <f>IFERROR(__xludf.DUMMYFUNCTION("IMPORTRANGE(""https://docs.google.com/spreadsheets/d/""&amp;$A579&amp;""/edit#gid=156619080"",AL$3)"),"#REF!")</f>
        <v>#REF!</v>
      </c>
      <c r="AM579" s="2" t="str">
        <f>IFERROR(__xludf.DUMMYFUNCTION("IMPORTRANGE(""https://docs.google.com/spreadsheets/d/""&amp;$A579&amp;""/edit#gid=156619080"",AM$3)"),"#REF!")</f>
        <v>#REF!</v>
      </c>
      <c r="AN579" s="2" t="str">
        <f>IFERROR(__xludf.DUMMYFUNCTION("IMPORTRANGE(""https://docs.google.com/spreadsheets/d/""&amp;$A579&amp;""/edit#gid=156619080"",AN$3)"),"#REF!")</f>
        <v>#REF!</v>
      </c>
      <c r="AO579" s="2" t="str">
        <f>IFERROR(__xludf.DUMMYFUNCTION("IMPORTRANGE(""https://docs.google.com/spreadsheets/d/""&amp;$A579&amp;""/edit#gid=156619080"",AO$3)"),"#REF!")</f>
        <v>#REF!</v>
      </c>
      <c r="AP579" s="2" t="str">
        <f>IFERROR(__xludf.DUMMYFUNCTION("IMPORTRANGE(""https://docs.google.com/spreadsheets/d/""&amp;$A579&amp;""/edit#gid=156619080"",AP$3)"),"#REF!")</f>
        <v>#REF!</v>
      </c>
      <c r="AQ579" s="2" t="str">
        <f>IFERROR(__xludf.DUMMYFUNCTION("IMPORTRANGE(""https://docs.google.com/spreadsheets/d/""&amp;$A579&amp;""/edit#gid=156619080"",AQ$3)"),"#REF!")</f>
        <v>#REF!</v>
      </c>
      <c r="AR579" s="2" t="str">
        <f>IFERROR(__xludf.DUMMYFUNCTION("IMPORTRANGE(""https://docs.google.com/spreadsheets/d/""&amp;$A579&amp;""/edit#gid=156619080"",AR$3)"),"#REF!")</f>
        <v>#REF!</v>
      </c>
      <c r="AS579" s="19" t="str">
        <f>IFERROR(__xludf.DUMMYFUNCTION("IMPORTRANGE(""https://docs.google.com/spreadsheets/d/""&amp;$A579&amp;""/edit#gid=156619080"",AS$3)"),"#REF!")</f>
        <v>#REF!</v>
      </c>
      <c r="AT579" s="2" t="str">
        <f>IFERROR(__xludf.DUMMYFUNCTION("IMPORTRANGE(""https://docs.google.com/spreadsheets/d/""&amp;$A579&amp;""/edit#gid=156619080"",AT$3)"),"#REF!")</f>
        <v>#REF!</v>
      </c>
      <c r="AU579" s="3" t="str">
        <f>IFERROR(__xludf.DUMMYFUNCTION("IMPORTRANGE(""https://docs.google.com/spreadsheets/d/""&amp;$A579&amp;""/edit#gid=156619080"",AU$3)"),"#REF!")</f>
        <v>#REF!</v>
      </c>
      <c r="AV579" s="2" t="str">
        <f>IFERROR(__xludf.DUMMYFUNCTION("IMPORTRANGE(""https://docs.google.com/spreadsheets/d/""&amp;$A579&amp;""/edit#gid=156619080"",AV$3)"),"#REF!")</f>
        <v>#REF!</v>
      </c>
      <c r="AW579" s="19" t="str">
        <f>IFERROR(__xludf.DUMMYFUNCTION("IMPORTRANGE(""https://docs.google.com/spreadsheets/d/""&amp;$A579&amp;""/edit#gid=156619080"",AW$3)"),"#REF!")</f>
        <v>#REF!</v>
      </c>
      <c r="AX579" s="2" t="str">
        <f>IFERROR(__xludf.DUMMYFUNCTION("IMPORTRANGE(""https://docs.google.com/spreadsheets/d/""&amp;$A579&amp;""/edit#gid=156619080"",AX$3)"),"#REF!")</f>
        <v>#REF!</v>
      </c>
      <c r="AY579" s="2" t="str">
        <f>IFERROR(__xludf.DUMMYFUNCTION("IMPORTRANGE(""https://docs.google.com/spreadsheets/d/""&amp;$A579&amp;""/edit#gid=156619080"",AY$3)"),"#REF!")</f>
        <v>#REF!</v>
      </c>
      <c r="AZ579" s="2" t="str">
        <f>IFERROR(__xludf.DUMMYFUNCTION("IMPORTRANGE(""https://docs.google.com/spreadsheets/d/""&amp;$A579&amp;""/edit#gid=156619080"",AZ$3)"),"#REF!")</f>
        <v>#REF!</v>
      </c>
      <c r="BA579" s="2" t="str">
        <f>IFERROR(__xludf.DUMMYFUNCTION("IMPORTRANGE(""https://docs.google.com/spreadsheets/d/""&amp;$A579&amp;""/edit#gid=156619080"",BA$3)"),"#REF!")</f>
        <v>#REF!</v>
      </c>
      <c r="BB579" s="2" t="str">
        <f>IFERROR(__xludf.DUMMYFUNCTION("IMPORTRANGE(""https://docs.google.com/spreadsheets/d/""&amp;$A579&amp;""/edit#gid=156619080"",BB$3)"),"#REF!")</f>
        <v>#REF!</v>
      </c>
      <c r="BC579" s="2" t="str">
        <f>IFERROR(__xludf.DUMMYFUNCTION("IMPORTRANGE(""https://docs.google.com/spreadsheets/d/""&amp;$A579&amp;""/edit#gid=156619080"",BC$3)"),"#REF!")</f>
        <v>#REF!</v>
      </c>
    </row>
    <row r="580" ht="51.0" customHeight="1">
      <c r="A580" s="7" t="str">
        <f t="shared" si="5"/>
        <v/>
      </c>
      <c r="C580" s="2" t="str">
        <f>IFERROR(__xludf.DUMMYFUNCTION("IMPORTRANGE(""https://docs.google.com/spreadsheets/d/""&amp;$A580&amp;""/edit#gid=156619080"",C$3)"),"#REF!")</f>
        <v>#REF!</v>
      </c>
      <c r="D580" s="2" t="str">
        <f>IFERROR(__xludf.DUMMYFUNCTION("IMPORTRANGE(""https://docs.google.com/spreadsheets/d/""&amp;$A580&amp;""/edit#gid=156619080"",D$3)"),"#REF!")</f>
        <v>#REF!</v>
      </c>
      <c r="E580" s="2" t="str">
        <f>IFERROR(__xludf.DUMMYFUNCTION("IMPORTRANGE(""https://docs.google.com/spreadsheets/d/""&amp;$A580&amp;""/edit#gid=156619080"",E$3)"),"#REF!")</f>
        <v>#REF!</v>
      </c>
      <c r="F580" s="2" t="str">
        <f>IFERROR(__xludf.DUMMYFUNCTION("IMPORTRANGE(""https://docs.google.com/spreadsheets/d/""&amp;$A580&amp;""/edit#gid=156619080"",F$3)"),"#REF!")</f>
        <v>#REF!</v>
      </c>
      <c r="G580" s="2" t="str">
        <f>IFERROR(__xludf.DUMMYFUNCTION("IMPORTRANGE(""https://docs.google.com/spreadsheets/d/""&amp;$A580&amp;""/edit#gid=156619080"",G$3)"),"#REF!")</f>
        <v>#REF!</v>
      </c>
      <c r="H580" s="2" t="str">
        <f>IFERROR(__xludf.DUMMYFUNCTION("IMPORTRANGE(""https://docs.google.com/spreadsheets/d/""&amp;$A580&amp;""/edit#gid=156619080"",H$3)"),"#REF!")</f>
        <v>#REF!</v>
      </c>
      <c r="I580" s="2" t="str">
        <f>IFERROR(__xludf.DUMMYFUNCTION("IMPORTRANGE(""https://docs.google.com/spreadsheets/d/""&amp;$A580&amp;""/edit#gid=156619080"",I$3)"),"#REF!")</f>
        <v>#REF!</v>
      </c>
      <c r="J580" s="2" t="str">
        <f>IFERROR(__xludf.DUMMYFUNCTION("IMPORTRANGE(""https://docs.google.com/spreadsheets/d/""&amp;$A580&amp;""/edit#gid=156619080"",J$3)"),"#REF!")</f>
        <v>#REF!</v>
      </c>
      <c r="K580" s="2" t="str">
        <f>IFERROR(__xludf.DUMMYFUNCTION("IMPORTRANGE(""https://docs.google.com/spreadsheets/d/""&amp;$A580&amp;""/edit#gid=156619080"",K$3)"),"#REF!")</f>
        <v>#REF!</v>
      </c>
      <c r="L580" s="2" t="str">
        <f>IFERROR(__xludf.DUMMYFUNCTION("IMPORTRANGE(""https://docs.google.com/spreadsheets/d/""&amp;$A580&amp;""/edit#gid=156619080"",L$3)"),"#REF!")</f>
        <v>#REF!</v>
      </c>
      <c r="M580" s="2" t="str">
        <f>IFERROR(__xludf.DUMMYFUNCTION("IMPORTRANGE(""https://docs.google.com/spreadsheets/d/""&amp;$A580&amp;""/edit#gid=156619080"",M$3)"),"#REF!")</f>
        <v>#REF!</v>
      </c>
      <c r="N580" s="2" t="str">
        <f>IFERROR(__xludf.DUMMYFUNCTION("IMPORTRANGE(""https://docs.google.com/spreadsheets/d/""&amp;$A580&amp;""/edit#gid=156619080"",N$3)"),"#REF!")</f>
        <v>#REF!</v>
      </c>
      <c r="O580" s="2" t="str">
        <f>IFERROR(__xludf.DUMMYFUNCTION("IMPORTRANGE(""https://docs.google.com/spreadsheets/d/""&amp;$A580&amp;""/edit#gid=156619080"",O$3)"),"#REF!")</f>
        <v>#REF!</v>
      </c>
      <c r="P580" s="2" t="str">
        <f>IFERROR(__xludf.DUMMYFUNCTION("IMPORTRANGE(""https://docs.google.com/spreadsheets/d/""&amp;$A580&amp;""/edit#gid=156619080"",P$3)"),"#REF!")</f>
        <v>#REF!</v>
      </c>
      <c r="Q580" s="2" t="str">
        <f>IFERROR(__xludf.DUMMYFUNCTION("IMPORTRANGE(""https://docs.google.com/spreadsheets/d/""&amp;$A580&amp;""/edit#gid=156619080"",Q$3)"),"#REF!")</f>
        <v>#REF!</v>
      </c>
      <c r="R580" s="2" t="str">
        <f>IFERROR(__xludf.DUMMYFUNCTION("IMPORTRANGE(""https://docs.google.com/spreadsheets/d/""&amp;$A580&amp;""/edit#gid=156619080"",R$3)"),"#REF!")</f>
        <v>#REF!</v>
      </c>
      <c r="S580" s="2" t="str">
        <f>IFERROR(__xludf.DUMMYFUNCTION("IMPORTRANGE(""https://docs.google.com/spreadsheets/d/""&amp;$A580&amp;""/edit#gid=156619080"",S$3)"),"#REF!")</f>
        <v>#REF!</v>
      </c>
      <c r="T580" s="2" t="str">
        <f>IFERROR(__xludf.DUMMYFUNCTION("IMPORTRANGE(""https://docs.google.com/spreadsheets/d/""&amp;$A580&amp;""/edit#gid=156619080"",T$3)"),"#REF!")</f>
        <v>#REF!</v>
      </c>
      <c r="U580" s="2" t="str">
        <f>IFERROR(__xludf.DUMMYFUNCTION("IMPORTRANGE(""https://docs.google.com/spreadsheets/d/""&amp;$A580&amp;""/edit#gid=156619080"",U$3)"),"#REF!")</f>
        <v>#REF!</v>
      </c>
      <c r="V580" s="2" t="str">
        <f>IFERROR(__xludf.DUMMYFUNCTION("IMPORTRANGE(""https://docs.google.com/spreadsheets/d/""&amp;$A580&amp;""/edit#gid=156619080"",V$3)"),"#REF!")</f>
        <v>#REF!</v>
      </c>
      <c r="W580" s="2" t="str">
        <f>IFERROR(__xludf.DUMMYFUNCTION("IMPORTRANGE(""https://docs.google.com/spreadsheets/d/""&amp;$A580&amp;""/edit#gid=156619080"",W$3)"),"#REF!")</f>
        <v>#REF!</v>
      </c>
      <c r="X580" s="2" t="str">
        <f>IFERROR(__xludf.DUMMYFUNCTION("IMPORTRANGE(""https://docs.google.com/spreadsheets/d/""&amp;$A580&amp;""/edit#gid=156619080"",X$3)"),"#REF!")</f>
        <v>#REF!</v>
      </c>
      <c r="Y580" s="2" t="str">
        <f>IFERROR(__xludf.DUMMYFUNCTION("IMPORTRANGE(""https://docs.google.com/spreadsheets/d/""&amp;$A580&amp;""/edit#gid=156619080"",Y$3)"),"#REF!")</f>
        <v>#REF!</v>
      </c>
      <c r="Z580" s="2" t="str">
        <f>IFERROR(__xludf.DUMMYFUNCTION("IMPORTRANGE(""https://docs.google.com/spreadsheets/d/""&amp;$A580&amp;""/edit#gid=156619080"",Z$3)"),"#REF!")</f>
        <v>#REF!</v>
      </c>
      <c r="AA580" s="2" t="str">
        <f>IFERROR(__xludf.DUMMYFUNCTION("IMPORTRANGE(""https://docs.google.com/spreadsheets/d/""&amp;$A580&amp;""/edit#gid=156619080"",AA$3)"),"#REF!")</f>
        <v>#REF!</v>
      </c>
      <c r="AB580" s="2" t="str">
        <f>IFERROR(__xludf.DUMMYFUNCTION("IMPORTRANGE(""https://docs.google.com/spreadsheets/d/""&amp;$A580&amp;""/edit#gid=156619080"",AB$3)"),"#REF!")</f>
        <v>#REF!</v>
      </c>
      <c r="AC580" s="2" t="str">
        <f>IFERROR(__xludf.DUMMYFUNCTION("IMPORTRANGE(""https://docs.google.com/spreadsheets/d/""&amp;$A580&amp;""/edit#gid=156619080"",AC$3)"),"#REF!")</f>
        <v>#REF!</v>
      </c>
      <c r="AD580" s="2" t="str">
        <f>IFERROR(__xludf.DUMMYFUNCTION("IMPORTRANGE(""https://docs.google.com/spreadsheets/d/""&amp;$A580&amp;""/edit#gid=156619080"",AD$3)"),"#REF!")</f>
        <v>#REF!</v>
      </c>
      <c r="AE580" s="2" t="str">
        <f>IFERROR(__xludf.DUMMYFUNCTION("IMPORTRANGE(""https://docs.google.com/spreadsheets/d/""&amp;$A580&amp;""/edit#gid=156619080"",AE$3)"),"#REF!")</f>
        <v>#REF!</v>
      </c>
      <c r="AF580" s="2" t="str">
        <f>IFERROR(__xludf.DUMMYFUNCTION("IMPORTRANGE(""https://docs.google.com/spreadsheets/d/""&amp;$A580&amp;""/edit#gid=156619080"",AF$3)"),"#REF!")</f>
        <v>#REF!</v>
      </c>
      <c r="AG580" s="2" t="str">
        <f>IFERROR(__xludf.DUMMYFUNCTION("IMPORTRANGE(""https://docs.google.com/spreadsheets/d/""&amp;$A580&amp;""/edit#gid=156619080"",AG$3)"),"#REF!")</f>
        <v>#REF!</v>
      </c>
      <c r="AH580" s="2" t="str">
        <f>IFERROR(__xludf.DUMMYFUNCTION("IMPORTRANGE(""https://docs.google.com/spreadsheets/d/""&amp;$A580&amp;""/edit#gid=156619080"",AH$3)"),"#REF!")</f>
        <v>#REF!</v>
      </c>
      <c r="AI580" s="2" t="str">
        <f>IFERROR(__xludf.DUMMYFUNCTION("IMPORTRANGE(""https://docs.google.com/spreadsheets/d/""&amp;$A580&amp;""/edit#gid=156619080"",AI$3)"),"#REF!")</f>
        <v>#REF!</v>
      </c>
      <c r="AJ580" s="2" t="str">
        <f>IFERROR(__xludf.DUMMYFUNCTION("IMPORTRANGE(""https://docs.google.com/spreadsheets/d/""&amp;$A580&amp;""/edit#gid=156619080"",AJ$3)"),"#REF!")</f>
        <v>#REF!</v>
      </c>
      <c r="AK580" s="2" t="str">
        <f>IFERROR(__xludf.DUMMYFUNCTION("IMPORTRANGE(""https://docs.google.com/spreadsheets/d/""&amp;$A580&amp;""/edit#gid=156619080"",AK$3)"),"#REF!")</f>
        <v>#REF!</v>
      </c>
      <c r="AL580" s="2" t="str">
        <f>IFERROR(__xludf.DUMMYFUNCTION("IMPORTRANGE(""https://docs.google.com/spreadsheets/d/""&amp;$A580&amp;""/edit#gid=156619080"",AL$3)"),"#REF!")</f>
        <v>#REF!</v>
      </c>
      <c r="AM580" s="2" t="str">
        <f>IFERROR(__xludf.DUMMYFUNCTION("IMPORTRANGE(""https://docs.google.com/spreadsheets/d/""&amp;$A580&amp;""/edit#gid=156619080"",AM$3)"),"#REF!")</f>
        <v>#REF!</v>
      </c>
      <c r="AN580" s="2" t="str">
        <f>IFERROR(__xludf.DUMMYFUNCTION("IMPORTRANGE(""https://docs.google.com/spreadsheets/d/""&amp;$A580&amp;""/edit#gid=156619080"",AN$3)"),"#REF!")</f>
        <v>#REF!</v>
      </c>
      <c r="AO580" s="2" t="str">
        <f>IFERROR(__xludf.DUMMYFUNCTION("IMPORTRANGE(""https://docs.google.com/spreadsheets/d/""&amp;$A580&amp;""/edit#gid=156619080"",AO$3)"),"#REF!")</f>
        <v>#REF!</v>
      </c>
      <c r="AP580" s="2" t="str">
        <f>IFERROR(__xludf.DUMMYFUNCTION("IMPORTRANGE(""https://docs.google.com/spreadsheets/d/""&amp;$A580&amp;""/edit#gid=156619080"",AP$3)"),"#REF!")</f>
        <v>#REF!</v>
      </c>
      <c r="AQ580" s="2" t="str">
        <f>IFERROR(__xludf.DUMMYFUNCTION("IMPORTRANGE(""https://docs.google.com/spreadsheets/d/""&amp;$A580&amp;""/edit#gid=156619080"",AQ$3)"),"#REF!")</f>
        <v>#REF!</v>
      </c>
      <c r="AR580" s="2" t="str">
        <f>IFERROR(__xludf.DUMMYFUNCTION("IMPORTRANGE(""https://docs.google.com/spreadsheets/d/""&amp;$A580&amp;""/edit#gid=156619080"",AR$3)"),"#REF!")</f>
        <v>#REF!</v>
      </c>
      <c r="AS580" s="19" t="str">
        <f>IFERROR(__xludf.DUMMYFUNCTION("IMPORTRANGE(""https://docs.google.com/spreadsheets/d/""&amp;$A580&amp;""/edit#gid=156619080"",AS$3)"),"#REF!")</f>
        <v>#REF!</v>
      </c>
      <c r="AT580" s="2" t="str">
        <f>IFERROR(__xludf.DUMMYFUNCTION("IMPORTRANGE(""https://docs.google.com/spreadsheets/d/""&amp;$A580&amp;""/edit#gid=156619080"",AT$3)"),"#REF!")</f>
        <v>#REF!</v>
      </c>
      <c r="AU580" s="3" t="str">
        <f>IFERROR(__xludf.DUMMYFUNCTION("IMPORTRANGE(""https://docs.google.com/spreadsheets/d/""&amp;$A580&amp;""/edit#gid=156619080"",AU$3)"),"#REF!")</f>
        <v>#REF!</v>
      </c>
      <c r="AV580" s="2" t="str">
        <f>IFERROR(__xludf.DUMMYFUNCTION("IMPORTRANGE(""https://docs.google.com/spreadsheets/d/""&amp;$A580&amp;""/edit#gid=156619080"",AV$3)"),"#REF!")</f>
        <v>#REF!</v>
      </c>
      <c r="AW580" s="19" t="str">
        <f>IFERROR(__xludf.DUMMYFUNCTION("IMPORTRANGE(""https://docs.google.com/spreadsheets/d/""&amp;$A580&amp;""/edit#gid=156619080"",AW$3)"),"#REF!")</f>
        <v>#REF!</v>
      </c>
      <c r="AX580" s="2" t="str">
        <f>IFERROR(__xludf.DUMMYFUNCTION("IMPORTRANGE(""https://docs.google.com/spreadsheets/d/""&amp;$A580&amp;""/edit#gid=156619080"",AX$3)"),"#REF!")</f>
        <v>#REF!</v>
      </c>
      <c r="AY580" s="2" t="str">
        <f>IFERROR(__xludf.DUMMYFUNCTION("IMPORTRANGE(""https://docs.google.com/spreadsheets/d/""&amp;$A580&amp;""/edit#gid=156619080"",AY$3)"),"#REF!")</f>
        <v>#REF!</v>
      </c>
      <c r="AZ580" s="2" t="str">
        <f>IFERROR(__xludf.DUMMYFUNCTION("IMPORTRANGE(""https://docs.google.com/spreadsheets/d/""&amp;$A580&amp;""/edit#gid=156619080"",AZ$3)"),"#REF!")</f>
        <v>#REF!</v>
      </c>
      <c r="BA580" s="2" t="str">
        <f>IFERROR(__xludf.DUMMYFUNCTION("IMPORTRANGE(""https://docs.google.com/spreadsheets/d/""&amp;$A580&amp;""/edit#gid=156619080"",BA$3)"),"#REF!")</f>
        <v>#REF!</v>
      </c>
      <c r="BB580" s="2" t="str">
        <f>IFERROR(__xludf.DUMMYFUNCTION("IMPORTRANGE(""https://docs.google.com/spreadsheets/d/""&amp;$A580&amp;""/edit#gid=156619080"",BB$3)"),"#REF!")</f>
        <v>#REF!</v>
      </c>
      <c r="BC580" s="2" t="str">
        <f>IFERROR(__xludf.DUMMYFUNCTION("IMPORTRANGE(""https://docs.google.com/spreadsheets/d/""&amp;$A580&amp;""/edit#gid=156619080"",BC$3)"),"#REF!")</f>
        <v>#REF!</v>
      </c>
    </row>
    <row r="581" ht="51.0" customHeight="1">
      <c r="A581" s="7" t="str">
        <f t="shared" si="5"/>
        <v/>
      </c>
      <c r="C581" s="2" t="str">
        <f>IFERROR(__xludf.DUMMYFUNCTION("IMPORTRANGE(""https://docs.google.com/spreadsheets/d/""&amp;$A581&amp;""/edit#gid=156619080"",C$3)"),"#REF!")</f>
        <v>#REF!</v>
      </c>
      <c r="D581" s="2" t="str">
        <f>IFERROR(__xludf.DUMMYFUNCTION("IMPORTRANGE(""https://docs.google.com/spreadsheets/d/""&amp;$A581&amp;""/edit#gid=156619080"",D$3)"),"#REF!")</f>
        <v>#REF!</v>
      </c>
      <c r="E581" s="2" t="str">
        <f>IFERROR(__xludf.DUMMYFUNCTION("IMPORTRANGE(""https://docs.google.com/spreadsheets/d/""&amp;$A581&amp;""/edit#gid=156619080"",E$3)"),"#REF!")</f>
        <v>#REF!</v>
      </c>
      <c r="F581" s="2" t="str">
        <f>IFERROR(__xludf.DUMMYFUNCTION("IMPORTRANGE(""https://docs.google.com/spreadsheets/d/""&amp;$A581&amp;""/edit#gid=156619080"",F$3)"),"#REF!")</f>
        <v>#REF!</v>
      </c>
      <c r="G581" s="2" t="str">
        <f>IFERROR(__xludf.DUMMYFUNCTION("IMPORTRANGE(""https://docs.google.com/spreadsheets/d/""&amp;$A581&amp;""/edit#gid=156619080"",G$3)"),"#REF!")</f>
        <v>#REF!</v>
      </c>
      <c r="H581" s="2" t="str">
        <f>IFERROR(__xludf.DUMMYFUNCTION("IMPORTRANGE(""https://docs.google.com/spreadsheets/d/""&amp;$A581&amp;""/edit#gid=156619080"",H$3)"),"#REF!")</f>
        <v>#REF!</v>
      </c>
      <c r="I581" s="2" t="str">
        <f>IFERROR(__xludf.DUMMYFUNCTION("IMPORTRANGE(""https://docs.google.com/spreadsheets/d/""&amp;$A581&amp;""/edit#gid=156619080"",I$3)"),"#REF!")</f>
        <v>#REF!</v>
      </c>
      <c r="J581" s="2" t="str">
        <f>IFERROR(__xludf.DUMMYFUNCTION("IMPORTRANGE(""https://docs.google.com/spreadsheets/d/""&amp;$A581&amp;""/edit#gid=156619080"",J$3)"),"#REF!")</f>
        <v>#REF!</v>
      </c>
      <c r="K581" s="2" t="str">
        <f>IFERROR(__xludf.DUMMYFUNCTION("IMPORTRANGE(""https://docs.google.com/spreadsheets/d/""&amp;$A581&amp;""/edit#gid=156619080"",K$3)"),"#REF!")</f>
        <v>#REF!</v>
      </c>
      <c r="L581" s="2" t="str">
        <f>IFERROR(__xludf.DUMMYFUNCTION("IMPORTRANGE(""https://docs.google.com/spreadsheets/d/""&amp;$A581&amp;""/edit#gid=156619080"",L$3)"),"#REF!")</f>
        <v>#REF!</v>
      </c>
      <c r="M581" s="2" t="str">
        <f>IFERROR(__xludf.DUMMYFUNCTION("IMPORTRANGE(""https://docs.google.com/spreadsheets/d/""&amp;$A581&amp;""/edit#gid=156619080"",M$3)"),"#REF!")</f>
        <v>#REF!</v>
      </c>
      <c r="N581" s="2" t="str">
        <f>IFERROR(__xludf.DUMMYFUNCTION("IMPORTRANGE(""https://docs.google.com/spreadsheets/d/""&amp;$A581&amp;""/edit#gid=156619080"",N$3)"),"#REF!")</f>
        <v>#REF!</v>
      </c>
      <c r="O581" s="2" t="str">
        <f>IFERROR(__xludf.DUMMYFUNCTION("IMPORTRANGE(""https://docs.google.com/spreadsheets/d/""&amp;$A581&amp;""/edit#gid=156619080"",O$3)"),"#REF!")</f>
        <v>#REF!</v>
      </c>
      <c r="P581" s="2" t="str">
        <f>IFERROR(__xludf.DUMMYFUNCTION("IMPORTRANGE(""https://docs.google.com/spreadsheets/d/""&amp;$A581&amp;""/edit#gid=156619080"",P$3)"),"#REF!")</f>
        <v>#REF!</v>
      </c>
      <c r="Q581" s="2" t="str">
        <f>IFERROR(__xludf.DUMMYFUNCTION("IMPORTRANGE(""https://docs.google.com/spreadsheets/d/""&amp;$A581&amp;""/edit#gid=156619080"",Q$3)"),"#REF!")</f>
        <v>#REF!</v>
      </c>
      <c r="R581" s="2" t="str">
        <f>IFERROR(__xludf.DUMMYFUNCTION("IMPORTRANGE(""https://docs.google.com/spreadsheets/d/""&amp;$A581&amp;""/edit#gid=156619080"",R$3)"),"#REF!")</f>
        <v>#REF!</v>
      </c>
      <c r="S581" s="2" t="str">
        <f>IFERROR(__xludf.DUMMYFUNCTION("IMPORTRANGE(""https://docs.google.com/spreadsheets/d/""&amp;$A581&amp;""/edit#gid=156619080"",S$3)"),"#REF!")</f>
        <v>#REF!</v>
      </c>
      <c r="T581" s="2" t="str">
        <f>IFERROR(__xludf.DUMMYFUNCTION("IMPORTRANGE(""https://docs.google.com/spreadsheets/d/""&amp;$A581&amp;""/edit#gid=156619080"",T$3)"),"#REF!")</f>
        <v>#REF!</v>
      </c>
      <c r="U581" s="2" t="str">
        <f>IFERROR(__xludf.DUMMYFUNCTION("IMPORTRANGE(""https://docs.google.com/spreadsheets/d/""&amp;$A581&amp;""/edit#gid=156619080"",U$3)"),"#REF!")</f>
        <v>#REF!</v>
      </c>
      <c r="V581" s="2" t="str">
        <f>IFERROR(__xludf.DUMMYFUNCTION("IMPORTRANGE(""https://docs.google.com/spreadsheets/d/""&amp;$A581&amp;""/edit#gid=156619080"",V$3)"),"#REF!")</f>
        <v>#REF!</v>
      </c>
      <c r="W581" s="2" t="str">
        <f>IFERROR(__xludf.DUMMYFUNCTION("IMPORTRANGE(""https://docs.google.com/spreadsheets/d/""&amp;$A581&amp;""/edit#gid=156619080"",W$3)"),"#REF!")</f>
        <v>#REF!</v>
      </c>
      <c r="X581" s="2" t="str">
        <f>IFERROR(__xludf.DUMMYFUNCTION("IMPORTRANGE(""https://docs.google.com/spreadsheets/d/""&amp;$A581&amp;""/edit#gid=156619080"",X$3)"),"#REF!")</f>
        <v>#REF!</v>
      </c>
      <c r="Y581" s="2" t="str">
        <f>IFERROR(__xludf.DUMMYFUNCTION("IMPORTRANGE(""https://docs.google.com/spreadsheets/d/""&amp;$A581&amp;""/edit#gid=156619080"",Y$3)"),"#REF!")</f>
        <v>#REF!</v>
      </c>
      <c r="Z581" s="2" t="str">
        <f>IFERROR(__xludf.DUMMYFUNCTION("IMPORTRANGE(""https://docs.google.com/spreadsheets/d/""&amp;$A581&amp;""/edit#gid=156619080"",Z$3)"),"#REF!")</f>
        <v>#REF!</v>
      </c>
      <c r="AA581" s="2" t="str">
        <f>IFERROR(__xludf.DUMMYFUNCTION("IMPORTRANGE(""https://docs.google.com/spreadsheets/d/""&amp;$A581&amp;""/edit#gid=156619080"",AA$3)"),"#REF!")</f>
        <v>#REF!</v>
      </c>
      <c r="AB581" s="2" t="str">
        <f>IFERROR(__xludf.DUMMYFUNCTION("IMPORTRANGE(""https://docs.google.com/spreadsheets/d/""&amp;$A581&amp;""/edit#gid=156619080"",AB$3)"),"#REF!")</f>
        <v>#REF!</v>
      </c>
      <c r="AC581" s="2" t="str">
        <f>IFERROR(__xludf.DUMMYFUNCTION("IMPORTRANGE(""https://docs.google.com/spreadsheets/d/""&amp;$A581&amp;""/edit#gid=156619080"",AC$3)"),"#REF!")</f>
        <v>#REF!</v>
      </c>
      <c r="AD581" s="2" t="str">
        <f>IFERROR(__xludf.DUMMYFUNCTION("IMPORTRANGE(""https://docs.google.com/spreadsheets/d/""&amp;$A581&amp;""/edit#gid=156619080"",AD$3)"),"#REF!")</f>
        <v>#REF!</v>
      </c>
      <c r="AE581" s="2" t="str">
        <f>IFERROR(__xludf.DUMMYFUNCTION("IMPORTRANGE(""https://docs.google.com/spreadsheets/d/""&amp;$A581&amp;""/edit#gid=156619080"",AE$3)"),"#REF!")</f>
        <v>#REF!</v>
      </c>
      <c r="AF581" s="2" t="str">
        <f>IFERROR(__xludf.DUMMYFUNCTION("IMPORTRANGE(""https://docs.google.com/spreadsheets/d/""&amp;$A581&amp;""/edit#gid=156619080"",AF$3)"),"#REF!")</f>
        <v>#REF!</v>
      </c>
      <c r="AG581" s="2" t="str">
        <f>IFERROR(__xludf.DUMMYFUNCTION("IMPORTRANGE(""https://docs.google.com/spreadsheets/d/""&amp;$A581&amp;""/edit#gid=156619080"",AG$3)"),"#REF!")</f>
        <v>#REF!</v>
      </c>
      <c r="AH581" s="2" t="str">
        <f>IFERROR(__xludf.DUMMYFUNCTION("IMPORTRANGE(""https://docs.google.com/spreadsheets/d/""&amp;$A581&amp;""/edit#gid=156619080"",AH$3)"),"#REF!")</f>
        <v>#REF!</v>
      </c>
      <c r="AI581" s="2" t="str">
        <f>IFERROR(__xludf.DUMMYFUNCTION("IMPORTRANGE(""https://docs.google.com/spreadsheets/d/""&amp;$A581&amp;""/edit#gid=156619080"",AI$3)"),"#REF!")</f>
        <v>#REF!</v>
      </c>
      <c r="AJ581" s="2" t="str">
        <f>IFERROR(__xludf.DUMMYFUNCTION("IMPORTRANGE(""https://docs.google.com/spreadsheets/d/""&amp;$A581&amp;""/edit#gid=156619080"",AJ$3)"),"#REF!")</f>
        <v>#REF!</v>
      </c>
      <c r="AK581" s="2" t="str">
        <f>IFERROR(__xludf.DUMMYFUNCTION("IMPORTRANGE(""https://docs.google.com/spreadsheets/d/""&amp;$A581&amp;""/edit#gid=156619080"",AK$3)"),"#REF!")</f>
        <v>#REF!</v>
      </c>
      <c r="AL581" s="2" t="str">
        <f>IFERROR(__xludf.DUMMYFUNCTION("IMPORTRANGE(""https://docs.google.com/spreadsheets/d/""&amp;$A581&amp;""/edit#gid=156619080"",AL$3)"),"#REF!")</f>
        <v>#REF!</v>
      </c>
      <c r="AM581" s="2" t="str">
        <f>IFERROR(__xludf.DUMMYFUNCTION("IMPORTRANGE(""https://docs.google.com/spreadsheets/d/""&amp;$A581&amp;""/edit#gid=156619080"",AM$3)"),"#REF!")</f>
        <v>#REF!</v>
      </c>
      <c r="AN581" s="2" t="str">
        <f>IFERROR(__xludf.DUMMYFUNCTION("IMPORTRANGE(""https://docs.google.com/spreadsheets/d/""&amp;$A581&amp;""/edit#gid=156619080"",AN$3)"),"#REF!")</f>
        <v>#REF!</v>
      </c>
      <c r="AO581" s="2" t="str">
        <f>IFERROR(__xludf.DUMMYFUNCTION("IMPORTRANGE(""https://docs.google.com/spreadsheets/d/""&amp;$A581&amp;""/edit#gid=156619080"",AO$3)"),"#REF!")</f>
        <v>#REF!</v>
      </c>
      <c r="AP581" s="2" t="str">
        <f>IFERROR(__xludf.DUMMYFUNCTION("IMPORTRANGE(""https://docs.google.com/spreadsheets/d/""&amp;$A581&amp;""/edit#gid=156619080"",AP$3)"),"#REF!")</f>
        <v>#REF!</v>
      </c>
      <c r="AQ581" s="2" t="str">
        <f>IFERROR(__xludf.DUMMYFUNCTION("IMPORTRANGE(""https://docs.google.com/spreadsheets/d/""&amp;$A581&amp;""/edit#gid=156619080"",AQ$3)"),"#REF!")</f>
        <v>#REF!</v>
      </c>
      <c r="AR581" s="2" t="str">
        <f>IFERROR(__xludf.DUMMYFUNCTION("IMPORTRANGE(""https://docs.google.com/spreadsheets/d/""&amp;$A581&amp;""/edit#gid=156619080"",AR$3)"),"#REF!")</f>
        <v>#REF!</v>
      </c>
      <c r="AS581" s="19" t="str">
        <f>IFERROR(__xludf.DUMMYFUNCTION("IMPORTRANGE(""https://docs.google.com/spreadsheets/d/""&amp;$A581&amp;""/edit#gid=156619080"",AS$3)"),"#REF!")</f>
        <v>#REF!</v>
      </c>
      <c r="AT581" s="2" t="str">
        <f>IFERROR(__xludf.DUMMYFUNCTION("IMPORTRANGE(""https://docs.google.com/spreadsheets/d/""&amp;$A581&amp;""/edit#gid=156619080"",AT$3)"),"#REF!")</f>
        <v>#REF!</v>
      </c>
      <c r="AU581" s="3" t="str">
        <f>IFERROR(__xludf.DUMMYFUNCTION("IMPORTRANGE(""https://docs.google.com/spreadsheets/d/""&amp;$A581&amp;""/edit#gid=156619080"",AU$3)"),"#REF!")</f>
        <v>#REF!</v>
      </c>
      <c r="AV581" s="2" t="str">
        <f>IFERROR(__xludf.DUMMYFUNCTION("IMPORTRANGE(""https://docs.google.com/spreadsheets/d/""&amp;$A581&amp;""/edit#gid=156619080"",AV$3)"),"#REF!")</f>
        <v>#REF!</v>
      </c>
      <c r="AW581" s="19" t="str">
        <f>IFERROR(__xludf.DUMMYFUNCTION("IMPORTRANGE(""https://docs.google.com/spreadsheets/d/""&amp;$A581&amp;""/edit#gid=156619080"",AW$3)"),"#REF!")</f>
        <v>#REF!</v>
      </c>
      <c r="AX581" s="2" t="str">
        <f>IFERROR(__xludf.DUMMYFUNCTION("IMPORTRANGE(""https://docs.google.com/spreadsheets/d/""&amp;$A581&amp;""/edit#gid=156619080"",AX$3)"),"#REF!")</f>
        <v>#REF!</v>
      </c>
      <c r="AY581" s="2" t="str">
        <f>IFERROR(__xludf.DUMMYFUNCTION("IMPORTRANGE(""https://docs.google.com/spreadsheets/d/""&amp;$A581&amp;""/edit#gid=156619080"",AY$3)"),"#REF!")</f>
        <v>#REF!</v>
      </c>
      <c r="AZ581" s="2" t="str">
        <f>IFERROR(__xludf.DUMMYFUNCTION("IMPORTRANGE(""https://docs.google.com/spreadsheets/d/""&amp;$A581&amp;""/edit#gid=156619080"",AZ$3)"),"#REF!")</f>
        <v>#REF!</v>
      </c>
      <c r="BA581" s="2" t="str">
        <f>IFERROR(__xludf.DUMMYFUNCTION("IMPORTRANGE(""https://docs.google.com/spreadsheets/d/""&amp;$A581&amp;""/edit#gid=156619080"",BA$3)"),"#REF!")</f>
        <v>#REF!</v>
      </c>
      <c r="BB581" s="2" t="str">
        <f>IFERROR(__xludf.DUMMYFUNCTION("IMPORTRANGE(""https://docs.google.com/spreadsheets/d/""&amp;$A581&amp;""/edit#gid=156619080"",BB$3)"),"#REF!")</f>
        <v>#REF!</v>
      </c>
      <c r="BC581" s="2" t="str">
        <f>IFERROR(__xludf.DUMMYFUNCTION("IMPORTRANGE(""https://docs.google.com/spreadsheets/d/""&amp;$A581&amp;""/edit#gid=156619080"",BC$3)"),"#REF!")</f>
        <v>#REF!</v>
      </c>
    </row>
    <row r="582" ht="51.0" customHeight="1">
      <c r="A582" s="7" t="str">
        <f t="shared" si="5"/>
        <v/>
      </c>
      <c r="C582" s="2" t="str">
        <f>IFERROR(__xludf.DUMMYFUNCTION("IMPORTRANGE(""https://docs.google.com/spreadsheets/d/""&amp;$A582&amp;""/edit#gid=156619080"",C$3)"),"#REF!")</f>
        <v>#REF!</v>
      </c>
      <c r="D582" s="2" t="str">
        <f>IFERROR(__xludf.DUMMYFUNCTION("IMPORTRANGE(""https://docs.google.com/spreadsheets/d/""&amp;$A582&amp;""/edit#gid=156619080"",D$3)"),"#REF!")</f>
        <v>#REF!</v>
      </c>
      <c r="E582" s="2" t="str">
        <f>IFERROR(__xludf.DUMMYFUNCTION("IMPORTRANGE(""https://docs.google.com/spreadsheets/d/""&amp;$A582&amp;""/edit#gid=156619080"",E$3)"),"#REF!")</f>
        <v>#REF!</v>
      </c>
      <c r="F582" s="2" t="str">
        <f>IFERROR(__xludf.DUMMYFUNCTION("IMPORTRANGE(""https://docs.google.com/spreadsheets/d/""&amp;$A582&amp;""/edit#gid=156619080"",F$3)"),"#REF!")</f>
        <v>#REF!</v>
      </c>
      <c r="G582" s="2" t="str">
        <f>IFERROR(__xludf.DUMMYFUNCTION("IMPORTRANGE(""https://docs.google.com/spreadsheets/d/""&amp;$A582&amp;""/edit#gid=156619080"",G$3)"),"#REF!")</f>
        <v>#REF!</v>
      </c>
      <c r="H582" s="2" t="str">
        <f>IFERROR(__xludf.DUMMYFUNCTION("IMPORTRANGE(""https://docs.google.com/spreadsheets/d/""&amp;$A582&amp;""/edit#gid=156619080"",H$3)"),"#REF!")</f>
        <v>#REF!</v>
      </c>
      <c r="I582" s="2" t="str">
        <f>IFERROR(__xludf.DUMMYFUNCTION("IMPORTRANGE(""https://docs.google.com/spreadsheets/d/""&amp;$A582&amp;""/edit#gid=156619080"",I$3)"),"#REF!")</f>
        <v>#REF!</v>
      </c>
      <c r="J582" s="2" t="str">
        <f>IFERROR(__xludf.DUMMYFUNCTION("IMPORTRANGE(""https://docs.google.com/spreadsheets/d/""&amp;$A582&amp;""/edit#gid=156619080"",J$3)"),"#REF!")</f>
        <v>#REF!</v>
      </c>
      <c r="K582" s="2" t="str">
        <f>IFERROR(__xludf.DUMMYFUNCTION("IMPORTRANGE(""https://docs.google.com/spreadsheets/d/""&amp;$A582&amp;""/edit#gid=156619080"",K$3)"),"#REF!")</f>
        <v>#REF!</v>
      </c>
      <c r="L582" s="2" t="str">
        <f>IFERROR(__xludf.DUMMYFUNCTION("IMPORTRANGE(""https://docs.google.com/spreadsheets/d/""&amp;$A582&amp;""/edit#gid=156619080"",L$3)"),"#REF!")</f>
        <v>#REF!</v>
      </c>
      <c r="M582" s="2" t="str">
        <f>IFERROR(__xludf.DUMMYFUNCTION("IMPORTRANGE(""https://docs.google.com/spreadsheets/d/""&amp;$A582&amp;""/edit#gid=156619080"",M$3)"),"#REF!")</f>
        <v>#REF!</v>
      </c>
      <c r="N582" s="2" t="str">
        <f>IFERROR(__xludf.DUMMYFUNCTION("IMPORTRANGE(""https://docs.google.com/spreadsheets/d/""&amp;$A582&amp;""/edit#gid=156619080"",N$3)"),"#REF!")</f>
        <v>#REF!</v>
      </c>
      <c r="O582" s="2" t="str">
        <f>IFERROR(__xludf.DUMMYFUNCTION("IMPORTRANGE(""https://docs.google.com/spreadsheets/d/""&amp;$A582&amp;""/edit#gid=156619080"",O$3)"),"#REF!")</f>
        <v>#REF!</v>
      </c>
      <c r="P582" s="2" t="str">
        <f>IFERROR(__xludf.DUMMYFUNCTION("IMPORTRANGE(""https://docs.google.com/spreadsheets/d/""&amp;$A582&amp;""/edit#gid=156619080"",P$3)"),"#REF!")</f>
        <v>#REF!</v>
      </c>
      <c r="Q582" s="2" t="str">
        <f>IFERROR(__xludf.DUMMYFUNCTION("IMPORTRANGE(""https://docs.google.com/spreadsheets/d/""&amp;$A582&amp;""/edit#gid=156619080"",Q$3)"),"#REF!")</f>
        <v>#REF!</v>
      </c>
      <c r="R582" s="2" t="str">
        <f>IFERROR(__xludf.DUMMYFUNCTION("IMPORTRANGE(""https://docs.google.com/spreadsheets/d/""&amp;$A582&amp;""/edit#gid=156619080"",R$3)"),"#REF!")</f>
        <v>#REF!</v>
      </c>
      <c r="S582" s="2" t="str">
        <f>IFERROR(__xludf.DUMMYFUNCTION("IMPORTRANGE(""https://docs.google.com/spreadsheets/d/""&amp;$A582&amp;""/edit#gid=156619080"",S$3)"),"#REF!")</f>
        <v>#REF!</v>
      </c>
      <c r="T582" s="2" t="str">
        <f>IFERROR(__xludf.DUMMYFUNCTION("IMPORTRANGE(""https://docs.google.com/spreadsheets/d/""&amp;$A582&amp;""/edit#gid=156619080"",T$3)"),"#REF!")</f>
        <v>#REF!</v>
      </c>
      <c r="U582" s="2" t="str">
        <f>IFERROR(__xludf.DUMMYFUNCTION("IMPORTRANGE(""https://docs.google.com/spreadsheets/d/""&amp;$A582&amp;""/edit#gid=156619080"",U$3)"),"#REF!")</f>
        <v>#REF!</v>
      </c>
      <c r="V582" s="2" t="str">
        <f>IFERROR(__xludf.DUMMYFUNCTION("IMPORTRANGE(""https://docs.google.com/spreadsheets/d/""&amp;$A582&amp;""/edit#gid=156619080"",V$3)"),"#REF!")</f>
        <v>#REF!</v>
      </c>
      <c r="W582" s="2" t="str">
        <f>IFERROR(__xludf.DUMMYFUNCTION("IMPORTRANGE(""https://docs.google.com/spreadsheets/d/""&amp;$A582&amp;""/edit#gid=156619080"",W$3)"),"#REF!")</f>
        <v>#REF!</v>
      </c>
      <c r="X582" s="2" t="str">
        <f>IFERROR(__xludf.DUMMYFUNCTION("IMPORTRANGE(""https://docs.google.com/spreadsheets/d/""&amp;$A582&amp;""/edit#gid=156619080"",X$3)"),"#REF!")</f>
        <v>#REF!</v>
      </c>
      <c r="Y582" s="2" t="str">
        <f>IFERROR(__xludf.DUMMYFUNCTION("IMPORTRANGE(""https://docs.google.com/spreadsheets/d/""&amp;$A582&amp;""/edit#gid=156619080"",Y$3)"),"#REF!")</f>
        <v>#REF!</v>
      </c>
      <c r="Z582" s="2" t="str">
        <f>IFERROR(__xludf.DUMMYFUNCTION("IMPORTRANGE(""https://docs.google.com/spreadsheets/d/""&amp;$A582&amp;""/edit#gid=156619080"",Z$3)"),"#REF!")</f>
        <v>#REF!</v>
      </c>
      <c r="AA582" s="2" t="str">
        <f>IFERROR(__xludf.DUMMYFUNCTION("IMPORTRANGE(""https://docs.google.com/spreadsheets/d/""&amp;$A582&amp;""/edit#gid=156619080"",AA$3)"),"#REF!")</f>
        <v>#REF!</v>
      </c>
      <c r="AB582" s="2" t="str">
        <f>IFERROR(__xludf.DUMMYFUNCTION("IMPORTRANGE(""https://docs.google.com/spreadsheets/d/""&amp;$A582&amp;""/edit#gid=156619080"",AB$3)"),"#REF!")</f>
        <v>#REF!</v>
      </c>
      <c r="AC582" s="2" t="str">
        <f>IFERROR(__xludf.DUMMYFUNCTION("IMPORTRANGE(""https://docs.google.com/spreadsheets/d/""&amp;$A582&amp;""/edit#gid=156619080"",AC$3)"),"#REF!")</f>
        <v>#REF!</v>
      </c>
      <c r="AD582" s="2" t="str">
        <f>IFERROR(__xludf.DUMMYFUNCTION("IMPORTRANGE(""https://docs.google.com/spreadsheets/d/""&amp;$A582&amp;""/edit#gid=156619080"",AD$3)"),"#REF!")</f>
        <v>#REF!</v>
      </c>
      <c r="AE582" s="2" t="str">
        <f>IFERROR(__xludf.DUMMYFUNCTION("IMPORTRANGE(""https://docs.google.com/spreadsheets/d/""&amp;$A582&amp;""/edit#gid=156619080"",AE$3)"),"#REF!")</f>
        <v>#REF!</v>
      </c>
      <c r="AF582" s="2" t="str">
        <f>IFERROR(__xludf.DUMMYFUNCTION("IMPORTRANGE(""https://docs.google.com/spreadsheets/d/""&amp;$A582&amp;""/edit#gid=156619080"",AF$3)"),"#REF!")</f>
        <v>#REF!</v>
      </c>
      <c r="AG582" s="2" t="str">
        <f>IFERROR(__xludf.DUMMYFUNCTION("IMPORTRANGE(""https://docs.google.com/spreadsheets/d/""&amp;$A582&amp;""/edit#gid=156619080"",AG$3)"),"#REF!")</f>
        <v>#REF!</v>
      </c>
      <c r="AH582" s="2" t="str">
        <f>IFERROR(__xludf.DUMMYFUNCTION("IMPORTRANGE(""https://docs.google.com/spreadsheets/d/""&amp;$A582&amp;""/edit#gid=156619080"",AH$3)"),"#REF!")</f>
        <v>#REF!</v>
      </c>
      <c r="AI582" s="2" t="str">
        <f>IFERROR(__xludf.DUMMYFUNCTION("IMPORTRANGE(""https://docs.google.com/spreadsheets/d/""&amp;$A582&amp;""/edit#gid=156619080"",AI$3)"),"#REF!")</f>
        <v>#REF!</v>
      </c>
      <c r="AJ582" s="2" t="str">
        <f>IFERROR(__xludf.DUMMYFUNCTION("IMPORTRANGE(""https://docs.google.com/spreadsheets/d/""&amp;$A582&amp;""/edit#gid=156619080"",AJ$3)"),"#REF!")</f>
        <v>#REF!</v>
      </c>
      <c r="AK582" s="2" t="str">
        <f>IFERROR(__xludf.DUMMYFUNCTION("IMPORTRANGE(""https://docs.google.com/spreadsheets/d/""&amp;$A582&amp;""/edit#gid=156619080"",AK$3)"),"#REF!")</f>
        <v>#REF!</v>
      </c>
      <c r="AL582" s="2" t="str">
        <f>IFERROR(__xludf.DUMMYFUNCTION("IMPORTRANGE(""https://docs.google.com/spreadsheets/d/""&amp;$A582&amp;""/edit#gid=156619080"",AL$3)"),"#REF!")</f>
        <v>#REF!</v>
      </c>
      <c r="AM582" s="2" t="str">
        <f>IFERROR(__xludf.DUMMYFUNCTION("IMPORTRANGE(""https://docs.google.com/spreadsheets/d/""&amp;$A582&amp;""/edit#gid=156619080"",AM$3)"),"#REF!")</f>
        <v>#REF!</v>
      </c>
      <c r="AN582" s="2" t="str">
        <f>IFERROR(__xludf.DUMMYFUNCTION("IMPORTRANGE(""https://docs.google.com/spreadsheets/d/""&amp;$A582&amp;""/edit#gid=156619080"",AN$3)"),"#REF!")</f>
        <v>#REF!</v>
      </c>
      <c r="AO582" s="2" t="str">
        <f>IFERROR(__xludf.DUMMYFUNCTION("IMPORTRANGE(""https://docs.google.com/spreadsheets/d/""&amp;$A582&amp;""/edit#gid=156619080"",AO$3)"),"#REF!")</f>
        <v>#REF!</v>
      </c>
      <c r="AP582" s="2" t="str">
        <f>IFERROR(__xludf.DUMMYFUNCTION("IMPORTRANGE(""https://docs.google.com/spreadsheets/d/""&amp;$A582&amp;""/edit#gid=156619080"",AP$3)"),"#REF!")</f>
        <v>#REF!</v>
      </c>
      <c r="AQ582" s="2" t="str">
        <f>IFERROR(__xludf.DUMMYFUNCTION("IMPORTRANGE(""https://docs.google.com/spreadsheets/d/""&amp;$A582&amp;""/edit#gid=156619080"",AQ$3)"),"#REF!")</f>
        <v>#REF!</v>
      </c>
      <c r="AR582" s="2" t="str">
        <f>IFERROR(__xludf.DUMMYFUNCTION("IMPORTRANGE(""https://docs.google.com/spreadsheets/d/""&amp;$A582&amp;""/edit#gid=156619080"",AR$3)"),"#REF!")</f>
        <v>#REF!</v>
      </c>
      <c r="AS582" s="19" t="str">
        <f>IFERROR(__xludf.DUMMYFUNCTION("IMPORTRANGE(""https://docs.google.com/spreadsheets/d/""&amp;$A582&amp;""/edit#gid=156619080"",AS$3)"),"#REF!")</f>
        <v>#REF!</v>
      </c>
      <c r="AT582" s="2" t="str">
        <f>IFERROR(__xludf.DUMMYFUNCTION("IMPORTRANGE(""https://docs.google.com/spreadsheets/d/""&amp;$A582&amp;""/edit#gid=156619080"",AT$3)"),"#REF!")</f>
        <v>#REF!</v>
      </c>
      <c r="AU582" s="3" t="str">
        <f>IFERROR(__xludf.DUMMYFUNCTION("IMPORTRANGE(""https://docs.google.com/spreadsheets/d/""&amp;$A582&amp;""/edit#gid=156619080"",AU$3)"),"#REF!")</f>
        <v>#REF!</v>
      </c>
      <c r="AV582" s="2" t="str">
        <f>IFERROR(__xludf.DUMMYFUNCTION("IMPORTRANGE(""https://docs.google.com/spreadsheets/d/""&amp;$A582&amp;""/edit#gid=156619080"",AV$3)"),"#REF!")</f>
        <v>#REF!</v>
      </c>
      <c r="AW582" s="19" t="str">
        <f>IFERROR(__xludf.DUMMYFUNCTION("IMPORTRANGE(""https://docs.google.com/spreadsheets/d/""&amp;$A582&amp;""/edit#gid=156619080"",AW$3)"),"#REF!")</f>
        <v>#REF!</v>
      </c>
      <c r="AX582" s="2" t="str">
        <f>IFERROR(__xludf.DUMMYFUNCTION("IMPORTRANGE(""https://docs.google.com/spreadsheets/d/""&amp;$A582&amp;""/edit#gid=156619080"",AX$3)"),"#REF!")</f>
        <v>#REF!</v>
      </c>
      <c r="AY582" s="2" t="str">
        <f>IFERROR(__xludf.DUMMYFUNCTION("IMPORTRANGE(""https://docs.google.com/spreadsheets/d/""&amp;$A582&amp;""/edit#gid=156619080"",AY$3)"),"#REF!")</f>
        <v>#REF!</v>
      </c>
      <c r="AZ582" s="2" t="str">
        <f>IFERROR(__xludf.DUMMYFUNCTION("IMPORTRANGE(""https://docs.google.com/spreadsheets/d/""&amp;$A582&amp;""/edit#gid=156619080"",AZ$3)"),"#REF!")</f>
        <v>#REF!</v>
      </c>
      <c r="BA582" s="2" t="str">
        <f>IFERROR(__xludf.DUMMYFUNCTION("IMPORTRANGE(""https://docs.google.com/spreadsheets/d/""&amp;$A582&amp;""/edit#gid=156619080"",BA$3)"),"#REF!")</f>
        <v>#REF!</v>
      </c>
      <c r="BB582" s="2" t="str">
        <f>IFERROR(__xludf.DUMMYFUNCTION("IMPORTRANGE(""https://docs.google.com/spreadsheets/d/""&amp;$A582&amp;""/edit#gid=156619080"",BB$3)"),"#REF!")</f>
        <v>#REF!</v>
      </c>
      <c r="BC582" s="2" t="str">
        <f>IFERROR(__xludf.DUMMYFUNCTION("IMPORTRANGE(""https://docs.google.com/spreadsheets/d/""&amp;$A582&amp;""/edit#gid=156619080"",BC$3)"),"#REF!")</f>
        <v>#REF!</v>
      </c>
    </row>
    <row r="583" ht="51.0" customHeight="1">
      <c r="A583" s="7" t="str">
        <f t="shared" si="5"/>
        <v/>
      </c>
      <c r="C583" s="2" t="str">
        <f>IFERROR(__xludf.DUMMYFUNCTION("IMPORTRANGE(""https://docs.google.com/spreadsheets/d/""&amp;$A583&amp;""/edit#gid=156619080"",C$3)"),"#REF!")</f>
        <v>#REF!</v>
      </c>
      <c r="D583" s="2" t="str">
        <f>IFERROR(__xludf.DUMMYFUNCTION("IMPORTRANGE(""https://docs.google.com/spreadsheets/d/""&amp;$A583&amp;""/edit#gid=156619080"",D$3)"),"#REF!")</f>
        <v>#REF!</v>
      </c>
      <c r="E583" s="2" t="str">
        <f>IFERROR(__xludf.DUMMYFUNCTION("IMPORTRANGE(""https://docs.google.com/spreadsheets/d/""&amp;$A583&amp;""/edit#gid=156619080"",E$3)"),"#REF!")</f>
        <v>#REF!</v>
      </c>
      <c r="F583" s="2" t="str">
        <f>IFERROR(__xludf.DUMMYFUNCTION("IMPORTRANGE(""https://docs.google.com/spreadsheets/d/""&amp;$A583&amp;""/edit#gid=156619080"",F$3)"),"#REF!")</f>
        <v>#REF!</v>
      </c>
      <c r="G583" s="2" t="str">
        <f>IFERROR(__xludf.DUMMYFUNCTION("IMPORTRANGE(""https://docs.google.com/spreadsheets/d/""&amp;$A583&amp;""/edit#gid=156619080"",G$3)"),"#REF!")</f>
        <v>#REF!</v>
      </c>
      <c r="H583" s="2" t="str">
        <f>IFERROR(__xludf.DUMMYFUNCTION("IMPORTRANGE(""https://docs.google.com/spreadsheets/d/""&amp;$A583&amp;""/edit#gid=156619080"",H$3)"),"#REF!")</f>
        <v>#REF!</v>
      </c>
      <c r="I583" s="2" t="str">
        <f>IFERROR(__xludf.DUMMYFUNCTION("IMPORTRANGE(""https://docs.google.com/spreadsheets/d/""&amp;$A583&amp;""/edit#gid=156619080"",I$3)"),"#REF!")</f>
        <v>#REF!</v>
      </c>
      <c r="J583" s="2" t="str">
        <f>IFERROR(__xludf.DUMMYFUNCTION("IMPORTRANGE(""https://docs.google.com/spreadsheets/d/""&amp;$A583&amp;""/edit#gid=156619080"",J$3)"),"#REF!")</f>
        <v>#REF!</v>
      </c>
      <c r="K583" s="2" t="str">
        <f>IFERROR(__xludf.DUMMYFUNCTION("IMPORTRANGE(""https://docs.google.com/spreadsheets/d/""&amp;$A583&amp;""/edit#gid=156619080"",K$3)"),"#REF!")</f>
        <v>#REF!</v>
      </c>
      <c r="L583" s="2" t="str">
        <f>IFERROR(__xludf.DUMMYFUNCTION("IMPORTRANGE(""https://docs.google.com/spreadsheets/d/""&amp;$A583&amp;""/edit#gid=156619080"",L$3)"),"#REF!")</f>
        <v>#REF!</v>
      </c>
      <c r="M583" s="2" t="str">
        <f>IFERROR(__xludf.DUMMYFUNCTION("IMPORTRANGE(""https://docs.google.com/spreadsheets/d/""&amp;$A583&amp;""/edit#gid=156619080"",M$3)"),"#REF!")</f>
        <v>#REF!</v>
      </c>
      <c r="N583" s="2" t="str">
        <f>IFERROR(__xludf.DUMMYFUNCTION("IMPORTRANGE(""https://docs.google.com/spreadsheets/d/""&amp;$A583&amp;""/edit#gid=156619080"",N$3)"),"#REF!")</f>
        <v>#REF!</v>
      </c>
      <c r="O583" s="2" t="str">
        <f>IFERROR(__xludf.DUMMYFUNCTION("IMPORTRANGE(""https://docs.google.com/spreadsheets/d/""&amp;$A583&amp;""/edit#gid=156619080"",O$3)"),"#REF!")</f>
        <v>#REF!</v>
      </c>
      <c r="P583" s="2" t="str">
        <f>IFERROR(__xludf.DUMMYFUNCTION("IMPORTRANGE(""https://docs.google.com/spreadsheets/d/""&amp;$A583&amp;""/edit#gid=156619080"",P$3)"),"#REF!")</f>
        <v>#REF!</v>
      </c>
      <c r="Q583" s="2" t="str">
        <f>IFERROR(__xludf.DUMMYFUNCTION("IMPORTRANGE(""https://docs.google.com/spreadsheets/d/""&amp;$A583&amp;""/edit#gid=156619080"",Q$3)"),"#REF!")</f>
        <v>#REF!</v>
      </c>
      <c r="R583" s="2" t="str">
        <f>IFERROR(__xludf.DUMMYFUNCTION("IMPORTRANGE(""https://docs.google.com/spreadsheets/d/""&amp;$A583&amp;""/edit#gid=156619080"",R$3)"),"#REF!")</f>
        <v>#REF!</v>
      </c>
      <c r="S583" s="2" t="str">
        <f>IFERROR(__xludf.DUMMYFUNCTION("IMPORTRANGE(""https://docs.google.com/spreadsheets/d/""&amp;$A583&amp;""/edit#gid=156619080"",S$3)"),"#REF!")</f>
        <v>#REF!</v>
      </c>
      <c r="T583" s="2" t="str">
        <f>IFERROR(__xludf.DUMMYFUNCTION("IMPORTRANGE(""https://docs.google.com/spreadsheets/d/""&amp;$A583&amp;""/edit#gid=156619080"",T$3)"),"#REF!")</f>
        <v>#REF!</v>
      </c>
      <c r="U583" s="2" t="str">
        <f>IFERROR(__xludf.DUMMYFUNCTION("IMPORTRANGE(""https://docs.google.com/spreadsheets/d/""&amp;$A583&amp;""/edit#gid=156619080"",U$3)"),"#REF!")</f>
        <v>#REF!</v>
      </c>
      <c r="V583" s="2" t="str">
        <f>IFERROR(__xludf.DUMMYFUNCTION("IMPORTRANGE(""https://docs.google.com/spreadsheets/d/""&amp;$A583&amp;""/edit#gid=156619080"",V$3)"),"#REF!")</f>
        <v>#REF!</v>
      </c>
      <c r="W583" s="2" t="str">
        <f>IFERROR(__xludf.DUMMYFUNCTION("IMPORTRANGE(""https://docs.google.com/spreadsheets/d/""&amp;$A583&amp;""/edit#gid=156619080"",W$3)"),"#REF!")</f>
        <v>#REF!</v>
      </c>
      <c r="X583" s="2" t="str">
        <f>IFERROR(__xludf.DUMMYFUNCTION("IMPORTRANGE(""https://docs.google.com/spreadsheets/d/""&amp;$A583&amp;""/edit#gid=156619080"",X$3)"),"#REF!")</f>
        <v>#REF!</v>
      </c>
      <c r="Y583" s="2" t="str">
        <f>IFERROR(__xludf.DUMMYFUNCTION("IMPORTRANGE(""https://docs.google.com/spreadsheets/d/""&amp;$A583&amp;""/edit#gid=156619080"",Y$3)"),"#REF!")</f>
        <v>#REF!</v>
      </c>
      <c r="Z583" s="2" t="str">
        <f>IFERROR(__xludf.DUMMYFUNCTION("IMPORTRANGE(""https://docs.google.com/spreadsheets/d/""&amp;$A583&amp;""/edit#gid=156619080"",Z$3)"),"#REF!")</f>
        <v>#REF!</v>
      </c>
      <c r="AA583" s="2" t="str">
        <f>IFERROR(__xludf.DUMMYFUNCTION("IMPORTRANGE(""https://docs.google.com/spreadsheets/d/""&amp;$A583&amp;""/edit#gid=156619080"",AA$3)"),"#REF!")</f>
        <v>#REF!</v>
      </c>
      <c r="AB583" s="2" t="str">
        <f>IFERROR(__xludf.DUMMYFUNCTION("IMPORTRANGE(""https://docs.google.com/spreadsheets/d/""&amp;$A583&amp;""/edit#gid=156619080"",AB$3)"),"#REF!")</f>
        <v>#REF!</v>
      </c>
      <c r="AC583" s="2" t="str">
        <f>IFERROR(__xludf.DUMMYFUNCTION("IMPORTRANGE(""https://docs.google.com/spreadsheets/d/""&amp;$A583&amp;""/edit#gid=156619080"",AC$3)"),"#REF!")</f>
        <v>#REF!</v>
      </c>
      <c r="AD583" s="2" t="str">
        <f>IFERROR(__xludf.DUMMYFUNCTION("IMPORTRANGE(""https://docs.google.com/spreadsheets/d/""&amp;$A583&amp;""/edit#gid=156619080"",AD$3)"),"#REF!")</f>
        <v>#REF!</v>
      </c>
      <c r="AE583" s="2" t="str">
        <f>IFERROR(__xludf.DUMMYFUNCTION("IMPORTRANGE(""https://docs.google.com/spreadsheets/d/""&amp;$A583&amp;""/edit#gid=156619080"",AE$3)"),"#REF!")</f>
        <v>#REF!</v>
      </c>
      <c r="AF583" s="2" t="str">
        <f>IFERROR(__xludf.DUMMYFUNCTION("IMPORTRANGE(""https://docs.google.com/spreadsheets/d/""&amp;$A583&amp;""/edit#gid=156619080"",AF$3)"),"#REF!")</f>
        <v>#REF!</v>
      </c>
      <c r="AG583" s="2" t="str">
        <f>IFERROR(__xludf.DUMMYFUNCTION("IMPORTRANGE(""https://docs.google.com/spreadsheets/d/""&amp;$A583&amp;""/edit#gid=156619080"",AG$3)"),"#REF!")</f>
        <v>#REF!</v>
      </c>
      <c r="AH583" s="2" t="str">
        <f>IFERROR(__xludf.DUMMYFUNCTION("IMPORTRANGE(""https://docs.google.com/spreadsheets/d/""&amp;$A583&amp;""/edit#gid=156619080"",AH$3)"),"#REF!")</f>
        <v>#REF!</v>
      </c>
      <c r="AI583" s="2" t="str">
        <f>IFERROR(__xludf.DUMMYFUNCTION("IMPORTRANGE(""https://docs.google.com/spreadsheets/d/""&amp;$A583&amp;""/edit#gid=156619080"",AI$3)"),"#REF!")</f>
        <v>#REF!</v>
      </c>
      <c r="AJ583" s="2" t="str">
        <f>IFERROR(__xludf.DUMMYFUNCTION("IMPORTRANGE(""https://docs.google.com/spreadsheets/d/""&amp;$A583&amp;""/edit#gid=156619080"",AJ$3)"),"#REF!")</f>
        <v>#REF!</v>
      </c>
      <c r="AK583" s="2" t="str">
        <f>IFERROR(__xludf.DUMMYFUNCTION("IMPORTRANGE(""https://docs.google.com/spreadsheets/d/""&amp;$A583&amp;""/edit#gid=156619080"",AK$3)"),"#REF!")</f>
        <v>#REF!</v>
      </c>
      <c r="AL583" s="2" t="str">
        <f>IFERROR(__xludf.DUMMYFUNCTION("IMPORTRANGE(""https://docs.google.com/spreadsheets/d/""&amp;$A583&amp;""/edit#gid=156619080"",AL$3)"),"#REF!")</f>
        <v>#REF!</v>
      </c>
      <c r="AM583" s="2" t="str">
        <f>IFERROR(__xludf.DUMMYFUNCTION("IMPORTRANGE(""https://docs.google.com/spreadsheets/d/""&amp;$A583&amp;""/edit#gid=156619080"",AM$3)"),"#REF!")</f>
        <v>#REF!</v>
      </c>
      <c r="AN583" s="2" t="str">
        <f>IFERROR(__xludf.DUMMYFUNCTION("IMPORTRANGE(""https://docs.google.com/spreadsheets/d/""&amp;$A583&amp;""/edit#gid=156619080"",AN$3)"),"#REF!")</f>
        <v>#REF!</v>
      </c>
      <c r="AO583" s="2" t="str">
        <f>IFERROR(__xludf.DUMMYFUNCTION("IMPORTRANGE(""https://docs.google.com/spreadsheets/d/""&amp;$A583&amp;""/edit#gid=156619080"",AO$3)"),"#REF!")</f>
        <v>#REF!</v>
      </c>
      <c r="AP583" s="2" t="str">
        <f>IFERROR(__xludf.DUMMYFUNCTION("IMPORTRANGE(""https://docs.google.com/spreadsheets/d/""&amp;$A583&amp;""/edit#gid=156619080"",AP$3)"),"#REF!")</f>
        <v>#REF!</v>
      </c>
      <c r="AQ583" s="2" t="str">
        <f>IFERROR(__xludf.DUMMYFUNCTION("IMPORTRANGE(""https://docs.google.com/spreadsheets/d/""&amp;$A583&amp;""/edit#gid=156619080"",AQ$3)"),"#REF!")</f>
        <v>#REF!</v>
      </c>
      <c r="AR583" s="2" t="str">
        <f>IFERROR(__xludf.DUMMYFUNCTION("IMPORTRANGE(""https://docs.google.com/spreadsheets/d/""&amp;$A583&amp;""/edit#gid=156619080"",AR$3)"),"#REF!")</f>
        <v>#REF!</v>
      </c>
      <c r="AS583" s="19" t="str">
        <f>IFERROR(__xludf.DUMMYFUNCTION("IMPORTRANGE(""https://docs.google.com/spreadsheets/d/""&amp;$A583&amp;""/edit#gid=156619080"",AS$3)"),"#REF!")</f>
        <v>#REF!</v>
      </c>
      <c r="AT583" s="2" t="str">
        <f>IFERROR(__xludf.DUMMYFUNCTION("IMPORTRANGE(""https://docs.google.com/spreadsheets/d/""&amp;$A583&amp;""/edit#gid=156619080"",AT$3)"),"#REF!")</f>
        <v>#REF!</v>
      </c>
      <c r="AU583" s="3" t="str">
        <f>IFERROR(__xludf.DUMMYFUNCTION("IMPORTRANGE(""https://docs.google.com/spreadsheets/d/""&amp;$A583&amp;""/edit#gid=156619080"",AU$3)"),"#REF!")</f>
        <v>#REF!</v>
      </c>
      <c r="AV583" s="2" t="str">
        <f>IFERROR(__xludf.DUMMYFUNCTION("IMPORTRANGE(""https://docs.google.com/spreadsheets/d/""&amp;$A583&amp;""/edit#gid=156619080"",AV$3)"),"#REF!")</f>
        <v>#REF!</v>
      </c>
      <c r="AW583" s="19" t="str">
        <f>IFERROR(__xludf.DUMMYFUNCTION("IMPORTRANGE(""https://docs.google.com/spreadsheets/d/""&amp;$A583&amp;""/edit#gid=156619080"",AW$3)"),"#REF!")</f>
        <v>#REF!</v>
      </c>
      <c r="AX583" s="2" t="str">
        <f>IFERROR(__xludf.DUMMYFUNCTION("IMPORTRANGE(""https://docs.google.com/spreadsheets/d/""&amp;$A583&amp;""/edit#gid=156619080"",AX$3)"),"#REF!")</f>
        <v>#REF!</v>
      </c>
      <c r="AY583" s="2" t="str">
        <f>IFERROR(__xludf.DUMMYFUNCTION("IMPORTRANGE(""https://docs.google.com/spreadsheets/d/""&amp;$A583&amp;""/edit#gid=156619080"",AY$3)"),"#REF!")</f>
        <v>#REF!</v>
      </c>
      <c r="AZ583" s="2" t="str">
        <f>IFERROR(__xludf.DUMMYFUNCTION("IMPORTRANGE(""https://docs.google.com/spreadsheets/d/""&amp;$A583&amp;""/edit#gid=156619080"",AZ$3)"),"#REF!")</f>
        <v>#REF!</v>
      </c>
      <c r="BA583" s="2" t="str">
        <f>IFERROR(__xludf.DUMMYFUNCTION("IMPORTRANGE(""https://docs.google.com/spreadsheets/d/""&amp;$A583&amp;""/edit#gid=156619080"",BA$3)"),"#REF!")</f>
        <v>#REF!</v>
      </c>
      <c r="BB583" s="2" t="str">
        <f>IFERROR(__xludf.DUMMYFUNCTION("IMPORTRANGE(""https://docs.google.com/spreadsheets/d/""&amp;$A583&amp;""/edit#gid=156619080"",BB$3)"),"#REF!")</f>
        <v>#REF!</v>
      </c>
      <c r="BC583" s="2" t="str">
        <f>IFERROR(__xludf.DUMMYFUNCTION("IMPORTRANGE(""https://docs.google.com/spreadsheets/d/""&amp;$A583&amp;""/edit#gid=156619080"",BC$3)"),"#REF!")</f>
        <v>#REF!</v>
      </c>
    </row>
    <row r="584" ht="51.0" customHeight="1">
      <c r="A584" s="7" t="str">
        <f t="shared" si="5"/>
        <v/>
      </c>
      <c r="C584" s="2" t="str">
        <f>IFERROR(__xludf.DUMMYFUNCTION("IMPORTRANGE(""https://docs.google.com/spreadsheets/d/""&amp;$A584&amp;""/edit#gid=156619080"",C$3)"),"#REF!")</f>
        <v>#REF!</v>
      </c>
      <c r="D584" s="2" t="str">
        <f>IFERROR(__xludf.DUMMYFUNCTION("IMPORTRANGE(""https://docs.google.com/spreadsheets/d/""&amp;$A584&amp;""/edit#gid=156619080"",D$3)"),"#REF!")</f>
        <v>#REF!</v>
      </c>
      <c r="E584" s="2" t="str">
        <f>IFERROR(__xludf.DUMMYFUNCTION("IMPORTRANGE(""https://docs.google.com/spreadsheets/d/""&amp;$A584&amp;""/edit#gid=156619080"",E$3)"),"#REF!")</f>
        <v>#REF!</v>
      </c>
      <c r="F584" s="2" t="str">
        <f>IFERROR(__xludf.DUMMYFUNCTION("IMPORTRANGE(""https://docs.google.com/spreadsheets/d/""&amp;$A584&amp;""/edit#gid=156619080"",F$3)"),"#REF!")</f>
        <v>#REF!</v>
      </c>
      <c r="G584" s="2" t="str">
        <f>IFERROR(__xludf.DUMMYFUNCTION("IMPORTRANGE(""https://docs.google.com/spreadsheets/d/""&amp;$A584&amp;""/edit#gid=156619080"",G$3)"),"#REF!")</f>
        <v>#REF!</v>
      </c>
      <c r="H584" s="2" t="str">
        <f>IFERROR(__xludf.DUMMYFUNCTION("IMPORTRANGE(""https://docs.google.com/spreadsheets/d/""&amp;$A584&amp;""/edit#gid=156619080"",H$3)"),"#REF!")</f>
        <v>#REF!</v>
      </c>
      <c r="I584" s="2" t="str">
        <f>IFERROR(__xludf.DUMMYFUNCTION("IMPORTRANGE(""https://docs.google.com/spreadsheets/d/""&amp;$A584&amp;""/edit#gid=156619080"",I$3)"),"#REF!")</f>
        <v>#REF!</v>
      </c>
      <c r="J584" s="2" t="str">
        <f>IFERROR(__xludf.DUMMYFUNCTION("IMPORTRANGE(""https://docs.google.com/spreadsheets/d/""&amp;$A584&amp;""/edit#gid=156619080"",J$3)"),"#REF!")</f>
        <v>#REF!</v>
      </c>
      <c r="K584" s="2" t="str">
        <f>IFERROR(__xludf.DUMMYFUNCTION("IMPORTRANGE(""https://docs.google.com/spreadsheets/d/""&amp;$A584&amp;""/edit#gid=156619080"",K$3)"),"#REF!")</f>
        <v>#REF!</v>
      </c>
      <c r="L584" s="2" t="str">
        <f>IFERROR(__xludf.DUMMYFUNCTION("IMPORTRANGE(""https://docs.google.com/spreadsheets/d/""&amp;$A584&amp;""/edit#gid=156619080"",L$3)"),"#REF!")</f>
        <v>#REF!</v>
      </c>
      <c r="M584" s="2" t="str">
        <f>IFERROR(__xludf.DUMMYFUNCTION("IMPORTRANGE(""https://docs.google.com/spreadsheets/d/""&amp;$A584&amp;""/edit#gid=156619080"",M$3)"),"#REF!")</f>
        <v>#REF!</v>
      </c>
      <c r="N584" s="2" t="str">
        <f>IFERROR(__xludf.DUMMYFUNCTION("IMPORTRANGE(""https://docs.google.com/spreadsheets/d/""&amp;$A584&amp;""/edit#gid=156619080"",N$3)"),"#REF!")</f>
        <v>#REF!</v>
      </c>
      <c r="O584" s="2" t="str">
        <f>IFERROR(__xludf.DUMMYFUNCTION("IMPORTRANGE(""https://docs.google.com/spreadsheets/d/""&amp;$A584&amp;""/edit#gid=156619080"",O$3)"),"#REF!")</f>
        <v>#REF!</v>
      </c>
      <c r="P584" s="2" t="str">
        <f>IFERROR(__xludf.DUMMYFUNCTION("IMPORTRANGE(""https://docs.google.com/spreadsheets/d/""&amp;$A584&amp;""/edit#gid=156619080"",P$3)"),"#REF!")</f>
        <v>#REF!</v>
      </c>
      <c r="Q584" s="2" t="str">
        <f>IFERROR(__xludf.DUMMYFUNCTION("IMPORTRANGE(""https://docs.google.com/spreadsheets/d/""&amp;$A584&amp;""/edit#gid=156619080"",Q$3)"),"#REF!")</f>
        <v>#REF!</v>
      </c>
      <c r="R584" s="2" t="str">
        <f>IFERROR(__xludf.DUMMYFUNCTION("IMPORTRANGE(""https://docs.google.com/spreadsheets/d/""&amp;$A584&amp;""/edit#gid=156619080"",R$3)"),"#REF!")</f>
        <v>#REF!</v>
      </c>
      <c r="S584" s="2" t="str">
        <f>IFERROR(__xludf.DUMMYFUNCTION("IMPORTRANGE(""https://docs.google.com/spreadsheets/d/""&amp;$A584&amp;""/edit#gid=156619080"",S$3)"),"#REF!")</f>
        <v>#REF!</v>
      </c>
      <c r="T584" s="2" t="str">
        <f>IFERROR(__xludf.DUMMYFUNCTION("IMPORTRANGE(""https://docs.google.com/spreadsheets/d/""&amp;$A584&amp;""/edit#gid=156619080"",T$3)"),"#REF!")</f>
        <v>#REF!</v>
      </c>
      <c r="U584" s="2" t="str">
        <f>IFERROR(__xludf.DUMMYFUNCTION("IMPORTRANGE(""https://docs.google.com/spreadsheets/d/""&amp;$A584&amp;""/edit#gid=156619080"",U$3)"),"#REF!")</f>
        <v>#REF!</v>
      </c>
      <c r="V584" s="2" t="str">
        <f>IFERROR(__xludf.DUMMYFUNCTION("IMPORTRANGE(""https://docs.google.com/spreadsheets/d/""&amp;$A584&amp;""/edit#gid=156619080"",V$3)"),"#REF!")</f>
        <v>#REF!</v>
      </c>
      <c r="W584" s="2" t="str">
        <f>IFERROR(__xludf.DUMMYFUNCTION("IMPORTRANGE(""https://docs.google.com/spreadsheets/d/""&amp;$A584&amp;""/edit#gid=156619080"",W$3)"),"#REF!")</f>
        <v>#REF!</v>
      </c>
      <c r="X584" s="2" t="str">
        <f>IFERROR(__xludf.DUMMYFUNCTION("IMPORTRANGE(""https://docs.google.com/spreadsheets/d/""&amp;$A584&amp;""/edit#gid=156619080"",X$3)"),"#REF!")</f>
        <v>#REF!</v>
      </c>
      <c r="Y584" s="2" t="str">
        <f>IFERROR(__xludf.DUMMYFUNCTION("IMPORTRANGE(""https://docs.google.com/spreadsheets/d/""&amp;$A584&amp;""/edit#gid=156619080"",Y$3)"),"#REF!")</f>
        <v>#REF!</v>
      </c>
      <c r="Z584" s="2" t="str">
        <f>IFERROR(__xludf.DUMMYFUNCTION("IMPORTRANGE(""https://docs.google.com/spreadsheets/d/""&amp;$A584&amp;""/edit#gid=156619080"",Z$3)"),"#REF!")</f>
        <v>#REF!</v>
      </c>
      <c r="AA584" s="2" t="str">
        <f>IFERROR(__xludf.DUMMYFUNCTION("IMPORTRANGE(""https://docs.google.com/spreadsheets/d/""&amp;$A584&amp;""/edit#gid=156619080"",AA$3)"),"#REF!")</f>
        <v>#REF!</v>
      </c>
      <c r="AB584" s="2" t="str">
        <f>IFERROR(__xludf.DUMMYFUNCTION("IMPORTRANGE(""https://docs.google.com/spreadsheets/d/""&amp;$A584&amp;""/edit#gid=156619080"",AB$3)"),"#REF!")</f>
        <v>#REF!</v>
      </c>
      <c r="AC584" s="2" t="str">
        <f>IFERROR(__xludf.DUMMYFUNCTION("IMPORTRANGE(""https://docs.google.com/spreadsheets/d/""&amp;$A584&amp;""/edit#gid=156619080"",AC$3)"),"#REF!")</f>
        <v>#REF!</v>
      </c>
      <c r="AD584" s="2" t="str">
        <f>IFERROR(__xludf.DUMMYFUNCTION("IMPORTRANGE(""https://docs.google.com/spreadsheets/d/""&amp;$A584&amp;""/edit#gid=156619080"",AD$3)"),"#REF!")</f>
        <v>#REF!</v>
      </c>
      <c r="AE584" s="2" t="str">
        <f>IFERROR(__xludf.DUMMYFUNCTION("IMPORTRANGE(""https://docs.google.com/spreadsheets/d/""&amp;$A584&amp;""/edit#gid=156619080"",AE$3)"),"#REF!")</f>
        <v>#REF!</v>
      </c>
      <c r="AF584" s="2" t="str">
        <f>IFERROR(__xludf.DUMMYFUNCTION("IMPORTRANGE(""https://docs.google.com/spreadsheets/d/""&amp;$A584&amp;""/edit#gid=156619080"",AF$3)"),"#REF!")</f>
        <v>#REF!</v>
      </c>
      <c r="AG584" s="2" t="str">
        <f>IFERROR(__xludf.DUMMYFUNCTION("IMPORTRANGE(""https://docs.google.com/spreadsheets/d/""&amp;$A584&amp;""/edit#gid=156619080"",AG$3)"),"#REF!")</f>
        <v>#REF!</v>
      </c>
      <c r="AH584" s="2" t="str">
        <f>IFERROR(__xludf.DUMMYFUNCTION("IMPORTRANGE(""https://docs.google.com/spreadsheets/d/""&amp;$A584&amp;""/edit#gid=156619080"",AH$3)"),"#REF!")</f>
        <v>#REF!</v>
      </c>
      <c r="AI584" s="2" t="str">
        <f>IFERROR(__xludf.DUMMYFUNCTION("IMPORTRANGE(""https://docs.google.com/spreadsheets/d/""&amp;$A584&amp;""/edit#gid=156619080"",AI$3)"),"#REF!")</f>
        <v>#REF!</v>
      </c>
      <c r="AJ584" s="2" t="str">
        <f>IFERROR(__xludf.DUMMYFUNCTION("IMPORTRANGE(""https://docs.google.com/spreadsheets/d/""&amp;$A584&amp;""/edit#gid=156619080"",AJ$3)"),"#REF!")</f>
        <v>#REF!</v>
      </c>
      <c r="AK584" s="2" t="str">
        <f>IFERROR(__xludf.DUMMYFUNCTION("IMPORTRANGE(""https://docs.google.com/spreadsheets/d/""&amp;$A584&amp;""/edit#gid=156619080"",AK$3)"),"#REF!")</f>
        <v>#REF!</v>
      </c>
      <c r="AL584" s="2" t="str">
        <f>IFERROR(__xludf.DUMMYFUNCTION("IMPORTRANGE(""https://docs.google.com/spreadsheets/d/""&amp;$A584&amp;""/edit#gid=156619080"",AL$3)"),"#REF!")</f>
        <v>#REF!</v>
      </c>
      <c r="AM584" s="2" t="str">
        <f>IFERROR(__xludf.DUMMYFUNCTION("IMPORTRANGE(""https://docs.google.com/spreadsheets/d/""&amp;$A584&amp;""/edit#gid=156619080"",AM$3)"),"#REF!")</f>
        <v>#REF!</v>
      </c>
      <c r="AN584" s="2" t="str">
        <f>IFERROR(__xludf.DUMMYFUNCTION("IMPORTRANGE(""https://docs.google.com/spreadsheets/d/""&amp;$A584&amp;""/edit#gid=156619080"",AN$3)"),"#REF!")</f>
        <v>#REF!</v>
      </c>
      <c r="AO584" s="2" t="str">
        <f>IFERROR(__xludf.DUMMYFUNCTION("IMPORTRANGE(""https://docs.google.com/spreadsheets/d/""&amp;$A584&amp;""/edit#gid=156619080"",AO$3)"),"#REF!")</f>
        <v>#REF!</v>
      </c>
      <c r="AP584" s="2" t="str">
        <f>IFERROR(__xludf.DUMMYFUNCTION("IMPORTRANGE(""https://docs.google.com/spreadsheets/d/""&amp;$A584&amp;""/edit#gid=156619080"",AP$3)"),"#REF!")</f>
        <v>#REF!</v>
      </c>
      <c r="AQ584" s="2" t="str">
        <f>IFERROR(__xludf.DUMMYFUNCTION("IMPORTRANGE(""https://docs.google.com/spreadsheets/d/""&amp;$A584&amp;""/edit#gid=156619080"",AQ$3)"),"#REF!")</f>
        <v>#REF!</v>
      </c>
      <c r="AR584" s="2" t="str">
        <f>IFERROR(__xludf.DUMMYFUNCTION("IMPORTRANGE(""https://docs.google.com/spreadsheets/d/""&amp;$A584&amp;""/edit#gid=156619080"",AR$3)"),"#REF!")</f>
        <v>#REF!</v>
      </c>
      <c r="AS584" s="19" t="str">
        <f>IFERROR(__xludf.DUMMYFUNCTION("IMPORTRANGE(""https://docs.google.com/spreadsheets/d/""&amp;$A584&amp;""/edit#gid=156619080"",AS$3)"),"#REF!")</f>
        <v>#REF!</v>
      </c>
      <c r="AT584" s="2" t="str">
        <f>IFERROR(__xludf.DUMMYFUNCTION("IMPORTRANGE(""https://docs.google.com/spreadsheets/d/""&amp;$A584&amp;""/edit#gid=156619080"",AT$3)"),"#REF!")</f>
        <v>#REF!</v>
      </c>
      <c r="AU584" s="3" t="str">
        <f>IFERROR(__xludf.DUMMYFUNCTION("IMPORTRANGE(""https://docs.google.com/spreadsheets/d/""&amp;$A584&amp;""/edit#gid=156619080"",AU$3)"),"#REF!")</f>
        <v>#REF!</v>
      </c>
      <c r="AV584" s="2" t="str">
        <f>IFERROR(__xludf.DUMMYFUNCTION("IMPORTRANGE(""https://docs.google.com/spreadsheets/d/""&amp;$A584&amp;""/edit#gid=156619080"",AV$3)"),"#REF!")</f>
        <v>#REF!</v>
      </c>
      <c r="AW584" s="19" t="str">
        <f>IFERROR(__xludf.DUMMYFUNCTION("IMPORTRANGE(""https://docs.google.com/spreadsheets/d/""&amp;$A584&amp;""/edit#gid=156619080"",AW$3)"),"#REF!")</f>
        <v>#REF!</v>
      </c>
      <c r="AX584" s="2" t="str">
        <f>IFERROR(__xludf.DUMMYFUNCTION("IMPORTRANGE(""https://docs.google.com/spreadsheets/d/""&amp;$A584&amp;""/edit#gid=156619080"",AX$3)"),"#REF!")</f>
        <v>#REF!</v>
      </c>
      <c r="AY584" s="2" t="str">
        <f>IFERROR(__xludf.DUMMYFUNCTION("IMPORTRANGE(""https://docs.google.com/spreadsheets/d/""&amp;$A584&amp;""/edit#gid=156619080"",AY$3)"),"#REF!")</f>
        <v>#REF!</v>
      </c>
      <c r="AZ584" s="2" t="str">
        <f>IFERROR(__xludf.DUMMYFUNCTION("IMPORTRANGE(""https://docs.google.com/spreadsheets/d/""&amp;$A584&amp;""/edit#gid=156619080"",AZ$3)"),"#REF!")</f>
        <v>#REF!</v>
      </c>
      <c r="BA584" s="2" t="str">
        <f>IFERROR(__xludf.DUMMYFUNCTION("IMPORTRANGE(""https://docs.google.com/spreadsheets/d/""&amp;$A584&amp;""/edit#gid=156619080"",BA$3)"),"#REF!")</f>
        <v>#REF!</v>
      </c>
      <c r="BB584" s="2" t="str">
        <f>IFERROR(__xludf.DUMMYFUNCTION("IMPORTRANGE(""https://docs.google.com/spreadsheets/d/""&amp;$A584&amp;""/edit#gid=156619080"",BB$3)"),"#REF!")</f>
        <v>#REF!</v>
      </c>
      <c r="BC584" s="2" t="str">
        <f>IFERROR(__xludf.DUMMYFUNCTION("IMPORTRANGE(""https://docs.google.com/spreadsheets/d/""&amp;$A584&amp;""/edit#gid=156619080"",BC$3)"),"#REF!")</f>
        <v>#REF!</v>
      </c>
    </row>
    <row r="585" ht="51.0" customHeight="1">
      <c r="A585" s="7" t="str">
        <f t="shared" si="5"/>
        <v/>
      </c>
      <c r="C585" s="2" t="str">
        <f>IFERROR(__xludf.DUMMYFUNCTION("IMPORTRANGE(""https://docs.google.com/spreadsheets/d/""&amp;$A585&amp;""/edit#gid=156619080"",C$3)"),"#REF!")</f>
        <v>#REF!</v>
      </c>
      <c r="D585" s="2" t="str">
        <f>IFERROR(__xludf.DUMMYFUNCTION("IMPORTRANGE(""https://docs.google.com/spreadsheets/d/""&amp;$A585&amp;""/edit#gid=156619080"",D$3)"),"#REF!")</f>
        <v>#REF!</v>
      </c>
      <c r="E585" s="2" t="str">
        <f>IFERROR(__xludf.DUMMYFUNCTION("IMPORTRANGE(""https://docs.google.com/spreadsheets/d/""&amp;$A585&amp;""/edit#gid=156619080"",E$3)"),"#REF!")</f>
        <v>#REF!</v>
      </c>
      <c r="F585" s="2" t="str">
        <f>IFERROR(__xludf.DUMMYFUNCTION("IMPORTRANGE(""https://docs.google.com/spreadsheets/d/""&amp;$A585&amp;""/edit#gid=156619080"",F$3)"),"#REF!")</f>
        <v>#REF!</v>
      </c>
      <c r="G585" s="2" t="str">
        <f>IFERROR(__xludf.DUMMYFUNCTION("IMPORTRANGE(""https://docs.google.com/spreadsheets/d/""&amp;$A585&amp;""/edit#gid=156619080"",G$3)"),"#REF!")</f>
        <v>#REF!</v>
      </c>
      <c r="H585" s="2" t="str">
        <f>IFERROR(__xludf.DUMMYFUNCTION("IMPORTRANGE(""https://docs.google.com/spreadsheets/d/""&amp;$A585&amp;""/edit#gid=156619080"",H$3)"),"#REF!")</f>
        <v>#REF!</v>
      </c>
      <c r="I585" s="2" t="str">
        <f>IFERROR(__xludf.DUMMYFUNCTION("IMPORTRANGE(""https://docs.google.com/spreadsheets/d/""&amp;$A585&amp;""/edit#gid=156619080"",I$3)"),"#REF!")</f>
        <v>#REF!</v>
      </c>
      <c r="J585" s="2" t="str">
        <f>IFERROR(__xludf.DUMMYFUNCTION("IMPORTRANGE(""https://docs.google.com/spreadsheets/d/""&amp;$A585&amp;""/edit#gid=156619080"",J$3)"),"#REF!")</f>
        <v>#REF!</v>
      </c>
      <c r="K585" s="2" t="str">
        <f>IFERROR(__xludf.DUMMYFUNCTION("IMPORTRANGE(""https://docs.google.com/spreadsheets/d/""&amp;$A585&amp;""/edit#gid=156619080"",K$3)"),"#REF!")</f>
        <v>#REF!</v>
      </c>
      <c r="L585" s="2" t="str">
        <f>IFERROR(__xludf.DUMMYFUNCTION("IMPORTRANGE(""https://docs.google.com/spreadsheets/d/""&amp;$A585&amp;""/edit#gid=156619080"",L$3)"),"#REF!")</f>
        <v>#REF!</v>
      </c>
      <c r="M585" s="2" t="str">
        <f>IFERROR(__xludf.DUMMYFUNCTION("IMPORTRANGE(""https://docs.google.com/spreadsheets/d/""&amp;$A585&amp;""/edit#gid=156619080"",M$3)"),"#REF!")</f>
        <v>#REF!</v>
      </c>
      <c r="N585" s="2" t="str">
        <f>IFERROR(__xludf.DUMMYFUNCTION("IMPORTRANGE(""https://docs.google.com/spreadsheets/d/""&amp;$A585&amp;""/edit#gid=156619080"",N$3)"),"#REF!")</f>
        <v>#REF!</v>
      </c>
      <c r="O585" s="2" t="str">
        <f>IFERROR(__xludf.DUMMYFUNCTION("IMPORTRANGE(""https://docs.google.com/spreadsheets/d/""&amp;$A585&amp;""/edit#gid=156619080"",O$3)"),"#REF!")</f>
        <v>#REF!</v>
      </c>
      <c r="P585" s="2" t="str">
        <f>IFERROR(__xludf.DUMMYFUNCTION("IMPORTRANGE(""https://docs.google.com/spreadsheets/d/""&amp;$A585&amp;""/edit#gid=156619080"",P$3)"),"#REF!")</f>
        <v>#REF!</v>
      </c>
      <c r="Q585" s="2" t="str">
        <f>IFERROR(__xludf.DUMMYFUNCTION("IMPORTRANGE(""https://docs.google.com/spreadsheets/d/""&amp;$A585&amp;""/edit#gid=156619080"",Q$3)"),"#REF!")</f>
        <v>#REF!</v>
      </c>
      <c r="R585" s="2" t="str">
        <f>IFERROR(__xludf.DUMMYFUNCTION("IMPORTRANGE(""https://docs.google.com/spreadsheets/d/""&amp;$A585&amp;""/edit#gid=156619080"",R$3)"),"#REF!")</f>
        <v>#REF!</v>
      </c>
      <c r="S585" s="2" t="str">
        <f>IFERROR(__xludf.DUMMYFUNCTION("IMPORTRANGE(""https://docs.google.com/spreadsheets/d/""&amp;$A585&amp;""/edit#gid=156619080"",S$3)"),"#REF!")</f>
        <v>#REF!</v>
      </c>
      <c r="T585" s="2" t="str">
        <f>IFERROR(__xludf.DUMMYFUNCTION("IMPORTRANGE(""https://docs.google.com/spreadsheets/d/""&amp;$A585&amp;""/edit#gid=156619080"",T$3)"),"#REF!")</f>
        <v>#REF!</v>
      </c>
      <c r="U585" s="2" t="str">
        <f>IFERROR(__xludf.DUMMYFUNCTION("IMPORTRANGE(""https://docs.google.com/spreadsheets/d/""&amp;$A585&amp;""/edit#gid=156619080"",U$3)"),"#REF!")</f>
        <v>#REF!</v>
      </c>
      <c r="V585" s="2" t="str">
        <f>IFERROR(__xludf.DUMMYFUNCTION("IMPORTRANGE(""https://docs.google.com/spreadsheets/d/""&amp;$A585&amp;""/edit#gid=156619080"",V$3)"),"#REF!")</f>
        <v>#REF!</v>
      </c>
      <c r="W585" s="2" t="str">
        <f>IFERROR(__xludf.DUMMYFUNCTION("IMPORTRANGE(""https://docs.google.com/spreadsheets/d/""&amp;$A585&amp;""/edit#gid=156619080"",W$3)"),"#REF!")</f>
        <v>#REF!</v>
      </c>
      <c r="X585" s="2" t="str">
        <f>IFERROR(__xludf.DUMMYFUNCTION("IMPORTRANGE(""https://docs.google.com/spreadsheets/d/""&amp;$A585&amp;""/edit#gid=156619080"",X$3)"),"#REF!")</f>
        <v>#REF!</v>
      </c>
      <c r="Y585" s="2" t="str">
        <f>IFERROR(__xludf.DUMMYFUNCTION("IMPORTRANGE(""https://docs.google.com/spreadsheets/d/""&amp;$A585&amp;""/edit#gid=156619080"",Y$3)"),"#REF!")</f>
        <v>#REF!</v>
      </c>
      <c r="Z585" s="2" t="str">
        <f>IFERROR(__xludf.DUMMYFUNCTION("IMPORTRANGE(""https://docs.google.com/spreadsheets/d/""&amp;$A585&amp;""/edit#gid=156619080"",Z$3)"),"#REF!")</f>
        <v>#REF!</v>
      </c>
      <c r="AA585" s="2" t="str">
        <f>IFERROR(__xludf.DUMMYFUNCTION("IMPORTRANGE(""https://docs.google.com/spreadsheets/d/""&amp;$A585&amp;""/edit#gid=156619080"",AA$3)"),"#REF!")</f>
        <v>#REF!</v>
      </c>
      <c r="AB585" s="2" t="str">
        <f>IFERROR(__xludf.DUMMYFUNCTION("IMPORTRANGE(""https://docs.google.com/spreadsheets/d/""&amp;$A585&amp;""/edit#gid=156619080"",AB$3)"),"#REF!")</f>
        <v>#REF!</v>
      </c>
      <c r="AC585" s="2" t="str">
        <f>IFERROR(__xludf.DUMMYFUNCTION("IMPORTRANGE(""https://docs.google.com/spreadsheets/d/""&amp;$A585&amp;""/edit#gid=156619080"",AC$3)"),"#REF!")</f>
        <v>#REF!</v>
      </c>
      <c r="AD585" s="2" t="str">
        <f>IFERROR(__xludf.DUMMYFUNCTION("IMPORTRANGE(""https://docs.google.com/spreadsheets/d/""&amp;$A585&amp;""/edit#gid=156619080"",AD$3)"),"#REF!")</f>
        <v>#REF!</v>
      </c>
      <c r="AE585" s="2" t="str">
        <f>IFERROR(__xludf.DUMMYFUNCTION("IMPORTRANGE(""https://docs.google.com/spreadsheets/d/""&amp;$A585&amp;""/edit#gid=156619080"",AE$3)"),"#REF!")</f>
        <v>#REF!</v>
      </c>
      <c r="AF585" s="2" t="str">
        <f>IFERROR(__xludf.DUMMYFUNCTION("IMPORTRANGE(""https://docs.google.com/spreadsheets/d/""&amp;$A585&amp;""/edit#gid=156619080"",AF$3)"),"#REF!")</f>
        <v>#REF!</v>
      </c>
      <c r="AG585" s="2" t="str">
        <f>IFERROR(__xludf.DUMMYFUNCTION("IMPORTRANGE(""https://docs.google.com/spreadsheets/d/""&amp;$A585&amp;""/edit#gid=156619080"",AG$3)"),"#REF!")</f>
        <v>#REF!</v>
      </c>
      <c r="AH585" s="2" t="str">
        <f>IFERROR(__xludf.DUMMYFUNCTION("IMPORTRANGE(""https://docs.google.com/spreadsheets/d/""&amp;$A585&amp;""/edit#gid=156619080"",AH$3)"),"#REF!")</f>
        <v>#REF!</v>
      </c>
      <c r="AI585" s="2" t="str">
        <f>IFERROR(__xludf.DUMMYFUNCTION("IMPORTRANGE(""https://docs.google.com/spreadsheets/d/""&amp;$A585&amp;""/edit#gid=156619080"",AI$3)"),"#REF!")</f>
        <v>#REF!</v>
      </c>
      <c r="AJ585" s="2" t="str">
        <f>IFERROR(__xludf.DUMMYFUNCTION("IMPORTRANGE(""https://docs.google.com/spreadsheets/d/""&amp;$A585&amp;""/edit#gid=156619080"",AJ$3)"),"#REF!")</f>
        <v>#REF!</v>
      </c>
      <c r="AK585" s="2" t="str">
        <f>IFERROR(__xludf.DUMMYFUNCTION("IMPORTRANGE(""https://docs.google.com/spreadsheets/d/""&amp;$A585&amp;""/edit#gid=156619080"",AK$3)"),"#REF!")</f>
        <v>#REF!</v>
      </c>
      <c r="AL585" s="2" t="str">
        <f>IFERROR(__xludf.DUMMYFUNCTION("IMPORTRANGE(""https://docs.google.com/spreadsheets/d/""&amp;$A585&amp;""/edit#gid=156619080"",AL$3)"),"#REF!")</f>
        <v>#REF!</v>
      </c>
      <c r="AM585" s="2" t="str">
        <f>IFERROR(__xludf.DUMMYFUNCTION("IMPORTRANGE(""https://docs.google.com/spreadsheets/d/""&amp;$A585&amp;""/edit#gid=156619080"",AM$3)"),"#REF!")</f>
        <v>#REF!</v>
      </c>
      <c r="AN585" s="2" t="str">
        <f>IFERROR(__xludf.DUMMYFUNCTION("IMPORTRANGE(""https://docs.google.com/spreadsheets/d/""&amp;$A585&amp;""/edit#gid=156619080"",AN$3)"),"#REF!")</f>
        <v>#REF!</v>
      </c>
      <c r="AO585" s="2" t="str">
        <f>IFERROR(__xludf.DUMMYFUNCTION("IMPORTRANGE(""https://docs.google.com/spreadsheets/d/""&amp;$A585&amp;""/edit#gid=156619080"",AO$3)"),"#REF!")</f>
        <v>#REF!</v>
      </c>
      <c r="AP585" s="2" t="str">
        <f>IFERROR(__xludf.DUMMYFUNCTION("IMPORTRANGE(""https://docs.google.com/spreadsheets/d/""&amp;$A585&amp;""/edit#gid=156619080"",AP$3)"),"#REF!")</f>
        <v>#REF!</v>
      </c>
      <c r="AQ585" s="2" t="str">
        <f>IFERROR(__xludf.DUMMYFUNCTION("IMPORTRANGE(""https://docs.google.com/spreadsheets/d/""&amp;$A585&amp;""/edit#gid=156619080"",AQ$3)"),"#REF!")</f>
        <v>#REF!</v>
      </c>
      <c r="AR585" s="2" t="str">
        <f>IFERROR(__xludf.DUMMYFUNCTION("IMPORTRANGE(""https://docs.google.com/spreadsheets/d/""&amp;$A585&amp;""/edit#gid=156619080"",AR$3)"),"#REF!")</f>
        <v>#REF!</v>
      </c>
      <c r="AS585" s="19" t="str">
        <f>IFERROR(__xludf.DUMMYFUNCTION("IMPORTRANGE(""https://docs.google.com/spreadsheets/d/""&amp;$A585&amp;""/edit#gid=156619080"",AS$3)"),"#REF!")</f>
        <v>#REF!</v>
      </c>
      <c r="AT585" s="2" t="str">
        <f>IFERROR(__xludf.DUMMYFUNCTION("IMPORTRANGE(""https://docs.google.com/spreadsheets/d/""&amp;$A585&amp;""/edit#gid=156619080"",AT$3)"),"#REF!")</f>
        <v>#REF!</v>
      </c>
      <c r="AU585" s="3" t="str">
        <f>IFERROR(__xludf.DUMMYFUNCTION("IMPORTRANGE(""https://docs.google.com/spreadsheets/d/""&amp;$A585&amp;""/edit#gid=156619080"",AU$3)"),"#REF!")</f>
        <v>#REF!</v>
      </c>
      <c r="AV585" s="2" t="str">
        <f>IFERROR(__xludf.DUMMYFUNCTION("IMPORTRANGE(""https://docs.google.com/spreadsheets/d/""&amp;$A585&amp;""/edit#gid=156619080"",AV$3)"),"#REF!")</f>
        <v>#REF!</v>
      </c>
      <c r="AW585" s="19" t="str">
        <f>IFERROR(__xludf.DUMMYFUNCTION("IMPORTRANGE(""https://docs.google.com/spreadsheets/d/""&amp;$A585&amp;""/edit#gid=156619080"",AW$3)"),"#REF!")</f>
        <v>#REF!</v>
      </c>
      <c r="AX585" s="2" t="str">
        <f>IFERROR(__xludf.DUMMYFUNCTION("IMPORTRANGE(""https://docs.google.com/spreadsheets/d/""&amp;$A585&amp;""/edit#gid=156619080"",AX$3)"),"#REF!")</f>
        <v>#REF!</v>
      </c>
      <c r="AY585" s="2" t="str">
        <f>IFERROR(__xludf.DUMMYFUNCTION("IMPORTRANGE(""https://docs.google.com/spreadsheets/d/""&amp;$A585&amp;""/edit#gid=156619080"",AY$3)"),"#REF!")</f>
        <v>#REF!</v>
      </c>
      <c r="AZ585" s="2" t="str">
        <f>IFERROR(__xludf.DUMMYFUNCTION("IMPORTRANGE(""https://docs.google.com/spreadsheets/d/""&amp;$A585&amp;""/edit#gid=156619080"",AZ$3)"),"#REF!")</f>
        <v>#REF!</v>
      </c>
      <c r="BA585" s="2" t="str">
        <f>IFERROR(__xludf.DUMMYFUNCTION("IMPORTRANGE(""https://docs.google.com/spreadsheets/d/""&amp;$A585&amp;""/edit#gid=156619080"",BA$3)"),"#REF!")</f>
        <v>#REF!</v>
      </c>
      <c r="BB585" s="2" t="str">
        <f>IFERROR(__xludf.DUMMYFUNCTION("IMPORTRANGE(""https://docs.google.com/spreadsheets/d/""&amp;$A585&amp;""/edit#gid=156619080"",BB$3)"),"#REF!")</f>
        <v>#REF!</v>
      </c>
      <c r="BC585" s="2" t="str">
        <f>IFERROR(__xludf.DUMMYFUNCTION("IMPORTRANGE(""https://docs.google.com/spreadsheets/d/""&amp;$A585&amp;""/edit#gid=156619080"",BC$3)"),"#REF!")</f>
        <v>#REF!</v>
      </c>
    </row>
    <row r="586" ht="51.0" customHeight="1">
      <c r="A586" s="7" t="str">
        <f t="shared" si="5"/>
        <v/>
      </c>
      <c r="C586" s="2" t="str">
        <f>IFERROR(__xludf.DUMMYFUNCTION("IMPORTRANGE(""https://docs.google.com/spreadsheets/d/""&amp;$A586&amp;""/edit#gid=156619080"",C$3)"),"#REF!")</f>
        <v>#REF!</v>
      </c>
      <c r="D586" s="2" t="str">
        <f>IFERROR(__xludf.DUMMYFUNCTION("IMPORTRANGE(""https://docs.google.com/spreadsheets/d/""&amp;$A586&amp;""/edit#gid=156619080"",D$3)"),"#REF!")</f>
        <v>#REF!</v>
      </c>
      <c r="E586" s="2" t="str">
        <f>IFERROR(__xludf.DUMMYFUNCTION("IMPORTRANGE(""https://docs.google.com/spreadsheets/d/""&amp;$A586&amp;""/edit#gid=156619080"",E$3)"),"#REF!")</f>
        <v>#REF!</v>
      </c>
      <c r="F586" s="2" t="str">
        <f>IFERROR(__xludf.DUMMYFUNCTION("IMPORTRANGE(""https://docs.google.com/spreadsheets/d/""&amp;$A586&amp;""/edit#gid=156619080"",F$3)"),"#REF!")</f>
        <v>#REF!</v>
      </c>
      <c r="G586" s="2" t="str">
        <f>IFERROR(__xludf.DUMMYFUNCTION("IMPORTRANGE(""https://docs.google.com/spreadsheets/d/""&amp;$A586&amp;""/edit#gid=156619080"",G$3)"),"#REF!")</f>
        <v>#REF!</v>
      </c>
      <c r="H586" s="2" t="str">
        <f>IFERROR(__xludf.DUMMYFUNCTION("IMPORTRANGE(""https://docs.google.com/spreadsheets/d/""&amp;$A586&amp;""/edit#gid=156619080"",H$3)"),"#REF!")</f>
        <v>#REF!</v>
      </c>
      <c r="I586" s="2" t="str">
        <f>IFERROR(__xludf.DUMMYFUNCTION("IMPORTRANGE(""https://docs.google.com/spreadsheets/d/""&amp;$A586&amp;""/edit#gid=156619080"",I$3)"),"#REF!")</f>
        <v>#REF!</v>
      </c>
      <c r="J586" s="2" t="str">
        <f>IFERROR(__xludf.DUMMYFUNCTION("IMPORTRANGE(""https://docs.google.com/spreadsheets/d/""&amp;$A586&amp;""/edit#gid=156619080"",J$3)"),"#REF!")</f>
        <v>#REF!</v>
      </c>
      <c r="K586" s="2" t="str">
        <f>IFERROR(__xludf.DUMMYFUNCTION("IMPORTRANGE(""https://docs.google.com/spreadsheets/d/""&amp;$A586&amp;""/edit#gid=156619080"",K$3)"),"#REF!")</f>
        <v>#REF!</v>
      </c>
      <c r="L586" s="2" t="str">
        <f>IFERROR(__xludf.DUMMYFUNCTION("IMPORTRANGE(""https://docs.google.com/spreadsheets/d/""&amp;$A586&amp;""/edit#gid=156619080"",L$3)"),"#REF!")</f>
        <v>#REF!</v>
      </c>
      <c r="M586" s="2" t="str">
        <f>IFERROR(__xludf.DUMMYFUNCTION("IMPORTRANGE(""https://docs.google.com/spreadsheets/d/""&amp;$A586&amp;""/edit#gid=156619080"",M$3)"),"#REF!")</f>
        <v>#REF!</v>
      </c>
      <c r="N586" s="2" t="str">
        <f>IFERROR(__xludf.DUMMYFUNCTION("IMPORTRANGE(""https://docs.google.com/spreadsheets/d/""&amp;$A586&amp;""/edit#gid=156619080"",N$3)"),"#REF!")</f>
        <v>#REF!</v>
      </c>
      <c r="O586" s="2" t="str">
        <f>IFERROR(__xludf.DUMMYFUNCTION("IMPORTRANGE(""https://docs.google.com/spreadsheets/d/""&amp;$A586&amp;""/edit#gid=156619080"",O$3)"),"#REF!")</f>
        <v>#REF!</v>
      </c>
      <c r="P586" s="2" t="str">
        <f>IFERROR(__xludf.DUMMYFUNCTION("IMPORTRANGE(""https://docs.google.com/spreadsheets/d/""&amp;$A586&amp;""/edit#gid=156619080"",P$3)"),"#REF!")</f>
        <v>#REF!</v>
      </c>
      <c r="Q586" s="2" t="str">
        <f>IFERROR(__xludf.DUMMYFUNCTION("IMPORTRANGE(""https://docs.google.com/spreadsheets/d/""&amp;$A586&amp;""/edit#gid=156619080"",Q$3)"),"#REF!")</f>
        <v>#REF!</v>
      </c>
      <c r="R586" s="2" t="str">
        <f>IFERROR(__xludf.DUMMYFUNCTION("IMPORTRANGE(""https://docs.google.com/spreadsheets/d/""&amp;$A586&amp;""/edit#gid=156619080"",R$3)"),"#REF!")</f>
        <v>#REF!</v>
      </c>
      <c r="S586" s="2" t="str">
        <f>IFERROR(__xludf.DUMMYFUNCTION("IMPORTRANGE(""https://docs.google.com/spreadsheets/d/""&amp;$A586&amp;""/edit#gid=156619080"",S$3)"),"#REF!")</f>
        <v>#REF!</v>
      </c>
      <c r="T586" s="2" t="str">
        <f>IFERROR(__xludf.DUMMYFUNCTION("IMPORTRANGE(""https://docs.google.com/spreadsheets/d/""&amp;$A586&amp;""/edit#gid=156619080"",T$3)"),"#REF!")</f>
        <v>#REF!</v>
      </c>
      <c r="U586" s="2" t="str">
        <f>IFERROR(__xludf.DUMMYFUNCTION("IMPORTRANGE(""https://docs.google.com/spreadsheets/d/""&amp;$A586&amp;""/edit#gid=156619080"",U$3)"),"#REF!")</f>
        <v>#REF!</v>
      </c>
      <c r="V586" s="2" t="str">
        <f>IFERROR(__xludf.DUMMYFUNCTION("IMPORTRANGE(""https://docs.google.com/spreadsheets/d/""&amp;$A586&amp;""/edit#gid=156619080"",V$3)"),"#REF!")</f>
        <v>#REF!</v>
      </c>
      <c r="W586" s="2" t="str">
        <f>IFERROR(__xludf.DUMMYFUNCTION("IMPORTRANGE(""https://docs.google.com/spreadsheets/d/""&amp;$A586&amp;""/edit#gid=156619080"",W$3)"),"#REF!")</f>
        <v>#REF!</v>
      </c>
      <c r="X586" s="2" t="str">
        <f>IFERROR(__xludf.DUMMYFUNCTION("IMPORTRANGE(""https://docs.google.com/spreadsheets/d/""&amp;$A586&amp;""/edit#gid=156619080"",X$3)"),"#REF!")</f>
        <v>#REF!</v>
      </c>
      <c r="Y586" s="2" t="str">
        <f>IFERROR(__xludf.DUMMYFUNCTION("IMPORTRANGE(""https://docs.google.com/spreadsheets/d/""&amp;$A586&amp;""/edit#gid=156619080"",Y$3)"),"#REF!")</f>
        <v>#REF!</v>
      </c>
      <c r="Z586" s="2" t="str">
        <f>IFERROR(__xludf.DUMMYFUNCTION("IMPORTRANGE(""https://docs.google.com/spreadsheets/d/""&amp;$A586&amp;""/edit#gid=156619080"",Z$3)"),"#REF!")</f>
        <v>#REF!</v>
      </c>
      <c r="AA586" s="2" t="str">
        <f>IFERROR(__xludf.DUMMYFUNCTION("IMPORTRANGE(""https://docs.google.com/spreadsheets/d/""&amp;$A586&amp;""/edit#gid=156619080"",AA$3)"),"#REF!")</f>
        <v>#REF!</v>
      </c>
      <c r="AB586" s="2" t="str">
        <f>IFERROR(__xludf.DUMMYFUNCTION("IMPORTRANGE(""https://docs.google.com/spreadsheets/d/""&amp;$A586&amp;""/edit#gid=156619080"",AB$3)"),"#REF!")</f>
        <v>#REF!</v>
      </c>
      <c r="AC586" s="2" t="str">
        <f>IFERROR(__xludf.DUMMYFUNCTION("IMPORTRANGE(""https://docs.google.com/spreadsheets/d/""&amp;$A586&amp;""/edit#gid=156619080"",AC$3)"),"#REF!")</f>
        <v>#REF!</v>
      </c>
      <c r="AD586" s="2" t="str">
        <f>IFERROR(__xludf.DUMMYFUNCTION("IMPORTRANGE(""https://docs.google.com/spreadsheets/d/""&amp;$A586&amp;""/edit#gid=156619080"",AD$3)"),"#REF!")</f>
        <v>#REF!</v>
      </c>
      <c r="AE586" s="2" t="str">
        <f>IFERROR(__xludf.DUMMYFUNCTION("IMPORTRANGE(""https://docs.google.com/spreadsheets/d/""&amp;$A586&amp;""/edit#gid=156619080"",AE$3)"),"#REF!")</f>
        <v>#REF!</v>
      </c>
      <c r="AF586" s="2" t="str">
        <f>IFERROR(__xludf.DUMMYFUNCTION("IMPORTRANGE(""https://docs.google.com/spreadsheets/d/""&amp;$A586&amp;""/edit#gid=156619080"",AF$3)"),"#REF!")</f>
        <v>#REF!</v>
      </c>
      <c r="AG586" s="2" t="str">
        <f>IFERROR(__xludf.DUMMYFUNCTION("IMPORTRANGE(""https://docs.google.com/spreadsheets/d/""&amp;$A586&amp;""/edit#gid=156619080"",AG$3)"),"#REF!")</f>
        <v>#REF!</v>
      </c>
      <c r="AH586" s="2" t="str">
        <f>IFERROR(__xludf.DUMMYFUNCTION("IMPORTRANGE(""https://docs.google.com/spreadsheets/d/""&amp;$A586&amp;""/edit#gid=156619080"",AH$3)"),"#REF!")</f>
        <v>#REF!</v>
      </c>
      <c r="AI586" s="2" t="str">
        <f>IFERROR(__xludf.DUMMYFUNCTION("IMPORTRANGE(""https://docs.google.com/spreadsheets/d/""&amp;$A586&amp;""/edit#gid=156619080"",AI$3)"),"#REF!")</f>
        <v>#REF!</v>
      </c>
      <c r="AJ586" s="2" t="str">
        <f>IFERROR(__xludf.DUMMYFUNCTION("IMPORTRANGE(""https://docs.google.com/spreadsheets/d/""&amp;$A586&amp;""/edit#gid=156619080"",AJ$3)"),"#REF!")</f>
        <v>#REF!</v>
      </c>
      <c r="AK586" s="2" t="str">
        <f>IFERROR(__xludf.DUMMYFUNCTION("IMPORTRANGE(""https://docs.google.com/spreadsheets/d/""&amp;$A586&amp;""/edit#gid=156619080"",AK$3)"),"#REF!")</f>
        <v>#REF!</v>
      </c>
      <c r="AL586" s="2" t="str">
        <f>IFERROR(__xludf.DUMMYFUNCTION("IMPORTRANGE(""https://docs.google.com/spreadsheets/d/""&amp;$A586&amp;""/edit#gid=156619080"",AL$3)"),"#REF!")</f>
        <v>#REF!</v>
      </c>
      <c r="AM586" s="2" t="str">
        <f>IFERROR(__xludf.DUMMYFUNCTION("IMPORTRANGE(""https://docs.google.com/spreadsheets/d/""&amp;$A586&amp;""/edit#gid=156619080"",AM$3)"),"#REF!")</f>
        <v>#REF!</v>
      </c>
      <c r="AN586" s="2" t="str">
        <f>IFERROR(__xludf.DUMMYFUNCTION("IMPORTRANGE(""https://docs.google.com/spreadsheets/d/""&amp;$A586&amp;""/edit#gid=156619080"",AN$3)"),"#REF!")</f>
        <v>#REF!</v>
      </c>
      <c r="AO586" s="2" t="str">
        <f>IFERROR(__xludf.DUMMYFUNCTION("IMPORTRANGE(""https://docs.google.com/spreadsheets/d/""&amp;$A586&amp;""/edit#gid=156619080"",AO$3)"),"#REF!")</f>
        <v>#REF!</v>
      </c>
      <c r="AP586" s="2" t="str">
        <f>IFERROR(__xludf.DUMMYFUNCTION("IMPORTRANGE(""https://docs.google.com/spreadsheets/d/""&amp;$A586&amp;""/edit#gid=156619080"",AP$3)"),"#REF!")</f>
        <v>#REF!</v>
      </c>
      <c r="AQ586" s="2" t="str">
        <f>IFERROR(__xludf.DUMMYFUNCTION("IMPORTRANGE(""https://docs.google.com/spreadsheets/d/""&amp;$A586&amp;""/edit#gid=156619080"",AQ$3)"),"#REF!")</f>
        <v>#REF!</v>
      </c>
      <c r="AR586" s="2" t="str">
        <f>IFERROR(__xludf.DUMMYFUNCTION("IMPORTRANGE(""https://docs.google.com/spreadsheets/d/""&amp;$A586&amp;""/edit#gid=156619080"",AR$3)"),"#REF!")</f>
        <v>#REF!</v>
      </c>
      <c r="AS586" s="19" t="str">
        <f>IFERROR(__xludf.DUMMYFUNCTION("IMPORTRANGE(""https://docs.google.com/spreadsheets/d/""&amp;$A586&amp;""/edit#gid=156619080"",AS$3)"),"#REF!")</f>
        <v>#REF!</v>
      </c>
      <c r="AT586" s="2" t="str">
        <f>IFERROR(__xludf.DUMMYFUNCTION("IMPORTRANGE(""https://docs.google.com/spreadsheets/d/""&amp;$A586&amp;""/edit#gid=156619080"",AT$3)"),"#REF!")</f>
        <v>#REF!</v>
      </c>
      <c r="AU586" s="3" t="str">
        <f>IFERROR(__xludf.DUMMYFUNCTION("IMPORTRANGE(""https://docs.google.com/spreadsheets/d/""&amp;$A586&amp;""/edit#gid=156619080"",AU$3)"),"#REF!")</f>
        <v>#REF!</v>
      </c>
      <c r="AV586" s="2" t="str">
        <f>IFERROR(__xludf.DUMMYFUNCTION("IMPORTRANGE(""https://docs.google.com/spreadsheets/d/""&amp;$A586&amp;""/edit#gid=156619080"",AV$3)"),"#REF!")</f>
        <v>#REF!</v>
      </c>
      <c r="AW586" s="19" t="str">
        <f>IFERROR(__xludf.DUMMYFUNCTION("IMPORTRANGE(""https://docs.google.com/spreadsheets/d/""&amp;$A586&amp;""/edit#gid=156619080"",AW$3)"),"#REF!")</f>
        <v>#REF!</v>
      </c>
      <c r="AX586" s="2" t="str">
        <f>IFERROR(__xludf.DUMMYFUNCTION("IMPORTRANGE(""https://docs.google.com/spreadsheets/d/""&amp;$A586&amp;""/edit#gid=156619080"",AX$3)"),"#REF!")</f>
        <v>#REF!</v>
      </c>
      <c r="AY586" s="2" t="str">
        <f>IFERROR(__xludf.DUMMYFUNCTION("IMPORTRANGE(""https://docs.google.com/spreadsheets/d/""&amp;$A586&amp;""/edit#gid=156619080"",AY$3)"),"#REF!")</f>
        <v>#REF!</v>
      </c>
      <c r="AZ586" s="2" t="str">
        <f>IFERROR(__xludf.DUMMYFUNCTION("IMPORTRANGE(""https://docs.google.com/spreadsheets/d/""&amp;$A586&amp;""/edit#gid=156619080"",AZ$3)"),"#REF!")</f>
        <v>#REF!</v>
      </c>
      <c r="BA586" s="2" t="str">
        <f>IFERROR(__xludf.DUMMYFUNCTION("IMPORTRANGE(""https://docs.google.com/spreadsheets/d/""&amp;$A586&amp;""/edit#gid=156619080"",BA$3)"),"#REF!")</f>
        <v>#REF!</v>
      </c>
      <c r="BB586" s="2" t="str">
        <f>IFERROR(__xludf.DUMMYFUNCTION("IMPORTRANGE(""https://docs.google.com/spreadsheets/d/""&amp;$A586&amp;""/edit#gid=156619080"",BB$3)"),"#REF!")</f>
        <v>#REF!</v>
      </c>
      <c r="BC586" s="2" t="str">
        <f>IFERROR(__xludf.DUMMYFUNCTION("IMPORTRANGE(""https://docs.google.com/spreadsheets/d/""&amp;$A586&amp;""/edit#gid=156619080"",BC$3)"),"#REF!")</f>
        <v>#REF!</v>
      </c>
    </row>
    <row r="587" ht="51.0" customHeight="1">
      <c r="A587" s="7" t="str">
        <f t="shared" si="5"/>
        <v/>
      </c>
      <c r="C587" s="2" t="str">
        <f>IFERROR(__xludf.DUMMYFUNCTION("IMPORTRANGE(""https://docs.google.com/spreadsheets/d/""&amp;$A587&amp;""/edit#gid=156619080"",C$3)"),"#REF!")</f>
        <v>#REF!</v>
      </c>
      <c r="D587" s="2" t="str">
        <f>IFERROR(__xludf.DUMMYFUNCTION("IMPORTRANGE(""https://docs.google.com/spreadsheets/d/""&amp;$A587&amp;""/edit#gid=156619080"",D$3)"),"#REF!")</f>
        <v>#REF!</v>
      </c>
      <c r="E587" s="2" t="str">
        <f>IFERROR(__xludf.DUMMYFUNCTION("IMPORTRANGE(""https://docs.google.com/spreadsheets/d/""&amp;$A587&amp;""/edit#gid=156619080"",E$3)"),"#REF!")</f>
        <v>#REF!</v>
      </c>
      <c r="F587" s="2" t="str">
        <f>IFERROR(__xludf.DUMMYFUNCTION("IMPORTRANGE(""https://docs.google.com/spreadsheets/d/""&amp;$A587&amp;""/edit#gid=156619080"",F$3)"),"#REF!")</f>
        <v>#REF!</v>
      </c>
      <c r="G587" s="2" t="str">
        <f>IFERROR(__xludf.DUMMYFUNCTION("IMPORTRANGE(""https://docs.google.com/spreadsheets/d/""&amp;$A587&amp;""/edit#gid=156619080"",G$3)"),"#REF!")</f>
        <v>#REF!</v>
      </c>
      <c r="H587" s="2" t="str">
        <f>IFERROR(__xludf.DUMMYFUNCTION("IMPORTRANGE(""https://docs.google.com/spreadsheets/d/""&amp;$A587&amp;""/edit#gid=156619080"",H$3)"),"#REF!")</f>
        <v>#REF!</v>
      </c>
      <c r="I587" s="2" t="str">
        <f>IFERROR(__xludf.DUMMYFUNCTION("IMPORTRANGE(""https://docs.google.com/spreadsheets/d/""&amp;$A587&amp;""/edit#gid=156619080"",I$3)"),"#REF!")</f>
        <v>#REF!</v>
      </c>
      <c r="J587" s="2" t="str">
        <f>IFERROR(__xludf.DUMMYFUNCTION("IMPORTRANGE(""https://docs.google.com/spreadsheets/d/""&amp;$A587&amp;""/edit#gid=156619080"",J$3)"),"#REF!")</f>
        <v>#REF!</v>
      </c>
      <c r="K587" s="2" t="str">
        <f>IFERROR(__xludf.DUMMYFUNCTION("IMPORTRANGE(""https://docs.google.com/spreadsheets/d/""&amp;$A587&amp;""/edit#gid=156619080"",K$3)"),"#REF!")</f>
        <v>#REF!</v>
      </c>
      <c r="L587" s="2" t="str">
        <f>IFERROR(__xludf.DUMMYFUNCTION("IMPORTRANGE(""https://docs.google.com/spreadsheets/d/""&amp;$A587&amp;""/edit#gid=156619080"",L$3)"),"#REF!")</f>
        <v>#REF!</v>
      </c>
      <c r="M587" s="2" t="str">
        <f>IFERROR(__xludf.DUMMYFUNCTION("IMPORTRANGE(""https://docs.google.com/spreadsheets/d/""&amp;$A587&amp;""/edit#gid=156619080"",M$3)"),"#REF!")</f>
        <v>#REF!</v>
      </c>
      <c r="N587" s="2" t="str">
        <f>IFERROR(__xludf.DUMMYFUNCTION("IMPORTRANGE(""https://docs.google.com/spreadsheets/d/""&amp;$A587&amp;""/edit#gid=156619080"",N$3)"),"#REF!")</f>
        <v>#REF!</v>
      </c>
      <c r="O587" s="2" t="str">
        <f>IFERROR(__xludf.DUMMYFUNCTION("IMPORTRANGE(""https://docs.google.com/spreadsheets/d/""&amp;$A587&amp;""/edit#gid=156619080"",O$3)"),"#REF!")</f>
        <v>#REF!</v>
      </c>
      <c r="P587" s="2" t="str">
        <f>IFERROR(__xludf.DUMMYFUNCTION("IMPORTRANGE(""https://docs.google.com/spreadsheets/d/""&amp;$A587&amp;""/edit#gid=156619080"",P$3)"),"#REF!")</f>
        <v>#REF!</v>
      </c>
      <c r="Q587" s="2" t="str">
        <f>IFERROR(__xludf.DUMMYFUNCTION("IMPORTRANGE(""https://docs.google.com/spreadsheets/d/""&amp;$A587&amp;""/edit#gid=156619080"",Q$3)"),"#REF!")</f>
        <v>#REF!</v>
      </c>
      <c r="R587" s="2" t="str">
        <f>IFERROR(__xludf.DUMMYFUNCTION("IMPORTRANGE(""https://docs.google.com/spreadsheets/d/""&amp;$A587&amp;""/edit#gid=156619080"",R$3)"),"#REF!")</f>
        <v>#REF!</v>
      </c>
      <c r="S587" s="2" t="str">
        <f>IFERROR(__xludf.DUMMYFUNCTION("IMPORTRANGE(""https://docs.google.com/spreadsheets/d/""&amp;$A587&amp;""/edit#gid=156619080"",S$3)"),"#REF!")</f>
        <v>#REF!</v>
      </c>
      <c r="T587" s="2" t="str">
        <f>IFERROR(__xludf.DUMMYFUNCTION("IMPORTRANGE(""https://docs.google.com/spreadsheets/d/""&amp;$A587&amp;""/edit#gid=156619080"",T$3)"),"#REF!")</f>
        <v>#REF!</v>
      </c>
      <c r="U587" s="2" t="str">
        <f>IFERROR(__xludf.DUMMYFUNCTION("IMPORTRANGE(""https://docs.google.com/spreadsheets/d/""&amp;$A587&amp;""/edit#gid=156619080"",U$3)"),"#REF!")</f>
        <v>#REF!</v>
      </c>
      <c r="V587" s="2" t="str">
        <f>IFERROR(__xludf.DUMMYFUNCTION("IMPORTRANGE(""https://docs.google.com/spreadsheets/d/""&amp;$A587&amp;""/edit#gid=156619080"",V$3)"),"#REF!")</f>
        <v>#REF!</v>
      </c>
      <c r="W587" s="2" t="str">
        <f>IFERROR(__xludf.DUMMYFUNCTION("IMPORTRANGE(""https://docs.google.com/spreadsheets/d/""&amp;$A587&amp;""/edit#gid=156619080"",W$3)"),"#REF!")</f>
        <v>#REF!</v>
      </c>
      <c r="X587" s="2" t="str">
        <f>IFERROR(__xludf.DUMMYFUNCTION("IMPORTRANGE(""https://docs.google.com/spreadsheets/d/""&amp;$A587&amp;""/edit#gid=156619080"",X$3)"),"#REF!")</f>
        <v>#REF!</v>
      </c>
      <c r="Y587" s="2" t="str">
        <f>IFERROR(__xludf.DUMMYFUNCTION("IMPORTRANGE(""https://docs.google.com/spreadsheets/d/""&amp;$A587&amp;""/edit#gid=156619080"",Y$3)"),"#REF!")</f>
        <v>#REF!</v>
      </c>
      <c r="Z587" s="2" t="str">
        <f>IFERROR(__xludf.DUMMYFUNCTION("IMPORTRANGE(""https://docs.google.com/spreadsheets/d/""&amp;$A587&amp;""/edit#gid=156619080"",Z$3)"),"#REF!")</f>
        <v>#REF!</v>
      </c>
      <c r="AA587" s="2" t="str">
        <f>IFERROR(__xludf.DUMMYFUNCTION("IMPORTRANGE(""https://docs.google.com/spreadsheets/d/""&amp;$A587&amp;""/edit#gid=156619080"",AA$3)"),"#REF!")</f>
        <v>#REF!</v>
      </c>
      <c r="AB587" s="2" t="str">
        <f>IFERROR(__xludf.DUMMYFUNCTION("IMPORTRANGE(""https://docs.google.com/spreadsheets/d/""&amp;$A587&amp;""/edit#gid=156619080"",AB$3)"),"#REF!")</f>
        <v>#REF!</v>
      </c>
      <c r="AC587" s="2" t="str">
        <f>IFERROR(__xludf.DUMMYFUNCTION("IMPORTRANGE(""https://docs.google.com/spreadsheets/d/""&amp;$A587&amp;""/edit#gid=156619080"",AC$3)"),"#REF!")</f>
        <v>#REF!</v>
      </c>
      <c r="AD587" s="2" t="str">
        <f>IFERROR(__xludf.DUMMYFUNCTION("IMPORTRANGE(""https://docs.google.com/spreadsheets/d/""&amp;$A587&amp;""/edit#gid=156619080"",AD$3)"),"#REF!")</f>
        <v>#REF!</v>
      </c>
      <c r="AE587" s="2" t="str">
        <f>IFERROR(__xludf.DUMMYFUNCTION("IMPORTRANGE(""https://docs.google.com/spreadsheets/d/""&amp;$A587&amp;""/edit#gid=156619080"",AE$3)"),"#REF!")</f>
        <v>#REF!</v>
      </c>
      <c r="AF587" s="2" t="str">
        <f>IFERROR(__xludf.DUMMYFUNCTION("IMPORTRANGE(""https://docs.google.com/spreadsheets/d/""&amp;$A587&amp;""/edit#gid=156619080"",AF$3)"),"#REF!")</f>
        <v>#REF!</v>
      </c>
      <c r="AG587" s="2" t="str">
        <f>IFERROR(__xludf.DUMMYFUNCTION("IMPORTRANGE(""https://docs.google.com/spreadsheets/d/""&amp;$A587&amp;""/edit#gid=156619080"",AG$3)"),"#REF!")</f>
        <v>#REF!</v>
      </c>
      <c r="AH587" s="2" t="str">
        <f>IFERROR(__xludf.DUMMYFUNCTION("IMPORTRANGE(""https://docs.google.com/spreadsheets/d/""&amp;$A587&amp;""/edit#gid=156619080"",AH$3)"),"#REF!")</f>
        <v>#REF!</v>
      </c>
      <c r="AI587" s="2" t="str">
        <f>IFERROR(__xludf.DUMMYFUNCTION("IMPORTRANGE(""https://docs.google.com/spreadsheets/d/""&amp;$A587&amp;""/edit#gid=156619080"",AI$3)"),"#REF!")</f>
        <v>#REF!</v>
      </c>
      <c r="AJ587" s="2" t="str">
        <f>IFERROR(__xludf.DUMMYFUNCTION("IMPORTRANGE(""https://docs.google.com/spreadsheets/d/""&amp;$A587&amp;""/edit#gid=156619080"",AJ$3)"),"#REF!")</f>
        <v>#REF!</v>
      </c>
      <c r="AK587" s="2" t="str">
        <f>IFERROR(__xludf.DUMMYFUNCTION("IMPORTRANGE(""https://docs.google.com/spreadsheets/d/""&amp;$A587&amp;""/edit#gid=156619080"",AK$3)"),"#REF!")</f>
        <v>#REF!</v>
      </c>
      <c r="AL587" s="2" t="str">
        <f>IFERROR(__xludf.DUMMYFUNCTION("IMPORTRANGE(""https://docs.google.com/spreadsheets/d/""&amp;$A587&amp;""/edit#gid=156619080"",AL$3)"),"#REF!")</f>
        <v>#REF!</v>
      </c>
      <c r="AM587" s="2" t="str">
        <f>IFERROR(__xludf.DUMMYFUNCTION("IMPORTRANGE(""https://docs.google.com/spreadsheets/d/""&amp;$A587&amp;""/edit#gid=156619080"",AM$3)"),"#REF!")</f>
        <v>#REF!</v>
      </c>
      <c r="AN587" s="2" t="str">
        <f>IFERROR(__xludf.DUMMYFUNCTION("IMPORTRANGE(""https://docs.google.com/spreadsheets/d/""&amp;$A587&amp;""/edit#gid=156619080"",AN$3)"),"#REF!")</f>
        <v>#REF!</v>
      </c>
      <c r="AO587" s="2" t="str">
        <f>IFERROR(__xludf.DUMMYFUNCTION("IMPORTRANGE(""https://docs.google.com/spreadsheets/d/""&amp;$A587&amp;""/edit#gid=156619080"",AO$3)"),"#REF!")</f>
        <v>#REF!</v>
      </c>
      <c r="AP587" s="2" t="str">
        <f>IFERROR(__xludf.DUMMYFUNCTION("IMPORTRANGE(""https://docs.google.com/spreadsheets/d/""&amp;$A587&amp;""/edit#gid=156619080"",AP$3)"),"#REF!")</f>
        <v>#REF!</v>
      </c>
      <c r="AQ587" s="2" t="str">
        <f>IFERROR(__xludf.DUMMYFUNCTION("IMPORTRANGE(""https://docs.google.com/spreadsheets/d/""&amp;$A587&amp;""/edit#gid=156619080"",AQ$3)"),"#REF!")</f>
        <v>#REF!</v>
      </c>
      <c r="AR587" s="2" t="str">
        <f>IFERROR(__xludf.DUMMYFUNCTION("IMPORTRANGE(""https://docs.google.com/spreadsheets/d/""&amp;$A587&amp;""/edit#gid=156619080"",AR$3)"),"#REF!")</f>
        <v>#REF!</v>
      </c>
      <c r="AS587" s="19" t="str">
        <f>IFERROR(__xludf.DUMMYFUNCTION("IMPORTRANGE(""https://docs.google.com/spreadsheets/d/""&amp;$A587&amp;""/edit#gid=156619080"",AS$3)"),"#REF!")</f>
        <v>#REF!</v>
      </c>
      <c r="AT587" s="2" t="str">
        <f>IFERROR(__xludf.DUMMYFUNCTION("IMPORTRANGE(""https://docs.google.com/spreadsheets/d/""&amp;$A587&amp;""/edit#gid=156619080"",AT$3)"),"#REF!")</f>
        <v>#REF!</v>
      </c>
      <c r="AU587" s="3" t="str">
        <f>IFERROR(__xludf.DUMMYFUNCTION("IMPORTRANGE(""https://docs.google.com/spreadsheets/d/""&amp;$A587&amp;""/edit#gid=156619080"",AU$3)"),"#REF!")</f>
        <v>#REF!</v>
      </c>
      <c r="AV587" s="2" t="str">
        <f>IFERROR(__xludf.DUMMYFUNCTION("IMPORTRANGE(""https://docs.google.com/spreadsheets/d/""&amp;$A587&amp;""/edit#gid=156619080"",AV$3)"),"#REF!")</f>
        <v>#REF!</v>
      </c>
      <c r="AW587" s="19" t="str">
        <f>IFERROR(__xludf.DUMMYFUNCTION("IMPORTRANGE(""https://docs.google.com/spreadsheets/d/""&amp;$A587&amp;""/edit#gid=156619080"",AW$3)"),"#REF!")</f>
        <v>#REF!</v>
      </c>
      <c r="AX587" s="2" t="str">
        <f>IFERROR(__xludf.DUMMYFUNCTION("IMPORTRANGE(""https://docs.google.com/spreadsheets/d/""&amp;$A587&amp;""/edit#gid=156619080"",AX$3)"),"#REF!")</f>
        <v>#REF!</v>
      </c>
      <c r="AY587" s="2" t="str">
        <f>IFERROR(__xludf.DUMMYFUNCTION("IMPORTRANGE(""https://docs.google.com/spreadsheets/d/""&amp;$A587&amp;""/edit#gid=156619080"",AY$3)"),"#REF!")</f>
        <v>#REF!</v>
      </c>
      <c r="AZ587" s="2" t="str">
        <f>IFERROR(__xludf.DUMMYFUNCTION("IMPORTRANGE(""https://docs.google.com/spreadsheets/d/""&amp;$A587&amp;""/edit#gid=156619080"",AZ$3)"),"#REF!")</f>
        <v>#REF!</v>
      </c>
      <c r="BA587" s="2" t="str">
        <f>IFERROR(__xludf.DUMMYFUNCTION("IMPORTRANGE(""https://docs.google.com/spreadsheets/d/""&amp;$A587&amp;""/edit#gid=156619080"",BA$3)"),"#REF!")</f>
        <v>#REF!</v>
      </c>
      <c r="BB587" s="2" t="str">
        <f>IFERROR(__xludf.DUMMYFUNCTION("IMPORTRANGE(""https://docs.google.com/spreadsheets/d/""&amp;$A587&amp;""/edit#gid=156619080"",BB$3)"),"#REF!")</f>
        <v>#REF!</v>
      </c>
      <c r="BC587" s="2" t="str">
        <f>IFERROR(__xludf.DUMMYFUNCTION("IMPORTRANGE(""https://docs.google.com/spreadsheets/d/""&amp;$A587&amp;""/edit#gid=156619080"",BC$3)"),"#REF!")</f>
        <v>#REF!</v>
      </c>
    </row>
    <row r="588" ht="51.0" customHeight="1">
      <c r="A588" s="7" t="str">
        <f t="shared" si="5"/>
        <v/>
      </c>
      <c r="C588" s="2" t="str">
        <f>IFERROR(__xludf.DUMMYFUNCTION("IMPORTRANGE(""https://docs.google.com/spreadsheets/d/""&amp;$A588&amp;""/edit#gid=156619080"",C$3)"),"#REF!")</f>
        <v>#REF!</v>
      </c>
      <c r="D588" s="2" t="str">
        <f>IFERROR(__xludf.DUMMYFUNCTION("IMPORTRANGE(""https://docs.google.com/spreadsheets/d/""&amp;$A588&amp;""/edit#gid=156619080"",D$3)"),"#REF!")</f>
        <v>#REF!</v>
      </c>
      <c r="E588" s="2" t="str">
        <f>IFERROR(__xludf.DUMMYFUNCTION("IMPORTRANGE(""https://docs.google.com/spreadsheets/d/""&amp;$A588&amp;""/edit#gid=156619080"",E$3)"),"#REF!")</f>
        <v>#REF!</v>
      </c>
      <c r="F588" s="2" t="str">
        <f>IFERROR(__xludf.DUMMYFUNCTION("IMPORTRANGE(""https://docs.google.com/spreadsheets/d/""&amp;$A588&amp;""/edit#gid=156619080"",F$3)"),"#REF!")</f>
        <v>#REF!</v>
      </c>
      <c r="G588" s="2" t="str">
        <f>IFERROR(__xludf.DUMMYFUNCTION("IMPORTRANGE(""https://docs.google.com/spreadsheets/d/""&amp;$A588&amp;""/edit#gid=156619080"",G$3)"),"#REF!")</f>
        <v>#REF!</v>
      </c>
      <c r="H588" s="2" t="str">
        <f>IFERROR(__xludf.DUMMYFUNCTION("IMPORTRANGE(""https://docs.google.com/spreadsheets/d/""&amp;$A588&amp;""/edit#gid=156619080"",H$3)"),"#REF!")</f>
        <v>#REF!</v>
      </c>
      <c r="I588" s="2" t="str">
        <f>IFERROR(__xludf.DUMMYFUNCTION("IMPORTRANGE(""https://docs.google.com/spreadsheets/d/""&amp;$A588&amp;""/edit#gid=156619080"",I$3)"),"#REF!")</f>
        <v>#REF!</v>
      </c>
      <c r="J588" s="2" t="str">
        <f>IFERROR(__xludf.DUMMYFUNCTION("IMPORTRANGE(""https://docs.google.com/spreadsheets/d/""&amp;$A588&amp;""/edit#gid=156619080"",J$3)"),"#REF!")</f>
        <v>#REF!</v>
      </c>
      <c r="K588" s="2" t="str">
        <f>IFERROR(__xludf.DUMMYFUNCTION("IMPORTRANGE(""https://docs.google.com/spreadsheets/d/""&amp;$A588&amp;""/edit#gid=156619080"",K$3)"),"#REF!")</f>
        <v>#REF!</v>
      </c>
      <c r="L588" s="2" t="str">
        <f>IFERROR(__xludf.DUMMYFUNCTION("IMPORTRANGE(""https://docs.google.com/spreadsheets/d/""&amp;$A588&amp;""/edit#gid=156619080"",L$3)"),"#REF!")</f>
        <v>#REF!</v>
      </c>
      <c r="M588" s="2" t="str">
        <f>IFERROR(__xludf.DUMMYFUNCTION("IMPORTRANGE(""https://docs.google.com/spreadsheets/d/""&amp;$A588&amp;""/edit#gid=156619080"",M$3)"),"#REF!")</f>
        <v>#REF!</v>
      </c>
      <c r="N588" s="2" t="str">
        <f>IFERROR(__xludf.DUMMYFUNCTION("IMPORTRANGE(""https://docs.google.com/spreadsheets/d/""&amp;$A588&amp;""/edit#gid=156619080"",N$3)"),"#REF!")</f>
        <v>#REF!</v>
      </c>
      <c r="O588" s="2" t="str">
        <f>IFERROR(__xludf.DUMMYFUNCTION("IMPORTRANGE(""https://docs.google.com/spreadsheets/d/""&amp;$A588&amp;""/edit#gid=156619080"",O$3)"),"#REF!")</f>
        <v>#REF!</v>
      </c>
      <c r="P588" s="2" t="str">
        <f>IFERROR(__xludf.DUMMYFUNCTION("IMPORTRANGE(""https://docs.google.com/spreadsheets/d/""&amp;$A588&amp;""/edit#gid=156619080"",P$3)"),"#REF!")</f>
        <v>#REF!</v>
      </c>
      <c r="Q588" s="2" t="str">
        <f>IFERROR(__xludf.DUMMYFUNCTION("IMPORTRANGE(""https://docs.google.com/spreadsheets/d/""&amp;$A588&amp;""/edit#gid=156619080"",Q$3)"),"#REF!")</f>
        <v>#REF!</v>
      </c>
      <c r="R588" s="2" t="str">
        <f>IFERROR(__xludf.DUMMYFUNCTION("IMPORTRANGE(""https://docs.google.com/spreadsheets/d/""&amp;$A588&amp;""/edit#gid=156619080"",R$3)"),"#REF!")</f>
        <v>#REF!</v>
      </c>
      <c r="S588" s="2" t="str">
        <f>IFERROR(__xludf.DUMMYFUNCTION("IMPORTRANGE(""https://docs.google.com/spreadsheets/d/""&amp;$A588&amp;""/edit#gid=156619080"",S$3)"),"#REF!")</f>
        <v>#REF!</v>
      </c>
      <c r="T588" s="2" t="str">
        <f>IFERROR(__xludf.DUMMYFUNCTION("IMPORTRANGE(""https://docs.google.com/spreadsheets/d/""&amp;$A588&amp;""/edit#gid=156619080"",T$3)"),"#REF!")</f>
        <v>#REF!</v>
      </c>
      <c r="U588" s="2" t="str">
        <f>IFERROR(__xludf.DUMMYFUNCTION("IMPORTRANGE(""https://docs.google.com/spreadsheets/d/""&amp;$A588&amp;""/edit#gid=156619080"",U$3)"),"#REF!")</f>
        <v>#REF!</v>
      </c>
      <c r="V588" s="2" t="str">
        <f>IFERROR(__xludf.DUMMYFUNCTION("IMPORTRANGE(""https://docs.google.com/spreadsheets/d/""&amp;$A588&amp;""/edit#gid=156619080"",V$3)"),"#REF!")</f>
        <v>#REF!</v>
      </c>
      <c r="W588" s="2" t="str">
        <f>IFERROR(__xludf.DUMMYFUNCTION("IMPORTRANGE(""https://docs.google.com/spreadsheets/d/""&amp;$A588&amp;""/edit#gid=156619080"",W$3)"),"#REF!")</f>
        <v>#REF!</v>
      </c>
      <c r="X588" s="2" t="str">
        <f>IFERROR(__xludf.DUMMYFUNCTION("IMPORTRANGE(""https://docs.google.com/spreadsheets/d/""&amp;$A588&amp;""/edit#gid=156619080"",X$3)"),"#REF!")</f>
        <v>#REF!</v>
      </c>
      <c r="Y588" s="2" t="str">
        <f>IFERROR(__xludf.DUMMYFUNCTION("IMPORTRANGE(""https://docs.google.com/spreadsheets/d/""&amp;$A588&amp;""/edit#gid=156619080"",Y$3)"),"#REF!")</f>
        <v>#REF!</v>
      </c>
      <c r="Z588" s="2" t="str">
        <f>IFERROR(__xludf.DUMMYFUNCTION("IMPORTRANGE(""https://docs.google.com/spreadsheets/d/""&amp;$A588&amp;""/edit#gid=156619080"",Z$3)"),"#REF!")</f>
        <v>#REF!</v>
      </c>
      <c r="AA588" s="2" t="str">
        <f>IFERROR(__xludf.DUMMYFUNCTION("IMPORTRANGE(""https://docs.google.com/spreadsheets/d/""&amp;$A588&amp;""/edit#gid=156619080"",AA$3)"),"#REF!")</f>
        <v>#REF!</v>
      </c>
      <c r="AB588" s="2" t="str">
        <f>IFERROR(__xludf.DUMMYFUNCTION("IMPORTRANGE(""https://docs.google.com/spreadsheets/d/""&amp;$A588&amp;""/edit#gid=156619080"",AB$3)"),"#REF!")</f>
        <v>#REF!</v>
      </c>
      <c r="AC588" s="2" t="str">
        <f>IFERROR(__xludf.DUMMYFUNCTION("IMPORTRANGE(""https://docs.google.com/spreadsheets/d/""&amp;$A588&amp;""/edit#gid=156619080"",AC$3)"),"#REF!")</f>
        <v>#REF!</v>
      </c>
      <c r="AD588" s="2" t="str">
        <f>IFERROR(__xludf.DUMMYFUNCTION("IMPORTRANGE(""https://docs.google.com/spreadsheets/d/""&amp;$A588&amp;""/edit#gid=156619080"",AD$3)"),"#REF!")</f>
        <v>#REF!</v>
      </c>
      <c r="AE588" s="2" t="str">
        <f>IFERROR(__xludf.DUMMYFUNCTION("IMPORTRANGE(""https://docs.google.com/spreadsheets/d/""&amp;$A588&amp;""/edit#gid=156619080"",AE$3)"),"#REF!")</f>
        <v>#REF!</v>
      </c>
      <c r="AF588" s="2" t="str">
        <f>IFERROR(__xludf.DUMMYFUNCTION("IMPORTRANGE(""https://docs.google.com/spreadsheets/d/""&amp;$A588&amp;""/edit#gid=156619080"",AF$3)"),"#REF!")</f>
        <v>#REF!</v>
      </c>
      <c r="AG588" s="2" t="str">
        <f>IFERROR(__xludf.DUMMYFUNCTION("IMPORTRANGE(""https://docs.google.com/spreadsheets/d/""&amp;$A588&amp;""/edit#gid=156619080"",AG$3)"),"#REF!")</f>
        <v>#REF!</v>
      </c>
      <c r="AH588" s="2" t="str">
        <f>IFERROR(__xludf.DUMMYFUNCTION("IMPORTRANGE(""https://docs.google.com/spreadsheets/d/""&amp;$A588&amp;""/edit#gid=156619080"",AH$3)"),"#REF!")</f>
        <v>#REF!</v>
      </c>
      <c r="AI588" s="2" t="str">
        <f>IFERROR(__xludf.DUMMYFUNCTION("IMPORTRANGE(""https://docs.google.com/spreadsheets/d/""&amp;$A588&amp;""/edit#gid=156619080"",AI$3)"),"#REF!")</f>
        <v>#REF!</v>
      </c>
      <c r="AJ588" s="2" t="str">
        <f>IFERROR(__xludf.DUMMYFUNCTION("IMPORTRANGE(""https://docs.google.com/spreadsheets/d/""&amp;$A588&amp;""/edit#gid=156619080"",AJ$3)"),"#REF!")</f>
        <v>#REF!</v>
      </c>
      <c r="AK588" s="2" t="str">
        <f>IFERROR(__xludf.DUMMYFUNCTION("IMPORTRANGE(""https://docs.google.com/spreadsheets/d/""&amp;$A588&amp;""/edit#gid=156619080"",AK$3)"),"#REF!")</f>
        <v>#REF!</v>
      </c>
      <c r="AL588" s="2" t="str">
        <f>IFERROR(__xludf.DUMMYFUNCTION("IMPORTRANGE(""https://docs.google.com/spreadsheets/d/""&amp;$A588&amp;""/edit#gid=156619080"",AL$3)"),"#REF!")</f>
        <v>#REF!</v>
      </c>
      <c r="AM588" s="2" t="str">
        <f>IFERROR(__xludf.DUMMYFUNCTION("IMPORTRANGE(""https://docs.google.com/spreadsheets/d/""&amp;$A588&amp;""/edit#gid=156619080"",AM$3)"),"#REF!")</f>
        <v>#REF!</v>
      </c>
      <c r="AN588" s="2" t="str">
        <f>IFERROR(__xludf.DUMMYFUNCTION("IMPORTRANGE(""https://docs.google.com/spreadsheets/d/""&amp;$A588&amp;""/edit#gid=156619080"",AN$3)"),"#REF!")</f>
        <v>#REF!</v>
      </c>
      <c r="AO588" s="2" t="str">
        <f>IFERROR(__xludf.DUMMYFUNCTION("IMPORTRANGE(""https://docs.google.com/spreadsheets/d/""&amp;$A588&amp;""/edit#gid=156619080"",AO$3)"),"#REF!")</f>
        <v>#REF!</v>
      </c>
      <c r="AP588" s="2" t="str">
        <f>IFERROR(__xludf.DUMMYFUNCTION("IMPORTRANGE(""https://docs.google.com/spreadsheets/d/""&amp;$A588&amp;""/edit#gid=156619080"",AP$3)"),"#REF!")</f>
        <v>#REF!</v>
      </c>
      <c r="AQ588" s="2" t="str">
        <f>IFERROR(__xludf.DUMMYFUNCTION("IMPORTRANGE(""https://docs.google.com/spreadsheets/d/""&amp;$A588&amp;""/edit#gid=156619080"",AQ$3)"),"#REF!")</f>
        <v>#REF!</v>
      </c>
      <c r="AR588" s="2" t="str">
        <f>IFERROR(__xludf.DUMMYFUNCTION("IMPORTRANGE(""https://docs.google.com/spreadsheets/d/""&amp;$A588&amp;""/edit#gid=156619080"",AR$3)"),"#REF!")</f>
        <v>#REF!</v>
      </c>
      <c r="AS588" s="19" t="str">
        <f>IFERROR(__xludf.DUMMYFUNCTION("IMPORTRANGE(""https://docs.google.com/spreadsheets/d/""&amp;$A588&amp;""/edit#gid=156619080"",AS$3)"),"#REF!")</f>
        <v>#REF!</v>
      </c>
      <c r="AT588" s="2" t="str">
        <f>IFERROR(__xludf.DUMMYFUNCTION("IMPORTRANGE(""https://docs.google.com/spreadsheets/d/""&amp;$A588&amp;""/edit#gid=156619080"",AT$3)"),"#REF!")</f>
        <v>#REF!</v>
      </c>
      <c r="AU588" s="3" t="str">
        <f>IFERROR(__xludf.DUMMYFUNCTION("IMPORTRANGE(""https://docs.google.com/spreadsheets/d/""&amp;$A588&amp;""/edit#gid=156619080"",AU$3)"),"#REF!")</f>
        <v>#REF!</v>
      </c>
      <c r="AV588" s="2" t="str">
        <f>IFERROR(__xludf.DUMMYFUNCTION("IMPORTRANGE(""https://docs.google.com/spreadsheets/d/""&amp;$A588&amp;""/edit#gid=156619080"",AV$3)"),"#REF!")</f>
        <v>#REF!</v>
      </c>
      <c r="AW588" s="19" t="str">
        <f>IFERROR(__xludf.DUMMYFUNCTION("IMPORTRANGE(""https://docs.google.com/spreadsheets/d/""&amp;$A588&amp;""/edit#gid=156619080"",AW$3)"),"#REF!")</f>
        <v>#REF!</v>
      </c>
      <c r="AX588" s="2" t="str">
        <f>IFERROR(__xludf.DUMMYFUNCTION("IMPORTRANGE(""https://docs.google.com/spreadsheets/d/""&amp;$A588&amp;""/edit#gid=156619080"",AX$3)"),"#REF!")</f>
        <v>#REF!</v>
      </c>
      <c r="AY588" s="2" t="str">
        <f>IFERROR(__xludf.DUMMYFUNCTION("IMPORTRANGE(""https://docs.google.com/spreadsheets/d/""&amp;$A588&amp;""/edit#gid=156619080"",AY$3)"),"#REF!")</f>
        <v>#REF!</v>
      </c>
      <c r="AZ588" s="2" t="str">
        <f>IFERROR(__xludf.DUMMYFUNCTION("IMPORTRANGE(""https://docs.google.com/spreadsheets/d/""&amp;$A588&amp;""/edit#gid=156619080"",AZ$3)"),"#REF!")</f>
        <v>#REF!</v>
      </c>
      <c r="BA588" s="2" t="str">
        <f>IFERROR(__xludf.DUMMYFUNCTION("IMPORTRANGE(""https://docs.google.com/spreadsheets/d/""&amp;$A588&amp;""/edit#gid=156619080"",BA$3)"),"#REF!")</f>
        <v>#REF!</v>
      </c>
      <c r="BB588" s="2" t="str">
        <f>IFERROR(__xludf.DUMMYFUNCTION("IMPORTRANGE(""https://docs.google.com/spreadsheets/d/""&amp;$A588&amp;""/edit#gid=156619080"",BB$3)"),"#REF!")</f>
        <v>#REF!</v>
      </c>
      <c r="BC588" s="2" t="str">
        <f>IFERROR(__xludf.DUMMYFUNCTION("IMPORTRANGE(""https://docs.google.com/spreadsheets/d/""&amp;$A588&amp;""/edit#gid=156619080"",BC$3)"),"#REF!")</f>
        <v>#REF!</v>
      </c>
    </row>
    <row r="589" ht="51.0" customHeight="1">
      <c r="A589" s="7" t="str">
        <f t="shared" si="5"/>
        <v/>
      </c>
      <c r="C589" s="2" t="str">
        <f>IFERROR(__xludf.DUMMYFUNCTION("IMPORTRANGE(""https://docs.google.com/spreadsheets/d/""&amp;$A589&amp;""/edit#gid=156619080"",C$3)"),"#REF!")</f>
        <v>#REF!</v>
      </c>
      <c r="D589" s="2" t="str">
        <f>IFERROR(__xludf.DUMMYFUNCTION("IMPORTRANGE(""https://docs.google.com/spreadsheets/d/""&amp;$A589&amp;""/edit#gid=156619080"",D$3)"),"#REF!")</f>
        <v>#REF!</v>
      </c>
      <c r="E589" s="2" t="str">
        <f>IFERROR(__xludf.DUMMYFUNCTION("IMPORTRANGE(""https://docs.google.com/spreadsheets/d/""&amp;$A589&amp;""/edit#gid=156619080"",E$3)"),"#REF!")</f>
        <v>#REF!</v>
      </c>
      <c r="F589" s="2" t="str">
        <f>IFERROR(__xludf.DUMMYFUNCTION("IMPORTRANGE(""https://docs.google.com/spreadsheets/d/""&amp;$A589&amp;""/edit#gid=156619080"",F$3)"),"#REF!")</f>
        <v>#REF!</v>
      </c>
      <c r="G589" s="2" t="str">
        <f>IFERROR(__xludf.DUMMYFUNCTION("IMPORTRANGE(""https://docs.google.com/spreadsheets/d/""&amp;$A589&amp;""/edit#gid=156619080"",G$3)"),"#REF!")</f>
        <v>#REF!</v>
      </c>
      <c r="H589" s="2" t="str">
        <f>IFERROR(__xludf.DUMMYFUNCTION("IMPORTRANGE(""https://docs.google.com/spreadsheets/d/""&amp;$A589&amp;""/edit#gid=156619080"",H$3)"),"#REF!")</f>
        <v>#REF!</v>
      </c>
      <c r="I589" s="2" t="str">
        <f>IFERROR(__xludf.DUMMYFUNCTION("IMPORTRANGE(""https://docs.google.com/spreadsheets/d/""&amp;$A589&amp;""/edit#gid=156619080"",I$3)"),"#REF!")</f>
        <v>#REF!</v>
      </c>
      <c r="J589" s="2" t="str">
        <f>IFERROR(__xludf.DUMMYFUNCTION("IMPORTRANGE(""https://docs.google.com/spreadsheets/d/""&amp;$A589&amp;""/edit#gid=156619080"",J$3)"),"#REF!")</f>
        <v>#REF!</v>
      </c>
      <c r="K589" s="2" t="str">
        <f>IFERROR(__xludf.DUMMYFUNCTION("IMPORTRANGE(""https://docs.google.com/spreadsheets/d/""&amp;$A589&amp;""/edit#gid=156619080"",K$3)"),"#REF!")</f>
        <v>#REF!</v>
      </c>
      <c r="L589" s="2" t="str">
        <f>IFERROR(__xludf.DUMMYFUNCTION("IMPORTRANGE(""https://docs.google.com/spreadsheets/d/""&amp;$A589&amp;""/edit#gid=156619080"",L$3)"),"#REF!")</f>
        <v>#REF!</v>
      </c>
      <c r="M589" s="2" t="str">
        <f>IFERROR(__xludf.DUMMYFUNCTION("IMPORTRANGE(""https://docs.google.com/spreadsheets/d/""&amp;$A589&amp;""/edit#gid=156619080"",M$3)"),"#REF!")</f>
        <v>#REF!</v>
      </c>
      <c r="N589" s="2" t="str">
        <f>IFERROR(__xludf.DUMMYFUNCTION("IMPORTRANGE(""https://docs.google.com/spreadsheets/d/""&amp;$A589&amp;""/edit#gid=156619080"",N$3)"),"#REF!")</f>
        <v>#REF!</v>
      </c>
      <c r="O589" s="2" t="str">
        <f>IFERROR(__xludf.DUMMYFUNCTION("IMPORTRANGE(""https://docs.google.com/spreadsheets/d/""&amp;$A589&amp;""/edit#gid=156619080"",O$3)"),"#REF!")</f>
        <v>#REF!</v>
      </c>
      <c r="P589" s="2" t="str">
        <f>IFERROR(__xludf.DUMMYFUNCTION("IMPORTRANGE(""https://docs.google.com/spreadsheets/d/""&amp;$A589&amp;""/edit#gid=156619080"",P$3)"),"#REF!")</f>
        <v>#REF!</v>
      </c>
      <c r="Q589" s="2" t="str">
        <f>IFERROR(__xludf.DUMMYFUNCTION("IMPORTRANGE(""https://docs.google.com/spreadsheets/d/""&amp;$A589&amp;""/edit#gid=156619080"",Q$3)"),"#REF!")</f>
        <v>#REF!</v>
      </c>
      <c r="R589" s="2" t="str">
        <f>IFERROR(__xludf.DUMMYFUNCTION("IMPORTRANGE(""https://docs.google.com/spreadsheets/d/""&amp;$A589&amp;""/edit#gid=156619080"",R$3)"),"#REF!")</f>
        <v>#REF!</v>
      </c>
      <c r="S589" s="2" t="str">
        <f>IFERROR(__xludf.DUMMYFUNCTION("IMPORTRANGE(""https://docs.google.com/spreadsheets/d/""&amp;$A589&amp;""/edit#gid=156619080"",S$3)"),"#REF!")</f>
        <v>#REF!</v>
      </c>
      <c r="T589" s="2" t="str">
        <f>IFERROR(__xludf.DUMMYFUNCTION("IMPORTRANGE(""https://docs.google.com/spreadsheets/d/""&amp;$A589&amp;""/edit#gid=156619080"",T$3)"),"#REF!")</f>
        <v>#REF!</v>
      </c>
      <c r="U589" s="2" t="str">
        <f>IFERROR(__xludf.DUMMYFUNCTION("IMPORTRANGE(""https://docs.google.com/spreadsheets/d/""&amp;$A589&amp;""/edit#gid=156619080"",U$3)"),"#REF!")</f>
        <v>#REF!</v>
      </c>
      <c r="V589" s="2" t="str">
        <f>IFERROR(__xludf.DUMMYFUNCTION("IMPORTRANGE(""https://docs.google.com/spreadsheets/d/""&amp;$A589&amp;""/edit#gid=156619080"",V$3)"),"#REF!")</f>
        <v>#REF!</v>
      </c>
      <c r="W589" s="2" t="str">
        <f>IFERROR(__xludf.DUMMYFUNCTION("IMPORTRANGE(""https://docs.google.com/spreadsheets/d/""&amp;$A589&amp;""/edit#gid=156619080"",W$3)"),"#REF!")</f>
        <v>#REF!</v>
      </c>
      <c r="X589" s="2" t="str">
        <f>IFERROR(__xludf.DUMMYFUNCTION("IMPORTRANGE(""https://docs.google.com/spreadsheets/d/""&amp;$A589&amp;""/edit#gid=156619080"",X$3)"),"#REF!")</f>
        <v>#REF!</v>
      </c>
      <c r="Y589" s="2" t="str">
        <f>IFERROR(__xludf.DUMMYFUNCTION("IMPORTRANGE(""https://docs.google.com/spreadsheets/d/""&amp;$A589&amp;""/edit#gid=156619080"",Y$3)"),"#REF!")</f>
        <v>#REF!</v>
      </c>
      <c r="Z589" s="2" t="str">
        <f>IFERROR(__xludf.DUMMYFUNCTION("IMPORTRANGE(""https://docs.google.com/spreadsheets/d/""&amp;$A589&amp;""/edit#gid=156619080"",Z$3)"),"#REF!")</f>
        <v>#REF!</v>
      </c>
      <c r="AA589" s="2" t="str">
        <f>IFERROR(__xludf.DUMMYFUNCTION("IMPORTRANGE(""https://docs.google.com/spreadsheets/d/""&amp;$A589&amp;""/edit#gid=156619080"",AA$3)"),"#REF!")</f>
        <v>#REF!</v>
      </c>
      <c r="AB589" s="2" t="str">
        <f>IFERROR(__xludf.DUMMYFUNCTION("IMPORTRANGE(""https://docs.google.com/spreadsheets/d/""&amp;$A589&amp;""/edit#gid=156619080"",AB$3)"),"#REF!")</f>
        <v>#REF!</v>
      </c>
      <c r="AC589" s="2" t="str">
        <f>IFERROR(__xludf.DUMMYFUNCTION("IMPORTRANGE(""https://docs.google.com/spreadsheets/d/""&amp;$A589&amp;""/edit#gid=156619080"",AC$3)"),"#REF!")</f>
        <v>#REF!</v>
      </c>
      <c r="AD589" s="2" t="str">
        <f>IFERROR(__xludf.DUMMYFUNCTION("IMPORTRANGE(""https://docs.google.com/spreadsheets/d/""&amp;$A589&amp;""/edit#gid=156619080"",AD$3)"),"#REF!")</f>
        <v>#REF!</v>
      </c>
      <c r="AE589" s="2" t="str">
        <f>IFERROR(__xludf.DUMMYFUNCTION("IMPORTRANGE(""https://docs.google.com/spreadsheets/d/""&amp;$A589&amp;""/edit#gid=156619080"",AE$3)"),"#REF!")</f>
        <v>#REF!</v>
      </c>
      <c r="AF589" s="2" t="str">
        <f>IFERROR(__xludf.DUMMYFUNCTION("IMPORTRANGE(""https://docs.google.com/spreadsheets/d/""&amp;$A589&amp;""/edit#gid=156619080"",AF$3)"),"#REF!")</f>
        <v>#REF!</v>
      </c>
      <c r="AG589" s="2" t="str">
        <f>IFERROR(__xludf.DUMMYFUNCTION("IMPORTRANGE(""https://docs.google.com/spreadsheets/d/""&amp;$A589&amp;""/edit#gid=156619080"",AG$3)"),"#REF!")</f>
        <v>#REF!</v>
      </c>
      <c r="AH589" s="2" t="str">
        <f>IFERROR(__xludf.DUMMYFUNCTION("IMPORTRANGE(""https://docs.google.com/spreadsheets/d/""&amp;$A589&amp;""/edit#gid=156619080"",AH$3)"),"#REF!")</f>
        <v>#REF!</v>
      </c>
      <c r="AI589" s="2" t="str">
        <f>IFERROR(__xludf.DUMMYFUNCTION("IMPORTRANGE(""https://docs.google.com/spreadsheets/d/""&amp;$A589&amp;""/edit#gid=156619080"",AI$3)"),"#REF!")</f>
        <v>#REF!</v>
      </c>
      <c r="AJ589" s="2" t="str">
        <f>IFERROR(__xludf.DUMMYFUNCTION("IMPORTRANGE(""https://docs.google.com/spreadsheets/d/""&amp;$A589&amp;""/edit#gid=156619080"",AJ$3)"),"#REF!")</f>
        <v>#REF!</v>
      </c>
      <c r="AK589" s="2" t="str">
        <f>IFERROR(__xludf.DUMMYFUNCTION("IMPORTRANGE(""https://docs.google.com/spreadsheets/d/""&amp;$A589&amp;""/edit#gid=156619080"",AK$3)"),"#REF!")</f>
        <v>#REF!</v>
      </c>
      <c r="AL589" s="2" t="str">
        <f>IFERROR(__xludf.DUMMYFUNCTION("IMPORTRANGE(""https://docs.google.com/spreadsheets/d/""&amp;$A589&amp;""/edit#gid=156619080"",AL$3)"),"#REF!")</f>
        <v>#REF!</v>
      </c>
      <c r="AM589" s="2" t="str">
        <f>IFERROR(__xludf.DUMMYFUNCTION("IMPORTRANGE(""https://docs.google.com/spreadsheets/d/""&amp;$A589&amp;""/edit#gid=156619080"",AM$3)"),"#REF!")</f>
        <v>#REF!</v>
      </c>
      <c r="AN589" s="2" t="str">
        <f>IFERROR(__xludf.DUMMYFUNCTION("IMPORTRANGE(""https://docs.google.com/spreadsheets/d/""&amp;$A589&amp;""/edit#gid=156619080"",AN$3)"),"#REF!")</f>
        <v>#REF!</v>
      </c>
      <c r="AO589" s="2" t="str">
        <f>IFERROR(__xludf.DUMMYFUNCTION("IMPORTRANGE(""https://docs.google.com/spreadsheets/d/""&amp;$A589&amp;""/edit#gid=156619080"",AO$3)"),"#REF!")</f>
        <v>#REF!</v>
      </c>
      <c r="AP589" s="2" t="str">
        <f>IFERROR(__xludf.DUMMYFUNCTION("IMPORTRANGE(""https://docs.google.com/spreadsheets/d/""&amp;$A589&amp;""/edit#gid=156619080"",AP$3)"),"#REF!")</f>
        <v>#REF!</v>
      </c>
      <c r="AQ589" s="2" t="str">
        <f>IFERROR(__xludf.DUMMYFUNCTION("IMPORTRANGE(""https://docs.google.com/spreadsheets/d/""&amp;$A589&amp;""/edit#gid=156619080"",AQ$3)"),"#REF!")</f>
        <v>#REF!</v>
      </c>
      <c r="AR589" s="2" t="str">
        <f>IFERROR(__xludf.DUMMYFUNCTION("IMPORTRANGE(""https://docs.google.com/spreadsheets/d/""&amp;$A589&amp;""/edit#gid=156619080"",AR$3)"),"#REF!")</f>
        <v>#REF!</v>
      </c>
      <c r="AS589" s="19" t="str">
        <f>IFERROR(__xludf.DUMMYFUNCTION("IMPORTRANGE(""https://docs.google.com/spreadsheets/d/""&amp;$A589&amp;""/edit#gid=156619080"",AS$3)"),"#REF!")</f>
        <v>#REF!</v>
      </c>
      <c r="AT589" s="2" t="str">
        <f>IFERROR(__xludf.DUMMYFUNCTION("IMPORTRANGE(""https://docs.google.com/spreadsheets/d/""&amp;$A589&amp;""/edit#gid=156619080"",AT$3)"),"#REF!")</f>
        <v>#REF!</v>
      </c>
      <c r="AU589" s="3" t="str">
        <f>IFERROR(__xludf.DUMMYFUNCTION("IMPORTRANGE(""https://docs.google.com/spreadsheets/d/""&amp;$A589&amp;""/edit#gid=156619080"",AU$3)"),"#REF!")</f>
        <v>#REF!</v>
      </c>
      <c r="AV589" s="2" t="str">
        <f>IFERROR(__xludf.DUMMYFUNCTION("IMPORTRANGE(""https://docs.google.com/spreadsheets/d/""&amp;$A589&amp;""/edit#gid=156619080"",AV$3)"),"#REF!")</f>
        <v>#REF!</v>
      </c>
      <c r="AW589" s="19" t="str">
        <f>IFERROR(__xludf.DUMMYFUNCTION("IMPORTRANGE(""https://docs.google.com/spreadsheets/d/""&amp;$A589&amp;""/edit#gid=156619080"",AW$3)"),"#REF!")</f>
        <v>#REF!</v>
      </c>
      <c r="AX589" s="2" t="str">
        <f>IFERROR(__xludf.DUMMYFUNCTION("IMPORTRANGE(""https://docs.google.com/spreadsheets/d/""&amp;$A589&amp;""/edit#gid=156619080"",AX$3)"),"#REF!")</f>
        <v>#REF!</v>
      </c>
      <c r="AY589" s="2" t="str">
        <f>IFERROR(__xludf.DUMMYFUNCTION("IMPORTRANGE(""https://docs.google.com/spreadsheets/d/""&amp;$A589&amp;""/edit#gid=156619080"",AY$3)"),"#REF!")</f>
        <v>#REF!</v>
      </c>
      <c r="AZ589" s="2" t="str">
        <f>IFERROR(__xludf.DUMMYFUNCTION("IMPORTRANGE(""https://docs.google.com/spreadsheets/d/""&amp;$A589&amp;""/edit#gid=156619080"",AZ$3)"),"#REF!")</f>
        <v>#REF!</v>
      </c>
      <c r="BA589" s="2" t="str">
        <f>IFERROR(__xludf.DUMMYFUNCTION("IMPORTRANGE(""https://docs.google.com/spreadsheets/d/""&amp;$A589&amp;""/edit#gid=156619080"",BA$3)"),"#REF!")</f>
        <v>#REF!</v>
      </c>
      <c r="BB589" s="2" t="str">
        <f>IFERROR(__xludf.DUMMYFUNCTION("IMPORTRANGE(""https://docs.google.com/spreadsheets/d/""&amp;$A589&amp;""/edit#gid=156619080"",BB$3)"),"#REF!")</f>
        <v>#REF!</v>
      </c>
      <c r="BC589" s="2" t="str">
        <f>IFERROR(__xludf.DUMMYFUNCTION("IMPORTRANGE(""https://docs.google.com/spreadsheets/d/""&amp;$A589&amp;""/edit#gid=156619080"",BC$3)"),"#REF!")</f>
        <v>#REF!</v>
      </c>
    </row>
    <row r="590" ht="51.0" customHeight="1">
      <c r="A590" s="7" t="str">
        <f t="shared" si="5"/>
        <v/>
      </c>
      <c r="C590" s="2" t="str">
        <f>IFERROR(__xludf.DUMMYFUNCTION("IMPORTRANGE(""https://docs.google.com/spreadsheets/d/""&amp;$A590&amp;""/edit#gid=156619080"",C$3)"),"#REF!")</f>
        <v>#REF!</v>
      </c>
      <c r="D590" s="2" t="str">
        <f>IFERROR(__xludf.DUMMYFUNCTION("IMPORTRANGE(""https://docs.google.com/spreadsheets/d/""&amp;$A590&amp;""/edit#gid=156619080"",D$3)"),"#REF!")</f>
        <v>#REF!</v>
      </c>
      <c r="E590" s="2" t="str">
        <f>IFERROR(__xludf.DUMMYFUNCTION("IMPORTRANGE(""https://docs.google.com/spreadsheets/d/""&amp;$A590&amp;""/edit#gid=156619080"",E$3)"),"#REF!")</f>
        <v>#REF!</v>
      </c>
      <c r="F590" s="2" t="str">
        <f>IFERROR(__xludf.DUMMYFUNCTION("IMPORTRANGE(""https://docs.google.com/spreadsheets/d/""&amp;$A590&amp;""/edit#gid=156619080"",F$3)"),"#REF!")</f>
        <v>#REF!</v>
      </c>
      <c r="G590" s="2" t="str">
        <f>IFERROR(__xludf.DUMMYFUNCTION("IMPORTRANGE(""https://docs.google.com/spreadsheets/d/""&amp;$A590&amp;""/edit#gid=156619080"",G$3)"),"#REF!")</f>
        <v>#REF!</v>
      </c>
      <c r="H590" s="2" t="str">
        <f>IFERROR(__xludf.DUMMYFUNCTION("IMPORTRANGE(""https://docs.google.com/spreadsheets/d/""&amp;$A590&amp;""/edit#gid=156619080"",H$3)"),"#REF!")</f>
        <v>#REF!</v>
      </c>
      <c r="I590" s="2" t="str">
        <f>IFERROR(__xludf.DUMMYFUNCTION("IMPORTRANGE(""https://docs.google.com/spreadsheets/d/""&amp;$A590&amp;""/edit#gid=156619080"",I$3)"),"#REF!")</f>
        <v>#REF!</v>
      </c>
      <c r="J590" s="2" t="str">
        <f>IFERROR(__xludf.DUMMYFUNCTION("IMPORTRANGE(""https://docs.google.com/spreadsheets/d/""&amp;$A590&amp;""/edit#gid=156619080"",J$3)"),"#REF!")</f>
        <v>#REF!</v>
      </c>
      <c r="K590" s="2" t="str">
        <f>IFERROR(__xludf.DUMMYFUNCTION("IMPORTRANGE(""https://docs.google.com/spreadsheets/d/""&amp;$A590&amp;""/edit#gid=156619080"",K$3)"),"#REF!")</f>
        <v>#REF!</v>
      </c>
      <c r="L590" s="2" t="str">
        <f>IFERROR(__xludf.DUMMYFUNCTION("IMPORTRANGE(""https://docs.google.com/spreadsheets/d/""&amp;$A590&amp;""/edit#gid=156619080"",L$3)"),"#REF!")</f>
        <v>#REF!</v>
      </c>
      <c r="M590" s="2" t="str">
        <f>IFERROR(__xludf.DUMMYFUNCTION("IMPORTRANGE(""https://docs.google.com/spreadsheets/d/""&amp;$A590&amp;""/edit#gid=156619080"",M$3)"),"#REF!")</f>
        <v>#REF!</v>
      </c>
      <c r="N590" s="2" t="str">
        <f>IFERROR(__xludf.DUMMYFUNCTION("IMPORTRANGE(""https://docs.google.com/spreadsheets/d/""&amp;$A590&amp;""/edit#gid=156619080"",N$3)"),"#REF!")</f>
        <v>#REF!</v>
      </c>
      <c r="O590" s="2" t="str">
        <f>IFERROR(__xludf.DUMMYFUNCTION("IMPORTRANGE(""https://docs.google.com/spreadsheets/d/""&amp;$A590&amp;""/edit#gid=156619080"",O$3)"),"#REF!")</f>
        <v>#REF!</v>
      </c>
      <c r="P590" s="2" t="str">
        <f>IFERROR(__xludf.DUMMYFUNCTION("IMPORTRANGE(""https://docs.google.com/spreadsheets/d/""&amp;$A590&amp;""/edit#gid=156619080"",P$3)"),"#REF!")</f>
        <v>#REF!</v>
      </c>
      <c r="Q590" s="2" t="str">
        <f>IFERROR(__xludf.DUMMYFUNCTION("IMPORTRANGE(""https://docs.google.com/spreadsheets/d/""&amp;$A590&amp;""/edit#gid=156619080"",Q$3)"),"#REF!")</f>
        <v>#REF!</v>
      </c>
      <c r="R590" s="2" t="str">
        <f>IFERROR(__xludf.DUMMYFUNCTION("IMPORTRANGE(""https://docs.google.com/spreadsheets/d/""&amp;$A590&amp;""/edit#gid=156619080"",R$3)"),"#REF!")</f>
        <v>#REF!</v>
      </c>
      <c r="S590" s="2" t="str">
        <f>IFERROR(__xludf.DUMMYFUNCTION("IMPORTRANGE(""https://docs.google.com/spreadsheets/d/""&amp;$A590&amp;""/edit#gid=156619080"",S$3)"),"#REF!")</f>
        <v>#REF!</v>
      </c>
      <c r="T590" s="2" t="str">
        <f>IFERROR(__xludf.DUMMYFUNCTION("IMPORTRANGE(""https://docs.google.com/spreadsheets/d/""&amp;$A590&amp;""/edit#gid=156619080"",T$3)"),"#REF!")</f>
        <v>#REF!</v>
      </c>
      <c r="U590" s="2" t="str">
        <f>IFERROR(__xludf.DUMMYFUNCTION("IMPORTRANGE(""https://docs.google.com/spreadsheets/d/""&amp;$A590&amp;""/edit#gid=156619080"",U$3)"),"#REF!")</f>
        <v>#REF!</v>
      </c>
      <c r="V590" s="2" t="str">
        <f>IFERROR(__xludf.DUMMYFUNCTION("IMPORTRANGE(""https://docs.google.com/spreadsheets/d/""&amp;$A590&amp;""/edit#gid=156619080"",V$3)"),"#REF!")</f>
        <v>#REF!</v>
      </c>
      <c r="W590" s="2" t="str">
        <f>IFERROR(__xludf.DUMMYFUNCTION("IMPORTRANGE(""https://docs.google.com/spreadsheets/d/""&amp;$A590&amp;""/edit#gid=156619080"",W$3)"),"#REF!")</f>
        <v>#REF!</v>
      </c>
      <c r="X590" s="2" t="str">
        <f>IFERROR(__xludf.DUMMYFUNCTION("IMPORTRANGE(""https://docs.google.com/spreadsheets/d/""&amp;$A590&amp;""/edit#gid=156619080"",X$3)"),"#REF!")</f>
        <v>#REF!</v>
      </c>
      <c r="Y590" s="2" t="str">
        <f>IFERROR(__xludf.DUMMYFUNCTION("IMPORTRANGE(""https://docs.google.com/spreadsheets/d/""&amp;$A590&amp;""/edit#gid=156619080"",Y$3)"),"#REF!")</f>
        <v>#REF!</v>
      </c>
      <c r="Z590" s="2" t="str">
        <f>IFERROR(__xludf.DUMMYFUNCTION("IMPORTRANGE(""https://docs.google.com/spreadsheets/d/""&amp;$A590&amp;""/edit#gid=156619080"",Z$3)"),"#REF!")</f>
        <v>#REF!</v>
      </c>
      <c r="AA590" s="2" t="str">
        <f>IFERROR(__xludf.DUMMYFUNCTION("IMPORTRANGE(""https://docs.google.com/spreadsheets/d/""&amp;$A590&amp;""/edit#gid=156619080"",AA$3)"),"#REF!")</f>
        <v>#REF!</v>
      </c>
      <c r="AB590" s="2" t="str">
        <f>IFERROR(__xludf.DUMMYFUNCTION("IMPORTRANGE(""https://docs.google.com/spreadsheets/d/""&amp;$A590&amp;""/edit#gid=156619080"",AB$3)"),"#REF!")</f>
        <v>#REF!</v>
      </c>
      <c r="AC590" s="2" t="str">
        <f>IFERROR(__xludf.DUMMYFUNCTION("IMPORTRANGE(""https://docs.google.com/spreadsheets/d/""&amp;$A590&amp;""/edit#gid=156619080"",AC$3)"),"#REF!")</f>
        <v>#REF!</v>
      </c>
      <c r="AD590" s="2" t="str">
        <f>IFERROR(__xludf.DUMMYFUNCTION("IMPORTRANGE(""https://docs.google.com/spreadsheets/d/""&amp;$A590&amp;""/edit#gid=156619080"",AD$3)"),"#REF!")</f>
        <v>#REF!</v>
      </c>
      <c r="AE590" s="2" t="str">
        <f>IFERROR(__xludf.DUMMYFUNCTION("IMPORTRANGE(""https://docs.google.com/spreadsheets/d/""&amp;$A590&amp;""/edit#gid=156619080"",AE$3)"),"#REF!")</f>
        <v>#REF!</v>
      </c>
      <c r="AF590" s="2" t="str">
        <f>IFERROR(__xludf.DUMMYFUNCTION("IMPORTRANGE(""https://docs.google.com/spreadsheets/d/""&amp;$A590&amp;""/edit#gid=156619080"",AF$3)"),"#REF!")</f>
        <v>#REF!</v>
      </c>
      <c r="AG590" s="2" t="str">
        <f>IFERROR(__xludf.DUMMYFUNCTION("IMPORTRANGE(""https://docs.google.com/spreadsheets/d/""&amp;$A590&amp;""/edit#gid=156619080"",AG$3)"),"#REF!")</f>
        <v>#REF!</v>
      </c>
      <c r="AH590" s="2" t="str">
        <f>IFERROR(__xludf.DUMMYFUNCTION("IMPORTRANGE(""https://docs.google.com/spreadsheets/d/""&amp;$A590&amp;""/edit#gid=156619080"",AH$3)"),"#REF!")</f>
        <v>#REF!</v>
      </c>
      <c r="AI590" s="2" t="str">
        <f>IFERROR(__xludf.DUMMYFUNCTION("IMPORTRANGE(""https://docs.google.com/spreadsheets/d/""&amp;$A590&amp;""/edit#gid=156619080"",AI$3)"),"#REF!")</f>
        <v>#REF!</v>
      </c>
      <c r="AJ590" s="2" t="str">
        <f>IFERROR(__xludf.DUMMYFUNCTION("IMPORTRANGE(""https://docs.google.com/spreadsheets/d/""&amp;$A590&amp;""/edit#gid=156619080"",AJ$3)"),"#REF!")</f>
        <v>#REF!</v>
      </c>
      <c r="AK590" s="2" t="str">
        <f>IFERROR(__xludf.DUMMYFUNCTION("IMPORTRANGE(""https://docs.google.com/spreadsheets/d/""&amp;$A590&amp;""/edit#gid=156619080"",AK$3)"),"#REF!")</f>
        <v>#REF!</v>
      </c>
      <c r="AL590" s="2" t="str">
        <f>IFERROR(__xludf.DUMMYFUNCTION("IMPORTRANGE(""https://docs.google.com/spreadsheets/d/""&amp;$A590&amp;""/edit#gid=156619080"",AL$3)"),"#REF!")</f>
        <v>#REF!</v>
      </c>
      <c r="AM590" s="2" t="str">
        <f>IFERROR(__xludf.DUMMYFUNCTION("IMPORTRANGE(""https://docs.google.com/spreadsheets/d/""&amp;$A590&amp;""/edit#gid=156619080"",AM$3)"),"#REF!")</f>
        <v>#REF!</v>
      </c>
      <c r="AN590" s="2" t="str">
        <f>IFERROR(__xludf.DUMMYFUNCTION("IMPORTRANGE(""https://docs.google.com/spreadsheets/d/""&amp;$A590&amp;""/edit#gid=156619080"",AN$3)"),"#REF!")</f>
        <v>#REF!</v>
      </c>
      <c r="AO590" s="2" t="str">
        <f>IFERROR(__xludf.DUMMYFUNCTION("IMPORTRANGE(""https://docs.google.com/spreadsheets/d/""&amp;$A590&amp;""/edit#gid=156619080"",AO$3)"),"#REF!")</f>
        <v>#REF!</v>
      </c>
      <c r="AP590" s="2" t="str">
        <f>IFERROR(__xludf.DUMMYFUNCTION("IMPORTRANGE(""https://docs.google.com/spreadsheets/d/""&amp;$A590&amp;""/edit#gid=156619080"",AP$3)"),"#REF!")</f>
        <v>#REF!</v>
      </c>
      <c r="AQ590" s="2" t="str">
        <f>IFERROR(__xludf.DUMMYFUNCTION("IMPORTRANGE(""https://docs.google.com/spreadsheets/d/""&amp;$A590&amp;""/edit#gid=156619080"",AQ$3)"),"#REF!")</f>
        <v>#REF!</v>
      </c>
      <c r="AR590" s="2" t="str">
        <f>IFERROR(__xludf.DUMMYFUNCTION("IMPORTRANGE(""https://docs.google.com/spreadsheets/d/""&amp;$A590&amp;""/edit#gid=156619080"",AR$3)"),"#REF!")</f>
        <v>#REF!</v>
      </c>
      <c r="AS590" s="19" t="str">
        <f>IFERROR(__xludf.DUMMYFUNCTION("IMPORTRANGE(""https://docs.google.com/spreadsheets/d/""&amp;$A590&amp;""/edit#gid=156619080"",AS$3)"),"#REF!")</f>
        <v>#REF!</v>
      </c>
      <c r="AT590" s="2" t="str">
        <f>IFERROR(__xludf.DUMMYFUNCTION("IMPORTRANGE(""https://docs.google.com/spreadsheets/d/""&amp;$A590&amp;""/edit#gid=156619080"",AT$3)"),"#REF!")</f>
        <v>#REF!</v>
      </c>
      <c r="AU590" s="3" t="str">
        <f>IFERROR(__xludf.DUMMYFUNCTION("IMPORTRANGE(""https://docs.google.com/spreadsheets/d/""&amp;$A590&amp;""/edit#gid=156619080"",AU$3)"),"#REF!")</f>
        <v>#REF!</v>
      </c>
      <c r="AV590" s="2" t="str">
        <f>IFERROR(__xludf.DUMMYFUNCTION("IMPORTRANGE(""https://docs.google.com/spreadsheets/d/""&amp;$A590&amp;""/edit#gid=156619080"",AV$3)"),"#REF!")</f>
        <v>#REF!</v>
      </c>
      <c r="AW590" s="19" t="str">
        <f>IFERROR(__xludf.DUMMYFUNCTION("IMPORTRANGE(""https://docs.google.com/spreadsheets/d/""&amp;$A590&amp;""/edit#gid=156619080"",AW$3)"),"#REF!")</f>
        <v>#REF!</v>
      </c>
      <c r="AX590" s="2" t="str">
        <f>IFERROR(__xludf.DUMMYFUNCTION("IMPORTRANGE(""https://docs.google.com/spreadsheets/d/""&amp;$A590&amp;""/edit#gid=156619080"",AX$3)"),"#REF!")</f>
        <v>#REF!</v>
      </c>
      <c r="AY590" s="2" t="str">
        <f>IFERROR(__xludf.DUMMYFUNCTION("IMPORTRANGE(""https://docs.google.com/spreadsheets/d/""&amp;$A590&amp;""/edit#gid=156619080"",AY$3)"),"#REF!")</f>
        <v>#REF!</v>
      </c>
      <c r="AZ590" s="2" t="str">
        <f>IFERROR(__xludf.DUMMYFUNCTION("IMPORTRANGE(""https://docs.google.com/spreadsheets/d/""&amp;$A590&amp;""/edit#gid=156619080"",AZ$3)"),"#REF!")</f>
        <v>#REF!</v>
      </c>
      <c r="BA590" s="2" t="str">
        <f>IFERROR(__xludf.DUMMYFUNCTION("IMPORTRANGE(""https://docs.google.com/spreadsheets/d/""&amp;$A590&amp;""/edit#gid=156619080"",BA$3)"),"#REF!")</f>
        <v>#REF!</v>
      </c>
      <c r="BB590" s="2" t="str">
        <f>IFERROR(__xludf.DUMMYFUNCTION("IMPORTRANGE(""https://docs.google.com/spreadsheets/d/""&amp;$A590&amp;""/edit#gid=156619080"",BB$3)"),"#REF!")</f>
        <v>#REF!</v>
      </c>
      <c r="BC590" s="2" t="str">
        <f>IFERROR(__xludf.DUMMYFUNCTION("IMPORTRANGE(""https://docs.google.com/spreadsheets/d/""&amp;$A590&amp;""/edit#gid=156619080"",BC$3)"),"#REF!")</f>
        <v>#REF!</v>
      </c>
    </row>
    <row r="591" ht="51.0" customHeight="1">
      <c r="A591" s="7" t="str">
        <f t="shared" si="5"/>
        <v/>
      </c>
      <c r="C591" s="2" t="str">
        <f>IFERROR(__xludf.DUMMYFUNCTION("IMPORTRANGE(""https://docs.google.com/spreadsheets/d/""&amp;$A591&amp;""/edit#gid=156619080"",C$3)"),"#REF!")</f>
        <v>#REF!</v>
      </c>
      <c r="D591" s="2" t="str">
        <f>IFERROR(__xludf.DUMMYFUNCTION("IMPORTRANGE(""https://docs.google.com/spreadsheets/d/""&amp;$A591&amp;""/edit#gid=156619080"",D$3)"),"#REF!")</f>
        <v>#REF!</v>
      </c>
      <c r="E591" s="2" t="str">
        <f>IFERROR(__xludf.DUMMYFUNCTION("IMPORTRANGE(""https://docs.google.com/spreadsheets/d/""&amp;$A591&amp;""/edit#gid=156619080"",E$3)"),"#REF!")</f>
        <v>#REF!</v>
      </c>
      <c r="F591" s="2" t="str">
        <f>IFERROR(__xludf.DUMMYFUNCTION("IMPORTRANGE(""https://docs.google.com/spreadsheets/d/""&amp;$A591&amp;""/edit#gid=156619080"",F$3)"),"#REF!")</f>
        <v>#REF!</v>
      </c>
      <c r="G591" s="2" t="str">
        <f>IFERROR(__xludf.DUMMYFUNCTION("IMPORTRANGE(""https://docs.google.com/spreadsheets/d/""&amp;$A591&amp;""/edit#gid=156619080"",G$3)"),"#REF!")</f>
        <v>#REF!</v>
      </c>
      <c r="H591" s="2" t="str">
        <f>IFERROR(__xludf.DUMMYFUNCTION("IMPORTRANGE(""https://docs.google.com/spreadsheets/d/""&amp;$A591&amp;""/edit#gid=156619080"",H$3)"),"#REF!")</f>
        <v>#REF!</v>
      </c>
      <c r="I591" s="2" t="str">
        <f>IFERROR(__xludf.DUMMYFUNCTION("IMPORTRANGE(""https://docs.google.com/spreadsheets/d/""&amp;$A591&amp;""/edit#gid=156619080"",I$3)"),"#REF!")</f>
        <v>#REF!</v>
      </c>
      <c r="J591" s="2" t="str">
        <f>IFERROR(__xludf.DUMMYFUNCTION("IMPORTRANGE(""https://docs.google.com/spreadsheets/d/""&amp;$A591&amp;""/edit#gid=156619080"",J$3)"),"#REF!")</f>
        <v>#REF!</v>
      </c>
      <c r="K591" s="2" t="str">
        <f>IFERROR(__xludf.DUMMYFUNCTION("IMPORTRANGE(""https://docs.google.com/spreadsheets/d/""&amp;$A591&amp;""/edit#gid=156619080"",K$3)"),"#REF!")</f>
        <v>#REF!</v>
      </c>
      <c r="L591" s="2" t="str">
        <f>IFERROR(__xludf.DUMMYFUNCTION("IMPORTRANGE(""https://docs.google.com/spreadsheets/d/""&amp;$A591&amp;""/edit#gid=156619080"",L$3)"),"#REF!")</f>
        <v>#REF!</v>
      </c>
      <c r="M591" s="2" t="str">
        <f>IFERROR(__xludf.DUMMYFUNCTION("IMPORTRANGE(""https://docs.google.com/spreadsheets/d/""&amp;$A591&amp;""/edit#gid=156619080"",M$3)"),"#REF!")</f>
        <v>#REF!</v>
      </c>
      <c r="N591" s="2" t="str">
        <f>IFERROR(__xludf.DUMMYFUNCTION("IMPORTRANGE(""https://docs.google.com/spreadsheets/d/""&amp;$A591&amp;""/edit#gid=156619080"",N$3)"),"#REF!")</f>
        <v>#REF!</v>
      </c>
      <c r="O591" s="2" t="str">
        <f>IFERROR(__xludf.DUMMYFUNCTION("IMPORTRANGE(""https://docs.google.com/spreadsheets/d/""&amp;$A591&amp;""/edit#gid=156619080"",O$3)"),"#REF!")</f>
        <v>#REF!</v>
      </c>
      <c r="P591" s="2" t="str">
        <f>IFERROR(__xludf.DUMMYFUNCTION("IMPORTRANGE(""https://docs.google.com/spreadsheets/d/""&amp;$A591&amp;""/edit#gid=156619080"",P$3)"),"#REF!")</f>
        <v>#REF!</v>
      </c>
      <c r="Q591" s="2" t="str">
        <f>IFERROR(__xludf.DUMMYFUNCTION("IMPORTRANGE(""https://docs.google.com/spreadsheets/d/""&amp;$A591&amp;""/edit#gid=156619080"",Q$3)"),"#REF!")</f>
        <v>#REF!</v>
      </c>
      <c r="R591" s="2" t="str">
        <f>IFERROR(__xludf.DUMMYFUNCTION("IMPORTRANGE(""https://docs.google.com/spreadsheets/d/""&amp;$A591&amp;""/edit#gid=156619080"",R$3)"),"#REF!")</f>
        <v>#REF!</v>
      </c>
      <c r="S591" s="2" t="str">
        <f>IFERROR(__xludf.DUMMYFUNCTION("IMPORTRANGE(""https://docs.google.com/spreadsheets/d/""&amp;$A591&amp;""/edit#gid=156619080"",S$3)"),"#REF!")</f>
        <v>#REF!</v>
      </c>
      <c r="T591" s="2" t="str">
        <f>IFERROR(__xludf.DUMMYFUNCTION("IMPORTRANGE(""https://docs.google.com/spreadsheets/d/""&amp;$A591&amp;""/edit#gid=156619080"",T$3)"),"#REF!")</f>
        <v>#REF!</v>
      </c>
      <c r="U591" s="2" t="str">
        <f>IFERROR(__xludf.DUMMYFUNCTION("IMPORTRANGE(""https://docs.google.com/spreadsheets/d/""&amp;$A591&amp;""/edit#gid=156619080"",U$3)"),"#REF!")</f>
        <v>#REF!</v>
      </c>
      <c r="V591" s="2" t="str">
        <f>IFERROR(__xludf.DUMMYFUNCTION("IMPORTRANGE(""https://docs.google.com/spreadsheets/d/""&amp;$A591&amp;""/edit#gid=156619080"",V$3)"),"#REF!")</f>
        <v>#REF!</v>
      </c>
      <c r="W591" s="2" t="str">
        <f>IFERROR(__xludf.DUMMYFUNCTION("IMPORTRANGE(""https://docs.google.com/spreadsheets/d/""&amp;$A591&amp;""/edit#gid=156619080"",W$3)"),"#REF!")</f>
        <v>#REF!</v>
      </c>
      <c r="X591" s="2" t="str">
        <f>IFERROR(__xludf.DUMMYFUNCTION("IMPORTRANGE(""https://docs.google.com/spreadsheets/d/""&amp;$A591&amp;""/edit#gid=156619080"",X$3)"),"#REF!")</f>
        <v>#REF!</v>
      </c>
      <c r="Y591" s="2" t="str">
        <f>IFERROR(__xludf.DUMMYFUNCTION("IMPORTRANGE(""https://docs.google.com/spreadsheets/d/""&amp;$A591&amp;""/edit#gid=156619080"",Y$3)"),"#REF!")</f>
        <v>#REF!</v>
      </c>
      <c r="Z591" s="2" t="str">
        <f>IFERROR(__xludf.DUMMYFUNCTION("IMPORTRANGE(""https://docs.google.com/spreadsheets/d/""&amp;$A591&amp;""/edit#gid=156619080"",Z$3)"),"#REF!")</f>
        <v>#REF!</v>
      </c>
      <c r="AA591" s="2" t="str">
        <f>IFERROR(__xludf.DUMMYFUNCTION("IMPORTRANGE(""https://docs.google.com/spreadsheets/d/""&amp;$A591&amp;""/edit#gid=156619080"",AA$3)"),"#REF!")</f>
        <v>#REF!</v>
      </c>
      <c r="AB591" s="2" t="str">
        <f>IFERROR(__xludf.DUMMYFUNCTION("IMPORTRANGE(""https://docs.google.com/spreadsheets/d/""&amp;$A591&amp;""/edit#gid=156619080"",AB$3)"),"#REF!")</f>
        <v>#REF!</v>
      </c>
      <c r="AC591" s="2" t="str">
        <f>IFERROR(__xludf.DUMMYFUNCTION("IMPORTRANGE(""https://docs.google.com/spreadsheets/d/""&amp;$A591&amp;""/edit#gid=156619080"",AC$3)"),"#REF!")</f>
        <v>#REF!</v>
      </c>
      <c r="AD591" s="2" t="str">
        <f>IFERROR(__xludf.DUMMYFUNCTION("IMPORTRANGE(""https://docs.google.com/spreadsheets/d/""&amp;$A591&amp;""/edit#gid=156619080"",AD$3)"),"#REF!")</f>
        <v>#REF!</v>
      </c>
      <c r="AE591" s="2" t="str">
        <f>IFERROR(__xludf.DUMMYFUNCTION("IMPORTRANGE(""https://docs.google.com/spreadsheets/d/""&amp;$A591&amp;""/edit#gid=156619080"",AE$3)"),"#REF!")</f>
        <v>#REF!</v>
      </c>
      <c r="AF591" s="2" t="str">
        <f>IFERROR(__xludf.DUMMYFUNCTION("IMPORTRANGE(""https://docs.google.com/spreadsheets/d/""&amp;$A591&amp;""/edit#gid=156619080"",AF$3)"),"#REF!")</f>
        <v>#REF!</v>
      </c>
      <c r="AG591" s="2" t="str">
        <f>IFERROR(__xludf.DUMMYFUNCTION("IMPORTRANGE(""https://docs.google.com/spreadsheets/d/""&amp;$A591&amp;""/edit#gid=156619080"",AG$3)"),"#REF!")</f>
        <v>#REF!</v>
      </c>
      <c r="AH591" s="2" t="str">
        <f>IFERROR(__xludf.DUMMYFUNCTION("IMPORTRANGE(""https://docs.google.com/spreadsheets/d/""&amp;$A591&amp;""/edit#gid=156619080"",AH$3)"),"#REF!")</f>
        <v>#REF!</v>
      </c>
      <c r="AI591" s="2" t="str">
        <f>IFERROR(__xludf.DUMMYFUNCTION("IMPORTRANGE(""https://docs.google.com/spreadsheets/d/""&amp;$A591&amp;""/edit#gid=156619080"",AI$3)"),"#REF!")</f>
        <v>#REF!</v>
      </c>
      <c r="AJ591" s="2" t="str">
        <f>IFERROR(__xludf.DUMMYFUNCTION("IMPORTRANGE(""https://docs.google.com/spreadsheets/d/""&amp;$A591&amp;""/edit#gid=156619080"",AJ$3)"),"#REF!")</f>
        <v>#REF!</v>
      </c>
      <c r="AK591" s="2" t="str">
        <f>IFERROR(__xludf.DUMMYFUNCTION("IMPORTRANGE(""https://docs.google.com/spreadsheets/d/""&amp;$A591&amp;""/edit#gid=156619080"",AK$3)"),"#REF!")</f>
        <v>#REF!</v>
      </c>
      <c r="AL591" s="2" t="str">
        <f>IFERROR(__xludf.DUMMYFUNCTION("IMPORTRANGE(""https://docs.google.com/spreadsheets/d/""&amp;$A591&amp;""/edit#gid=156619080"",AL$3)"),"#REF!")</f>
        <v>#REF!</v>
      </c>
      <c r="AM591" s="2" t="str">
        <f>IFERROR(__xludf.DUMMYFUNCTION("IMPORTRANGE(""https://docs.google.com/spreadsheets/d/""&amp;$A591&amp;""/edit#gid=156619080"",AM$3)"),"#REF!")</f>
        <v>#REF!</v>
      </c>
      <c r="AN591" s="2" t="str">
        <f>IFERROR(__xludf.DUMMYFUNCTION("IMPORTRANGE(""https://docs.google.com/spreadsheets/d/""&amp;$A591&amp;""/edit#gid=156619080"",AN$3)"),"#REF!")</f>
        <v>#REF!</v>
      </c>
      <c r="AO591" s="2" t="str">
        <f>IFERROR(__xludf.DUMMYFUNCTION("IMPORTRANGE(""https://docs.google.com/spreadsheets/d/""&amp;$A591&amp;""/edit#gid=156619080"",AO$3)"),"#REF!")</f>
        <v>#REF!</v>
      </c>
      <c r="AP591" s="2" t="str">
        <f>IFERROR(__xludf.DUMMYFUNCTION("IMPORTRANGE(""https://docs.google.com/spreadsheets/d/""&amp;$A591&amp;""/edit#gid=156619080"",AP$3)"),"#REF!")</f>
        <v>#REF!</v>
      </c>
      <c r="AQ591" s="2" t="str">
        <f>IFERROR(__xludf.DUMMYFUNCTION("IMPORTRANGE(""https://docs.google.com/spreadsheets/d/""&amp;$A591&amp;""/edit#gid=156619080"",AQ$3)"),"#REF!")</f>
        <v>#REF!</v>
      </c>
      <c r="AR591" s="2" t="str">
        <f>IFERROR(__xludf.DUMMYFUNCTION("IMPORTRANGE(""https://docs.google.com/spreadsheets/d/""&amp;$A591&amp;""/edit#gid=156619080"",AR$3)"),"#REF!")</f>
        <v>#REF!</v>
      </c>
      <c r="AS591" s="19" t="str">
        <f>IFERROR(__xludf.DUMMYFUNCTION("IMPORTRANGE(""https://docs.google.com/spreadsheets/d/""&amp;$A591&amp;""/edit#gid=156619080"",AS$3)"),"#REF!")</f>
        <v>#REF!</v>
      </c>
      <c r="AT591" s="2" t="str">
        <f>IFERROR(__xludf.DUMMYFUNCTION("IMPORTRANGE(""https://docs.google.com/spreadsheets/d/""&amp;$A591&amp;""/edit#gid=156619080"",AT$3)"),"#REF!")</f>
        <v>#REF!</v>
      </c>
      <c r="AU591" s="3" t="str">
        <f>IFERROR(__xludf.DUMMYFUNCTION("IMPORTRANGE(""https://docs.google.com/spreadsheets/d/""&amp;$A591&amp;""/edit#gid=156619080"",AU$3)"),"#REF!")</f>
        <v>#REF!</v>
      </c>
      <c r="AV591" s="2" t="str">
        <f>IFERROR(__xludf.DUMMYFUNCTION("IMPORTRANGE(""https://docs.google.com/spreadsheets/d/""&amp;$A591&amp;""/edit#gid=156619080"",AV$3)"),"#REF!")</f>
        <v>#REF!</v>
      </c>
      <c r="AW591" s="19" t="str">
        <f>IFERROR(__xludf.DUMMYFUNCTION("IMPORTRANGE(""https://docs.google.com/spreadsheets/d/""&amp;$A591&amp;""/edit#gid=156619080"",AW$3)"),"#REF!")</f>
        <v>#REF!</v>
      </c>
      <c r="AX591" s="2" t="str">
        <f>IFERROR(__xludf.DUMMYFUNCTION("IMPORTRANGE(""https://docs.google.com/spreadsheets/d/""&amp;$A591&amp;""/edit#gid=156619080"",AX$3)"),"#REF!")</f>
        <v>#REF!</v>
      </c>
      <c r="AY591" s="2" t="str">
        <f>IFERROR(__xludf.DUMMYFUNCTION("IMPORTRANGE(""https://docs.google.com/spreadsheets/d/""&amp;$A591&amp;""/edit#gid=156619080"",AY$3)"),"#REF!")</f>
        <v>#REF!</v>
      </c>
      <c r="AZ591" s="2" t="str">
        <f>IFERROR(__xludf.DUMMYFUNCTION("IMPORTRANGE(""https://docs.google.com/spreadsheets/d/""&amp;$A591&amp;""/edit#gid=156619080"",AZ$3)"),"#REF!")</f>
        <v>#REF!</v>
      </c>
      <c r="BA591" s="2" t="str">
        <f>IFERROR(__xludf.DUMMYFUNCTION("IMPORTRANGE(""https://docs.google.com/spreadsheets/d/""&amp;$A591&amp;""/edit#gid=156619080"",BA$3)"),"#REF!")</f>
        <v>#REF!</v>
      </c>
      <c r="BB591" s="2" t="str">
        <f>IFERROR(__xludf.DUMMYFUNCTION("IMPORTRANGE(""https://docs.google.com/spreadsheets/d/""&amp;$A591&amp;""/edit#gid=156619080"",BB$3)"),"#REF!")</f>
        <v>#REF!</v>
      </c>
      <c r="BC591" s="2" t="str">
        <f>IFERROR(__xludf.DUMMYFUNCTION("IMPORTRANGE(""https://docs.google.com/spreadsheets/d/""&amp;$A591&amp;""/edit#gid=156619080"",BC$3)"),"#REF!")</f>
        <v>#REF!</v>
      </c>
    </row>
    <row r="592" ht="51.0" customHeight="1">
      <c r="A592" s="7" t="str">
        <f t="shared" si="5"/>
        <v/>
      </c>
      <c r="C592" s="2" t="str">
        <f>IFERROR(__xludf.DUMMYFUNCTION("IMPORTRANGE(""https://docs.google.com/spreadsheets/d/""&amp;$A592&amp;""/edit#gid=156619080"",C$3)"),"#REF!")</f>
        <v>#REF!</v>
      </c>
      <c r="D592" s="2" t="str">
        <f>IFERROR(__xludf.DUMMYFUNCTION("IMPORTRANGE(""https://docs.google.com/spreadsheets/d/""&amp;$A592&amp;""/edit#gid=156619080"",D$3)"),"#REF!")</f>
        <v>#REF!</v>
      </c>
      <c r="E592" s="2" t="str">
        <f>IFERROR(__xludf.DUMMYFUNCTION("IMPORTRANGE(""https://docs.google.com/spreadsheets/d/""&amp;$A592&amp;""/edit#gid=156619080"",E$3)"),"#REF!")</f>
        <v>#REF!</v>
      </c>
      <c r="F592" s="2" t="str">
        <f>IFERROR(__xludf.DUMMYFUNCTION("IMPORTRANGE(""https://docs.google.com/spreadsheets/d/""&amp;$A592&amp;""/edit#gid=156619080"",F$3)"),"#REF!")</f>
        <v>#REF!</v>
      </c>
      <c r="G592" s="2" t="str">
        <f>IFERROR(__xludf.DUMMYFUNCTION("IMPORTRANGE(""https://docs.google.com/spreadsheets/d/""&amp;$A592&amp;""/edit#gid=156619080"",G$3)"),"#REF!")</f>
        <v>#REF!</v>
      </c>
      <c r="H592" s="2" t="str">
        <f>IFERROR(__xludf.DUMMYFUNCTION("IMPORTRANGE(""https://docs.google.com/spreadsheets/d/""&amp;$A592&amp;""/edit#gid=156619080"",H$3)"),"#REF!")</f>
        <v>#REF!</v>
      </c>
      <c r="I592" s="2" t="str">
        <f>IFERROR(__xludf.DUMMYFUNCTION("IMPORTRANGE(""https://docs.google.com/spreadsheets/d/""&amp;$A592&amp;""/edit#gid=156619080"",I$3)"),"#REF!")</f>
        <v>#REF!</v>
      </c>
      <c r="J592" s="2" t="str">
        <f>IFERROR(__xludf.DUMMYFUNCTION("IMPORTRANGE(""https://docs.google.com/spreadsheets/d/""&amp;$A592&amp;""/edit#gid=156619080"",J$3)"),"#REF!")</f>
        <v>#REF!</v>
      </c>
      <c r="K592" s="2" t="str">
        <f>IFERROR(__xludf.DUMMYFUNCTION("IMPORTRANGE(""https://docs.google.com/spreadsheets/d/""&amp;$A592&amp;""/edit#gid=156619080"",K$3)"),"#REF!")</f>
        <v>#REF!</v>
      </c>
      <c r="L592" s="2" t="str">
        <f>IFERROR(__xludf.DUMMYFUNCTION("IMPORTRANGE(""https://docs.google.com/spreadsheets/d/""&amp;$A592&amp;""/edit#gid=156619080"",L$3)"),"#REF!")</f>
        <v>#REF!</v>
      </c>
      <c r="M592" s="2" t="str">
        <f>IFERROR(__xludf.DUMMYFUNCTION("IMPORTRANGE(""https://docs.google.com/spreadsheets/d/""&amp;$A592&amp;""/edit#gid=156619080"",M$3)"),"#REF!")</f>
        <v>#REF!</v>
      </c>
      <c r="N592" s="2" t="str">
        <f>IFERROR(__xludf.DUMMYFUNCTION("IMPORTRANGE(""https://docs.google.com/spreadsheets/d/""&amp;$A592&amp;""/edit#gid=156619080"",N$3)"),"#REF!")</f>
        <v>#REF!</v>
      </c>
      <c r="O592" s="2" t="str">
        <f>IFERROR(__xludf.DUMMYFUNCTION("IMPORTRANGE(""https://docs.google.com/spreadsheets/d/""&amp;$A592&amp;""/edit#gid=156619080"",O$3)"),"#REF!")</f>
        <v>#REF!</v>
      </c>
      <c r="P592" s="2" t="str">
        <f>IFERROR(__xludf.DUMMYFUNCTION("IMPORTRANGE(""https://docs.google.com/spreadsheets/d/""&amp;$A592&amp;""/edit#gid=156619080"",P$3)"),"#REF!")</f>
        <v>#REF!</v>
      </c>
      <c r="Q592" s="2" t="str">
        <f>IFERROR(__xludf.DUMMYFUNCTION("IMPORTRANGE(""https://docs.google.com/spreadsheets/d/""&amp;$A592&amp;""/edit#gid=156619080"",Q$3)"),"#REF!")</f>
        <v>#REF!</v>
      </c>
      <c r="R592" s="2" t="str">
        <f>IFERROR(__xludf.DUMMYFUNCTION("IMPORTRANGE(""https://docs.google.com/spreadsheets/d/""&amp;$A592&amp;""/edit#gid=156619080"",R$3)"),"#REF!")</f>
        <v>#REF!</v>
      </c>
      <c r="S592" s="2" t="str">
        <f>IFERROR(__xludf.DUMMYFUNCTION("IMPORTRANGE(""https://docs.google.com/spreadsheets/d/""&amp;$A592&amp;""/edit#gid=156619080"",S$3)"),"#REF!")</f>
        <v>#REF!</v>
      </c>
      <c r="T592" s="2" t="str">
        <f>IFERROR(__xludf.DUMMYFUNCTION("IMPORTRANGE(""https://docs.google.com/spreadsheets/d/""&amp;$A592&amp;""/edit#gid=156619080"",T$3)"),"#REF!")</f>
        <v>#REF!</v>
      </c>
      <c r="U592" s="2" t="str">
        <f>IFERROR(__xludf.DUMMYFUNCTION("IMPORTRANGE(""https://docs.google.com/spreadsheets/d/""&amp;$A592&amp;""/edit#gid=156619080"",U$3)"),"#REF!")</f>
        <v>#REF!</v>
      </c>
      <c r="V592" s="2" t="str">
        <f>IFERROR(__xludf.DUMMYFUNCTION("IMPORTRANGE(""https://docs.google.com/spreadsheets/d/""&amp;$A592&amp;""/edit#gid=156619080"",V$3)"),"#REF!")</f>
        <v>#REF!</v>
      </c>
      <c r="W592" s="2" t="str">
        <f>IFERROR(__xludf.DUMMYFUNCTION("IMPORTRANGE(""https://docs.google.com/spreadsheets/d/""&amp;$A592&amp;""/edit#gid=156619080"",W$3)"),"#REF!")</f>
        <v>#REF!</v>
      </c>
      <c r="X592" s="2" t="str">
        <f>IFERROR(__xludf.DUMMYFUNCTION("IMPORTRANGE(""https://docs.google.com/spreadsheets/d/""&amp;$A592&amp;""/edit#gid=156619080"",X$3)"),"#REF!")</f>
        <v>#REF!</v>
      </c>
      <c r="Y592" s="2" t="str">
        <f>IFERROR(__xludf.DUMMYFUNCTION("IMPORTRANGE(""https://docs.google.com/spreadsheets/d/""&amp;$A592&amp;""/edit#gid=156619080"",Y$3)"),"#REF!")</f>
        <v>#REF!</v>
      </c>
      <c r="Z592" s="2" t="str">
        <f>IFERROR(__xludf.DUMMYFUNCTION("IMPORTRANGE(""https://docs.google.com/spreadsheets/d/""&amp;$A592&amp;""/edit#gid=156619080"",Z$3)"),"#REF!")</f>
        <v>#REF!</v>
      </c>
      <c r="AA592" s="2" t="str">
        <f>IFERROR(__xludf.DUMMYFUNCTION("IMPORTRANGE(""https://docs.google.com/spreadsheets/d/""&amp;$A592&amp;""/edit#gid=156619080"",AA$3)"),"#REF!")</f>
        <v>#REF!</v>
      </c>
      <c r="AB592" s="2" t="str">
        <f>IFERROR(__xludf.DUMMYFUNCTION("IMPORTRANGE(""https://docs.google.com/spreadsheets/d/""&amp;$A592&amp;""/edit#gid=156619080"",AB$3)"),"#REF!")</f>
        <v>#REF!</v>
      </c>
      <c r="AC592" s="2" t="str">
        <f>IFERROR(__xludf.DUMMYFUNCTION("IMPORTRANGE(""https://docs.google.com/spreadsheets/d/""&amp;$A592&amp;""/edit#gid=156619080"",AC$3)"),"#REF!")</f>
        <v>#REF!</v>
      </c>
      <c r="AD592" s="2" t="str">
        <f>IFERROR(__xludf.DUMMYFUNCTION("IMPORTRANGE(""https://docs.google.com/spreadsheets/d/""&amp;$A592&amp;""/edit#gid=156619080"",AD$3)"),"#REF!")</f>
        <v>#REF!</v>
      </c>
      <c r="AE592" s="2" t="str">
        <f>IFERROR(__xludf.DUMMYFUNCTION("IMPORTRANGE(""https://docs.google.com/spreadsheets/d/""&amp;$A592&amp;""/edit#gid=156619080"",AE$3)"),"#REF!")</f>
        <v>#REF!</v>
      </c>
      <c r="AF592" s="2" t="str">
        <f>IFERROR(__xludf.DUMMYFUNCTION("IMPORTRANGE(""https://docs.google.com/spreadsheets/d/""&amp;$A592&amp;""/edit#gid=156619080"",AF$3)"),"#REF!")</f>
        <v>#REF!</v>
      </c>
      <c r="AG592" s="2" t="str">
        <f>IFERROR(__xludf.DUMMYFUNCTION("IMPORTRANGE(""https://docs.google.com/spreadsheets/d/""&amp;$A592&amp;""/edit#gid=156619080"",AG$3)"),"#REF!")</f>
        <v>#REF!</v>
      </c>
      <c r="AH592" s="2" t="str">
        <f>IFERROR(__xludf.DUMMYFUNCTION("IMPORTRANGE(""https://docs.google.com/spreadsheets/d/""&amp;$A592&amp;""/edit#gid=156619080"",AH$3)"),"#REF!")</f>
        <v>#REF!</v>
      </c>
      <c r="AI592" s="2" t="str">
        <f>IFERROR(__xludf.DUMMYFUNCTION("IMPORTRANGE(""https://docs.google.com/spreadsheets/d/""&amp;$A592&amp;""/edit#gid=156619080"",AI$3)"),"#REF!")</f>
        <v>#REF!</v>
      </c>
      <c r="AJ592" s="2" t="str">
        <f>IFERROR(__xludf.DUMMYFUNCTION("IMPORTRANGE(""https://docs.google.com/spreadsheets/d/""&amp;$A592&amp;""/edit#gid=156619080"",AJ$3)"),"#REF!")</f>
        <v>#REF!</v>
      </c>
      <c r="AK592" s="2" t="str">
        <f>IFERROR(__xludf.DUMMYFUNCTION("IMPORTRANGE(""https://docs.google.com/spreadsheets/d/""&amp;$A592&amp;""/edit#gid=156619080"",AK$3)"),"#REF!")</f>
        <v>#REF!</v>
      </c>
      <c r="AL592" s="2" t="str">
        <f>IFERROR(__xludf.DUMMYFUNCTION("IMPORTRANGE(""https://docs.google.com/spreadsheets/d/""&amp;$A592&amp;""/edit#gid=156619080"",AL$3)"),"#REF!")</f>
        <v>#REF!</v>
      </c>
      <c r="AM592" s="2" t="str">
        <f>IFERROR(__xludf.DUMMYFUNCTION("IMPORTRANGE(""https://docs.google.com/spreadsheets/d/""&amp;$A592&amp;""/edit#gid=156619080"",AM$3)"),"#REF!")</f>
        <v>#REF!</v>
      </c>
      <c r="AN592" s="2" t="str">
        <f>IFERROR(__xludf.DUMMYFUNCTION("IMPORTRANGE(""https://docs.google.com/spreadsheets/d/""&amp;$A592&amp;""/edit#gid=156619080"",AN$3)"),"#REF!")</f>
        <v>#REF!</v>
      </c>
      <c r="AO592" s="2" t="str">
        <f>IFERROR(__xludf.DUMMYFUNCTION("IMPORTRANGE(""https://docs.google.com/spreadsheets/d/""&amp;$A592&amp;""/edit#gid=156619080"",AO$3)"),"#REF!")</f>
        <v>#REF!</v>
      </c>
      <c r="AP592" s="2" t="str">
        <f>IFERROR(__xludf.DUMMYFUNCTION("IMPORTRANGE(""https://docs.google.com/spreadsheets/d/""&amp;$A592&amp;""/edit#gid=156619080"",AP$3)"),"#REF!")</f>
        <v>#REF!</v>
      </c>
      <c r="AQ592" s="2" t="str">
        <f>IFERROR(__xludf.DUMMYFUNCTION("IMPORTRANGE(""https://docs.google.com/spreadsheets/d/""&amp;$A592&amp;""/edit#gid=156619080"",AQ$3)"),"#REF!")</f>
        <v>#REF!</v>
      </c>
      <c r="AR592" s="2" t="str">
        <f>IFERROR(__xludf.DUMMYFUNCTION("IMPORTRANGE(""https://docs.google.com/spreadsheets/d/""&amp;$A592&amp;""/edit#gid=156619080"",AR$3)"),"#REF!")</f>
        <v>#REF!</v>
      </c>
      <c r="AS592" s="19" t="str">
        <f>IFERROR(__xludf.DUMMYFUNCTION("IMPORTRANGE(""https://docs.google.com/spreadsheets/d/""&amp;$A592&amp;""/edit#gid=156619080"",AS$3)"),"#REF!")</f>
        <v>#REF!</v>
      </c>
      <c r="AT592" s="2" t="str">
        <f>IFERROR(__xludf.DUMMYFUNCTION("IMPORTRANGE(""https://docs.google.com/spreadsheets/d/""&amp;$A592&amp;""/edit#gid=156619080"",AT$3)"),"#REF!")</f>
        <v>#REF!</v>
      </c>
      <c r="AU592" s="3" t="str">
        <f>IFERROR(__xludf.DUMMYFUNCTION("IMPORTRANGE(""https://docs.google.com/spreadsheets/d/""&amp;$A592&amp;""/edit#gid=156619080"",AU$3)"),"#REF!")</f>
        <v>#REF!</v>
      </c>
      <c r="AV592" s="2" t="str">
        <f>IFERROR(__xludf.DUMMYFUNCTION("IMPORTRANGE(""https://docs.google.com/spreadsheets/d/""&amp;$A592&amp;""/edit#gid=156619080"",AV$3)"),"#REF!")</f>
        <v>#REF!</v>
      </c>
      <c r="AW592" s="19" t="str">
        <f>IFERROR(__xludf.DUMMYFUNCTION("IMPORTRANGE(""https://docs.google.com/spreadsheets/d/""&amp;$A592&amp;""/edit#gid=156619080"",AW$3)"),"#REF!")</f>
        <v>#REF!</v>
      </c>
      <c r="AX592" s="2" t="str">
        <f>IFERROR(__xludf.DUMMYFUNCTION("IMPORTRANGE(""https://docs.google.com/spreadsheets/d/""&amp;$A592&amp;""/edit#gid=156619080"",AX$3)"),"#REF!")</f>
        <v>#REF!</v>
      </c>
      <c r="AY592" s="2" t="str">
        <f>IFERROR(__xludf.DUMMYFUNCTION("IMPORTRANGE(""https://docs.google.com/spreadsheets/d/""&amp;$A592&amp;""/edit#gid=156619080"",AY$3)"),"#REF!")</f>
        <v>#REF!</v>
      </c>
      <c r="AZ592" s="2" t="str">
        <f>IFERROR(__xludf.DUMMYFUNCTION("IMPORTRANGE(""https://docs.google.com/spreadsheets/d/""&amp;$A592&amp;""/edit#gid=156619080"",AZ$3)"),"#REF!")</f>
        <v>#REF!</v>
      </c>
      <c r="BA592" s="2" t="str">
        <f>IFERROR(__xludf.DUMMYFUNCTION("IMPORTRANGE(""https://docs.google.com/spreadsheets/d/""&amp;$A592&amp;""/edit#gid=156619080"",BA$3)"),"#REF!")</f>
        <v>#REF!</v>
      </c>
      <c r="BB592" s="2" t="str">
        <f>IFERROR(__xludf.DUMMYFUNCTION("IMPORTRANGE(""https://docs.google.com/spreadsheets/d/""&amp;$A592&amp;""/edit#gid=156619080"",BB$3)"),"#REF!")</f>
        <v>#REF!</v>
      </c>
      <c r="BC592" s="2" t="str">
        <f>IFERROR(__xludf.DUMMYFUNCTION("IMPORTRANGE(""https://docs.google.com/spreadsheets/d/""&amp;$A592&amp;""/edit#gid=156619080"",BC$3)"),"#REF!")</f>
        <v>#REF!</v>
      </c>
    </row>
    <row r="593" ht="51.0" customHeight="1">
      <c r="A593" s="7" t="str">
        <f t="shared" si="5"/>
        <v/>
      </c>
      <c r="C593" s="2" t="str">
        <f>IFERROR(__xludf.DUMMYFUNCTION("IMPORTRANGE(""https://docs.google.com/spreadsheets/d/""&amp;$A593&amp;""/edit#gid=156619080"",C$3)"),"#REF!")</f>
        <v>#REF!</v>
      </c>
      <c r="D593" s="2" t="str">
        <f>IFERROR(__xludf.DUMMYFUNCTION("IMPORTRANGE(""https://docs.google.com/spreadsheets/d/""&amp;$A593&amp;""/edit#gid=156619080"",D$3)"),"#REF!")</f>
        <v>#REF!</v>
      </c>
      <c r="E593" s="2" t="str">
        <f>IFERROR(__xludf.DUMMYFUNCTION("IMPORTRANGE(""https://docs.google.com/spreadsheets/d/""&amp;$A593&amp;""/edit#gid=156619080"",E$3)"),"#REF!")</f>
        <v>#REF!</v>
      </c>
      <c r="F593" s="2" t="str">
        <f>IFERROR(__xludf.DUMMYFUNCTION("IMPORTRANGE(""https://docs.google.com/spreadsheets/d/""&amp;$A593&amp;""/edit#gid=156619080"",F$3)"),"#REF!")</f>
        <v>#REF!</v>
      </c>
      <c r="G593" s="2" t="str">
        <f>IFERROR(__xludf.DUMMYFUNCTION("IMPORTRANGE(""https://docs.google.com/spreadsheets/d/""&amp;$A593&amp;""/edit#gid=156619080"",G$3)"),"#REF!")</f>
        <v>#REF!</v>
      </c>
      <c r="H593" s="2" t="str">
        <f>IFERROR(__xludf.DUMMYFUNCTION("IMPORTRANGE(""https://docs.google.com/spreadsheets/d/""&amp;$A593&amp;""/edit#gid=156619080"",H$3)"),"#REF!")</f>
        <v>#REF!</v>
      </c>
      <c r="I593" s="2" t="str">
        <f>IFERROR(__xludf.DUMMYFUNCTION("IMPORTRANGE(""https://docs.google.com/spreadsheets/d/""&amp;$A593&amp;""/edit#gid=156619080"",I$3)"),"#REF!")</f>
        <v>#REF!</v>
      </c>
      <c r="J593" s="2" t="str">
        <f>IFERROR(__xludf.DUMMYFUNCTION("IMPORTRANGE(""https://docs.google.com/spreadsheets/d/""&amp;$A593&amp;""/edit#gid=156619080"",J$3)"),"#REF!")</f>
        <v>#REF!</v>
      </c>
      <c r="K593" s="2" t="str">
        <f>IFERROR(__xludf.DUMMYFUNCTION("IMPORTRANGE(""https://docs.google.com/spreadsheets/d/""&amp;$A593&amp;""/edit#gid=156619080"",K$3)"),"#REF!")</f>
        <v>#REF!</v>
      </c>
      <c r="L593" s="2" t="str">
        <f>IFERROR(__xludf.DUMMYFUNCTION("IMPORTRANGE(""https://docs.google.com/spreadsheets/d/""&amp;$A593&amp;""/edit#gid=156619080"",L$3)"),"#REF!")</f>
        <v>#REF!</v>
      </c>
      <c r="M593" s="2" t="str">
        <f>IFERROR(__xludf.DUMMYFUNCTION("IMPORTRANGE(""https://docs.google.com/spreadsheets/d/""&amp;$A593&amp;""/edit#gid=156619080"",M$3)"),"#REF!")</f>
        <v>#REF!</v>
      </c>
      <c r="N593" s="2" t="str">
        <f>IFERROR(__xludf.DUMMYFUNCTION("IMPORTRANGE(""https://docs.google.com/spreadsheets/d/""&amp;$A593&amp;""/edit#gid=156619080"",N$3)"),"#REF!")</f>
        <v>#REF!</v>
      </c>
      <c r="O593" s="2" t="str">
        <f>IFERROR(__xludf.DUMMYFUNCTION("IMPORTRANGE(""https://docs.google.com/spreadsheets/d/""&amp;$A593&amp;""/edit#gid=156619080"",O$3)"),"#REF!")</f>
        <v>#REF!</v>
      </c>
      <c r="P593" s="2" t="str">
        <f>IFERROR(__xludf.DUMMYFUNCTION("IMPORTRANGE(""https://docs.google.com/spreadsheets/d/""&amp;$A593&amp;""/edit#gid=156619080"",P$3)"),"#REF!")</f>
        <v>#REF!</v>
      </c>
      <c r="Q593" s="2" t="str">
        <f>IFERROR(__xludf.DUMMYFUNCTION("IMPORTRANGE(""https://docs.google.com/spreadsheets/d/""&amp;$A593&amp;""/edit#gid=156619080"",Q$3)"),"#REF!")</f>
        <v>#REF!</v>
      </c>
      <c r="R593" s="2" t="str">
        <f>IFERROR(__xludf.DUMMYFUNCTION("IMPORTRANGE(""https://docs.google.com/spreadsheets/d/""&amp;$A593&amp;""/edit#gid=156619080"",R$3)"),"#REF!")</f>
        <v>#REF!</v>
      </c>
      <c r="S593" s="2" t="str">
        <f>IFERROR(__xludf.DUMMYFUNCTION("IMPORTRANGE(""https://docs.google.com/spreadsheets/d/""&amp;$A593&amp;""/edit#gid=156619080"",S$3)"),"#REF!")</f>
        <v>#REF!</v>
      </c>
      <c r="T593" s="2" t="str">
        <f>IFERROR(__xludf.DUMMYFUNCTION("IMPORTRANGE(""https://docs.google.com/spreadsheets/d/""&amp;$A593&amp;""/edit#gid=156619080"",T$3)"),"#REF!")</f>
        <v>#REF!</v>
      </c>
      <c r="U593" s="2" t="str">
        <f>IFERROR(__xludf.DUMMYFUNCTION("IMPORTRANGE(""https://docs.google.com/spreadsheets/d/""&amp;$A593&amp;""/edit#gid=156619080"",U$3)"),"#REF!")</f>
        <v>#REF!</v>
      </c>
      <c r="V593" s="2" t="str">
        <f>IFERROR(__xludf.DUMMYFUNCTION("IMPORTRANGE(""https://docs.google.com/spreadsheets/d/""&amp;$A593&amp;""/edit#gid=156619080"",V$3)"),"#REF!")</f>
        <v>#REF!</v>
      </c>
      <c r="W593" s="2" t="str">
        <f>IFERROR(__xludf.DUMMYFUNCTION("IMPORTRANGE(""https://docs.google.com/spreadsheets/d/""&amp;$A593&amp;""/edit#gid=156619080"",W$3)"),"#REF!")</f>
        <v>#REF!</v>
      </c>
      <c r="X593" s="2" t="str">
        <f>IFERROR(__xludf.DUMMYFUNCTION("IMPORTRANGE(""https://docs.google.com/spreadsheets/d/""&amp;$A593&amp;""/edit#gid=156619080"",X$3)"),"#REF!")</f>
        <v>#REF!</v>
      </c>
      <c r="Y593" s="2" t="str">
        <f>IFERROR(__xludf.DUMMYFUNCTION("IMPORTRANGE(""https://docs.google.com/spreadsheets/d/""&amp;$A593&amp;""/edit#gid=156619080"",Y$3)"),"#REF!")</f>
        <v>#REF!</v>
      </c>
      <c r="Z593" s="2" t="str">
        <f>IFERROR(__xludf.DUMMYFUNCTION("IMPORTRANGE(""https://docs.google.com/spreadsheets/d/""&amp;$A593&amp;""/edit#gid=156619080"",Z$3)"),"#REF!")</f>
        <v>#REF!</v>
      </c>
      <c r="AA593" s="2" t="str">
        <f>IFERROR(__xludf.DUMMYFUNCTION("IMPORTRANGE(""https://docs.google.com/spreadsheets/d/""&amp;$A593&amp;""/edit#gid=156619080"",AA$3)"),"#REF!")</f>
        <v>#REF!</v>
      </c>
      <c r="AB593" s="2" t="str">
        <f>IFERROR(__xludf.DUMMYFUNCTION("IMPORTRANGE(""https://docs.google.com/spreadsheets/d/""&amp;$A593&amp;""/edit#gid=156619080"",AB$3)"),"#REF!")</f>
        <v>#REF!</v>
      </c>
      <c r="AC593" s="2" t="str">
        <f>IFERROR(__xludf.DUMMYFUNCTION("IMPORTRANGE(""https://docs.google.com/spreadsheets/d/""&amp;$A593&amp;""/edit#gid=156619080"",AC$3)"),"#REF!")</f>
        <v>#REF!</v>
      </c>
      <c r="AD593" s="2" t="str">
        <f>IFERROR(__xludf.DUMMYFUNCTION("IMPORTRANGE(""https://docs.google.com/spreadsheets/d/""&amp;$A593&amp;""/edit#gid=156619080"",AD$3)"),"#REF!")</f>
        <v>#REF!</v>
      </c>
      <c r="AE593" s="2" t="str">
        <f>IFERROR(__xludf.DUMMYFUNCTION("IMPORTRANGE(""https://docs.google.com/spreadsheets/d/""&amp;$A593&amp;""/edit#gid=156619080"",AE$3)"),"#REF!")</f>
        <v>#REF!</v>
      </c>
      <c r="AF593" s="2" t="str">
        <f>IFERROR(__xludf.DUMMYFUNCTION("IMPORTRANGE(""https://docs.google.com/spreadsheets/d/""&amp;$A593&amp;""/edit#gid=156619080"",AF$3)"),"#REF!")</f>
        <v>#REF!</v>
      </c>
      <c r="AG593" s="2" t="str">
        <f>IFERROR(__xludf.DUMMYFUNCTION("IMPORTRANGE(""https://docs.google.com/spreadsheets/d/""&amp;$A593&amp;""/edit#gid=156619080"",AG$3)"),"#REF!")</f>
        <v>#REF!</v>
      </c>
      <c r="AH593" s="2" t="str">
        <f>IFERROR(__xludf.DUMMYFUNCTION("IMPORTRANGE(""https://docs.google.com/spreadsheets/d/""&amp;$A593&amp;""/edit#gid=156619080"",AH$3)"),"#REF!")</f>
        <v>#REF!</v>
      </c>
      <c r="AI593" s="2" t="str">
        <f>IFERROR(__xludf.DUMMYFUNCTION("IMPORTRANGE(""https://docs.google.com/spreadsheets/d/""&amp;$A593&amp;""/edit#gid=156619080"",AI$3)"),"#REF!")</f>
        <v>#REF!</v>
      </c>
      <c r="AJ593" s="2" t="str">
        <f>IFERROR(__xludf.DUMMYFUNCTION("IMPORTRANGE(""https://docs.google.com/spreadsheets/d/""&amp;$A593&amp;""/edit#gid=156619080"",AJ$3)"),"#REF!")</f>
        <v>#REF!</v>
      </c>
      <c r="AK593" s="2" t="str">
        <f>IFERROR(__xludf.DUMMYFUNCTION("IMPORTRANGE(""https://docs.google.com/spreadsheets/d/""&amp;$A593&amp;""/edit#gid=156619080"",AK$3)"),"#REF!")</f>
        <v>#REF!</v>
      </c>
      <c r="AL593" s="2" t="str">
        <f>IFERROR(__xludf.DUMMYFUNCTION("IMPORTRANGE(""https://docs.google.com/spreadsheets/d/""&amp;$A593&amp;""/edit#gid=156619080"",AL$3)"),"#REF!")</f>
        <v>#REF!</v>
      </c>
      <c r="AM593" s="2" t="str">
        <f>IFERROR(__xludf.DUMMYFUNCTION("IMPORTRANGE(""https://docs.google.com/spreadsheets/d/""&amp;$A593&amp;""/edit#gid=156619080"",AM$3)"),"#REF!")</f>
        <v>#REF!</v>
      </c>
      <c r="AN593" s="2" t="str">
        <f>IFERROR(__xludf.DUMMYFUNCTION("IMPORTRANGE(""https://docs.google.com/spreadsheets/d/""&amp;$A593&amp;""/edit#gid=156619080"",AN$3)"),"#REF!")</f>
        <v>#REF!</v>
      </c>
      <c r="AO593" s="2" t="str">
        <f>IFERROR(__xludf.DUMMYFUNCTION("IMPORTRANGE(""https://docs.google.com/spreadsheets/d/""&amp;$A593&amp;""/edit#gid=156619080"",AO$3)"),"#REF!")</f>
        <v>#REF!</v>
      </c>
      <c r="AP593" s="2" t="str">
        <f>IFERROR(__xludf.DUMMYFUNCTION("IMPORTRANGE(""https://docs.google.com/spreadsheets/d/""&amp;$A593&amp;""/edit#gid=156619080"",AP$3)"),"#REF!")</f>
        <v>#REF!</v>
      </c>
      <c r="AQ593" s="2" t="str">
        <f>IFERROR(__xludf.DUMMYFUNCTION("IMPORTRANGE(""https://docs.google.com/spreadsheets/d/""&amp;$A593&amp;""/edit#gid=156619080"",AQ$3)"),"#REF!")</f>
        <v>#REF!</v>
      </c>
      <c r="AR593" s="2" t="str">
        <f>IFERROR(__xludf.DUMMYFUNCTION("IMPORTRANGE(""https://docs.google.com/spreadsheets/d/""&amp;$A593&amp;""/edit#gid=156619080"",AR$3)"),"#REF!")</f>
        <v>#REF!</v>
      </c>
      <c r="AS593" s="19" t="str">
        <f>IFERROR(__xludf.DUMMYFUNCTION("IMPORTRANGE(""https://docs.google.com/spreadsheets/d/""&amp;$A593&amp;""/edit#gid=156619080"",AS$3)"),"#REF!")</f>
        <v>#REF!</v>
      </c>
      <c r="AT593" s="2" t="str">
        <f>IFERROR(__xludf.DUMMYFUNCTION("IMPORTRANGE(""https://docs.google.com/spreadsheets/d/""&amp;$A593&amp;""/edit#gid=156619080"",AT$3)"),"#REF!")</f>
        <v>#REF!</v>
      </c>
      <c r="AU593" s="3" t="str">
        <f>IFERROR(__xludf.DUMMYFUNCTION("IMPORTRANGE(""https://docs.google.com/spreadsheets/d/""&amp;$A593&amp;""/edit#gid=156619080"",AU$3)"),"#REF!")</f>
        <v>#REF!</v>
      </c>
      <c r="AV593" s="2" t="str">
        <f>IFERROR(__xludf.DUMMYFUNCTION("IMPORTRANGE(""https://docs.google.com/spreadsheets/d/""&amp;$A593&amp;""/edit#gid=156619080"",AV$3)"),"#REF!")</f>
        <v>#REF!</v>
      </c>
      <c r="AW593" s="19" t="str">
        <f>IFERROR(__xludf.DUMMYFUNCTION("IMPORTRANGE(""https://docs.google.com/spreadsheets/d/""&amp;$A593&amp;""/edit#gid=156619080"",AW$3)"),"#REF!")</f>
        <v>#REF!</v>
      </c>
      <c r="AX593" s="2" t="str">
        <f>IFERROR(__xludf.DUMMYFUNCTION("IMPORTRANGE(""https://docs.google.com/spreadsheets/d/""&amp;$A593&amp;""/edit#gid=156619080"",AX$3)"),"#REF!")</f>
        <v>#REF!</v>
      </c>
      <c r="AY593" s="2" t="str">
        <f>IFERROR(__xludf.DUMMYFUNCTION("IMPORTRANGE(""https://docs.google.com/spreadsheets/d/""&amp;$A593&amp;""/edit#gid=156619080"",AY$3)"),"#REF!")</f>
        <v>#REF!</v>
      </c>
      <c r="AZ593" s="2" t="str">
        <f>IFERROR(__xludf.DUMMYFUNCTION("IMPORTRANGE(""https://docs.google.com/spreadsheets/d/""&amp;$A593&amp;""/edit#gid=156619080"",AZ$3)"),"#REF!")</f>
        <v>#REF!</v>
      </c>
      <c r="BA593" s="2" t="str">
        <f>IFERROR(__xludf.DUMMYFUNCTION("IMPORTRANGE(""https://docs.google.com/spreadsheets/d/""&amp;$A593&amp;""/edit#gid=156619080"",BA$3)"),"#REF!")</f>
        <v>#REF!</v>
      </c>
      <c r="BB593" s="2" t="str">
        <f>IFERROR(__xludf.DUMMYFUNCTION("IMPORTRANGE(""https://docs.google.com/spreadsheets/d/""&amp;$A593&amp;""/edit#gid=156619080"",BB$3)"),"#REF!")</f>
        <v>#REF!</v>
      </c>
      <c r="BC593" s="2" t="str">
        <f>IFERROR(__xludf.DUMMYFUNCTION("IMPORTRANGE(""https://docs.google.com/spreadsheets/d/""&amp;$A593&amp;""/edit#gid=156619080"",BC$3)"),"#REF!")</f>
        <v>#REF!</v>
      </c>
    </row>
    <row r="594" ht="51.0" customHeight="1">
      <c r="A594" s="7" t="str">
        <f t="shared" si="5"/>
        <v/>
      </c>
      <c r="C594" s="2" t="str">
        <f>IFERROR(__xludf.DUMMYFUNCTION("IMPORTRANGE(""https://docs.google.com/spreadsheets/d/""&amp;$A594&amp;""/edit#gid=156619080"",C$3)"),"#REF!")</f>
        <v>#REF!</v>
      </c>
      <c r="D594" s="2" t="str">
        <f>IFERROR(__xludf.DUMMYFUNCTION("IMPORTRANGE(""https://docs.google.com/spreadsheets/d/""&amp;$A594&amp;""/edit#gid=156619080"",D$3)"),"#REF!")</f>
        <v>#REF!</v>
      </c>
      <c r="E594" s="2" t="str">
        <f>IFERROR(__xludf.DUMMYFUNCTION("IMPORTRANGE(""https://docs.google.com/spreadsheets/d/""&amp;$A594&amp;""/edit#gid=156619080"",E$3)"),"#REF!")</f>
        <v>#REF!</v>
      </c>
      <c r="F594" s="2" t="str">
        <f>IFERROR(__xludf.DUMMYFUNCTION("IMPORTRANGE(""https://docs.google.com/spreadsheets/d/""&amp;$A594&amp;""/edit#gid=156619080"",F$3)"),"#REF!")</f>
        <v>#REF!</v>
      </c>
      <c r="G594" s="2" t="str">
        <f>IFERROR(__xludf.DUMMYFUNCTION("IMPORTRANGE(""https://docs.google.com/spreadsheets/d/""&amp;$A594&amp;""/edit#gid=156619080"",G$3)"),"#REF!")</f>
        <v>#REF!</v>
      </c>
      <c r="H594" s="2" t="str">
        <f>IFERROR(__xludf.DUMMYFUNCTION("IMPORTRANGE(""https://docs.google.com/spreadsheets/d/""&amp;$A594&amp;""/edit#gid=156619080"",H$3)"),"#REF!")</f>
        <v>#REF!</v>
      </c>
      <c r="I594" s="2" t="str">
        <f>IFERROR(__xludf.DUMMYFUNCTION("IMPORTRANGE(""https://docs.google.com/spreadsheets/d/""&amp;$A594&amp;""/edit#gid=156619080"",I$3)"),"#REF!")</f>
        <v>#REF!</v>
      </c>
      <c r="J594" s="2" t="str">
        <f>IFERROR(__xludf.DUMMYFUNCTION("IMPORTRANGE(""https://docs.google.com/spreadsheets/d/""&amp;$A594&amp;""/edit#gid=156619080"",J$3)"),"#REF!")</f>
        <v>#REF!</v>
      </c>
      <c r="K594" s="2" t="str">
        <f>IFERROR(__xludf.DUMMYFUNCTION("IMPORTRANGE(""https://docs.google.com/spreadsheets/d/""&amp;$A594&amp;""/edit#gid=156619080"",K$3)"),"#REF!")</f>
        <v>#REF!</v>
      </c>
      <c r="L594" s="2" t="str">
        <f>IFERROR(__xludf.DUMMYFUNCTION("IMPORTRANGE(""https://docs.google.com/spreadsheets/d/""&amp;$A594&amp;""/edit#gid=156619080"",L$3)"),"#REF!")</f>
        <v>#REF!</v>
      </c>
      <c r="M594" s="2" t="str">
        <f>IFERROR(__xludf.DUMMYFUNCTION("IMPORTRANGE(""https://docs.google.com/spreadsheets/d/""&amp;$A594&amp;""/edit#gid=156619080"",M$3)"),"#REF!")</f>
        <v>#REF!</v>
      </c>
      <c r="N594" s="2" t="str">
        <f>IFERROR(__xludf.DUMMYFUNCTION("IMPORTRANGE(""https://docs.google.com/spreadsheets/d/""&amp;$A594&amp;""/edit#gid=156619080"",N$3)"),"#REF!")</f>
        <v>#REF!</v>
      </c>
      <c r="O594" s="2" t="str">
        <f>IFERROR(__xludf.DUMMYFUNCTION("IMPORTRANGE(""https://docs.google.com/spreadsheets/d/""&amp;$A594&amp;""/edit#gid=156619080"",O$3)"),"#REF!")</f>
        <v>#REF!</v>
      </c>
      <c r="P594" s="2" t="str">
        <f>IFERROR(__xludf.DUMMYFUNCTION("IMPORTRANGE(""https://docs.google.com/spreadsheets/d/""&amp;$A594&amp;""/edit#gid=156619080"",P$3)"),"#REF!")</f>
        <v>#REF!</v>
      </c>
      <c r="Q594" s="2" t="str">
        <f>IFERROR(__xludf.DUMMYFUNCTION("IMPORTRANGE(""https://docs.google.com/spreadsheets/d/""&amp;$A594&amp;""/edit#gid=156619080"",Q$3)"),"#REF!")</f>
        <v>#REF!</v>
      </c>
      <c r="R594" s="2" t="str">
        <f>IFERROR(__xludf.DUMMYFUNCTION("IMPORTRANGE(""https://docs.google.com/spreadsheets/d/""&amp;$A594&amp;""/edit#gid=156619080"",R$3)"),"#REF!")</f>
        <v>#REF!</v>
      </c>
      <c r="S594" s="2" t="str">
        <f>IFERROR(__xludf.DUMMYFUNCTION("IMPORTRANGE(""https://docs.google.com/spreadsheets/d/""&amp;$A594&amp;""/edit#gid=156619080"",S$3)"),"#REF!")</f>
        <v>#REF!</v>
      </c>
      <c r="T594" s="2" t="str">
        <f>IFERROR(__xludf.DUMMYFUNCTION("IMPORTRANGE(""https://docs.google.com/spreadsheets/d/""&amp;$A594&amp;""/edit#gid=156619080"",T$3)"),"#REF!")</f>
        <v>#REF!</v>
      </c>
      <c r="U594" s="2" t="str">
        <f>IFERROR(__xludf.DUMMYFUNCTION("IMPORTRANGE(""https://docs.google.com/spreadsheets/d/""&amp;$A594&amp;""/edit#gid=156619080"",U$3)"),"#REF!")</f>
        <v>#REF!</v>
      </c>
      <c r="V594" s="2" t="str">
        <f>IFERROR(__xludf.DUMMYFUNCTION("IMPORTRANGE(""https://docs.google.com/spreadsheets/d/""&amp;$A594&amp;""/edit#gid=156619080"",V$3)"),"#REF!")</f>
        <v>#REF!</v>
      </c>
      <c r="W594" s="2" t="str">
        <f>IFERROR(__xludf.DUMMYFUNCTION("IMPORTRANGE(""https://docs.google.com/spreadsheets/d/""&amp;$A594&amp;""/edit#gid=156619080"",W$3)"),"#REF!")</f>
        <v>#REF!</v>
      </c>
      <c r="X594" s="2" t="str">
        <f>IFERROR(__xludf.DUMMYFUNCTION("IMPORTRANGE(""https://docs.google.com/spreadsheets/d/""&amp;$A594&amp;""/edit#gid=156619080"",X$3)"),"#REF!")</f>
        <v>#REF!</v>
      </c>
      <c r="Y594" s="2" t="str">
        <f>IFERROR(__xludf.DUMMYFUNCTION("IMPORTRANGE(""https://docs.google.com/spreadsheets/d/""&amp;$A594&amp;""/edit#gid=156619080"",Y$3)"),"#REF!")</f>
        <v>#REF!</v>
      </c>
      <c r="Z594" s="2" t="str">
        <f>IFERROR(__xludf.DUMMYFUNCTION("IMPORTRANGE(""https://docs.google.com/spreadsheets/d/""&amp;$A594&amp;""/edit#gid=156619080"",Z$3)"),"#REF!")</f>
        <v>#REF!</v>
      </c>
      <c r="AA594" s="2" t="str">
        <f>IFERROR(__xludf.DUMMYFUNCTION("IMPORTRANGE(""https://docs.google.com/spreadsheets/d/""&amp;$A594&amp;""/edit#gid=156619080"",AA$3)"),"#REF!")</f>
        <v>#REF!</v>
      </c>
      <c r="AB594" s="2" t="str">
        <f>IFERROR(__xludf.DUMMYFUNCTION("IMPORTRANGE(""https://docs.google.com/spreadsheets/d/""&amp;$A594&amp;""/edit#gid=156619080"",AB$3)"),"#REF!")</f>
        <v>#REF!</v>
      </c>
      <c r="AC594" s="2" t="str">
        <f>IFERROR(__xludf.DUMMYFUNCTION("IMPORTRANGE(""https://docs.google.com/spreadsheets/d/""&amp;$A594&amp;""/edit#gid=156619080"",AC$3)"),"#REF!")</f>
        <v>#REF!</v>
      </c>
      <c r="AD594" s="2" t="str">
        <f>IFERROR(__xludf.DUMMYFUNCTION("IMPORTRANGE(""https://docs.google.com/spreadsheets/d/""&amp;$A594&amp;""/edit#gid=156619080"",AD$3)"),"#REF!")</f>
        <v>#REF!</v>
      </c>
      <c r="AE594" s="2" t="str">
        <f>IFERROR(__xludf.DUMMYFUNCTION("IMPORTRANGE(""https://docs.google.com/spreadsheets/d/""&amp;$A594&amp;""/edit#gid=156619080"",AE$3)"),"#REF!")</f>
        <v>#REF!</v>
      </c>
      <c r="AF594" s="2" t="str">
        <f>IFERROR(__xludf.DUMMYFUNCTION("IMPORTRANGE(""https://docs.google.com/spreadsheets/d/""&amp;$A594&amp;""/edit#gid=156619080"",AF$3)"),"#REF!")</f>
        <v>#REF!</v>
      </c>
      <c r="AG594" s="2" t="str">
        <f>IFERROR(__xludf.DUMMYFUNCTION("IMPORTRANGE(""https://docs.google.com/spreadsheets/d/""&amp;$A594&amp;""/edit#gid=156619080"",AG$3)"),"#REF!")</f>
        <v>#REF!</v>
      </c>
      <c r="AH594" s="2" t="str">
        <f>IFERROR(__xludf.DUMMYFUNCTION("IMPORTRANGE(""https://docs.google.com/spreadsheets/d/""&amp;$A594&amp;""/edit#gid=156619080"",AH$3)"),"#REF!")</f>
        <v>#REF!</v>
      </c>
      <c r="AI594" s="2" t="str">
        <f>IFERROR(__xludf.DUMMYFUNCTION("IMPORTRANGE(""https://docs.google.com/spreadsheets/d/""&amp;$A594&amp;""/edit#gid=156619080"",AI$3)"),"#REF!")</f>
        <v>#REF!</v>
      </c>
      <c r="AJ594" s="2" t="str">
        <f>IFERROR(__xludf.DUMMYFUNCTION("IMPORTRANGE(""https://docs.google.com/spreadsheets/d/""&amp;$A594&amp;""/edit#gid=156619080"",AJ$3)"),"#REF!")</f>
        <v>#REF!</v>
      </c>
      <c r="AK594" s="2" t="str">
        <f>IFERROR(__xludf.DUMMYFUNCTION("IMPORTRANGE(""https://docs.google.com/spreadsheets/d/""&amp;$A594&amp;""/edit#gid=156619080"",AK$3)"),"#REF!")</f>
        <v>#REF!</v>
      </c>
      <c r="AL594" s="2" t="str">
        <f>IFERROR(__xludf.DUMMYFUNCTION("IMPORTRANGE(""https://docs.google.com/spreadsheets/d/""&amp;$A594&amp;""/edit#gid=156619080"",AL$3)"),"#REF!")</f>
        <v>#REF!</v>
      </c>
      <c r="AM594" s="2" t="str">
        <f>IFERROR(__xludf.DUMMYFUNCTION("IMPORTRANGE(""https://docs.google.com/spreadsheets/d/""&amp;$A594&amp;""/edit#gid=156619080"",AM$3)"),"#REF!")</f>
        <v>#REF!</v>
      </c>
      <c r="AN594" s="2" t="str">
        <f>IFERROR(__xludf.DUMMYFUNCTION("IMPORTRANGE(""https://docs.google.com/spreadsheets/d/""&amp;$A594&amp;""/edit#gid=156619080"",AN$3)"),"#REF!")</f>
        <v>#REF!</v>
      </c>
      <c r="AO594" s="2" t="str">
        <f>IFERROR(__xludf.DUMMYFUNCTION("IMPORTRANGE(""https://docs.google.com/spreadsheets/d/""&amp;$A594&amp;""/edit#gid=156619080"",AO$3)"),"#REF!")</f>
        <v>#REF!</v>
      </c>
      <c r="AP594" s="2" t="str">
        <f>IFERROR(__xludf.DUMMYFUNCTION("IMPORTRANGE(""https://docs.google.com/spreadsheets/d/""&amp;$A594&amp;""/edit#gid=156619080"",AP$3)"),"#REF!")</f>
        <v>#REF!</v>
      </c>
      <c r="AQ594" s="2" t="str">
        <f>IFERROR(__xludf.DUMMYFUNCTION("IMPORTRANGE(""https://docs.google.com/spreadsheets/d/""&amp;$A594&amp;""/edit#gid=156619080"",AQ$3)"),"#REF!")</f>
        <v>#REF!</v>
      </c>
      <c r="AR594" s="2" t="str">
        <f>IFERROR(__xludf.DUMMYFUNCTION("IMPORTRANGE(""https://docs.google.com/spreadsheets/d/""&amp;$A594&amp;""/edit#gid=156619080"",AR$3)"),"#REF!")</f>
        <v>#REF!</v>
      </c>
      <c r="AS594" s="19" t="str">
        <f>IFERROR(__xludf.DUMMYFUNCTION("IMPORTRANGE(""https://docs.google.com/spreadsheets/d/""&amp;$A594&amp;""/edit#gid=156619080"",AS$3)"),"#REF!")</f>
        <v>#REF!</v>
      </c>
      <c r="AT594" s="2" t="str">
        <f>IFERROR(__xludf.DUMMYFUNCTION("IMPORTRANGE(""https://docs.google.com/spreadsheets/d/""&amp;$A594&amp;""/edit#gid=156619080"",AT$3)"),"#REF!")</f>
        <v>#REF!</v>
      </c>
      <c r="AU594" s="3" t="str">
        <f>IFERROR(__xludf.DUMMYFUNCTION("IMPORTRANGE(""https://docs.google.com/spreadsheets/d/""&amp;$A594&amp;""/edit#gid=156619080"",AU$3)"),"#REF!")</f>
        <v>#REF!</v>
      </c>
      <c r="AV594" s="2" t="str">
        <f>IFERROR(__xludf.DUMMYFUNCTION("IMPORTRANGE(""https://docs.google.com/spreadsheets/d/""&amp;$A594&amp;""/edit#gid=156619080"",AV$3)"),"#REF!")</f>
        <v>#REF!</v>
      </c>
      <c r="AW594" s="19" t="str">
        <f>IFERROR(__xludf.DUMMYFUNCTION("IMPORTRANGE(""https://docs.google.com/spreadsheets/d/""&amp;$A594&amp;""/edit#gid=156619080"",AW$3)"),"#REF!")</f>
        <v>#REF!</v>
      </c>
      <c r="AX594" s="2" t="str">
        <f>IFERROR(__xludf.DUMMYFUNCTION("IMPORTRANGE(""https://docs.google.com/spreadsheets/d/""&amp;$A594&amp;""/edit#gid=156619080"",AX$3)"),"#REF!")</f>
        <v>#REF!</v>
      </c>
      <c r="AY594" s="2" t="str">
        <f>IFERROR(__xludf.DUMMYFUNCTION("IMPORTRANGE(""https://docs.google.com/spreadsheets/d/""&amp;$A594&amp;""/edit#gid=156619080"",AY$3)"),"#REF!")</f>
        <v>#REF!</v>
      </c>
      <c r="AZ594" s="2" t="str">
        <f>IFERROR(__xludf.DUMMYFUNCTION("IMPORTRANGE(""https://docs.google.com/spreadsheets/d/""&amp;$A594&amp;""/edit#gid=156619080"",AZ$3)"),"#REF!")</f>
        <v>#REF!</v>
      </c>
      <c r="BA594" s="2" t="str">
        <f>IFERROR(__xludf.DUMMYFUNCTION("IMPORTRANGE(""https://docs.google.com/spreadsheets/d/""&amp;$A594&amp;""/edit#gid=156619080"",BA$3)"),"#REF!")</f>
        <v>#REF!</v>
      </c>
      <c r="BB594" s="2" t="str">
        <f>IFERROR(__xludf.DUMMYFUNCTION("IMPORTRANGE(""https://docs.google.com/spreadsheets/d/""&amp;$A594&amp;""/edit#gid=156619080"",BB$3)"),"#REF!")</f>
        <v>#REF!</v>
      </c>
      <c r="BC594" s="2" t="str">
        <f>IFERROR(__xludf.DUMMYFUNCTION("IMPORTRANGE(""https://docs.google.com/spreadsheets/d/""&amp;$A594&amp;""/edit#gid=156619080"",BC$3)"),"#REF!")</f>
        <v>#REF!</v>
      </c>
    </row>
    <row r="595" ht="51.0" customHeight="1">
      <c r="A595" s="7" t="str">
        <f t="shared" si="5"/>
        <v/>
      </c>
      <c r="C595" s="2" t="str">
        <f>IFERROR(__xludf.DUMMYFUNCTION("IMPORTRANGE(""https://docs.google.com/spreadsheets/d/""&amp;$A595&amp;""/edit#gid=156619080"",C$3)"),"#REF!")</f>
        <v>#REF!</v>
      </c>
      <c r="D595" s="2" t="str">
        <f>IFERROR(__xludf.DUMMYFUNCTION("IMPORTRANGE(""https://docs.google.com/spreadsheets/d/""&amp;$A595&amp;""/edit#gid=156619080"",D$3)"),"#REF!")</f>
        <v>#REF!</v>
      </c>
      <c r="E595" s="2" t="str">
        <f>IFERROR(__xludf.DUMMYFUNCTION("IMPORTRANGE(""https://docs.google.com/spreadsheets/d/""&amp;$A595&amp;""/edit#gid=156619080"",E$3)"),"#REF!")</f>
        <v>#REF!</v>
      </c>
      <c r="F595" s="2" t="str">
        <f>IFERROR(__xludf.DUMMYFUNCTION("IMPORTRANGE(""https://docs.google.com/spreadsheets/d/""&amp;$A595&amp;""/edit#gid=156619080"",F$3)"),"#REF!")</f>
        <v>#REF!</v>
      </c>
      <c r="G595" s="2" t="str">
        <f>IFERROR(__xludf.DUMMYFUNCTION("IMPORTRANGE(""https://docs.google.com/spreadsheets/d/""&amp;$A595&amp;""/edit#gid=156619080"",G$3)"),"#REF!")</f>
        <v>#REF!</v>
      </c>
      <c r="H595" s="2" t="str">
        <f>IFERROR(__xludf.DUMMYFUNCTION("IMPORTRANGE(""https://docs.google.com/spreadsheets/d/""&amp;$A595&amp;""/edit#gid=156619080"",H$3)"),"#REF!")</f>
        <v>#REF!</v>
      </c>
      <c r="I595" s="2" t="str">
        <f>IFERROR(__xludf.DUMMYFUNCTION("IMPORTRANGE(""https://docs.google.com/spreadsheets/d/""&amp;$A595&amp;""/edit#gid=156619080"",I$3)"),"#REF!")</f>
        <v>#REF!</v>
      </c>
      <c r="J595" s="2" t="str">
        <f>IFERROR(__xludf.DUMMYFUNCTION("IMPORTRANGE(""https://docs.google.com/spreadsheets/d/""&amp;$A595&amp;""/edit#gid=156619080"",J$3)"),"#REF!")</f>
        <v>#REF!</v>
      </c>
      <c r="K595" s="2" t="str">
        <f>IFERROR(__xludf.DUMMYFUNCTION("IMPORTRANGE(""https://docs.google.com/spreadsheets/d/""&amp;$A595&amp;""/edit#gid=156619080"",K$3)"),"#REF!")</f>
        <v>#REF!</v>
      </c>
      <c r="L595" s="2" t="str">
        <f>IFERROR(__xludf.DUMMYFUNCTION("IMPORTRANGE(""https://docs.google.com/spreadsheets/d/""&amp;$A595&amp;""/edit#gid=156619080"",L$3)"),"#REF!")</f>
        <v>#REF!</v>
      </c>
      <c r="M595" s="2" t="str">
        <f>IFERROR(__xludf.DUMMYFUNCTION("IMPORTRANGE(""https://docs.google.com/spreadsheets/d/""&amp;$A595&amp;""/edit#gid=156619080"",M$3)"),"#REF!")</f>
        <v>#REF!</v>
      </c>
      <c r="N595" s="2" t="str">
        <f>IFERROR(__xludf.DUMMYFUNCTION("IMPORTRANGE(""https://docs.google.com/spreadsheets/d/""&amp;$A595&amp;""/edit#gid=156619080"",N$3)"),"#REF!")</f>
        <v>#REF!</v>
      </c>
      <c r="O595" s="2" t="str">
        <f>IFERROR(__xludf.DUMMYFUNCTION("IMPORTRANGE(""https://docs.google.com/spreadsheets/d/""&amp;$A595&amp;""/edit#gid=156619080"",O$3)"),"#REF!")</f>
        <v>#REF!</v>
      </c>
      <c r="P595" s="2" t="str">
        <f>IFERROR(__xludf.DUMMYFUNCTION("IMPORTRANGE(""https://docs.google.com/spreadsheets/d/""&amp;$A595&amp;""/edit#gid=156619080"",P$3)"),"#REF!")</f>
        <v>#REF!</v>
      </c>
      <c r="Q595" s="2" t="str">
        <f>IFERROR(__xludf.DUMMYFUNCTION("IMPORTRANGE(""https://docs.google.com/spreadsheets/d/""&amp;$A595&amp;""/edit#gid=156619080"",Q$3)"),"#REF!")</f>
        <v>#REF!</v>
      </c>
      <c r="R595" s="2" t="str">
        <f>IFERROR(__xludf.DUMMYFUNCTION("IMPORTRANGE(""https://docs.google.com/spreadsheets/d/""&amp;$A595&amp;""/edit#gid=156619080"",R$3)"),"#REF!")</f>
        <v>#REF!</v>
      </c>
      <c r="S595" s="2" t="str">
        <f>IFERROR(__xludf.DUMMYFUNCTION("IMPORTRANGE(""https://docs.google.com/spreadsheets/d/""&amp;$A595&amp;""/edit#gid=156619080"",S$3)"),"#REF!")</f>
        <v>#REF!</v>
      </c>
      <c r="T595" s="2" t="str">
        <f>IFERROR(__xludf.DUMMYFUNCTION("IMPORTRANGE(""https://docs.google.com/spreadsheets/d/""&amp;$A595&amp;""/edit#gid=156619080"",T$3)"),"#REF!")</f>
        <v>#REF!</v>
      </c>
      <c r="U595" s="2" t="str">
        <f>IFERROR(__xludf.DUMMYFUNCTION("IMPORTRANGE(""https://docs.google.com/spreadsheets/d/""&amp;$A595&amp;""/edit#gid=156619080"",U$3)"),"#REF!")</f>
        <v>#REF!</v>
      </c>
      <c r="V595" s="2" t="str">
        <f>IFERROR(__xludf.DUMMYFUNCTION("IMPORTRANGE(""https://docs.google.com/spreadsheets/d/""&amp;$A595&amp;""/edit#gid=156619080"",V$3)"),"#REF!")</f>
        <v>#REF!</v>
      </c>
      <c r="W595" s="2" t="str">
        <f>IFERROR(__xludf.DUMMYFUNCTION("IMPORTRANGE(""https://docs.google.com/spreadsheets/d/""&amp;$A595&amp;""/edit#gid=156619080"",W$3)"),"#REF!")</f>
        <v>#REF!</v>
      </c>
      <c r="X595" s="2" t="str">
        <f>IFERROR(__xludf.DUMMYFUNCTION("IMPORTRANGE(""https://docs.google.com/spreadsheets/d/""&amp;$A595&amp;""/edit#gid=156619080"",X$3)"),"#REF!")</f>
        <v>#REF!</v>
      </c>
      <c r="Y595" s="2" t="str">
        <f>IFERROR(__xludf.DUMMYFUNCTION("IMPORTRANGE(""https://docs.google.com/spreadsheets/d/""&amp;$A595&amp;""/edit#gid=156619080"",Y$3)"),"#REF!")</f>
        <v>#REF!</v>
      </c>
      <c r="Z595" s="2" t="str">
        <f>IFERROR(__xludf.DUMMYFUNCTION("IMPORTRANGE(""https://docs.google.com/spreadsheets/d/""&amp;$A595&amp;""/edit#gid=156619080"",Z$3)"),"#REF!")</f>
        <v>#REF!</v>
      </c>
      <c r="AA595" s="2" t="str">
        <f>IFERROR(__xludf.DUMMYFUNCTION("IMPORTRANGE(""https://docs.google.com/spreadsheets/d/""&amp;$A595&amp;""/edit#gid=156619080"",AA$3)"),"#REF!")</f>
        <v>#REF!</v>
      </c>
      <c r="AB595" s="2" t="str">
        <f>IFERROR(__xludf.DUMMYFUNCTION("IMPORTRANGE(""https://docs.google.com/spreadsheets/d/""&amp;$A595&amp;""/edit#gid=156619080"",AB$3)"),"#REF!")</f>
        <v>#REF!</v>
      </c>
      <c r="AC595" s="2" t="str">
        <f>IFERROR(__xludf.DUMMYFUNCTION("IMPORTRANGE(""https://docs.google.com/spreadsheets/d/""&amp;$A595&amp;""/edit#gid=156619080"",AC$3)"),"#REF!")</f>
        <v>#REF!</v>
      </c>
      <c r="AD595" s="2" t="str">
        <f>IFERROR(__xludf.DUMMYFUNCTION("IMPORTRANGE(""https://docs.google.com/spreadsheets/d/""&amp;$A595&amp;""/edit#gid=156619080"",AD$3)"),"#REF!")</f>
        <v>#REF!</v>
      </c>
      <c r="AE595" s="2" t="str">
        <f>IFERROR(__xludf.DUMMYFUNCTION("IMPORTRANGE(""https://docs.google.com/spreadsheets/d/""&amp;$A595&amp;""/edit#gid=156619080"",AE$3)"),"#REF!")</f>
        <v>#REF!</v>
      </c>
      <c r="AF595" s="2" t="str">
        <f>IFERROR(__xludf.DUMMYFUNCTION("IMPORTRANGE(""https://docs.google.com/spreadsheets/d/""&amp;$A595&amp;""/edit#gid=156619080"",AF$3)"),"#REF!")</f>
        <v>#REF!</v>
      </c>
      <c r="AG595" s="2" t="str">
        <f>IFERROR(__xludf.DUMMYFUNCTION("IMPORTRANGE(""https://docs.google.com/spreadsheets/d/""&amp;$A595&amp;""/edit#gid=156619080"",AG$3)"),"#REF!")</f>
        <v>#REF!</v>
      </c>
      <c r="AH595" s="2" t="str">
        <f>IFERROR(__xludf.DUMMYFUNCTION("IMPORTRANGE(""https://docs.google.com/spreadsheets/d/""&amp;$A595&amp;""/edit#gid=156619080"",AH$3)"),"#REF!")</f>
        <v>#REF!</v>
      </c>
      <c r="AI595" s="2" t="str">
        <f>IFERROR(__xludf.DUMMYFUNCTION("IMPORTRANGE(""https://docs.google.com/spreadsheets/d/""&amp;$A595&amp;""/edit#gid=156619080"",AI$3)"),"#REF!")</f>
        <v>#REF!</v>
      </c>
      <c r="AJ595" s="2" t="str">
        <f>IFERROR(__xludf.DUMMYFUNCTION("IMPORTRANGE(""https://docs.google.com/spreadsheets/d/""&amp;$A595&amp;""/edit#gid=156619080"",AJ$3)"),"#REF!")</f>
        <v>#REF!</v>
      </c>
      <c r="AK595" s="2" t="str">
        <f>IFERROR(__xludf.DUMMYFUNCTION("IMPORTRANGE(""https://docs.google.com/spreadsheets/d/""&amp;$A595&amp;""/edit#gid=156619080"",AK$3)"),"#REF!")</f>
        <v>#REF!</v>
      </c>
      <c r="AL595" s="2" t="str">
        <f>IFERROR(__xludf.DUMMYFUNCTION("IMPORTRANGE(""https://docs.google.com/spreadsheets/d/""&amp;$A595&amp;""/edit#gid=156619080"",AL$3)"),"#REF!")</f>
        <v>#REF!</v>
      </c>
      <c r="AM595" s="2" t="str">
        <f>IFERROR(__xludf.DUMMYFUNCTION("IMPORTRANGE(""https://docs.google.com/spreadsheets/d/""&amp;$A595&amp;""/edit#gid=156619080"",AM$3)"),"#REF!")</f>
        <v>#REF!</v>
      </c>
      <c r="AN595" s="2" t="str">
        <f>IFERROR(__xludf.DUMMYFUNCTION("IMPORTRANGE(""https://docs.google.com/spreadsheets/d/""&amp;$A595&amp;""/edit#gid=156619080"",AN$3)"),"#REF!")</f>
        <v>#REF!</v>
      </c>
      <c r="AO595" s="2" t="str">
        <f>IFERROR(__xludf.DUMMYFUNCTION("IMPORTRANGE(""https://docs.google.com/spreadsheets/d/""&amp;$A595&amp;""/edit#gid=156619080"",AO$3)"),"#REF!")</f>
        <v>#REF!</v>
      </c>
      <c r="AP595" s="2" t="str">
        <f>IFERROR(__xludf.DUMMYFUNCTION("IMPORTRANGE(""https://docs.google.com/spreadsheets/d/""&amp;$A595&amp;""/edit#gid=156619080"",AP$3)"),"#REF!")</f>
        <v>#REF!</v>
      </c>
      <c r="AQ595" s="2" t="str">
        <f>IFERROR(__xludf.DUMMYFUNCTION("IMPORTRANGE(""https://docs.google.com/spreadsheets/d/""&amp;$A595&amp;""/edit#gid=156619080"",AQ$3)"),"#REF!")</f>
        <v>#REF!</v>
      </c>
      <c r="AR595" s="2" t="str">
        <f>IFERROR(__xludf.DUMMYFUNCTION("IMPORTRANGE(""https://docs.google.com/spreadsheets/d/""&amp;$A595&amp;""/edit#gid=156619080"",AR$3)"),"#REF!")</f>
        <v>#REF!</v>
      </c>
      <c r="AS595" s="19" t="str">
        <f>IFERROR(__xludf.DUMMYFUNCTION("IMPORTRANGE(""https://docs.google.com/spreadsheets/d/""&amp;$A595&amp;""/edit#gid=156619080"",AS$3)"),"#REF!")</f>
        <v>#REF!</v>
      </c>
      <c r="AT595" s="2" t="str">
        <f>IFERROR(__xludf.DUMMYFUNCTION("IMPORTRANGE(""https://docs.google.com/spreadsheets/d/""&amp;$A595&amp;""/edit#gid=156619080"",AT$3)"),"#REF!")</f>
        <v>#REF!</v>
      </c>
      <c r="AU595" s="3" t="str">
        <f>IFERROR(__xludf.DUMMYFUNCTION("IMPORTRANGE(""https://docs.google.com/spreadsheets/d/""&amp;$A595&amp;""/edit#gid=156619080"",AU$3)"),"#REF!")</f>
        <v>#REF!</v>
      </c>
      <c r="AV595" s="2" t="str">
        <f>IFERROR(__xludf.DUMMYFUNCTION("IMPORTRANGE(""https://docs.google.com/spreadsheets/d/""&amp;$A595&amp;""/edit#gid=156619080"",AV$3)"),"#REF!")</f>
        <v>#REF!</v>
      </c>
      <c r="AW595" s="19" t="str">
        <f>IFERROR(__xludf.DUMMYFUNCTION("IMPORTRANGE(""https://docs.google.com/spreadsheets/d/""&amp;$A595&amp;""/edit#gid=156619080"",AW$3)"),"#REF!")</f>
        <v>#REF!</v>
      </c>
      <c r="AX595" s="2" t="str">
        <f>IFERROR(__xludf.DUMMYFUNCTION("IMPORTRANGE(""https://docs.google.com/spreadsheets/d/""&amp;$A595&amp;""/edit#gid=156619080"",AX$3)"),"#REF!")</f>
        <v>#REF!</v>
      </c>
      <c r="AY595" s="2" t="str">
        <f>IFERROR(__xludf.DUMMYFUNCTION("IMPORTRANGE(""https://docs.google.com/spreadsheets/d/""&amp;$A595&amp;""/edit#gid=156619080"",AY$3)"),"#REF!")</f>
        <v>#REF!</v>
      </c>
      <c r="AZ595" s="2" t="str">
        <f>IFERROR(__xludf.DUMMYFUNCTION("IMPORTRANGE(""https://docs.google.com/spreadsheets/d/""&amp;$A595&amp;""/edit#gid=156619080"",AZ$3)"),"#REF!")</f>
        <v>#REF!</v>
      </c>
      <c r="BA595" s="2" t="str">
        <f>IFERROR(__xludf.DUMMYFUNCTION("IMPORTRANGE(""https://docs.google.com/spreadsheets/d/""&amp;$A595&amp;""/edit#gid=156619080"",BA$3)"),"#REF!")</f>
        <v>#REF!</v>
      </c>
      <c r="BB595" s="2" t="str">
        <f>IFERROR(__xludf.DUMMYFUNCTION("IMPORTRANGE(""https://docs.google.com/spreadsheets/d/""&amp;$A595&amp;""/edit#gid=156619080"",BB$3)"),"#REF!")</f>
        <v>#REF!</v>
      </c>
      <c r="BC595" s="2" t="str">
        <f>IFERROR(__xludf.DUMMYFUNCTION("IMPORTRANGE(""https://docs.google.com/spreadsheets/d/""&amp;$A595&amp;""/edit#gid=156619080"",BC$3)"),"#REF!")</f>
        <v>#REF!</v>
      </c>
    </row>
    <row r="596" ht="51.0" customHeight="1">
      <c r="A596" s="7" t="str">
        <f t="shared" si="5"/>
        <v/>
      </c>
      <c r="C596" s="2" t="str">
        <f>IFERROR(__xludf.DUMMYFUNCTION("IMPORTRANGE(""https://docs.google.com/spreadsheets/d/""&amp;$A596&amp;""/edit#gid=156619080"",C$3)"),"#REF!")</f>
        <v>#REF!</v>
      </c>
      <c r="D596" s="2" t="str">
        <f>IFERROR(__xludf.DUMMYFUNCTION("IMPORTRANGE(""https://docs.google.com/spreadsheets/d/""&amp;$A596&amp;""/edit#gid=156619080"",D$3)"),"#REF!")</f>
        <v>#REF!</v>
      </c>
      <c r="E596" s="2" t="str">
        <f>IFERROR(__xludf.DUMMYFUNCTION("IMPORTRANGE(""https://docs.google.com/spreadsheets/d/""&amp;$A596&amp;""/edit#gid=156619080"",E$3)"),"#REF!")</f>
        <v>#REF!</v>
      </c>
      <c r="F596" s="2" t="str">
        <f>IFERROR(__xludf.DUMMYFUNCTION("IMPORTRANGE(""https://docs.google.com/spreadsheets/d/""&amp;$A596&amp;""/edit#gid=156619080"",F$3)"),"#REF!")</f>
        <v>#REF!</v>
      </c>
      <c r="G596" s="2" t="str">
        <f>IFERROR(__xludf.DUMMYFUNCTION("IMPORTRANGE(""https://docs.google.com/spreadsheets/d/""&amp;$A596&amp;""/edit#gid=156619080"",G$3)"),"#REF!")</f>
        <v>#REF!</v>
      </c>
      <c r="H596" s="2" t="str">
        <f>IFERROR(__xludf.DUMMYFUNCTION("IMPORTRANGE(""https://docs.google.com/spreadsheets/d/""&amp;$A596&amp;""/edit#gid=156619080"",H$3)"),"#REF!")</f>
        <v>#REF!</v>
      </c>
      <c r="I596" s="2" t="str">
        <f>IFERROR(__xludf.DUMMYFUNCTION("IMPORTRANGE(""https://docs.google.com/spreadsheets/d/""&amp;$A596&amp;""/edit#gid=156619080"",I$3)"),"#REF!")</f>
        <v>#REF!</v>
      </c>
      <c r="J596" s="2" t="str">
        <f>IFERROR(__xludf.DUMMYFUNCTION("IMPORTRANGE(""https://docs.google.com/spreadsheets/d/""&amp;$A596&amp;""/edit#gid=156619080"",J$3)"),"#REF!")</f>
        <v>#REF!</v>
      </c>
      <c r="K596" s="2" t="str">
        <f>IFERROR(__xludf.DUMMYFUNCTION("IMPORTRANGE(""https://docs.google.com/spreadsheets/d/""&amp;$A596&amp;""/edit#gid=156619080"",K$3)"),"#REF!")</f>
        <v>#REF!</v>
      </c>
      <c r="L596" s="2" t="str">
        <f>IFERROR(__xludf.DUMMYFUNCTION("IMPORTRANGE(""https://docs.google.com/spreadsheets/d/""&amp;$A596&amp;""/edit#gid=156619080"",L$3)"),"#REF!")</f>
        <v>#REF!</v>
      </c>
      <c r="M596" s="2" t="str">
        <f>IFERROR(__xludf.DUMMYFUNCTION("IMPORTRANGE(""https://docs.google.com/spreadsheets/d/""&amp;$A596&amp;""/edit#gid=156619080"",M$3)"),"#REF!")</f>
        <v>#REF!</v>
      </c>
      <c r="N596" s="2" t="str">
        <f>IFERROR(__xludf.DUMMYFUNCTION("IMPORTRANGE(""https://docs.google.com/spreadsheets/d/""&amp;$A596&amp;""/edit#gid=156619080"",N$3)"),"#REF!")</f>
        <v>#REF!</v>
      </c>
      <c r="O596" s="2" t="str">
        <f>IFERROR(__xludf.DUMMYFUNCTION("IMPORTRANGE(""https://docs.google.com/spreadsheets/d/""&amp;$A596&amp;""/edit#gid=156619080"",O$3)"),"#REF!")</f>
        <v>#REF!</v>
      </c>
      <c r="P596" s="2" t="str">
        <f>IFERROR(__xludf.DUMMYFUNCTION("IMPORTRANGE(""https://docs.google.com/spreadsheets/d/""&amp;$A596&amp;""/edit#gid=156619080"",P$3)"),"#REF!")</f>
        <v>#REF!</v>
      </c>
      <c r="Q596" s="2" t="str">
        <f>IFERROR(__xludf.DUMMYFUNCTION("IMPORTRANGE(""https://docs.google.com/spreadsheets/d/""&amp;$A596&amp;""/edit#gid=156619080"",Q$3)"),"#REF!")</f>
        <v>#REF!</v>
      </c>
      <c r="R596" s="2" t="str">
        <f>IFERROR(__xludf.DUMMYFUNCTION("IMPORTRANGE(""https://docs.google.com/spreadsheets/d/""&amp;$A596&amp;""/edit#gid=156619080"",R$3)"),"#REF!")</f>
        <v>#REF!</v>
      </c>
      <c r="S596" s="2" t="str">
        <f>IFERROR(__xludf.DUMMYFUNCTION("IMPORTRANGE(""https://docs.google.com/spreadsheets/d/""&amp;$A596&amp;""/edit#gid=156619080"",S$3)"),"#REF!")</f>
        <v>#REF!</v>
      </c>
      <c r="T596" s="2" t="str">
        <f>IFERROR(__xludf.DUMMYFUNCTION("IMPORTRANGE(""https://docs.google.com/spreadsheets/d/""&amp;$A596&amp;""/edit#gid=156619080"",T$3)"),"#REF!")</f>
        <v>#REF!</v>
      </c>
      <c r="U596" s="2" t="str">
        <f>IFERROR(__xludf.DUMMYFUNCTION("IMPORTRANGE(""https://docs.google.com/spreadsheets/d/""&amp;$A596&amp;""/edit#gid=156619080"",U$3)"),"#REF!")</f>
        <v>#REF!</v>
      </c>
      <c r="V596" s="2" t="str">
        <f>IFERROR(__xludf.DUMMYFUNCTION("IMPORTRANGE(""https://docs.google.com/spreadsheets/d/""&amp;$A596&amp;""/edit#gid=156619080"",V$3)"),"#REF!")</f>
        <v>#REF!</v>
      </c>
      <c r="W596" s="2" t="str">
        <f>IFERROR(__xludf.DUMMYFUNCTION("IMPORTRANGE(""https://docs.google.com/spreadsheets/d/""&amp;$A596&amp;""/edit#gid=156619080"",W$3)"),"#REF!")</f>
        <v>#REF!</v>
      </c>
      <c r="X596" s="2" t="str">
        <f>IFERROR(__xludf.DUMMYFUNCTION("IMPORTRANGE(""https://docs.google.com/spreadsheets/d/""&amp;$A596&amp;""/edit#gid=156619080"",X$3)"),"#REF!")</f>
        <v>#REF!</v>
      </c>
      <c r="Y596" s="2" t="str">
        <f>IFERROR(__xludf.DUMMYFUNCTION("IMPORTRANGE(""https://docs.google.com/spreadsheets/d/""&amp;$A596&amp;""/edit#gid=156619080"",Y$3)"),"#REF!")</f>
        <v>#REF!</v>
      </c>
      <c r="Z596" s="2" t="str">
        <f>IFERROR(__xludf.DUMMYFUNCTION("IMPORTRANGE(""https://docs.google.com/spreadsheets/d/""&amp;$A596&amp;""/edit#gid=156619080"",Z$3)"),"#REF!")</f>
        <v>#REF!</v>
      </c>
      <c r="AA596" s="2" t="str">
        <f>IFERROR(__xludf.DUMMYFUNCTION("IMPORTRANGE(""https://docs.google.com/spreadsheets/d/""&amp;$A596&amp;""/edit#gid=156619080"",AA$3)"),"#REF!")</f>
        <v>#REF!</v>
      </c>
      <c r="AB596" s="2" t="str">
        <f>IFERROR(__xludf.DUMMYFUNCTION("IMPORTRANGE(""https://docs.google.com/spreadsheets/d/""&amp;$A596&amp;""/edit#gid=156619080"",AB$3)"),"#REF!")</f>
        <v>#REF!</v>
      </c>
      <c r="AC596" s="2" t="str">
        <f>IFERROR(__xludf.DUMMYFUNCTION("IMPORTRANGE(""https://docs.google.com/spreadsheets/d/""&amp;$A596&amp;""/edit#gid=156619080"",AC$3)"),"#REF!")</f>
        <v>#REF!</v>
      </c>
      <c r="AD596" s="2" t="str">
        <f>IFERROR(__xludf.DUMMYFUNCTION("IMPORTRANGE(""https://docs.google.com/spreadsheets/d/""&amp;$A596&amp;""/edit#gid=156619080"",AD$3)"),"#REF!")</f>
        <v>#REF!</v>
      </c>
      <c r="AE596" s="2" t="str">
        <f>IFERROR(__xludf.DUMMYFUNCTION("IMPORTRANGE(""https://docs.google.com/spreadsheets/d/""&amp;$A596&amp;""/edit#gid=156619080"",AE$3)"),"#REF!")</f>
        <v>#REF!</v>
      </c>
      <c r="AF596" s="2" t="str">
        <f>IFERROR(__xludf.DUMMYFUNCTION("IMPORTRANGE(""https://docs.google.com/spreadsheets/d/""&amp;$A596&amp;""/edit#gid=156619080"",AF$3)"),"#REF!")</f>
        <v>#REF!</v>
      </c>
      <c r="AG596" s="2" t="str">
        <f>IFERROR(__xludf.DUMMYFUNCTION("IMPORTRANGE(""https://docs.google.com/spreadsheets/d/""&amp;$A596&amp;""/edit#gid=156619080"",AG$3)"),"#REF!")</f>
        <v>#REF!</v>
      </c>
      <c r="AH596" s="2" t="str">
        <f>IFERROR(__xludf.DUMMYFUNCTION("IMPORTRANGE(""https://docs.google.com/spreadsheets/d/""&amp;$A596&amp;""/edit#gid=156619080"",AH$3)"),"#REF!")</f>
        <v>#REF!</v>
      </c>
      <c r="AI596" s="2" t="str">
        <f>IFERROR(__xludf.DUMMYFUNCTION("IMPORTRANGE(""https://docs.google.com/spreadsheets/d/""&amp;$A596&amp;""/edit#gid=156619080"",AI$3)"),"#REF!")</f>
        <v>#REF!</v>
      </c>
      <c r="AJ596" s="2" t="str">
        <f>IFERROR(__xludf.DUMMYFUNCTION("IMPORTRANGE(""https://docs.google.com/spreadsheets/d/""&amp;$A596&amp;""/edit#gid=156619080"",AJ$3)"),"#REF!")</f>
        <v>#REF!</v>
      </c>
      <c r="AK596" s="2" t="str">
        <f>IFERROR(__xludf.DUMMYFUNCTION("IMPORTRANGE(""https://docs.google.com/spreadsheets/d/""&amp;$A596&amp;""/edit#gid=156619080"",AK$3)"),"#REF!")</f>
        <v>#REF!</v>
      </c>
      <c r="AL596" s="2" t="str">
        <f>IFERROR(__xludf.DUMMYFUNCTION("IMPORTRANGE(""https://docs.google.com/spreadsheets/d/""&amp;$A596&amp;""/edit#gid=156619080"",AL$3)"),"#REF!")</f>
        <v>#REF!</v>
      </c>
      <c r="AM596" s="2" t="str">
        <f>IFERROR(__xludf.DUMMYFUNCTION("IMPORTRANGE(""https://docs.google.com/spreadsheets/d/""&amp;$A596&amp;""/edit#gid=156619080"",AM$3)"),"#REF!")</f>
        <v>#REF!</v>
      </c>
      <c r="AN596" s="2" t="str">
        <f>IFERROR(__xludf.DUMMYFUNCTION("IMPORTRANGE(""https://docs.google.com/spreadsheets/d/""&amp;$A596&amp;""/edit#gid=156619080"",AN$3)"),"#REF!")</f>
        <v>#REF!</v>
      </c>
      <c r="AO596" s="2" t="str">
        <f>IFERROR(__xludf.DUMMYFUNCTION("IMPORTRANGE(""https://docs.google.com/spreadsheets/d/""&amp;$A596&amp;""/edit#gid=156619080"",AO$3)"),"#REF!")</f>
        <v>#REF!</v>
      </c>
      <c r="AP596" s="2" t="str">
        <f>IFERROR(__xludf.DUMMYFUNCTION("IMPORTRANGE(""https://docs.google.com/spreadsheets/d/""&amp;$A596&amp;""/edit#gid=156619080"",AP$3)"),"#REF!")</f>
        <v>#REF!</v>
      </c>
      <c r="AQ596" s="2" t="str">
        <f>IFERROR(__xludf.DUMMYFUNCTION("IMPORTRANGE(""https://docs.google.com/spreadsheets/d/""&amp;$A596&amp;""/edit#gid=156619080"",AQ$3)"),"#REF!")</f>
        <v>#REF!</v>
      </c>
      <c r="AR596" s="2" t="str">
        <f>IFERROR(__xludf.DUMMYFUNCTION("IMPORTRANGE(""https://docs.google.com/spreadsheets/d/""&amp;$A596&amp;""/edit#gid=156619080"",AR$3)"),"#REF!")</f>
        <v>#REF!</v>
      </c>
      <c r="AS596" s="19" t="str">
        <f>IFERROR(__xludf.DUMMYFUNCTION("IMPORTRANGE(""https://docs.google.com/spreadsheets/d/""&amp;$A596&amp;""/edit#gid=156619080"",AS$3)"),"#REF!")</f>
        <v>#REF!</v>
      </c>
      <c r="AT596" s="2" t="str">
        <f>IFERROR(__xludf.DUMMYFUNCTION("IMPORTRANGE(""https://docs.google.com/spreadsheets/d/""&amp;$A596&amp;""/edit#gid=156619080"",AT$3)"),"#REF!")</f>
        <v>#REF!</v>
      </c>
      <c r="AU596" s="3" t="str">
        <f>IFERROR(__xludf.DUMMYFUNCTION("IMPORTRANGE(""https://docs.google.com/spreadsheets/d/""&amp;$A596&amp;""/edit#gid=156619080"",AU$3)"),"#REF!")</f>
        <v>#REF!</v>
      </c>
      <c r="AV596" s="2" t="str">
        <f>IFERROR(__xludf.DUMMYFUNCTION("IMPORTRANGE(""https://docs.google.com/spreadsheets/d/""&amp;$A596&amp;""/edit#gid=156619080"",AV$3)"),"#REF!")</f>
        <v>#REF!</v>
      </c>
      <c r="AW596" s="19" t="str">
        <f>IFERROR(__xludf.DUMMYFUNCTION("IMPORTRANGE(""https://docs.google.com/spreadsheets/d/""&amp;$A596&amp;""/edit#gid=156619080"",AW$3)"),"#REF!")</f>
        <v>#REF!</v>
      </c>
      <c r="AX596" s="2" t="str">
        <f>IFERROR(__xludf.DUMMYFUNCTION("IMPORTRANGE(""https://docs.google.com/spreadsheets/d/""&amp;$A596&amp;""/edit#gid=156619080"",AX$3)"),"#REF!")</f>
        <v>#REF!</v>
      </c>
      <c r="AY596" s="2" t="str">
        <f>IFERROR(__xludf.DUMMYFUNCTION("IMPORTRANGE(""https://docs.google.com/spreadsheets/d/""&amp;$A596&amp;""/edit#gid=156619080"",AY$3)"),"#REF!")</f>
        <v>#REF!</v>
      </c>
      <c r="AZ596" s="2" t="str">
        <f>IFERROR(__xludf.DUMMYFUNCTION("IMPORTRANGE(""https://docs.google.com/spreadsheets/d/""&amp;$A596&amp;""/edit#gid=156619080"",AZ$3)"),"#REF!")</f>
        <v>#REF!</v>
      </c>
      <c r="BA596" s="2" t="str">
        <f>IFERROR(__xludf.DUMMYFUNCTION("IMPORTRANGE(""https://docs.google.com/spreadsheets/d/""&amp;$A596&amp;""/edit#gid=156619080"",BA$3)"),"#REF!")</f>
        <v>#REF!</v>
      </c>
      <c r="BB596" s="2" t="str">
        <f>IFERROR(__xludf.DUMMYFUNCTION("IMPORTRANGE(""https://docs.google.com/spreadsheets/d/""&amp;$A596&amp;""/edit#gid=156619080"",BB$3)"),"#REF!")</f>
        <v>#REF!</v>
      </c>
      <c r="BC596" s="2" t="str">
        <f>IFERROR(__xludf.DUMMYFUNCTION("IMPORTRANGE(""https://docs.google.com/spreadsheets/d/""&amp;$A596&amp;""/edit#gid=156619080"",BC$3)"),"#REF!")</f>
        <v>#REF!</v>
      </c>
    </row>
    <row r="597" ht="51.0" customHeight="1">
      <c r="A597" s="7" t="str">
        <f t="shared" si="5"/>
        <v/>
      </c>
      <c r="C597" s="2" t="str">
        <f>IFERROR(__xludf.DUMMYFUNCTION("IMPORTRANGE(""https://docs.google.com/spreadsheets/d/""&amp;$A597&amp;""/edit#gid=156619080"",C$3)"),"#REF!")</f>
        <v>#REF!</v>
      </c>
      <c r="D597" s="2" t="str">
        <f>IFERROR(__xludf.DUMMYFUNCTION("IMPORTRANGE(""https://docs.google.com/spreadsheets/d/""&amp;$A597&amp;""/edit#gid=156619080"",D$3)"),"#REF!")</f>
        <v>#REF!</v>
      </c>
      <c r="E597" s="2" t="str">
        <f>IFERROR(__xludf.DUMMYFUNCTION("IMPORTRANGE(""https://docs.google.com/spreadsheets/d/""&amp;$A597&amp;""/edit#gid=156619080"",E$3)"),"#REF!")</f>
        <v>#REF!</v>
      </c>
      <c r="F597" s="2" t="str">
        <f>IFERROR(__xludf.DUMMYFUNCTION("IMPORTRANGE(""https://docs.google.com/spreadsheets/d/""&amp;$A597&amp;""/edit#gid=156619080"",F$3)"),"#REF!")</f>
        <v>#REF!</v>
      </c>
      <c r="G597" s="2" t="str">
        <f>IFERROR(__xludf.DUMMYFUNCTION("IMPORTRANGE(""https://docs.google.com/spreadsheets/d/""&amp;$A597&amp;""/edit#gid=156619080"",G$3)"),"#REF!")</f>
        <v>#REF!</v>
      </c>
      <c r="H597" s="2" t="str">
        <f>IFERROR(__xludf.DUMMYFUNCTION("IMPORTRANGE(""https://docs.google.com/spreadsheets/d/""&amp;$A597&amp;""/edit#gid=156619080"",H$3)"),"#REF!")</f>
        <v>#REF!</v>
      </c>
      <c r="I597" s="2" t="str">
        <f>IFERROR(__xludf.DUMMYFUNCTION("IMPORTRANGE(""https://docs.google.com/spreadsheets/d/""&amp;$A597&amp;""/edit#gid=156619080"",I$3)"),"#REF!")</f>
        <v>#REF!</v>
      </c>
      <c r="J597" s="2" t="str">
        <f>IFERROR(__xludf.DUMMYFUNCTION("IMPORTRANGE(""https://docs.google.com/spreadsheets/d/""&amp;$A597&amp;""/edit#gid=156619080"",J$3)"),"#REF!")</f>
        <v>#REF!</v>
      </c>
      <c r="K597" s="2" t="str">
        <f>IFERROR(__xludf.DUMMYFUNCTION("IMPORTRANGE(""https://docs.google.com/spreadsheets/d/""&amp;$A597&amp;""/edit#gid=156619080"",K$3)"),"#REF!")</f>
        <v>#REF!</v>
      </c>
      <c r="L597" s="2" t="str">
        <f>IFERROR(__xludf.DUMMYFUNCTION("IMPORTRANGE(""https://docs.google.com/spreadsheets/d/""&amp;$A597&amp;""/edit#gid=156619080"",L$3)"),"#REF!")</f>
        <v>#REF!</v>
      </c>
      <c r="M597" s="2" t="str">
        <f>IFERROR(__xludf.DUMMYFUNCTION("IMPORTRANGE(""https://docs.google.com/spreadsheets/d/""&amp;$A597&amp;""/edit#gid=156619080"",M$3)"),"#REF!")</f>
        <v>#REF!</v>
      </c>
      <c r="N597" s="2" t="str">
        <f>IFERROR(__xludf.DUMMYFUNCTION("IMPORTRANGE(""https://docs.google.com/spreadsheets/d/""&amp;$A597&amp;""/edit#gid=156619080"",N$3)"),"#REF!")</f>
        <v>#REF!</v>
      </c>
      <c r="O597" s="2" t="str">
        <f>IFERROR(__xludf.DUMMYFUNCTION("IMPORTRANGE(""https://docs.google.com/spreadsheets/d/""&amp;$A597&amp;""/edit#gid=156619080"",O$3)"),"#REF!")</f>
        <v>#REF!</v>
      </c>
      <c r="P597" s="2" t="str">
        <f>IFERROR(__xludf.DUMMYFUNCTION("IMPORTRANGE(""https://docs.google.com/spreadsheets/d/""&amp;$A597&amp;""/edit#gid=156619080"",P$3)"),"#REF!")</f>
        <v>#REF!</v>
      </c>
      <c r="Q597" s="2" t="str">
        <f>IFERROR(__xludf.DUMMYFUNCTION("IMPORTRANGE(""https://docs.google.com/spreadsheets/d/""&amp;$A597&amp;""/edit#gid=156619080"",Q$3)"),"#REF!")</f>
        <v>#REF!</v>
      </c>
      <c r="R597" s="2" t="str">
        <f>IFERROR(__xludf.DUMMYFUNCTION("IMPORTRANGE(""https://docs.google.com/spreadsheets/d/""&amp;$A597&amp;""/edit#gid=156619080"",R$3)"),"#REF!")</f>
        <v>#REF!</v>
      </c>
      <c r="S597" s="2" t="str">
        <f>IFERROR(__xludf.DUMMYFUNCTION("IMPORTRANGE(""https://docs.google.com/spreadsheets/d/""&amp;$A597&amp;""/edit#gid=156619080"",S$3)"),"#REF!")</f>
        <v>#REF!</v>
      </c>
      <c r="T597" s="2" t="str">
        <f>IFERROR(__xludf.DUMMYFUNCTION("IMPORTRANGE(""https://docs.google.com/spreadsheets/d/""&amp;$A597&amp;""/edit#gid=156619080"",T$3)"),"#REF!")</f>
        <v>#REF!</v>
      </c>
      <c r="U597" s="2" t="str">
        <f>IFERROR(__xludf.DUMMYFUNCTION("IMPORTRANGE(""https://docs.google.com/spreadsheets/d/""&amp;$A597&amp;""/edit#gid=156619080"",U$3)"),"#REF!")</f>
        <v>#REF!</v>
      </c>
      <c r="V597" s="2" t="str">
        <f>IFERROR(__xludf.DUMMYFUNCTION("IMPORTRANGE(""https://docs.google.com/spreadsheets/d/""&amp;$A597&amp;""/edit#gid=156619080"",V$3)"),"#REF!")</f>
        <v>#REF!</v>
      </c>
      <c r="W597" s="2" t="str">
        <f>IFERROR(__xludf.DUMMYFUNCTION("IMPORTRANGE(""https://docs.google.com/spreadsheets/d/""&amp;$A597&amp;""/edit#gid=156619080"",W$3)"),"#REF!")</f>
        <v>#REF!</v>
      </c>
      <c r="X597" s="2" t="str">
        <f>IFERROR(__xludf.DUMMYFUNCTION("IMPORTRANGE(""https://docs.google.com/spreadsheets/d/""&amp;$A597&amp;""/edit#gid=156619080"",X$3)"),"#REF!")</f>
        <v>#REF!</v>
      </c>
      <c r="Y597" s="2" t="str">
        <f>IFERROR(__xludf.DUMMYFUNCTION("IMPORTRANGE(""https://docs.google.com/spreadsheets/d/""&amp;$A597&amp;""/edit#gid=156619080"",Y$3)"),"#REF!")</f>
        <v>#REF!</v>
      </c>
      <c r="Z597" s="2" t="str">
        <f>IFERROR(__xludf.DUMMYFUNCTION("IMPORTRANGE(""https://docs.google.com/spreadsheets/d/""&amp;$A597&amp;""/edit#gid=156619080"",Z$3)"),"#REF!")</f>
        <v>#REF!</v>
      </c>
      <c r="AA597" s="2" t="str">
        <f>IFERROR(__xludf.DUMMYFUNCTION("IMPORTRANGE(""https://docs.google.com/spreadsheets/d/""&amp;$A597&amp;""/edit#gid=156619080"",AA$3)"),"#REF!")</f>
        <v>#REF!</v>
      </c>
      <c r="AB597" s="2" t="str">
        <f>IFERROR(__xludf.DUMMYFUNCTION("IMPORTRANGE(""https://docs.google.com/spreadsheets/d/""&amp;$A597&amp;""/edit#gid=156619080"",AB$3)"),"#REF!")</f>
        <v>#REF!</v>
      </c>
      <c r="AC597" s="2" t="str">
        <f>IFERROR(__xludf.DUMMYFUNCTION("IMPORTRANGE(""https://docs.google.com/spreadsheets/d/""&amp;$A597&amp;""/edit#gid=156619080"",AC$3)"),"#REF!")</f>
        <v>#REF!</v>
      </c>
      <c r="AD597" s="2" t="str">
        <f>IFERROR(__xludf.DUMMYFUNCTION("IMPORTRANGE(""https://docs.google.com/spreadsheets/d/""&amp;$A597&amp;""/edit#gid=156619080"",AD$3)"),"#REF!")</f>
        <v>#REF!</v>
      </c>
      <c r="AE597" s="2" t="str">
        <f>IFERROR(__xludf.DUMMYFUNCTION("IMPORTRANGE(""https://docs.google.com/spreadsheets/d/""&amp;$A597&amp;""/edit#gid=156619080"",AE$3)"),"#REF!")</f>
        <v>#REF!</v>
      </c>
      <c r="AF597" s="2" t="str">
        <f>IFERROR(__xludf.DUMMYFUNCTION("IMPORTRANGE(""https://docs.google.com/spreadsheets/d/""&amp;$A597&amp;""/edit#gid=156619080"",AF$3)"),"#REF!")</f>
        <v>#REF!</v>
      </c>
      <c r="AG597" s="2" t="str">
        <f>IFERROR(__xludf.DUMMYFUNCTION("IMPORTRANGE(""https://docs.google.com/spreadsheets/d/""&amp;$A597&amp;""/edit#gid=156619080"",AG$3)"),"#REF!")</f>
        <v>#REF!</v>
      </c>
      <c r="AH597" s="2" t="str">
        <f>IFERROR(__xludf.DUMMYFUNCTION("IMPORTRANGE(""https://docs.google.com/spreadsheets/d/""&amp;$A597&amp;""/edit#gid=156619080"",AH$3)"),"#REF!")</f>
        <v>#REF!</v>
      </c>
      <c r="AI597" s="2" t="str">
        <f>IFERROR(__xludf.DUMMYFUNCTION("IMPORTRANGE(""https://docs.google.com/spreadsheets/d/""&amp;$A597&amp;""/edit#gid=156619080"",AI$3)"),"#REF!")</f>
        <v>#REF!</v>
      </c>
      <c r="AJ597" s="2" t="str">
        <f>IFERROR(__xludf.DUMMYFUNCTION("IMPORTRANGE(""https://docs.google.com/spreadsheets/d/""&amp;$A597&amp;""/edit#gid=156619080"",AJ$3)"),"#REF!")</f>
        <v>#REF!</v>
      </c>
      <c r="AK597" s="2" t="str">
        <f>IFERROR(__xludf.DUMMYFUNCTION("IMPORTRANGE(""https://docs.google.com/spreadsheets/d/""&amp;$A597&amp;""/edit#gid=156619080"",AK$3)"),"#REF!")</f>
        <v>#REF!</v>
      </c>
      <c r="AL597" s="2" t="str">
        <f>IFERROR(__xludf.DUMMYFUNCTION("IMPORTRANGE(""https://docs.google.com/spreadsheets/d/""&amp;$A597&amp;""/edit#gid=156619080"",AL$3)"),"#REF!")</f>
        <v>#REF!</v>
      </c>
      <c r="AM597" s="2" t="str">
        <f>IFERROR(__xludf.DUMMYFUNCTION("IMPORTRANGE(""https://docs.google.com/spreadsheets/d/""&amp;$A597&amp;""/edit#gid=156619080"",AM$3)"),"#REF!")</f>
        <v>#REF!</v>
      </c>
      <c r="AN597" s="2" t="str">
        <f>IFERROR(__xludf.DUMMYFUNCTION("IMPORTRANGE(""https://docs.google.com/spreadsheets/d/""&amp;$A597&amp;""/edit#gid=156619080"",AN$3)"),"#REF!")</f>
        <v>#REF!</v>
      </c>
      <c r="AO597" s="2" t="str">
        <f>IFERROR(__xludf.DUMMYFUNCTION("IMPORTRANGE(""https://docs.google.com/spreadsheets/d/""&amp;$A597&amp;""/edit#gid=156619080"",AO$3)"),"#REF!")</f>
        <v>#REF!</v>
      </c>
      <c r="AP597" s="2" t="str">
        <f>IFERROR(__xludf.DUMMYFUNCTION("IMPORTRANGE(""https://docs.google.com/spreadsheets/d/""&amp;$A597&amp;""/edit#gid=156619080"",AP$3)"),"#REF!")</f>
        <v>#REF!</v>
      </c>
      <c r="AQ597" s="2" t="str">
        <f>IFERROR(__xludf.DUMMYFUNCTION("IMPORTRANGE(""https://docs.google.com/spreadsheets/d/""&amp;$A597&amp;""/edit#gid=156619080"",AQ$3)"),"#REF!")</f>
        <v>#REF!</v>
      </c>
      <c r="AR597" s="2" t="str">
        <f>IFERROR(__xludf.DUMMYFUNCTION("IMPORTRANGE(""https://docs.google.com/spreadsheets/d/""&amp;$A597&amp;""/edit#gid=156619080"",AR$3)"),"#REF!")</f>
        <v>#REF!</v>
      </c>
      <c r="AS597" s="19" t="str">
        <f>IFERROR(__xludf.DUMMYFUNCTION("IMPORTRANGE(""https://docs.google.com/spreadsheets/d/""&amp;$A597&amp;""/edit#gid=156619080"",AS$3)"),"#REF!")</f>
        <v>#REF!</v>
      </c>
      <c r="AT597" s="2" t="str">
        <f>IFERROR(__xludf.DUMMYFUNCTION("IMPORTRANGE(""https://docs.google.com/spreadsheets/d/""&amp;$A597&amp;""/edit#gid=156619080"",AT$3)"),"#REF!")</f>
        <v>#REF!</v>
      </c>
      <c r="AU597" s="3" t="str">
        <f>IFERROR(__xludf.DUMMYFUNCTION("IMPORTRANGE(""https://docs.google.com/spreadsheets/d/""&amp;$A597&amp;""/edit#gid=156619080"",AU$3)"),"#REF!")</f>
        <v>#REF!</v>
      </c>
      <c r="AV597" s="2" t="str">
        <f>IFERROR(__xludf.DUMMYFUNCTION("IMPORTRANGE(""https://docs.google.com/spreadsheets/d/""&amp;$A597&amp;""/edit#gid=156619080"",AV$3)"),"#REF!")</f>
        <v>#REF!</v>
      </c>
      <c r="AW597" s="19" t="str">
        <f>IFERROR(__xludf.DUMMYFUNCTION("IMPORTRANGE(""https://docs.google.com/spreadsheets/d/""&amp;$A597&amp;""/edit#gid=156619080"",AW$3)"),"#REF!")</f>
        <v>#REF!</v>
      </c>
      <c r="AX597" s="2" t="str">
        <f>IFERROR(__xludf.DUMMYFUNCTION("IMPORTRANGE(""https://docs.google.com/spreadsheets/d/""&amp;$A597&amp;""/edit#gid=156619080"",AX$3)"),"#REF!")</f>
        <v>#REF!</v>
      </c>
      <c r="AY597" s="2" t="str">
        <f>IFERROR(__xludf.DUMMYFUNCTION("IMPORTRANGE(""https://docs.google.com/spreadsheets/d/""&amp;$A597&amp;""/edit#gid=156619080"",AY$3)"),"#REF!")</f>
        <v>#REF!</v>
      </c>
      <c r="AZ597" s="2" t="str">
        <f>IFERROR(__xludf.DUMMYFUNCTION("IMPORTRANGE(""https://docs.google.com/spreadsheets/d/""&amp;$A597&amp;""/edit#gid=156619080"",AZ$3)"),"#REF!")</f>
        <v>#REF!</v>
      </c>
      <c r="BA597" s="2" t="str">
        <f>IFERROR(__xludf.DUMMYFUNCTION("IMPORTRANGE(""https://docs.google.com/spreadsheets/d/""&amp;$A597&amp;""/edit#gid=156619080"",BA$3)"),"#REF!")</f>
        <v>#REF!</v>
      </c>
      <c r="BB597" s="2" t="str">
        <f>IFERROR(__xludf.DUMMYFUNCTION("IMPORTRANGE(""https://docs.google.com/spreadsheets/d/""&amp;$A597&amp;""/edit#gid=156619080"",BB$3)"),"#REF!")</f>
        <v>#REF!</v>
      </c>
      <c r="BC597" s="2" t="str">
        <f>IFERROR(__xludf.DUMMYFUNCTION("IMPORTRANGE(""https://docs.google.com/spreadsheets/d/""&amp;$A597&amp;""/edit#gid=156619080"",BC$3)"),"#REF!")</f>
        <v>#REF!</v>
      </c>
    </row>
    <row r="598" ht="51.0" customHeight="1">
      <c r="A598" s="7" t="str">
        <f t="shared" si="5"/>
        <v/>
      </c>
      <c r="C598" s="2" t="str">
        <f>IFERROR(__xludf.DUMMYFUNCTION("IMPORTRANGE(""https://docs.google.com/spreadsheets/d/""&amp;$A598&amp;""/edit#gid=156619080"",C$3)"),"#REF!")</f>
        <v>#REF!</v>
      </c>
      <c r="D598" s="2" t="str">
        <f>IFERROR(__xludf.DUMMYFUNCTION("IMPORTRANGE(""https://docs.google.com/spreadsheets/d/""&amp;$A598&amp;""/edit#gid=156619080"",D$3)"),"#REF!")</f>
        <v>#REF!</v>
      </c>
      <c r="E598" s="2" t="str">
        <f>IFERROR(__xludf.DUMMYFUNCTION("IMPORTRANGE(""https://docs.google.com/spreadsheets/d/""&amp;$A598&amp;""/edit#gid=156619080"",E$3)"),"#REF!")</f>
        <v>#REF!</v>
      </c>
      <c r="F598" s="2" t="str">
        <f>IFERROR(__xludf.DUMMYFUNCTION("IMPORTRANGE(""https://docs.google.com/spreadsheets/d/""&amp;$A598&amp;""/edit#gid=156619080"",F$3)"),"#REF!")</f>
        <v>#REF!</v>
      </c>
      <c r="G598" s="2" t="str">
        <f>IFERROR(__xludf.DUMMYFUNCTION("IMPORTRANGE(""https://docs.google.com/spreadsheets/d/""&amp;$A598&amp;""/edit#gid=156619080"",G$3)"),"#REF!")</f>
        <v>#REF!</v>
      </c>
      <c r="H598" s="2" t="str">
        <f>IFERROR(__xludf.DUMMYFUNCTION("IMPORTRANGE(""https://docs.google.com/spreadsheets/d/""&amp;$A598&amp;""/edit#gid=156619080"",H$3)"),"#REF!")</f>
        <v>#REF!</v>
      </c>
      <c r="I598" s="2" t="str">
        <f>IFERROR(__xludf.DUMMYFUNCTION("IMPORTRANGE(""https://docs.google.com/spreadsheets/d/""&amp;$A598&amp;""/edit#gid=156619080"",I$3)"),"#REF!")</f>
        <v>#REF!</v>
      </c>
      <c r="J598" s="2" t="str">
        <f>IFERROR(__xludf.DUMMYFUNCTION("IMPORTRANGE(""https://docs.google.com/spreadsheets/d/""&amp;$A598&amp;""/edit#gid=156619080"",J$3)"),"#REF!")</f>
        <v>#REF!</v>
      </c>
      <c r="K598" s="2" t="str">
        <f>IFERROR(__xludf.DUMMYFUNCTION("IMPORTRANGE(""https://docs.google.com/spreadsheets/d/""&amp;$A598&amp;""/edit#gid=156619080"",K$3)"),"#REF!")</f>
        <v>#REF!</v>
      </c>
      <c r="L598" s="2" t="str">
        <f>IFERROR(__xludf.DUMMYFUNCTION("IMPORTRANGE(""https://docs.google.com/spreadsheets/d/""&amp;$A598&amp;""/edit#gid=156619080"",L$3)"),"#REF!")</f>
        <v>#REF!</v>
      </c>
      <c r="M598" s="2" t="str">
        <f>IFERROR(__xludf.DUMMYFUNCTION("IMPORTRANGE(""https://docs.google.com/spreadsheets/d/""&amp;$A598&amp;""/edit#gid=156619080"",M$3)"),"#REF!")</f>
        <v>#REF!</v>
      </c>
      <c r="N598" s="2" t="str">
        <f>IFERROR(__xludf.DUMMYFUNCTION("IMPORTRANGE(""https://docs.google.com/spreadsheets/d/""&amp;$A598&amp;""/edit#gid=156619080"",N$3)"),"#REF!")</f>
        <v>#REF!</v>
      </c>
      <c r="O598" s="2" t="str">
        <f>IFERROR(__xludf.DUMMYFUNCTION("IMPORTRANGE(""https://docs.google.com/spreadsheets/d/""&amp;$A598&amp;""/edit#gid=156619080"",O$3)"),"#REF!")</f>
        <v>#REF!</v>
      </c>
      <c r="P598" s="2" t="str">
        <f>IFERROR(__xludf.DUMMYFUNCTION("IMPORTRANGE(""https://docs.google.com/spreadsheets/d/""&amp;$A598&amp;""/edit#gid=156619080"",P$3)"),"#REF!")</f>
        <v>#REF!</v>
      </c>
      <c r="Q598" s="2" t="str">
        <f>IFERROR(__xludf.DUMMYFUNCTION("IMPORTRANGE(""https://docs.google.com/spreadsheets/d/""&amp;$A598&amp;""/edit#gid=156619080"",Q$3)"),"#REF!")</f>
        <v>#REF!</v>
      </c>
      <c r="R598" s="2" t="str">
        <f>IFERROR(__xludf.DUMMYFUNCTION("IMPORTRANGE(""https://docs.google.com/spreadsheets/d/""&amp;$A598&amp;""/edit#gid=156619080"",R$3)"),"#REF!")</f>
        <v>#REF!</v>
      </c>
      <c r="S598" s="2" t="str">
        <f>IFERROR(__xludf.DUMMYFUNCTION("IMPORTRANGE(""https://docs.google.com/spreadsheets/d/""&amp;$A598&amp;""/edit#gid=156619080"",S$3)"),"#REF!")</f>
        <v>#REF!</v>
      </c>
      <c r="T598" s="2" t="str">
        <f>IFERROR(__xludf.DUMMYFUNCTION("IMPORTRANGE(""https://docs.google.com/spreadsheets/d/""&amp;$A598&amp;""/edit#gid=156619080"",T$3)"),"#REF!")</f>
        <v>#REF!</v>
      </c>
      <c r="U598" s="2" t="str">
        <f>IFERROR(__xludf.DUMMYFUNCTION("IMPORTRANGE(""https://docs.google.com/spreadsheets/d/""&amp;$A598&amp;""/edit#gid=156619080"",U$3)"),"#REF!")</f>
        <v>#REF!</v>
      </c>
      <c r="V598" s="2" t="str">
        <f>IFERROR(__xludf.DUMMYFUNCTION("IMPORTRANGE(""https://docs.google.com/spreadsheets/d/""&amp;$A598&amp;""/edit#gid=156619080"",V$3)"),"#REF!")</f>
        <v>#REF!</v>
      </c>
      <c r="W598" s="2" t="str">
        <f>IFERROR(__xludf.DUMMYFUNCTION("IMPORTRANGE(""https://docs.google.com/spreadsheets/d/""&amp;$A598&amp;""/edit#gid=156619080"",W$3)"),"#REF!")</f>
        <v>#REF!</v>
      </c>
      <c r="X598" s="2" t="str">
        <f>IFERROR(__xludf.DUMMYFUNCTION("IMPORTRANGE(""https://docs.google.com/spreadsheets/d/""&amp;$A598&amp;""/edit#gid=156619080"",X$3)"),"#REF!")</f>
        <v>#REF!</v>
      </c>
      <c r="Y598" s="2" t="str">
        <f>IFERROR(__xludf.DUMMYFUNCTION("IMPORTRANGE(""https://docs.google.com/spreadsheets/d/""&amp;$A598&amp;""/edit#gid=156619080"",Y$3)"),"#REF!")</f>
        <v>#REF!</v>
      </c>
      <c r="Z598" s="2" t="str">
        <f>IFERROR(__xludf.DUMMYFUNCTION("IMPORTRANGE(""https://docs.google.com/spreadsheets/d/""&amp;$A598&amp;""/edit#gid=156619080"",Z$3)"),"#REF!")</f>
        <v>#REF!</v>
      </c>
      <c r="AA598" s="2" t="str">
        <f>IFERROR(__xludf.DUMMYFUNCTION("IMPORTRANGE(""https://docs.google.com/spreadsheets/d/""&amp;$A598&amp;""/edit#gid=156619080"",AA$3)"),"#REF!")</f>
        <v>#REF!</v>
      </c>
      <c r="AB598" s="2" t="str">
        <f>IFERROR(__xludf.DUMMYFUNCTION("IMPORTRANGE(""https://docs.google.com/spreadsheets/d/""&amp;$A598&amp;""/edit#gid=156619080"",AB$3)"),"#REF!")</f>
        <v>#REF!</v>
      </c>
      <c r="AC598" s="2" t="str">
        <f>IFERROR(__xludf.DUMMYFUNCTION("IMPORTRANGE(""https://docs.google.com/spreadsheets/d/""&amp;$A598&amp;""/edit#gid=156619080"",AC$3)"),"#REF!")</f>
        <v>#REF!</v>
      </c>
      <c r="AD598" s="2" t="str">
        <f>IFERROR(__xludf.DUMMYFUNCTION("IMPORTRANGE(""https://docs.google.com/spreadsheets/d/""&amp;$A598&amp;""/edit#gid=156619080"",AD$3)"),"#REF!")</f>
        <v>#REF!</v>
      </c>
      <c r="AE598" s="2" t="str">
        <f>IFERROR(__xludf.DUMMYFUNCTION("IMPORTRANGE(""https://docs.google.com/spreadsheets/d/""&amp;$A598&amp;""/edit#gid=156619080"",AE$3)"),"#REF!")</f>
        <v>#REF!</v>
      </c>
      <c r="AF598" s="2" t="str">
        <f>IFERROR(__xludf.DUMMYFUNCTION("IMPORTRANGE(""https://docs.google.com/spreadsheets/d/""&amp;$A598&amp;""/edit#gid=156619080"",AF$3)"),"#REF!")</f>
        <v>#REF!</v>
      </c>
      <c r="AG598" s="2" t="str">
        <f>IFERROR(__xludf.DUMMYFUNCTION("IMPORTRANGE(""https://docs.google.com/spreadsheets/d/""&amp;$A598&amp;""/edit#gid=156619080"",AG$3)"),"#REF!")</f>
        <v>#REF!</v>
      </c>
      <c r="AH598" s="2" t="str">
        <f>IFERROR(__xludf.DUMMYFUNCTION("IMPORTRANGE(""https://docs.google.com/spreadsheets/d/""&amp;$A598&amp;""/edit#gid=156619080"",AH$3)"),"#REF!")</f>
        <v>#REF!</v>
      </c>
      <c r="AI598" s="2" t="str">
        <f>IFERROR(__xludf.DUMMYFUNCTION("IMPORTRANGE(""https://docs.google.com/spreadsheets/d/""&amp;$A598&amp;""/edit#gid=156619080"",AI$3)"),"#REF!")</f>
        <v>#REF!</v>
      </c>
      <c r="AJ598" s="2" t="str">
        <f>IFERROR(__xludf.DUMMYFUNCTION("IMPORTRANGE(""https://docs.google.com/spreadsheets/d/""&amp;$A598&amp;""/edit#gid=156619080"",AJ$3)"),"#REF!")</f>
        <v>#REF!</v>
      </c>
      <c r="AK598" s="2" t="str">
        <f>IFERROR(__xludf.DUMMYFUNCTION("IMPORTRANGE(""https://docs.google.com/spreadsheets/d/""&amp;$A598&amp;""/edit#gid=156619080"",AK$3)"),"#REF!")</f>
        <v>#REF!</v>
      </c>
      <c r="AL598" s="2" t="str">
        <f>IFERROR(__xludf.DUMMYFUNCTION("IMPORTRANGE(""https://docs.google.com/spreadsheets/d/""&amp;$A598&amp;""/edit#gid=156619080"",AL$3)"),"#REF!")</f>
        <v>#REF!</v>
      </c>
      <c r="AM598" s="2" t="str">
        <f>IFERROR(__xludf.DUMMYFUNCTION("IMPORTRANGE(""https://docs.google.com/spreadsheets/d/""&amp;$A598&amp;""/edit#gid=156619080"",AM$3)"),"#REF!")</f>
        <v>#REF!</v>
      </c>
      <c r="AN598" s="2" t="str">
        <f>IFERROR(__xludf.DUMMYFUNCTION("IMPORTRANGE(""https://docs.google.com/spreadsheets/d/""&amp;$A598&amp;""/edit#gid=156619080"",AN$3)"),"#REF!")</f>
        <v>#REF!</v>
      </c>
      <c r="AO598" s="2" t="str">
        <f>IFERROR(__xludf.DUMMYFUNCTION("IMPORTRANGE(""https://docs.google.com/spreadsheets/d/""&amp;$A598&amp;""/edit#gid=156619080"",AO$3)"),"#REF!")</f>
        <v>#REF!</v>
      </c>
      <c r="AP598" s="2" t="str">
        <f>IFERROR(__xludf.DUMMYFUNCTION("IMPORTRANGE(""https://docs.google.com/spreadsheets/d/""&amp;$A598&amp;""/edit#gid=156619080"",AP$3)"),"#REF!")</f>
        <v>#REF!</v>
      </c>
      <c r="AQ598" s="2" t="str">
        <f>IFERROR(__xludf.DUMMYFUNCTION("IMPORTRANGE(""https://docs.google.com/spreadsheets/d/""&amp;$A598&amp;""/edit#gid=156619080"",AQ$3)"),"#REF!")</f>
        <v>#REF!</v>
      </c>
      <c r="AR598" s="2" t="str">
        <f>IFERROR(__xludf.DUMMYFUNCTION("IMPORTRANGE(""https://docs.google.com/spreadsheets/d/""&amp;$A598&amp;""/edit#gid=156619080"",AR$3)"),"#REF!")</f>
        <v>#REF!</v>
      </c>
      <c r="AS598" s="19" t="str">
        <f>IFERROR(__xludf.DUMMYFUNCTION("IMPORTRANGE(""https://docs.google.com/spreadsheets/d/""&amp;$A598&amp;""/edit#gid=156619080"",AS$3)"),"#REF!")</f>
        <v>#REF!</v>
      </c>
      <c r="AT598" s="2" t="str">
        <f>IFERROR(__xludf.DUMMYFUNCTION("IMPORTRANGE(""https://docs.google.com/spreadsheets/d/""&amp;$A598&amp;""/edit#gid=156619080"",AT$3)"),"#REF!")</f>
        <v>#REF!</v>
      </c>
      <c r="AU598" s="3" t="str">
        <f>IFERROR(__xludf.DUMMYFUNCTION("IMPORTRANGE(""https://docs.google.com/spreadsheets/d/""&amp;$A598&amp;""/edit#gid=156619080"",AU$3)"),"#REF!")</f>
        <v>#REF!</v>
      </c>
      <c r="AV598" s="2" t="str">
        <f>IFERROR(__xludf.DUMMYFUNCTION("IMPORTRANGE(""https://docs.google.com/spreadsheets/d/""&amp;$A598&amp;""/edit#gid=156619080"",AV$3)"),"#REF!")</f>
        <v>#REF!</v>
      </c>
      <c r="AW598" s="19" t="str">
        <f>IFERROR(__xludf.DUMMYFUNCTION("IMPORTRANGE(""https://docs.google.com/spreadsheets/d/""&amp;$A598&amp;""/edit#gid=156619080"",AW$3)"),"#REF!")</f>
        <v>#REF!</v>
      </c>
      <c r="AX598" s="2" t="str">
        <f>IFERROR(__xludf.DUMMYFUNCTION("IMPORTRANGE(""https://docs.google.com/spreadsheets/d/""&amp;$A598&amp;""/edit#gid=156619080"",AX$3)"),"#REF!")</f>
        <v>#REF!</v>
      </c>
      <c r="AY598" s="2" t="str">
        <f>IFERROR(__xludf.DUMMYFUNCTION("IMPORTRANGE(""https://docs.google.com/spreadsheets/d/""&amp;$A598&amp;""/edit#gid=156619080"",AY$3)"),"#REF!")</f>
        <v>#REF!</v>
      </c>
      <c r="AZ598" s="2" t="str">
        <f>IFERROR(__xludf.DUMMYFUNCTION("IMPORTRANGE(""https://docs.google.com/spreadsheets/d/""&amp;$A598&amp;""/edit#gid=156619080"",AZ$3)"),"#REF!")</f>
        <v>#REF!</v>
      </c>
      <c r="BA598" s="2" t="str">
        <f>IFERROR(__xludf.DUMMYFUNCTION("IMPORTRANGE(""https://docs.google.com/spreadsheets/d/""&amp;$A598&amp;""/edit#gid=156619080"",BA$3)"),"#REF!")</f>
        <v>#REF!</v>
      </c>
      <c r="BB598" s="2" t="str">
        <f>IFERROR(__xludf.DUMMYFUNCTION("IMPORTRANGE(""https://docs.google.com/spreadsheets/d/""&amp;$A598&amp;""/edit#gid=156619080"",BB$3)"),"#REF!")</f>
        <v>#REF!</v>
      </c>
      <c r="BC598" s="2" t="str">
        <f>IFERROR(__xludf.DUMMYFUNCTION("IMPORTRANGE(""https://docs.google.com/spreadsheets/d/""&amp;$A598&amp;""/edit#gid=156619080"",BC$3)"),"#REF!")</f>
        <v>#REF!</v>
      </c>
    </row>
    <row r="599" ht="51.0" customHeight="1">
      <c r="A599" s="7" t="str">
        <f t="shared" si="5"/>
        <v/>
      </c>
      <c r="C599" s="2" t="str">
        <f>IFERROR(__xludf.DUMMYFUNCTION("IMPORTRANGE(""https://docs.google.com/spreadsheets/d/""&amp;$A599&amp;""/edit#gid=156619080"",C$3)"),"#REF!")</f>
        <v>#REF!</v>
      </c>
      <c r="D599" s="2" t="str">
        <f>IFERROR(__xludf.DUMMYFUNCTION("IMPORTRANGE(""https://docs.google.com/spreadsheets/d/""&amp;$A599&amp;""/edit#gid=156619080"",D$3)"),"#REF!")</f>
        <v>#REF!</v>
      </c>
      <c r="E599" s="2" t="str">
        <f>IFERROR(__xludf.DUMMYFUNCTION("IMPORTRANGE(""https://docs.google.com/spreadsheets/d/""&amp;$A599&amp;""/edit#gid=156619080"",E$3)"),"#REF!")</f>
        <v>#REF!</v>
      </c>
      <c r="F599" s="2" t="str">
        <f>IFERROR(__xludf.DUMMYFUNCTION("IMPORTRANGE(""https://docs.google.com/spreadsheets/d/""&amp;$A599&amp;""/edit#gid=156619080"",F$3)"),"#REF!")</f>
        <v>#REF!</v>
      </c>
      <c r="G599" s="2" t="str">
        <f>IFERROR(__xludf.DUMMYFUNCTION("IMPORTRANGE(""https://docs.google.com/spreadsheets/d/""&amp;$A599&amp;""/edit#gid=156619080"",G$3)"),"#REF!")</f>
        <v>#REF!</v>
      </c>
      <c r="H599" s="2" t="str">
        <f>IFERROR(__xludf.DUMMYFUNCTION("IMPORTRANGE(""https://docs.google.com/spreadsheets/d/""&amp;$A599&amp;""/edit#gid=156619080"",H$3)"),"#REF!")</f>
        <v>#REF!</v>
      </c>
      <c r="I599" s="2" t="str">
        <f>IFERROR(__xludf.DUMMYFUNCTION("IMPORTRANGE(""https://docs.google.com/spreadsheets/d/""&amp;$A599&amp;""/edit#gid=156619080"",I$3)"),"#REF!")</f>
        <v>#REF!</v>
      </c>
      <c r="J599" s="2" t="str">
        <f>IFERROR(__xludf.DUMMYFUNCTION("IMPORTRANGE(""https://docs.google.com/spreadsheets/d/""&amp;$A599&amp;""/edit#gid=156619080"",J$3)"),"#REF!")</f>
        <v>#REF!</v>
      </c>
      <c r="K599" s="2" t="str">
        <f>IFERROR(__xludf.DUMMYFUNCTION("IMPORTRANGE(""https://docs.google.com/spreadsheets/d/""&amp;$A599&amp;""/edit#gid=156619080"",K$3)"),"#REF!")</f>
        <v>#REF!</v>
      </c>
      <c r="L599" s="2" t="str">
        <f>IFERROR(__xludf.DUMMYFUNCTION("IMPORTRANGE(""https://docs.google.com/spreadsheets/d/""&amp;$A599&amp;""/edit#gid=156619080"",L$3)"),"#REF!")</f>
        <v>#REF!</v>
      </c>
      <c r="M599" s="2" t="str">
        <f>IFERROR(__xludf.DUMMYFUNCTION("IMPORTRANGE(""https://docs.google.com/spreadsheets/d/""&amp;$A599&amp;""/edit#gid=156619080"",M$3)"),"#REF!")</f>
        <v>#REF!</v>
      </c>
      <c r="N599" s="2" t="str">
        <f>IFERROR(__xludf.DUMMYFUNCTION("IMPORTRANGE(""https://docs.google.com/spreadsheets/d/""&amp;$A599&amp;""/edit#gid=156619080"",N$3)"),"#REF!")</f>
        <v>#REF!</v>
      </c>
      <c r="O599" s="2" t="str">
        <f>IFERROR(__xludf.DUMMYFUNCTION("IMPORTRANGE(""https://docs.google.com/spreadsheets/d/""&amp;$A599&amp;""/edit#gid=156619080"",O$3)"),"#REF!")</f>
        <v>#REF!</v>
      </c>
      <c r="P599" s="2" t="str">
        <f>IFERROR(__xludf.DUMMYFUNCTION("IMPORTRANGE(""https://docs.google.com/spreadsheets/d/""&amp;$A599&amp;""/edit#gid=156619080"",P$3)"),"#REF!")</f>
        <v>#REF!</v>
      </c>
      <c r="Q599" s="2" t="str">
        <f>IFERROR(__xludf.DUMMYFUNCTION("IMPORTRANGE(""https://docs.google.com/spreadsheets/d/""&amp;$A599&amp;""/edit#gid=156619080"",Q$3)"),"#REF!")</f>
        <v>#REF!</v>
      </c>
      <c r="R599" s="2" t="str">
        <f>IFERROR(__xludf.DUMMYFUNCTION("IMPORTRANGE(""https://docs.google.com/spreadsheets/d/""&amp;$A599&amp;""/edit#gid=156619080"",R$3)"),"#REF!")</f>
        <v>#REF!</v>
      </c>
      <c r="S599" s="2" t="str">
        <f>IFERROR(__xludf.DUMMYFUNCTION("IMPORTRANGE(""https://docs.google.com/spreadsheets/d/""&amp;$A599&amp;""/edit#gid=156619080"",S$3)"),"#REF!")</f>
        <v>#REF!</v>
      </c>
      <c r="T599" s="2" t="str">
        <f>IFERROR(__xludf.DUMMYFUNCTION("IMPORTRANGE(""https://docs.google.com/spreadsheets/d/""&amp;$A599&amp;""/edit#gid=156619080"",T$3)"),"#REF!")</f>
        <v>#REF!</v>
      </c>
      <c r="U599" s="2" t="str">
        <f>IFERROR(__xludf.DUMMYFUNCTION("IMPORTRANGE(""https://docs.google.com/spreadsheets/d/""&amp;$A599&amp;""/edit#gid=156619080"",U$3)"),"#REF!")</f>
        <v>#REF!</v>
      </c>
      <c r="V599" s="2" t="str">
        <f>IFERROR(__xludf.DUMMYFUNCTION("IMPORTRANGE(""https://docs.google.com/spreadsheets/d/""&amp;$A599&amp;""/edit#gid=156619080"",V$3)"),"#REF!")</f>
        <v>#REF!</v>
      </c>
      <c r="W599" s="2" t="str">
        <f>IFERROR(__xludf.DUMMYFUNCTION("IMPORTRANGE(""https://docs.google.com/spreadsheets/d/""&amp;$A599&amp;""/edit#gid=156619080"",W$3)"),"#REF!")</f>
        <v>#REF!</v>
      </c>
      <c r="X599" s="2" t="str">
        <f>IFERROR(__xludf.DUMMYFUNCTION("IMPORTRANGE(""https://docs.google.com/spreadsheets/d/""&amp;$A599&amp;""/edit#gid=156619080"",X$3)"),"#REF!")</f>
        <v>#REF!</v>
      </c>
      <c r="Y599" s="2" t="str">
        <f>IFERROR(__xludf.DUMMYFUNCTION("IMPORTRANGE(""https://docs.google.com/spreadsheets/d/""&amp;$A599&amp;""/edit#gid=156619080"",Y$3)"),"#REF!")</f>
        <v>#REF!</v>
      </c>
      <c r="Z599" s="2" t="str">
        <f>IFERROR(__xludf.DUMMYFUNCTION("IMPORTRANGE(""https://docs.google.com/spreadsheets/d/""&amp;$A599&amp;""/edit#gid=156619080"",Z$3)"),"#REF!")</f>
        <v>#REF!</v>
      </c>
      <c r="AA599" s="2" t="str">
        <f>IFERROR(__xludf.DUMMYFUNCTION("IMPORTRANGE(""https://docs.google.com/spreadsheets/d/""&amp;$A599&amp;""/edit#gid=156619080"",AA$3)"),"#REF!")</f>
        <v>#REF!</v>
      </c>
      <c r="AB599" s="2" t="str">
        <f>IFERROR(__xludf.DUMMYFUNCTION("IMPORTRANGE(""https://docs.google.com/spreadsheets/d/""&amp;$A599&amp;""/edit#gid=156619080"",AB$3)"),"#REF!")</f>
        <v>#REF!</v>
      </c>
      <c r="AC599" s="2" t="str">
        <f>IFERROR(__xludf.DUMMYFUNCTION("IMPORTRANGE(""https://docs.google.com/spreadsheets/d/""&amp;$A599&amp;""/edit#gid=156619080"",AC$3)"),"#REF!")</f>
        <v>#REF!</v>
      </c>
      <c r="AD599" s="2" t="str">
        <f>IFERROR(__xludf.DUMMYFUNCTION("IMPORTRANGE(""https://docs.google.com/spreadsheets/d/""&amp;$A599&amp;""/edit#gid=156619080"",AD$3)"),"#REF!")</f>
        <v>#REF!</v>
      </c>
      <c r="AE599" s="2" t="str">
        <f>IFERROR(__xludf.DUMMYFUNCTION("IMPORTRANGE(""https://docs.google.com/spreadsheets/d/""&amp;$A599&amp;""/edit#gid=156619080"",AE$3)"),"#REF!")</f>
        <v>#REF!</v>
      </c>
      <c r="AF599" s="2" t="str">
        <f>IFERROR(__xludf.DUMMYFUNCTION("IMPORTRANGE(""https://docs.google.com/spreadsheets/d/""&amp;$A599&amp;""/edit#gid=156619080"",AF$3)"),"#REF!")</f>
        <v>#REF!</v>
      </c>
      <c r="AG599" s="2" t="str">
        <f>IFERROR(__xludf.DUMMYFUNCTION("IMPORTRANGE(""https://docs.google.com/spreadsheets/d/""&amp;$A599&amp;""/edit#gid=156619080"",AG$3)"),"#REF!")</f>
        <v>#REF!</v>
      </c>
      <c r="AH599" s="2" t="str">
        <f>IFERROR(__xludf.DUMMYFUNCTION("IMPORTRANGE(""https://docs.google.com/spreadsheets/d/""&amp;$A599&amp;""/edit#gid=156619080"",AH$3)"),"#REF!")</f>
        <v>#REF!</v>
      </c>
      <c r="AI599" s="2" t="str">
        <f>IFERROR(__xludf.DUMMYFUNCTION("IMPORTRANGE(""https://docs.google.com/spreadsheets/d/""&amp;$A599&amp;""/edit#gid=156619080"",AI$3)"),"#REF!")</f>
        <v>#REF!</v>
      </c>
      <c r="AJ599" s="2" t="str">
        <f>IFERROR(__xludf.DUMMYFUNCTION("IMPORTRANGE(""https://docs.google.com/spreadsheets/d/""&amp;$A599&amp;""/edit#gid=156619080"",AJ$3)"),"#REF!")</f>
        <v>#REF!</v>
      </c>
      <c r="AK599" s="2" t="str">
        <f>IFERROR(__xludf.DUMMYFUNCTION("IMPORTRANGE(""https://docs.google.com/spreadsheets/d/""&amp;$A599&amp;""/edit#gid=156619080"",AK$3)"),"#REF!")</f>
        <v>#REF!</v>
      </c>
      <c r="AL599" s="2" t="str">
        <f>IFERROR(__xludf.DUMMYFUNCTION("IMPORTRANGE(""https://docs.google.com/spreadsheets/d/""&amp;$A599&amp;""/edit#gid=156619080"",AL$3)"),"#REF!")</f>
        <v>#REF!</v>
      </c>
      <c r="AM599" s="2" t="str">
        <f>IFERROR(__xludf.DUMMYFUNCTION("IMPORTRANGE(""https://docs.google.com/spreadsheets/d/""&amp;$A599&amp;""/edit#gid=156619080"",AM$3)"),"#REF!")</f>
        <v>#REF!</v>
      </c>
      <c r="AN599" s="2" t="str">
        <f>IFERROR(__xludf.DUMMYFUNCTION("IMPORTRANGE(""https://docs.google.com/spreadsheets/d/""&amp;$A599&amp;""/edit#gid=156619080"",AN$3)"),"#REF!")</f>
        <v>#REF!</v>
      </c>
      <c r="AO599" s="2" t="str">
        <f>IFERROR(__xludf.DUMMYFUNCTION("IMPORTRANGE(""https://docs.google.com/spreadsheets/d/""&amp;$A599&amp;""/edit#gid=156619080"",AO$3)"),"#REF!")</f>
        <v>#REF!</v>
      </c>
      <c r="AP599" s="2" t="str">
        <f>IFERROR(__xludf.DUMMYFUNCTION("IMPORTRANGE(""https://docs.google.com/spreadsheets/d/""&amp;$A599&amp;""/edit#gid=156619080"",AP$3)"),"#REF!")</f>
        <v>#REF!</v>
      </c>
      <c r="AQ599" s="2" t="str">
        <f>IFERROR(__xludf.DUMMYFUNCTION("IMPORTRANGE(""https://docs.google.com/spreadsheets/d/""&amp;$A599&amp;""/edit#gid=156619080"",AQ$3)"),"#REF!")</f>
        <v>#REF!</v>
      </c>
      <c r="AR599" s="2" t="str">
        <f>IFERROR(__xludf.DUMMYFUNCTION("IMPORTRANGE(""https://docs.google.com/spreadsheets/d/""&amp;$A599&amp;""/edit#gid=156619080"",AR$3)"),"#REF!")</f>
        <v>#REF!</v>
      </c>
      <c r="AS599" s="19" t="str">
        <f>IFERROR(__xludf.DUMMYFUNCTION("IMPORTRANGE(""https://docs.google.com/spreadsheets/d/""&amp;$A599&amp;""/edit#gid=156619080"",AS$3)"),"#REF!")</f>
        <v>#REF!</v>
      </c>
      <c r="AT599" s="2" t="str">
        <f>IFERROR(__xludf.DUMMYFUNCTION("IMPORTRANGE(""https://docs.google.com/spreadsheets/d/""&amp;$A599&amp;""/edit#gid=156619080"",AT$3)"),"#REF!")</f>
        <v>#REF!</v>
      </c>
      <c r="AU599" s="3" t="str">
        <f>IFERROR(__xludf.DUMMYFUNCTION("IMPORTRANGE(""https://docs.google.com/spreadsheets/d/""&amp;$A599&amp;""/edit#gid=156619080"",AU$3)"),"#REF!")</f>
        <v>#REF!</v>
      </c>
      <c r="AV599" s="2" t="str">
        <f>IFERROR(__xludf.DUMMYFUNCTION("IMPORTRANGE(""https://docs.google.com/spreadsheets/d/""&amp;$A599&amp;""/edit#gid=156619080"",AV$3)"),"#REF!")</f>
        <v>#REF!</v>
      </c>
      <c r="AW599" s="19" t="str">
        <f>IFERROR(__xludf.DUMMYFUNCTION("IMPORTRANGE(""https://docs.google.com/spreadsheets/d/""&amp;$A599&amp;""/edit#gid=156619080"",AW$3)"),"#REF!")</f>
        <v>#REF!</v>
      </c>
      <c r="AX599" s="2" t="str">
        <f>IFERROR(__xludf.DUMMYFUNCTION("IMPORTRANGE(""https://docs.google.com/spreadsheets/d/""&amp;$A599&amp;""/edit#gid=156619080"",AX$3)"),"#REF!")</f>
        <v>#REF!</v>
      </c>
      <c r="AY599" s="2" t="str">
        <f>IFERROR(__xludf.DUMMYFUNCTION("IMPORTRANGE(""https://docs.google.com/spreadsheets/d/""&amp;$A599&amp;""/edit#gid=156619080"",AY$3)"),"#REF!")</f>
        <v>#REF!</v>
      </c>
      <c r="AZ599" s="2" t="str">
        <f>IFERROR(__xludf.DUMMYFUNCTION("IMPORTRANGE(""https://docs.google.com/spreadsheets/d/""&amp;$A599&amp;""/edit#gid=156619080"",AZ$3)"),"#REF!")</f>
        <v>#REF!</v>
      </c>
      <c r="BA599" s="2" t="str">
        <f>IFERROR(__xludf.DUMMYFUNCTION("IMPORTRANGE(""https://docs.google.com/spreadsheets/d/""&amp;$A599&amp;""/edit#gid=156619080"",BA$3)"),"#REF!")</f>
        <v>#REF!</v>
      </c>
      <c r="BB599" s="2" t="str">
        <f>IFERROR(__xludf.DUMMYFUNCTION("IMPORTRANGE(""https://docs.google.com/spreadsheets/d/""&amp;$A599&amp;""/edit#gid=156619080"",BB$3)"),"#REF!")</f>
        <v>#REF!</v>
      </c>
      <c r="BC599" s="2" t="str">
        <f>IFERROR(__xludf.DUMMYFUNCTION("IMPORTRANGE(""https://docs.google.com/spreadsheets/d/""&amp;$A599&amp;""/edit#gid=156619080"",BC$3)"),"#REF!")</f>
        <v>#REF!</v>
      </c>
    </row>
    <row r="600" ht="51.0" customHeight="1">
      <c r="A600" s="7" t="str">
        <f t="shared" si="5"/>
        <v/>
      </c>
      <c r="C600" s="2" t="str">
        <f>IFERROR(__xludf.DUMMYFUNCTION("IMPORTRANGE(""https://docs.google.com/spreadsheets/d/""&amp;$A600&amp;""/edit#gid=156619080"",C$3)"),"#REF!")</f>
        <v>#REF!</v>
      </c>
      <c r="D600" s="2" t="str">
        <f>IFERROR(__xludf.DUMMYFUNCTION("IMPORTRANGE(""https://docs.google.com/spreadsheets/d/""&amp;$A600&amp;""/edit#gid=156619080"",D$3)"),"#REF!")</f>
        <v>#REF!</v>
      </c>
      <c r="E600" s="2" t="str">
        <f>IFERROR(__xludf.DUMMYFUNCTION("IMPORTRANGE(""https://docs.google.com/spreadsheets/d/""&amp;$A600&amp;""/edit#gid=156619080"",E$3)"),"#REF!")</f>
        <v>#REF!</v>
      </c>
      <c r="F600" s="2" t="str">
        <f>IFERROR(__xludf.DUMMYFUNCTION("IMPORTRANGE(""https://docs.google.com/spreadsheets/d/""&amp;$A600&amp;""/edit#gid=156619080"",F$3)"),"#REF!")</f>
        <v>#REF!</v>
      </c>
      <c r="G600" s="2" t="str">
        <f>IFERROR(__xludf.DUMMYFUNCTION("IMPORTRANGE(""https://docs.google.com/spreadsheets/d/""&amp;$A600&amp;""/edit#gid=156619080"",G$3)"),"#REF!")</f>
        <v>#REF!</v>
      </c>
      <c r="H600" s="2" t="str">
        <f>IFERROR(__xludf.DUMMYFUNCTION("IMPORTRANGE(""https://docs.google.com/spreadsheets/d/""&amp;$A600&amp;""/edit#gid=156619080"",H$3)"),"#REF!")</f>
        <v>#REF!</v>
      </c>
      <c r="I600" s="2" t="str">
        <f>IFERROR(__xludf.DUMMYFUNCTION("IMPORTRANGE(""https://docs.google.com/spreadsheets/d/""&amp;$A600&amp;""/edit#gid=156619080"",I$3)"),"#REF!")</f>
        <v>#REF!</v>
      </c>
      <c r="J600" s="2" t="str">
        <f>IFERROR(__xludf.DUMMYFUNCTION("IMPORTRANGE(""https://docs.google.com/spreadsheets/d/""&amp;$A600&amp;""/edit#gid=156619080"",J$3)"),"#REF!")</f>
        <v>#REF!</v>
      </c>
      <c r="K600" s="2" t="str">
        <f>IFERROR(__xludf.DUMMYFUNCTION("IMPORTRANGE(""https://docs.google.com/spreadsheets/d/""&amp;$A600&amp;""/edit#gid=156619080"",K$3)"),"#REF!")</f>
        <v>#REF!</v>
      </c>
      <c r="L600" s="2" t="str">
        <f>IFERROR(__xludf.DUMMYFUNCTION("IMPORTRANGE(""https://docs.google.com/spreadsheets/d/""&amp;$A600&amp;""/edit#gid=156619080"",L$3)"),"#REF!")</f>
        <v>#REF!</v>
      </c>
      <c r="M600" s="2" t="str">
        <f>IFERROR(__xludf.DUMMYFUNCTION("IMPORTRANGE(""https://docs.google.com/spreadsheets/d/""&amp;$A600&amp;""/edit#gid=156619080"",M$3)"),"#REF!")</f>
        <v>#REF!</v>
      </c>
      <c r="N600" s="2" t="str">
        <f>IFERROR(__xludf.DUMMYFUNCTION("IMPORTRANGE(""https://docs.google.com/spreadsheets/d/""&amp;$A600&amp;""/edit#gid=156619080"",N$3)"),"#REF!")</f>
        <v>#REF!</v>
      </c>
      <c r="O600" s="2" t="str">
        <f>IFERROR(__xludf.DUMMYFUNCTION("IMPORTRANGE(""https://docs.google.com/spreadsheets/d/""&amp;$A600&amp;""/edit#gid=156619080"",O$3)"),"#REF!")</f>
        <v>#REF!</v>
      </c>
      <c r="P600" s="2" t="str">
        <f>IFERROR(__xludf.DUMMYFUNCTION("IMPORTRANGE(""https://docs.google.com/spreadsheets/d/""&amp;$A600&amp;""/edit#gid=156619080"",P$3)"),"#REF!")</f>
        <v>#REF!</v>
      </c>
      <c r="Q600" s="2" t="str">
        <f>IFERROR(__xludf.DUMMYFUNCTION("IMPORTRANGE(""https://docs.google.com/spreadsheets/d/""&amp;$A600&amp;""/edit#gid=156619080"",Q$3)"),"#REF!")</f>
        <v>#REF!</v>
      </c>
      <c r="R600" s="2" t="str">
        <f>IFERROR(__xludf.DUMMYFUNCTION("IMPORTRANGE(""https://docs.google.com/spreadsheets/d/""&amp;$A600&amp;""/edit#gid=156619080"",R$3)"),"#REF!")</f>
        <v>#REF!</v>
      </c>
      <c r="S600" s="2" t="str">
        <f>IFERROR(__xludf.DUMMYFUNCTION("IMPORTRANGE(""https://docs.google.com/spreadsheets/d/""&amp;$A600&amp;""/edit#gid=156619080"",S$3)"),"#REF!")</f>
        <v>#REF!</v>
      </c>
      <c r="T600" s="2" t="str">
        <f>IFERROR(__xludf.DUMMYFUNCTION("IMPORTRANGE(""https://docs.google.com/spreadsheets/d/""&amp;$A600&amp;""/edit#gid=156619080"",T$3)"),"#REF!")</f>
        <v>#REF!</v>
      </c>
      <c r="U600" s="2" t="str">
        <f>IFERROR(__xludf.DUMMYFUNCTION("IMPORTRANGE(""https://docs.google.com/spreadsheets/d/""&amp;$A600&amp;""/edit#gid=156619080"",U$3)"),"#REF!")</f>
        <v>#REF!</v>
      </c>
      <c r="V600" s="2" t="str">
        <f>IFERROR(__xludf.DUMMYFUNCTION("IMPORTRANGE(""https://docs.google.com/spreadsheets/d/""&amp;$A600&amp;""/edit#gid=156619080"",V$3)"),"#REF!")</f>
        <v>#REF!</v>
      </c>
      <c r="W600" s="2" t="str">
        <f>IFERROR(__xludf.DUMMYFUNCTION("IMPORTRANGE(""https://docs.google.com/spreadsheets/d/""&amp;$A600&amp;""/edit#gid=156619080"",W$3)"),"#REF!")</f>
        <v>#REF!</v>
      </c>
      <c r="X600" s="2" t="str">
        <f>IFERROR(__xludf.DUMMYFUNCTION("IMPORTRANGE(""https://docs.google.com/spreadsheets/d/""&amp;$A600&amp;""/edit#gid=156619080"",X$3)"),"#REF!")</f>
        <v>#REF!</v>
      </c>
      <c r="Y600" s="2" t="str">
        <f>IFERROR(__xludf.DUMMYFUNCTION("IMPORTRANGE(""https://docs.google.com/spreadsheets/d/""&amp;$A600&amp;""/edit#gid=156619080"",Y$3)"),"#REF!")</f>
        <v>#REF!</v>
      </c>
      <c r="Z600" s="2" t="str">
        <f>IFERROR(__xludf.DUMMYFUNCTION("IMPORTRANGE(""https://docs.google.com/spreadsheets/d/""&amp;$A600&amp;""/edit#gid=156619080"",Z$3)"),"#REF!")</f>
        <v>#REF!</v>
      </c>
      <c r="AA600" s="2" t="str">
        <f>IFERROR(__xludf.DUMMYFUNCTION("IMPORTRANGE(""https://docs.google.com/spreadsheets/d/""&amp;$A600&amp;""/edit#gid=156619080"",AA$3)"),"#REF!")</f>
        <v>#REF!</v>
      </c>
      <c r="AB600" s="2" t="str">
        <f>IFERROR(__xludf.DUMMYFUNCTION("IMPORTRANGE(""https://docs.google.com/spreadsheets/d/""&amp;$A600&amp;""/edit#gid=156619080"",AB$3)"),"#REF!")</f>
        <v>#REF!</v>
      </c>
      <c r="AC600" s="2" t="str">
        <f>IFERROR(__xludf.DUMMYFUNCTION("IMPORTRANGE(""https://docs.google.com/spreadsheets/d/""&amp;$A600&amp;""/edit#gid=156619080"",AC$3)"),"#REF!")</f>
        <v>#REF!</v>
      </c>
      <c r="AD600" s="2" t="str">
        <f>IFERROR(__xludf.DUMMYFUNCTION("IMPORTRANGE(""https://docs.google.com/spreadsheets/d/""&amp;$A600&amp;""/edit#gid=156619080"",AD$3)"),"#REF!")</f>
        <v>#REF!</v>
      </c>
      <c r="AE600" s="2" t="str">
        <f>IFERROR(__xludf.DUMMYFUNCTION("IMPORTRANGE(""https://docs.google.com/spreadsheets/d/""&amp;$A600&amp;""/edit#gid=156619080"",AE$3)"),"#REF!")</f>
        <v>#REF!</v>
      </c>
      <c r="AF600" s="2" t="str">
        <f>IFERROR(__xludf.DUMMYFUNCTION("IMPORTRANGE(""https://docs.google.com/spreadsheets/d/""&amp;$A600&amp;""/edit#gid=156619080"",AF$3)"),"#REF!")</f>
        <v>#REF!</v>
      </c>
      <c r="AG600" s="2" t="str">
        <f>IFERROR(__xludf.DUMMYFUNCTION("IMPORTRANGE(""https://docs.google.com/spreadsheets/d/""&amp;$A600&amp;""/edit#gid=156619080"",AG$3)"),"#REF!")</f>
        <v>#REF!</v>
      </c>
      <c r="AH600" s="2" t="str">
        <f>IFERROR(__xludf.DUMMYFUNCTION("IMPORTRANGE(""https://docs.google.com/spreadsheets/d/""&amp;$A600&amp;""/edit#gid=156619080"",AH$3)"),"#REF!")</f>
        <v>#REF!</v>
      </c>
      <c r="AI600" s="2" t="str">
        <f>IFERROR(__xludf.DUMMYFUNCTION("IMPORTRANGE(""https://docs.google.com/spreadsheets/d/""&amp;$A600&amp;""/edit#gid=156619080"",AI$3)"),"#REF!")</f>
        <v>#REF!</v>
      </c>
      <c r="AJ600" s="2" t="str">
        <f>IFERROR(__xludf.DUMMYFUNCTION("IMPORTRANGE(""https://docs.google.com/spreadsheets/d/""&amp;$A600&amp;""/edit#gid=156619080"",AJ$3)"),"#REF!")</f>
        <v>#REF!</v>
      </c>
      <c r="AK600" s="2" t="str">
        <f>IFERROR(__xludf.DUMMYFUNCTION("IMPORTRANGE(""https://docs.google.com/spreadsheets/d/""&amp;$A600&amp;""/edit#gid=156619080"",AK$3)"),"#REF!")</f>
        <v>#REF!</v>
      </c>
      <c r="AL600" s="2" t="str">
        <f>IFERROR(__xludf.DUMMYFUNCTION("IMPORTRANGE(""https://docs.google.com/spreadsheets/d/""&amp;$A600&amp;""/edit#gid=156619080"",AL$3)"),"#REF!")</f>
        <v>#REF!</v>
      </c>
      <c r="AM600" s="2" t="str">
        <f>IFERROR(__xludf.DUMMYFUNCTION("IMPORTRANGE(""https://docs.google.com/spreadsheets/d/""&amp;$A600&amp;""/edit#gid=156619080"",AM$3)"),"#REF!")</f>
        <v>#REF!</v>
      </c>
      <c r="AN600" s="2" t="str">
        <f>IFERROR(__xludf.DUMMYFUNCTION("IMPORTRANGE(""https://docs.google.com/spreadsheets/d/""&amp;$A600&amp;""/edit#gid=156619080"",AN$3)"),"#REF!")</f>
        <v>#REF!</v>
      </c>
      <c r="AO600" s="2" t="str">
        <f>IFERROR(__xludf.DUMMYFUNCTION("IMPORTRANGE(""https://docs.google.com/spreadsheets/d/""&amp;$A600&amp;""/edit#gid=156619080"",AO$3)"),"#REF!")</f>
        <v>#REF!</v>
      </c>
      <c r="AP600" s="2" t="str">
        <f>IFERROR(__xludf.DUMMYFUNCTION("IMPORTRANGE(""https://docs.google.com/spreadsheets/d/""&amp;$A600&amp;""/edit#gid=156619080"",AP$3)"),"#REF!")</f>
        <v>#REF!</v>
      </c>
      <c r="AQ600" s="2" t="str">
        <f>IFERROR(__xludf.DUMMYFUNCTION("IMPORTRANGE(""https://docs.google.com/spreadsheets/d/""&amp;$A600&amp;""/edit#gid=156619080"",AQ$3)"),"#REF!")</f>
        <v>#REF!</v>
      </c>
      <c r="AR600" s="2" t="str">
        <f>IFERROR(__xludf.DUMMYFUNCTION("IMPORTRANGE(""https://docs.google.com/spreadsheets/d/""&amp;$A600&amp;""/edit#gid=156619080"",AR$3)"),"#REF!")</f>
        <v>#REF!</v>
      </c>
      <c r="AS600" s="19" t="str">
        <f>IFERROR(__xludf.DUMMYFUNCTION("IMPORTRANGE(""https://docs.google.com/spreadsheets/d/""&amp;$A600&amp;""/edit#gid=156619080"",AS$3)"),"#REF!")</f>
        <v>#REF!</v>
      </c>
      <c r="AT600" s="2" t="str">
        <f>IFERROR(__xludf.DUMMYFUNCTION("IMPORTRANGE(""https://docs.google.com/spreadsheets/d/""&amp;$A600&amp;""/edit#gid=156619080"",AT$3)"),"#REF!")</f>
        <v>#REF!</v>
      </c>
      <c r="AU600" s="3" t="str">
        <f>IFERROR(__xludf.DUMMYFUNCTION("IMPORTRANGE(""https://docs.google.com/spreadsheets/d/""&amp;$A600&amp;""/edit#gid=156619080"",AU$3)"),"#REF!")</f>
        <v>#REF!</v>
      </c>
      <c r="AV600" s="2" t="str">
        <f>IFERROR(__xludf.DUMMYFUNCTION("IMPORTRANGE(""https://docs.google.com/spreadsheets/d/""&amp;$A600&amp;""/edit#gid=156619080"",AV$3)"),"#REF!")</f>
        <v>#REF!</v>
      </c>
      <c r="AW600" s="19" t="str">
        <f>IFERROR(__xludf.DUMMYFUNCTION("IMPORTRANGE(""https://docs.google.com/spreadsheets/d/""&amp;$A600&amp;""/edit#gid=156619080"",AW$3)"),"#REF!")</f>
        <v>#REF!</v>
      </c>
      <c r="AX600" s="2" t="str">
        <f>IFERROR(__xludf.DUMMYFUNCTION("IMPORTRANGE(""https://docs.google.com/spreadsheets/d/""&amp;$A600&amp;""/edit#gid=156619080"",AX$3)"),"#REF!")</f>
        <v>#REF!</v>
      </c>
      <c r="AY600" s="2" t="str">
        <f>IFERROR(__xludf.DUMMYFUNCTION("IMPORTRANGE(""https://docs.google.com/spreadsheets/d/""&amp;$A600&amp;""/edit#gid=156619080"",AY$3)"),"#REF!")</f>
        <v>#REF!</v>
      </c>
      <c r="AZ600" s="2" t="str">
        <f>IFERROR(__xludf.DUMMYFUNCTION("IMPORTRANGE(""https://docs.google.com/spreadsheets/d/""&amp;$A600&amp;""/edit#gid=156619080"",AZ$3)"),"#REF!")</f>
        <v>#REF!</v>
      </c>
      <c r="BA600" s="2" t="str">
        <f>IFERROR(__xludf.DUMMYFUNCTION("IMPORTRANGE(""https://docs.google.com/spreadsheets/d/""&amp;$A600&amp;""/edit#gid=156619080"",BA$3)"),"#REF!")</f>
        <v>#REF!</v>
      </c>
      <c r="BB600" s="2" t="str">
        <f>IFERROR(__xludf.DUMMYFUNCTION("IMPORTRANGE(""https://docs.google.com/spreadsheets/d/""&amp;$A600&amp;""/edit#gid=156619080"",BB$3)"),"#REF!")</f>
        <v>#REF!</v>
      </c>
      <c r="BC600" s="2" t="str">
        <f>IFERROR(__xludf.DUMMYFUNCTION("IMPORTRANGE(""https://docs.google.com/spreadsheets/d/""&amp;$A600&amp;""/edit#gid=156619080"",BC$3)"),"#REF!")</f>
        <v>#REF!</v>
      </c>
    </row>
    <row r="601" ht="51.0" customHeight="1">
      <c r="A601" s="7" t="str">
        <f t="shared" si="5"/>
        <v/>
      </c>
      <c r="C601" s="2" t="str">
        <f>IFERROR(__xludf.DUMMYFUNCTION("IMPORTRANGE(""https://docs.google.com/spreadsheets/d/""&amp;$A601&amp;""/edit#gid=156619080"",C$3)"),"#REF!")</f>
        <v>#REF!</v>
      </c>
      <c r="D601" s="2" t="str">
        <f>IFERROR(__xludf.DUMMYFUNCTION("IMPORTRANGE(""https://docs.google.com/spreadsheets/d/""&amp;$A601&amp;""/edit#gid=156619080"",D$3)"),"#REF!")</f>
        <v>#REF!</v>
      </c>
      <c r="E601" s="2" t="str">
        <f>IFERROR(__xludf.DUMMYFUNCTION("IMPORTRANGE(""https://docs.google.com/spreadsheets/d/""&amp;$A601&amp;""/edit#gid=156619080"",E$3)"),"#REF!")</f>
        <v>#REF!</v>
      </c>
      <c r="F601" s="2" t="str">
        <f>IFERROR(__xludf.DUMMYFUNCTION("IMPORTRANGE(""https://docs.google.com/spreadsheets/d/""&amp;$A601&amp;""/edit#gid=156619080"",F$3)"),"#REF!")</f>
        <v>#REF!</v>
      </c>
      <c r="G601" s="2" t="str">
        <f>IFERROR(__xludf.DUMMYFUNCTION("IMPORTRANGE(""https://docs.google.com/spreadsheets/d/""&amp;$A601&amp;""/edit#gid=156619080"",G$3)"),"#REF!")</f>
        <v>#REF!</v>
      </c>
      <c r="H601" s="2" t="str">
        <f>IFERROR(__xludf.DUMMYFUNCTION("IMPORTRANGE(""https://docs.google.com/spreadsheets/d/""&amp;$A601&amp;""/edit#gid=156619080"",H$3)"),"#REF!")</f>
        <v>#REF!</v>
      </c>
      <c r="I601" s="2" t="str">
        <f>IFERROR(__xludf.DUMMYFUNCTION("IMPORTRANGE(""https://docs.google.com/spreadsheets/d/""&amp;$A601&amp;""/edit#gid=156619080"",I$3)"),"#REF!")</f>
        <v>#REF!</v>
      </c>
      <c r="J601" s="2" t="str">
        <f>IFERROR(__xludf.DUMMYFUNCTION("IMPORTRANGE(""https://docs.google.com/spreadsheets/d/""&amp;$A601&amp;""/edit#gid=156619080"",J$3)"),"#REF!")</f>
        <v>#REF!</v>
      </c>
      <c r="K601" s="2" t="str">
        <f>IFERROR(__xludf.DUMMYFUNCTION("IMPORTRANGE(""https://docs.google.com/spreadsheets/d/""&amp;$A601&amp;""/edit#gid=156619080"",K$3)"),"#REF!")</f>
        <v>#REF!</v>
      </c>
      <c r="L601" s="2" t="str">
        <f>IFERROR(__xludf.DUMMYFUNCTION("IMPORTRANGE(""https://docs.google.com/spreadsheets/d/""&amp;$A601&amp;""/edit#gid=156619080"",L$3)"),"#REF!")</f>
        <v>#REF!</v>
      </c>
      <c r="M601" s="2" t="str">
        <f>IFERROR(__xludf.DUMMYFUNCTION("IMPORTRANGE(""https://docs.google.com/spreadsheets/d/""&amp;$A601&amp;""/edit#gid=156619080"",M$3)"),"#REF!")</f>
        <v>#REF!</v>
      </c>
      <c r="N601" s="2" t="str">
        <f>IFERROR(__xludf.DUMMYFUNCTION("IMPORTRANGE(""https://docs.google.com/spreadsheets/d/""&amp;$A601&amp;""/edit#gid=156619080"",N$3)"),"#REF!")</f>
        <v>#REF!</v>
      </c>
      <c r="O601" s="2" t="str">
        <f>IFERROR(__xludf.DUMMYFUNCTION("IMPORTRANGE(""https://docs.google.com/spreadsheets/d/""&amp;$A601&amp;""/edit#gid=156619080"",O$3)"),"#REF!")</f>
        <v>#REF!</v>
      </c>
      <c r="P601" s="2" t="str">
        <f>IFERROR(__xludf.DUMMYFUNCTION("IMPORTRANGE(""https://docs.google.com/spreadsheets/d/""&amp;$A601&amp;""/edit#gid=156619080"",P$3)"),"#REF!")</f>
        <v>#REF!</v>
      </c>
      <c r="Q601" s="2" t="str">
        <f>IFERROR(__xludf.DUMMYFUNCTION("IMPORTRANGE(""https://docs.google.com/spreadsheets/d/""&amp;$A601&amp;""/edit#gid=156619080"",Q$3)"),"#REF!")</f>
        <v>#REF!</v>
      </c>
      <c r="R601" s="2" t="str">
        <f>IFERROR(__xludf.DUMMYFUNCTION("IMPORTRANGE(""https://docs.google.com/spreadsheets/d/""&amp;$A601&amp;""/edit#gid=156619080"",R$3)"),"#REF!")</f>
        <v>#REF!</v>
      </c>
      <c r="S601" s="2" t="str">
        <f>IFERROR(__xludf.DUMMYFUNCTION("IMPORTRANGE(""https://docs.google.com/spreadsheets/d/""&amp;$A601&amp;""/edit#gid=156619080"",S$3)"),"#REF!")</f>
        <v>#REF!</v>
      </c>
      <c r="T601" s="2" t="str">
        <f>IFERROR(__xludf.DUMMYFUNCTION("IMPORTRANGE(""https://docs.google.com/spreadsheets/d/""&amp;$A601&amp;""/edit#gid=156619080"",T$3)"),"#REF!")</f>
        <v>#REF!</v>
      </c>
      <c r="U601" s="2" t="str">
        <f>IFERROR(__xludf.DUMMYFUNCTION("IMPORTRANGE(""https://docs.google.com/spreadsheets/d/""&amp;$A601&amp;""/edit#gid=156619080"",U$3)"),"#REF!")</f>
        <v>#REF!</v>
      </c>
      <c r="V601" s="2" t="str">
        <f>IFERROR(__xludf.DUMMYFUNCTION("IMPORTRANGE(""https://docs.google.com/spreadsheets/d/""&amp;$A601&amp;""/edit#gid=156619080"",V$3)"),"#REF!")</f>
        <v>#REF!</v>
      </c>
      <c r="W601" s="2" t="str">
        <f>IFERROR(__xludf.DUMMYFUNCTION("IMPORTRANGE(""https://docs.google.com/spreadsheets/d/""&amp;$A601&amp;""/edit#gid=156619080"",W$3)"),"#REF!")</f>
        <v>#REF!</v>
      </c>
      <c r="X601" s="2" t="str">
        <f>IFERROR(__xludf.DUMMYFUNCTION("IMPORTRANGE(""https://docs.google.com/spreadsheets/d/""&amp;$A601&amp;""/edit#gid=156619080"",X$3)"),"#REF!")</f>
        <v>#REF!</v>
      </c>
      <c r="Y601" s="2" t="str">
        <f>IFERROR(__xludf.DUMMYFUNCTION("IMPORTRANGE(""https://docs.google.com/spreadsheets/d/""&amp;$A601&amp;""/edit#gid=156619080"",Y$3)"),"#REF!")</f>
        <v>#REF!</v>
      </c>
      <c r="Z601" s="2" t="str">
        <f>IFERROR(__xludf.DUMMYFUNCTION("IMPORTRANGE(""https://docs.google.com/spreadsheets/d/""&amp;$A601&amp;""/edit#gid=156619080"",Z$3)"),"#REF!")</f>
        <v>#REF!</v>
      </c>
      <c r="AA601" s="2" t="str">
        <f>IFERROR(__xludf.DUMMYFUNCTION("IMPORTRANGE(""https://docs.google.com/spreadsheets/d/""&amp;$A601&amp;""/edit#gid=156619080"",AA$3)"),"#REF!")</f>
        <v>#REF!</v>
      </c>
      <c r="AB601" s="2" t="str">
        <f>IFERROR(__xludf.DUMMYFUNCTION("IMPORTRANGE(""https://docs.google.com/spreadsheets/d/""&amp;$A601&amp;""/edit#gid=156619080"",AB$3)"),"#REF!")</f>
        <v>#REF!</v>
      </c>
      <c r="AC601" s="2" t="str">
        <f>IFERROR(__xludf.DUMMYFUNCTION("IMPORTRANGE(""https://docs.google.com/spreadsheets/d/""&amp;$A601&amp;""/edit#gid=156619080"",AC$3)"),"#REF!")</f>
        <v>#REF!</v>
      </c>
      <c r="AD601" s="2" t="str">
        <f>IFERROR(__xludf.DUMMYFUNCTION("IMPORTRANGE(""https://docs.google.com/spreadsheets/d/""&amp;$A601&amp;""/edit#gid=156619080"",AD$3)"),"#REF!")</f>
        <v>#REF!</v>
      </c>
      <c r="AE601" s="2" t="str">
        <f>IFERROR(__xludf.DUMMYFUNCTION("IMPORTRANGE(""https://docs.google.com/spreadsheets/d/""&amp;$A601&amp;""/edit#gid=156619080"",AE$3)"),"#REF!")</f>
        <v>#REF!</v>
      </c>
      <c r="AF601" s="2" t="str">
        <f>IFERROR(__xludf.DUMMYFUNCTION("IMPORTRANGE(""https://docs.google.com/spreadsheets/d/""&amp;$A601&amp;""/edit#gid=156619080"",AF$3)"),"#REF!")</f>
        <v>#REF!</v>
      </c>
      <c r="AG601" s="2" t="str">
        <f>IFERROR(__xludf.DUMMYFUNCTION("IMPORTRANGE(""https://docs.google.com/spreadsheets/d/""&amp;$A601&amp;""/edit#gid=156619080"",AG$3)"),"#REF!")</f>
        <v>#REF!</v>
      </c>
      <c r="AH601" s="2" t="str">
        <f>IFERROR(__xludf.DUMMYFUNCTION("IMPORTRANGE(""https://docs.google.com/spreadsheets/d/""&amp;$A601&amp;""/edit#gid=156619080"",AH$3)"),"#REF!")</f>
        <v>#REF!</v>
      </c>
      <c r="AI601" s="2" t="str">
        <f>IFERROR(__xludf.DUMMYFUNCTION("IMPORTRANGE(""https://docs.google.com/spreadsheets/d/""&amp;$A601&amp;""/edit#gid=156619080"",AI$3)"),"#REF!")</f>
        <v>#REF!</v>
      </c>
      <c r="AJ601" s="2" t="str">
        <f>IFERROR(__xludf.DUMMYFUNCTION("IMPORTRANGE(""https://docs.google.com/spreadsheets/d/""&amp;$A601&amp;""/edit#gid=156619080"",AJ$3)"),"#REF!")</f>
        <v>#REF!</v>
      </c>
      <c r="AK601" s="2" t="str">
        <f>IFERROR(__xludf.DUMMYFUNCTION("IMPORTRANGE(""https://docs.google.com/spreadsheets/d/""&amp;$A601&amp;""/edit#gid=156619080"",AK$3)"),"#REF!")</f>
        <v>#REF!</v>
      </c>
      <c r="AL601" s="2" t="str">
        <f>IFERROR(__xludf.DUMMYFUNCTION("IMPORTRANGE(""https://docs.google.com/spreadsheets/d/""&amp;$A601&amp;""/edit#gid=156619080"",AL$3)"),"#REF!")</f>
        <v>#REF!</v>
      </c>
      <c r="AM601" s="2" t="str">
        <f>IFERROR(__xludf.DUMMYFUNCTION("IMPORTRANGE(""https://docs.google.com/spreadsheets/d/""&amp;$A601&amp;""/edit#gid=156619080"",AM$3)"),"#REF!")</f>
        <v>#REF!</v>
      </c>
      <c r="AN601" s="2" t="str">
        <f>IFERROR(__xludf.DUMMYFUNCTION("IMPORTRANGE(""https://docs.google.com/spreadsheets/d/""&amp;$A601&amp;""/edit#gid=156619080"",AN$3)"),"#REF!")</f>
        <v>#REF!</v>
      </c>
      <c r="AO601" s="2" t="str">
        <f>IFERROR(__xludf.DUMMYFUNCTION("IMPORTRANGE(""https://docs.google.com/spreadsheets/d/""&amp;$A601&amp;""/edit#gid=156619080"",AO$3)"),"#REF!")</f>
        <v>#REF!</v>
      </c>
      <c r="AP601" s="2" t="str">
        <f>IFERROR(__xludf.DUMMYFUNCTION("IMPORTRANGE(""https://docs.google.com/spreadsheets/d/""&amp;$A601&amp;""/edit#gid=156619080"",AP$3)"),"#REF!")</f>
        <v>#REF!</v>
      </c>
      <c r="AQ601" s="2" t="str">
        <f>IFERROR(__xludf.DUMMYFUNCTION("IMPORTRANGE(""https://docs.google.com/spreadsheets/d/""&amp;$A601&amp;""/edit#gid=156619080"",AQ$3)"),"#REF!")</f>
        <v>#REF!</v>
      </c>
      <c r="AR601" s="2" t="str">
        <f>IFERROR(__xludf.DUMMYFUNCTION("IMPORTRANGE(""https://docs.google.com/spreadsheets/d/""&amp;$A601&amp;""/edit#gid=156619080"",AR$3)"),"#REF!")</f>
        <v>#REF!</v>
      </c>
      <c r="AS601" s="19" t="str">
        <f>IFERROR(__xludf.DUMMYFUNCTION("IMPORTRANGE(""https://docs.google.com/spreadsheets/d/""&amp;$A601&amp;""/edit#gid=156619080"",AS$3)"),"#REF!")</f>
        <v>#REF!</v>
      </c>
      <c r="AT601" s="2" t="str">
        <f>IFERROR(__xludf.DUMMYFUNCTION("IMPORTRANGE(""https://docs.google.com/spreadsheets/d/""&amp;$A601&amp;""/edit#gid=156619080"",AT$3)"),"#REF!")</f>
        <v>#REF!</v>
      </c>
      <c r="AU601" s="3" t="str">
        <f>IFERROR(__xludf.DUMMYFUNCTION("IMPORTRANGE(""https://docs.google.com/spreadsheets/d/""&amp;$A601&amp;""/edit#gid=156619080"",AU$3)"),"#REF!")</f>
        <v>#REF!</v>
      </c>
      <c r="AV601" s="2" t="str">
        <f>IFERROR(__xludf.DUMMYFUNCTION("IMPORTRANGE(""https://docs.google.com/spreadsheets/d/""&amp;$A601&amp;""/edit#gid=156619080"",AV$3)"),"#REF!")</f>
        <v>#REF!</v>
      </c>
      <c r="AW601" s="19" t="str">
        <f>IFERROR(__xludf.DUMMYFUNCTION("IMPORTRANGE(""https://docs.google.com/spreadsheets/d/""&amp;$A601&amp;""/edit#gid=156619080"",AW$3)"),"#REF!")</f>
        <v>#REF!</v>
      </c>
      <c r="AX601" s="2" t="str">
        <f>IFERROR(__xludf.DUMMYFUNCTION("IMPORTRANGE(""https://docs.google.com/spreadsheets/d/""&amp;$A601&amp;""/edit#gid=156619080"",AX$3)"),"#REF!")</f>
        <v>#REF!</v>
      </c>
      <c r="AY601" s="2" t="str">
        <f>IFERROR(__xludf.DUMMYFUNCTION("IMPORTRANGE(""https://docs.google.com/spreadsheets/d/""&amp;$A601&amp;""/edit#gid=156619080"",AY$3)"),"#REF!")</f>
        <v>#REF!</v>
      </c>
      <c r="AZ601" s="2" t="str">
        <f>IFERROR(__xludf.DUMMYFUNCTION("IMPORTRANGE(""https://docs.google.com/spreadsheets/d/""&amp;$A601&amp;""/edit#gid=156619080"",AZ$3)"),"#REF!")</f>
        <v>#REF!</v>
      </c>
      <c r="BA601" s="2" t="str">
        <f>IFERROR(__xludf.DUMMYFUNCTION("IMPORTRANGE(""https://docs.google.com/spreadsheets/d/""&amp;$A601&amp;""/edit#gid=156619080"",BA$3)"),"#REF!")</f>
        <v>#REF!</v>
      </c>
      <c r="BB601" s="2" t="str">
        <f>IFERROR(__xludf.DUMMYFUNCTION("IMPORTRANGE(""https://docs.google.com/spreadsheets/d/""&amp;$A601&amp;""/edit#gid=156619080"",BB$3)"),"#REF!")</f>
        <v>#REF!</v>
      </c>
      <c r="BC601" s="2" t="str">
        <f>IFERROR(__xludf.DUMMYFUNCTION("IMPORTRANGE(""https://docs.google.com/spreadsheets/d/""&amp;$A601&amp;""/edit#gid=156619080"",BC$3)"),"#REF!")</f>
        <v>#REF!</v>
      </c>
    </row>
    <row r="602" ht="51.0" customHeight="1">
      <c r="A602" s="7" t="str">
        <f t="shared" si="5"/>
        <v/>
      </c>
      <c r="C602" s="2" t="str">
        <f>IFERROR(__xludf.DUMMYFUNCTION("IMPORTRANGE(""https://docs.google.com/spreadsheets/d/""&amp;$A602&amp;""/edit#gid=156619080"",C$3)"),"#REF!")</f>
        <v>#REF!</v>
      </c>
      <c r="D602" s="2" t="str">
        <f>IFERROR(__xludf.DUMMYFUNCTION("IMPORTRANGE(""https://docs.google.com/spreadsheets/d/""&amp;$A602&amp;""/edit#gid=156619080"",D$3)"),"#REF!")</f>
        <v>#REF!</v>
      </c>
      <c r="E602" s="2" t="str">
        <f>IFERROR(__xludf.DUMMYFUNCTION("IMPORTRANGE(""https://docs.google.com/spreadsheets/d/""&amp;$A602&amp;""/edit#gid=156619080"",E$3)"),"#REF!")</f>
        <v>#REF!</v>
      </c>
      <c r="F602" s="2" t="str">
        <f>IFERROR(__xludf.DUMMYFUNCTION("IMPORTRANGE(""https://docs.google.com/spreadsheets/d/""&amp;$A602&amp;""/edit#gid=156619080"",F$3)"),"#REF!")</f>
        <v>#REF!</v>
      </c>
      <c r="G602" s="2" t="str">
        <f>IFERROR(__xludf.DUMMYFUNCTION("IMPORTRANGE(""https://docs.google.com/spreadsheets/d/""&amp;$A602&amp;""/edit#gid=156619080"",G$3)"),"#REF!")</f>
        <v>#REF!</v>
      </c>
      <c r="H602" s="2" t="str">
        <f>IFERROR(__xludf.DUMMYFUNCTION("IMPORTRANGE(""https://docs.google.com/spreadsheets/d/""&amp;$A602&amp;""/edit#gid=156619080"",H$3)"),"#REF!")</f>
        <v>#REF!</v>
      </c>
      <c r="I602" s="2" t="str">
        <f>IFERROR(__xludf.DUMMYFUNCTION("IMPORTRANGE(""https://docs.google.com/spreadsheets/d/""&amp;$A602&amp;""/edit#gid=156619080"",I$3)"),"#REF!")</f>
        <v>#REF!</v>
      </c>
      <c r="J602" s="2" t="str">
        <f>IFERROR(__xludf.DUMMYFUNCTION("IMPORTRANGE(""https://docs.google.com/spreadsheets/d/""&amp;$A602&amp;""/edit#gid=156619080"",J$3)"),"#REF!")</f>
        <v>#REF!</v>
      </c>
      <c r="K602" s="2" t="str">
        <f>IFERROR(__xludf.DUMMYFUNCTION("IMPORTRANGE(""https://docs.google.com/spreadsheets/d/""&amp;$A602&amp;""/edit#gid=156619080"",K$3)"),"#REF!")</f>
        <v>#REF!</v>
      </c>
      <c r="L602" s="2" t="str">
        <f>IFERROR(__xludf.DUMMYFUNCTION("IMPORTRANGE(""https://docs.google.com/spreadsheets/d/""&amp;$A602&amp;""/edit#gid=156619080"",L$3)"),"#REF!")</f>
        <v>#REF!</v>
      </c>
      <c r="M602" s="2" t="str">
        <f>IFERROR(__xludf.DUMMYFUNCTION("IMPORTRANGE(""https://docs.google.com/spreadsheets/d/""&amp;$A602&amp;""/edit#gid=156619080"",M$3)"),"#REF!")</f>
        <v>#REF!</v>
      </c>
      <c r="N602" s="2" t="str">
        <f>IFERROR(__xludf.DUMMYFUNCTION("IMPORTRANGE(""https://docs.google.com/spreadsheets/d/""&amp;$A602&amp;""/edit#gid=156619080"",N$3)"),"#REF!")</f>
        <v>#REF!</v>
      </c>
      <c r="O602" s="2" t="str">
        <f>IFERROR(__xludf.DUMMYFUNCTION("IMPORTRANGE(""https://docs.google.com/spreadsheets/d/""&amp;$A602&amp;""/edit#gid=156619080"",O$3)"),"#REF!")</f>
        <v>#REF!</v>
      </c>
      <c r="P602" s="2" t="str">
        <f>IFERROR(__xludf.DUMMYFUNCTION("IMPORTRANGE(""https://docs.google.com/spreadsheets/d/""&amp;$A602&amp;""/edit#gid=156619080"",P$3)"),"#REF!")</f>
        <v>#REF!</v>
      </c>
      <c r="Q602" s="2" t="str">
        <f>IFERROR(__xludf.DUMMYFUNCTION("IMPORTRANGE(""https://docs.google.com/spreadsheets/d/""&amp;$A602&amp;""/edit#gid=156619080"",Q$3)"),"#REF!")</f>
        <v>#REF!</v>
      </c>
      <c r="R602" s="2" t="str">
        <f>IFERROR(__xludf.DUMMYFUNCTION("IMPORTRANGE(""https://docs.google.com/spreadsheets/d/""&amp;$A602&amp;""/edit#gid=156619080"",R$3)"),"#REF!")</f>
        <v>#REF!</v>
      </c>
      <c r="S602" s="2" t="str">
        <f>IFERROR(__xludf.DUMMYFUNCTION("IMPORTRANGE(""https://docs.google.com/spreadsheets/d/""&amp;$A602&amp;""/edit#gid=156619080"",S$3)"),"#REF!")</f>
        <v>#REF!</v>
      </c>
      <c r="T602" s="2" t="str">
        <f>IFERROR(__xludf.DUMMYFUNCTION("IMPORTRANGE(""https://docs.google.com/spreadsheets/d/""&amp;$A602&amp;""/edit#gid=156619080"",T$3)"),"#REF!")</f>
        <v>#REF!</v>
      </c>
      <c r="U602" s="2" t="str">
        <f>IFERROR(__xludf.DUMMYFUNCTION("IMPORTRANGE(""https://docs.google.com/spreadsheets/d/""&amp;$A602&amp;""/edit#gid=156619080"",U$3)"),"#REF!")</f>
        <v>#REF!</v>
      </c>
      <c r="V602" s="2" t="str">
        <f>IFERROR(__xludf.DUMMYFUNCTION("IMPORTRANGE(""https://docs.google.com/spreadsheets/d/""&amp;$A602&amp;""/edit#gid=156619080"",V$3)"),"#REF!")</f>
        <v>#REF!</v>
      </c>
      <c r="W602" s="2" t="str">
        <f>IFERROR(__xludf.DUMMYFUNCTION("IMPORTRANGE(""https://docs.google.com/spreadsheets/d/""&amp;$A602&amp;""/edit#gid=156619080"",W$3)"),"#REF!")</f>
        <v>#REF!</v>
      </c>
      <c r="X602" s="2" t="str">
        <f>IFERROR(__xludf.DUMMYFUNCTION("IMPORTRANGE(""https://docs.google.com/spreadsheets/d/""&amp;$A602&amp;""/edit#gid=156619080"",X$3)"),"#REF!")</f>
        <v>#REF!</v>
      </c>
      <c r="Y602" s="2" t="str">
        <f>IFERROR(__xludf.DUMMYFUNCTION("IMPORTRANGE(""https://docs.google.com/spreadsheets/d/""&amp;$A602&amp;""/edit#gid=156619080"",Y$3)"),"#REF!")</f>
        <v>#REF!</v>
      </c>
      <c r="Z602" s="2" t="str">
        <f>IFERROR(__xludf.DUMMYFUNCTION("IMPORTRANGE(""https://docs.google.com/spreadsheets/d/""&amp;$A602&amp;""/edit#gid=156619080"",Z$3)"),"#REF!")</f>
        <v>#REF!</v>
      </c>
      <c r="AA602" s="2" t="str">
        <f>IFERROR(__xludf.DUMMYFUNCTION("IMPORTRANGE(""https://docs.google.com/spreadsheets/d/""&amp;$A602&amp;""/edit#gid=156619080"",AA$3)"),"#REF!")</f>
        <v>#REF!</v>
      </c>
      <c r="AB602" s="2" t="str">
        <f>IFERROR(__xludf.DUMMYFUNCTION("IMPORTRANGE(""https://docs.google.com/spreadsheets/d/""&amp;$A602&amp;""/edit#gid=156619080"",AB$3)"),"#REF!")</f>
        <v>#REF!</v>
      </c>
      <c r="AC602" s="2" t="str">
        <f>IFERROR(__xludf.DUMMYFUNCTION("IMPORTRANGE(""https://docs.google.com/spreadsheets/d/""&amp;$A602&amp;""/edit#gid=156619080"",AC$3)"),"#REF!")</f>
        <v>#REF!</v>
      </c>
      <c r="AD602" s="2" t="str">
        <f>IFERROR(__xludf.DUMMYFUNCTION("IMPORTRANGE(""https://docs.google.com/spreadsheets/d/""&amp;$A602&amp;""/edit#gid=156619080"",AD$3)"),"#REF!")</f>
        <v>#REF!</v>
      </c>
      <c r="AE602" s="2" t="str">
        <f>IFERROR(__xludf.DUMMYFUNCTION("IMPORTRANGE(""https://docs.google.com/spreadsheets/d/""&amp;$A602&amp;""/edit#gid=156619080"",AE$3)"),"#REF!")</f>
        <v>#REF!</v>
      </c>
      <c r="AF602" s="2" t="str">
        <f>IFERROR(__xludf.DUMMYFUNCTION("IMPORTRANGE(""https://docs.google.com/spreadsheets/d/""&amp;$A602&amp;""/edit#gid=156619080"",AF$3)"),"#REF!")</f>
        <v>#REF!</v>
      </c>
      <c r="AG602" s="2" t="str">
        <f>IFERROR(__xludf.DUMMYFUNCTION("IMPORTRANGE(""https://docs.google.com/spreadsheets/d/""&amp;$A602&amp;""/edit#gid=156619080"",AG$3)"),"#REF!")</f>
        <v>#REF!</v>
      </c>
      <c r="AH602" s="2" t="str">
        <f>IFERROR(__xludf.DUMMYFUNCTION("IMPORTRANGE(""https://docs.google.com/spreadsheets/d/""&amp;$A602&amp;""/edit#gid=156619080"",AH$3)"),"#REF!")</f>
        <v>#REF!</v>
      </c>
      <c r="AI602" s="2" t="str">
        <f>IFERROR(__xludf.DUMMYFUNCTION("IMPORTRANGE(""https://docs.google.com/spreadsheets/d/""&amp;$A602&amp;""/edit#gid=156619080"",AI$3)"),"#REF!")</f>
        <v>#REF!</v>
      </c>
      <c r="AJ602" s="2" t="str">
        <f>IFERROR(__xludf.DUMMYFUNCTION("IMPORTRANGE(""https://docs.google.com/spreadsheets/d/""&amp;$A602&amp;""/edit#gid=156619080"",AJ$3)"),"#REF!")</f>
        <v>#REF!</v>
      </c>
      <c r="AK602" s="2" t="str">
        <f>IFERROR(__xludf.DUMMYFUNCTION("IMPORTRANGE(""https://docs.google.com/spreadsheets/d/""&amp;$A602&amp;""/edit#gid=156619080"",AK$3)"),"#REF!")</f>
        <v>#REF!</v>
      </c>
      <c r="AL602" s="2" t="str">
        <f>IFERROR(__xludf.DUMMYFUNCTION("IMPORTRANGE(""https://docs.google.com/spreadsheets/d/""&amp;$A602&amp;""/edit#gid=156619080"",AL$3)"),"#REF!")</f>
        <v>#REF!</v>
      </c>
      <c r="AM602" s="2" t="str">
        <f>IFERROR(__xludf.DUMMYFUNCTION("IMPORTRANGE(""https://docs.google.com/spreadsheets/d/""&amp;$A602&amp;""/edit#gid=156619080"",AM$3)"),"#REF!")</f>
        <v>#REF!</v>
      </c>
      <c r="AN602" s="2" t="str">
        <f>IFERROR(__xludf.DUMMYFUNCTION("IMPORTRANGE(""https://docs.google.com/spreadsheets/d/""&amp;$A602&amp;""/edit#gid=156619080"",AN$3)"),"#REF!")</f>
        <v>#REF!</v>
      </c>
      <c r="AO602" s="2" t="str">
        <f>IFERROR(__xludf.DUMMYFUNCTION("IMPORTRANGE(""https://docs.google.com/spreadsheets/d/""&amp;$A602&amp;""/edit#gid=156619080"",AO$3)"),"#REF!")</f>
        <v>#REF!</v>
      </c>
      <c r="AP602" s="2" t="str">
        <f>IFERROR(__xludf.DUMMYFUNCTION("IMPORTRANGE(""https://docs.google.com/spreadsheets/d/""&amp;$A602&amp;""/edit#gid=156619080"",AP$3)"),"#REF!")</f>
        <v>#REF!</v>
      </c>
      <c r="AQ602" s="2" t="str">
        <f>IFERROR(__xludf.DUMMYFUNCTION("IMPORTRANGE(""https://docs.google.com/spreadsheets/d/""&amp;$A602&amp;""/edit#gid=156619080"",AQ$3)"),"#REF!")</f>
        <v>#REF!</v>
      </c>
      <c r="AR602" s="2" t="str">
        <f>IFERROR(__xludf.DUMMYFUNCTION("IMPORTRANGE(""https://docs.google.com/spreadsheets/d/""&amp;$A602&amp;""/edit#gid=156619080"",AR$3)"),"#REF!")</f>
        <v>#REF!</v>
      </c>
      <c r="AS602" s="19" t="str">
        <f>IFERROR(__xludf.DUMMYFUNCTION("IMPORTRANGE(""https://docs.google.com/spreadsheets/d/""&amp;$A602&amp;""/edit#gid=156619080"",AS$3)"),"#REF!")</f>
        <v>#REF!</v>
      </c>
      <c r="AT602" s="2" t="str">
        <f>IFERROR(__xludf.DUMMYFUNCTION("IMPORTRANGE(""https://docs.google.com/spreadsheets/d/""&amp;$A602&amp;""/edit#gid=156619080"",AT$3)"),"#REF!")</f>
        <v>#REF!</v>
      </c>
      <c r="AU602" s="3" t="str">
        <f>IFERROR(__xludf.DUMMYFUNCTION("IMPORTRANGE(""https://docs.google.com/spreadsheets/d/""&amp;$A602&amp;""/edit#gid=156619080"",AU$3)"),"#REF!")</f>
        <v>#REF!</v>
      </c>
      <c r="AV602" s="2" t="str">
        <f>IFERROR(__xludf.DUMMYFUNCTION("IMPORTRANGE(""https://docs.google.com/spreadsheets/d/""&amp;$A602&amp;""/edit#gid=156619080"",AV$3)"),"#REF!")</f>
        <v>#REF!</v>
      </c>
      <c r="AW602" s="19" t="str">
        <f>IFERROR(__xludf.DUMMYFUNCTION("IMPORTRANGE(""https://docs.google.com/spreadsheets/d/""&amp;$A602&amp;""/edit#gid=156619080"",AW$3)"),"#REF!")</f>
        <v>#REF!</v>
      </c>
      <c r="AX602" s="2" t="str">
        <f>IFERROR(__xludf.DUMMYFUNCTION("IMPORTRANGE(""https://docs.google.com/spreadsheets/d/""&amp;$A602&amp;""/edit#gid=156619080"",AX$3)"),"#REF!")</f>
        <v>#REF!</v>
      </c>
      <c r="AY602" s="2" t="str">
        <f>IFERROR(__xludf.DUMMYFUNCTION("IMPORTRANGE(""https://docs.google.com/spreadsheets/d/""&amp;$A602&amp;""/edit#gid=156619080"",AY$3)"),"#REF!")</f>
        <v>#REF!</v>
      </c>
      <c r="AZ602" s="2" t="str">
        <f>IFERROR(__xludf.DUMMYFUNCTION("IMPORTRANGE(""https://docs.google.com/spreadsheets/d/""&amp;$A602&amp;""/edit#gid=156619080"",AZ$3)"),"#REF!")</f>
        <v>#REF!</v>
      </c>
      <c r="BA602" s="2" t="str">
        <f>IFERROR(__xludf.DUMMYFUNCTION("IMPORTRANGE(""https://docs.google.com/spreadsheets/d/""&amp;$A602&amp;""/edit#gid=156619080"",BA$3)"),"#REF!")</f>
        <v>#REF!</v>
      </c>
      <c r="BB602" s="2" t="str">
        <f>IFERROR(__xludf.DUMMYFUNCTION("IMPORTRANGE(""https://docs.google.com/spreadsheets/d/""&amp;$A602&amp;""/edit#gid=156619080"",BB$3)"),"#REF!")</f>
        <v>#REF!</v>
      </c>
      <c r="BC602" s="2" t="str">
        <f>IFERROR(__xludf.DUMMYFUNCTION("IMPORTRANGE(""https://docs.google.com/spreadsheets/d/""&amp;$A602&amp;""/edit#gid=156619080"",BC$3)"),"#REF!")</f>
        <v>#REF!</v>
      </c>
    </row>
    <row r="603" ht="51.0" customHeight="1">
      <c r="A603" s="7" t="str">
        <f t="shared" si="5"/>
        <v/>
      </c>
      <c r="C603" s="2" t="str">
        <f>IFERROR(__xludf.DUMMYFUNCTION("IMPORTRANGE(""https://docs.google.com/spreadsheets/d/""&amp;$A603&amp;""/edit#gid=156619080"",C$3)"),"#REF!")</f>
        <v>#REF!</v>
      </c>
      <c r="D603" s="2" t="str">
        <f>IFERROR(__xludf.DUMMYFUNCTION("IMPORTRANGE(""https://docs.google.com/spreadsheets/d/""&amp;$A603&amp;""/edit#gid=156619080"",D$3)"),"#REF!")</f>
        <v>#REF!</v>
      </c>
      <c r="E603" s="2" t="str">
        <f>IFERROR(__xludf.DUMMYFUNCTION("IMPORTRANGE(""https://docs.google.com/spreadsheets/d/""&amp;$A603&amp;""/edit#gid=156619080"",E$3)"),"#REF!")</f>
        <v>#REF!</v>
      </c>
      <c r="F603" s="2" t="str">
        <f>IFERROR(__xludf.DUMMYFUNCTION("IMPORTRANGE(""https://docs.google.com/spreadsheets/d/""&amp;$A603&amp;""/edit#gid=156619080"",F$3)"),"#REF!")</f>
        <v>#REF!</v>
      </c>
      <c r="G603" s="2" t="str">
        <f>IFERROR(__xludf.DUMMYFUNCTION("IMPORTRANGE(""https://docs.google.com/spreadsheets/d/""&amp;$A603&amp;""/edit#gid=156619080"",G$3)"),"#REF!")</f>
        <v>#REF!</v>
      </c>
      <c r="H603" s="2" t="str">
        <f>IFERROR(__xludf.DUMMYFUNCTION("IMPORTRANGE(""https://docs.google.com/spreadsheets/d/""&amp;$A603&amp;""/edit#gid=156619080"",H$3)"),"#REF!")</f>
        <v>#REF!</v>
      </c>
      <c r="I603" s="2" t="str">
        <f>IFERROR(__xludf.DUMMYFUNCTION("IMPORTRANGE(""https://docs.google.com/spreadsheets/d/""&amp;$A603&amp;""/edit#gid=156619080"",I$3)"),"#REF!")</f>
        <v>#REF!</v>
      </c>
      <c r="J603" s="2" t="str">
        <f>IFERROR(__xludf.DUMMYFUNCTION("IMPORTRANGE(""https://docs.google.com/spreadsheets/d/""&amp;$A603&amp;""/edit#gid=156619080"",J$3)"),"#REF!")</f>
        <v>#REF!</v>
      </c>
      <c r="K603" s="2" t="str">
        <f>IFERROR(__xludf.DUMMYFUNCTION("IMPORTRANGE(""https://docs.google.com/spreadsheets/d/""&amp;$A603&amp;""/edit#gid=156619080"",K$3)"),"#REF!")</f>
        <v>#REF!</v>
      </c>
      <c r="L603" s="2" t="str">
        <f>IFERROR(__xludf.DUMMYFUNCTION("IMPORTRANGE(""https://docs.google.com/spreadsheets/d/""&amp;$A603&amp;""/edit#gid=156619080"",L$3)"),"#REF!")</f>
        <v>#REF!</v>
      </c>
      <c r="M603" s="2" t="str">
        <f>IFERROR(__xludf.DUMMYFUNCTION("IMPORTRANGE(""https://docs.google.com/spreadsheets/d/""&amp;$A603&amp;""/edit#gid=156619080"",M$3)"),"#REF!")</f>
        <v>#REF!</v>
      </c>
      <c r="N603" s="2" t="str">
        <f>IFERROR(__xludf.DUMMYFUNCTION("IMPORTRANGE(""https://docs.google.com/spreadsheets/d/""&amp;$A603&amp;""/edit#gid=156619080"",N$3)"),"#REF!")</f>
        <v>#REF!</v>
      </c>
      <c r="O603" s="2" t="str">
        <f>IFERROR(__xludf.DUMMYFUNCTION("IMPORTRANGE(""https://docs.google.com/spreadsheets/d/""&amp;$A603&amp;""/edit#gid=156619080"",O$3)"),"#REF!")</f>
        <v>#REF!</v>
      </c>
      <c r="P603" s="2" t="str">
        <f>IFERROR(__xludf.DUMMYFUNCTION("IMPORTRANGE(""https://docs.google.com/spreadsheets/d/""&amp;$A603&amp;""/edit#gid=156619080"",P$3)"),"#REF!")</f>
        <v>#REF!</v>
      </c>
      <c r="Q603" s="2" t="str">
        <f>IFERROR(__xludf.DUMMYFUNCTION("IMPORTRANGE(""https://docs.google.com/spreadsheets/d/""&amp;$A603&amp;""/edit#gid=156619080"",Q$3)"),"#REF!")</f>
        <v>#REF!</v>
      </c>
      <c r="R603" s="2" t="str">
        <f>IFERROR(__xludf.DUMMYFUNCTION("IMPORTRANGE(""https://docs.google.com/spreadsheets/d/""&amp;$A603&amp;""/edit#gid=156619080"",R$3)"),"#REF!")</f>
        <v>#REF!</v>
      </c>
      <c r="S603" s="2" t="str">
        <f>IFERROR(__xludf.DUMMYFUNCTION("IMPORTRANGE(""https://docs.google.com/spreadsheets/d/""&amp;$A603&amp;""/edit#gid=156619080"",S$3)"),"#REF!")</f>
        <v>#REF!</v>
      </c>
      <c r="T603" s="2" t="str">
        <f>IFERROR(__xludf.DUMMYFUNCTION("IMPORTRANGE(""https://docs.google.com/spreadsheets/d/""&amp;$A603&amp;""/edit#gid=156619080"",T$3)"),"#REF!")</f>
        <v>#REF!</v>
      </c>
      <c r="U603" s="2" t="str">
        <f>IFERROR(__xludf.DUMMYFUNCTION("IMPORTRANGE(""https://docs.google.com/spreadsheets/d/""&amp;$A603&amp;""/edit#gid=156619080"",U$3)"),"#REF!")</f>
        <v>#REF!</v>
      </c>
      <c r="V603" s="2" t="str">
        <f>IFERROR(__xludf.DUMMYFUNCTION("IMPORTRANGE(""https://docs.google.com/spreadsheets/d/""&amp;$A603&amp;""/edit#gid=156619080"",V$3)"),"#REF!")</f>
        <v>#REF!</v>
      </c>
      <c r="W603" s="2" t="str">
        <f>IFERROR(__xludf.DUMMYFUNCTION("IMPORTRANGE(""https://docs.google.com/spreadsheets/d/""&amp;$A603&amp;""/edit#gid=156619080"",W$3)"),"#REF!")</f>
        <v>#REF!</v>
      </c>
      <c r="X603" s="2" t="str">
        <f>IFERROR(__xludf.DUMMYFUNCTION("IMPORTRANGE(""https://docs.google.com/spreadsheets/d/""&amp;$A603&amp;""/edit#gid=156619080"",X$3)"),"#REF!")</f>
        <v>#REF!</v>
      </c>
      <c r="Y603" s="2" t="str">
        <f>IFERROR(__xludf.DUMMYFUNCTION("IMPORTRANGE(""https://docs.google.com/spreadsheets/d/""&amp;$A603&amp;""/edit#gid=156619080"",Y$3)"),"#REF!")</f>
        <v>#REF!</v>
      </c>
      <c r="Z603" s="2" t="str">
        <f>IFERROR(__xludf.DUMMYFUNCTION("IMPORTRANGE(""https://docs.google.com/spreadsheets/d/""&amp;$A603&amp;""/edit#gid=156619080"",Z$3)"),"#REF!")</f>
        <v>#REF!</v>
      </c>
      <c r="AA603" s="2" t="str">
        <f>IFERROR(__xludf.DUMMYFUNCTION("IMPORTRANGE(""https://docs.google.com/spreadsheets/d/""&amp;$A603&amp;""/edit#gid=156619080"",AA$3)"),"#REF!")</f>
        <v>#REF!</v>
      </c>
      <c r="AB603" s="2" t="str">
        <f>IFERROR(__xludf.DUMMYFUNCTION("IMPORTRANGE(""https://docs.google.com/spreadsheets/d/""&amp;$A603&amp;""/edit#gid=156619080"",AB$3)"),"#REF!")</f>
        <v>#REF!</v>
      </c>
      <c r="AC603" s="2" t="str">
        <f>IFERROR(__xludf.DUMMYFUNCTION("IMPORTRANGE(""https://docs.google.com/spreadsheets/d/""&amp;$A603&amp;""/edit#gid=156619080"",AC$3)"),"#REF!")</f>
        <v>#REF!</v>
      </c>
      <c r="AD603" s="2" t="str">
        <f>IFERROR(__xludf.DUMMYFUNCTION("IMPORTRANGE(""https://docs.google.com/spreadsheets/d/""&amp;$A603&amp;""/edit#gid=156619080"",AD$3)"),"#REF!")</f>
        <v>#REF!</v>
      </c>
      <c r="AE603" s="2" t="str">
        <f>IFERROR(__xludf.DUMMYFUNCTION("IMPORTRANGE(""https://docs.google.com/spreadsheets/d/""&amp;$A603&amp;""/edit#gid=156619080"",AE$3)"),"#REF!")</f>
        <v>#REF!</v>
      </c>
      <c r="AF603" s="2" t="str">
        <f>IFERROR(__xludf.DUMMYFUNCTION("IMPORTRANGE(""https://docs.google.com/spreadsheets/d/""&amp;$A603&amp;""/edit#gid=156619080"",AF$3)"),"#REF!")</f>
        <v>#REF!</v>
      </c>
      <c r="AG603" s="2" t="str">
        <f>IFERROR(__xludf.DUMMYFUNCTION("IMPORTRANGE(""https://docs.google.com/spreadsheets/d/""&amp;$A603&amp;""/edit#gid=156619080"",AG$3)"),"#REF!")</f>
        <v>#REF!</v>
      </c>
      <c r="AH603" s="2" t="str">
        <f>IFERROR(__xludf.DUMMYFUNCTION("IMPORTRANGE(""https://docs.google.com/spreadsheets/d/""&amp;$A603&amp;""/edit#gid=156619080"",AH$3)"),"#REF!")</f>
        <v>#REF!</v>
      </c>
      <c r="AI603" s="2" t="str">
        <f>IFERROR(__xludf.DUMMYFUNCTION("IMPORTRANGE(""https://docs.google.com/spreadsheets/d/""&amp;$A603&amp;""/edit#gid=156619080"",AI$3)"),"#REF!")</f>
        <v>#REF!</v>
      </c>
      <c r="AJ603" s="2" t="str">
        <f>IFERROR(__xludf.DUMMYFUNCTION("IMPORTRANGE(""https://docs.google.com/spreadsheets/d/""&amp;$A603&amp;""/edit#gid=156619080"",AJ$3)"),"#REF!")</f>
        <v>#REF!</v>
      </c>
      <c r="AK603" s="2" t="str">
        <f>IFERROR(__xludf.DUMMYFUNCTION("IMPORTRANGE(""https://docs.google.com/spreadsheets/d/""&amp;$A603&amp;""/edit#gid=156619080"",AK$3)"),"#REF!")</f>
        <v>#REF!</v>
      </c>
      <c r="AL603" s="2" t="str">
        <f>IFERROR(__xludf.DUMMYFUNCTION("IMPORTRANGE(""https://docs.google.com/spreadsheets/d/""&amp;$A603&amp;""/edit#gid=156619080"",AL$3)"),"#REF!")</f>
        <v>#REF!</v>
      </c>
      <c r="AM603" s="2" t="str">
        <f>IFERROR(__xludf.DUMMYFUNCTION("IMPORTRANGE(""https://docs.google.com/spreadsheets/d/""&amp;$A603&amp;""/edit#gid=156619080"",AM$3)"),"#REF!")</f>
        <v>#REF!</v>
      </c>
      <c r="AN603" s="2" t="str">
        <f>IFERROR(__xludf.DUMMYFUNCTION("IMPORTRANGE(""https://docs.google.com/spreadsheets/d/""&amp;$A603&amp;""/edit#gid=156619080"",AN$3)"),"#REF!")</f>
        <v>#REF!</v>
      </c>
      <c r="AO603" s="2" t="str">
        <f>IFERROR(__xludf.DUMMYFUNCTION("IMPORTRANGE(""https://docs.google.com/spreadsheets/d/""&amp;$A603&amp;""/edit#gid=156619080"",AO$3)"),"#REF!")</f>
        <v>#REF!</v>
      </c>
      <c r="AP603" s="2" t="str">
        <f>IFERROR(__xludf.DUMMYFUNCTION("IMPORTRANGE(""https://docs.google.com/spreadsheets/d/""&amp;$A603&amp;""/edit#gid=156619080"",AP$3)"),"#REF!")</f>
        <v>#REF!</v>
      </c>
      <c r="AQ603" s="2" t="str">
        <f>IFERROR(__xludf.DUMMYFUNCTION("IMPORTRANGE(""https://docs.google.com/spreadsheets/d/""&amp;$A603&amp;""/edit#gid=156619080"",AQ$3)"),"#REF!")</f>
        <v>#REF!</v>
      </c>
      <c r="AR603" s="2" t="str">
        <f>IFERROR(__xludf.DUMMYFUNCTION("IMPORTRANGE(""https://docs.google.com/spreadsheets/d/""&amp;$A603&amp;""/edit#gid=156619080"",AR$3)"),"#REF!")</f>
        <v>#REF!</v>
      </c>
      <c r="AS603" s="19" t="str">
        <f>IFERROR(__xludf.DUMMYFUNCTION("IMPORTRANGE(""https://docs.google.com/spreadsheets/d/""&amp;$A603&amp;""/edit#gid=156619080"",AS$3)"),"#REF!")</f>
        <v>#REF!</v>
      </c>
      <c r="AT603" s="2" t="str">
        <f>IFERROR(__xludf.DUMMYFUNCTION("IMPORTRANGE(""https://docs.google.com/spreadsheets/d/""&amp;$A603&amp;""/edit#gid=156619080"",AT$3)"),"#REF!")</f>
        <v>#REF!</v>
      </c>
      <c r="AU603" s="3" t="str">
        <f>IFERROR(__xludf.DUMMYFUNCTION("IMPORTRANGE(""https://docs.google.com/spreadsheets/d/""&amp;$A603&amp;""/edit#gid=156619080"",AU$3)"),"#REF!")</f>
        <v>#REF!</v>
      </c>
      <c r="AV603" s="2" t="str">
        <f>IFERROR(__xludf.DUMMYFUNCTION("IMPORTRANGE(""https://docs.google.com/spreadsheets/d/""&amp;$A603&amp;""/edit#gid=156619080"",AV$3)"),"#REF!")</f>
        <v>#REF!</v>
      </c>
      <c r="AW603" s="19" t="str">
        <f>IFERROR(__xludf.DUMMYFUNCTION("IMPORTRANGE(""https://docs.google.com/spreadsheets/d/""&amp;$A603&amp;""/edit#gid=156619080"",AW$3)"),"#REF!")</f>
        <v>#REF!</v>
      </c>
      <c r="AX603" s="2" t="str">
        <f>IFERROR(__xludf.DUMMYFUNCTION("IMPORTRANGE(""https://docs.google.com/spreadsheets/d/""&amp;$A603&amp;""/edit#gid=156619080"",AX$3)"),"#REF!")</f>
        <v>#REF!</v>
      </c>
      <c r="AY603" s="2" t="str">
        <f>IFERROR(__xludf.DUMMYFUNCTION("IMPORTRANGE(""https://docs.google.com/spreadsheets/d/""&amp;$A603&amp;""/edit#gid=156619080"",AY$3)"),"#REF!")</f>
        <v>#REF!</v>
      </c>
      <c r="AZ603" s="2" t="str">
        <f>IFERROR(__xludf.DUMMYFUNCTION("IMPORTRANGE(""https://docs.google.com/spreadsheets/d/""&amp;$A603&amp;""/edit#gid=156619080"",AZ$3)"),"#REF!")</f>
        <v>#REF!</v>
      </c>
      <c r="BA603" s="2" t="str">
        <f>IFERROR(__xludf.DUMMYFUNCTION("IMPORTRANGE(""https://docs.google.com/spreadsheets/d/""&amp;$A603&amp;""/edit#gid=156619080"",BA$3)"),"#REF!")</f>
        <v>#REF!</v>
      </c>
      <c r="BB603" s="2" t="str">
        <f>IFERROR(__xludf.DUMMYFUNCTION("IMPORTRANGE(""https://docs.google.com/spreadsheets/d/""&amp;$A603&amp;""/edit#gid=156619080"",BB$3)"),"#REF!")</f>
        <v>#REF!</v>
      </c>
      <c r="BC603" s="2" t="str">
        <f>IFERROR(__xludf.DUMMYFUNCTION("IMPORTRANGE(""https://docs.google.com/spreadsheets/d/""&amp;$A603&amp;""/edit#gid=156619080"",BC$3)"),"#REF!")</f>
        <v>#REF!</v>
      </c>
    </row>
    <row r="604" ht="51.0" customHeight="1">
      <c r="A604" s="7" t="str">
        <f t="shared" si="5"/>
        <v/>
      </c>
      <c r="C604" s="2" t="str">
        <f>IFERROR(__xludf.DUMMYFUNCTION("IMPORTRANGE(""https://docs.google.com/spreadsheets/d/""&amp;$A604&amp;""/edit#gid=156619080"",C$3)"),"#REF!")</f>
        <v>#REF!</v>
      </c>
      <c r="D604" s="2" t="str">
        <f>IFERROR(__xludf.DUMMYFUNCTION("IMPORTRANGE(""https://docs.google.com/spreadsheets/d/""&amp;$A604&amp;""/edit#gid=156619080"",D$3)"),"#REF!")</f>
        <v>#REF!</v>
      </c>
      <c r="E604" s="2" t="str">
        <f>IFERROR(__xludf.DUMMYFUNCTION("IMPORTRANGE(""https://docs.google.com/spreadsheets/d/""&amp;$A604&amp;""/edit#gid=156619080"",E$3)"),"#REF!")</f>
        <v>#REF!</v>
      </c>
      <c r="F604" s="2" t="str">
        <f>IFERROR(__xludf.DUMMYFUNCTION("IMPORTRANGE(""https://docs.google.com/spreadsheets/d/""&amp;$A604&amp;""/edit#gid=156619080"",F$3)"),"#REF!")</f>
        <v>#REF!</v>
      </c>
      <c r="G604" s="2" t="str">
        <f>IFERROR(__xludf.DUMMYFUNCTION("IMPORTRANGE(""https://docs.google.com/spreadsheets/d/""&amp;$A604&amp;""/edit#gid=156619080"",G$3)"),"#REF!")</f>
        <v>#REF!</v>
      </c>
      <c r="H604" s="2" t="str">
        <f>IFERROR(__xludf.DUMMYFUNCTION("IMPORTRANGE(""https://docs.google.com/spreadsheets/d/""&amp;$A604&amp;""/edit#gid=156619080"",H$3)"),"#REF!")</f>
        <v>#REF!</v>
      </c>
      <c r="I604" s="2" t="str">
        <f>IFERROR(__xludf.DUMMYFUNCTION("IMPORTRANGE(""https://docs.google.com/spreadsheets/d/""&amp;$A604&amp;""/edit#gid=156619080"",I$3)"),"#REF!")</f>
        <v>#REF!</v>
      </c>
      <c r="J604" s="2" t="str">
        <f>IFERROR(__xludf.DUMMYFUNCTION("IMPORTRANGE(""https://docs.google.com/spreadsheets/d/""&amp;$A604&amp;""/edit#gid=156619080"",J$3)"),"#REF!")</f>
        <v>#REF!</v>
      </c>
      <c r="K604" s="2" t="str">
        <f>IFERROR(__xludf.DUMMYFUNCTION("IMPORTRANGE(""https://docs.google.com/spreadsheets/d/""&amp;$A604&amp;""/edit#gid=156619080"",K$3)"),"#REF!")</f>
        <v>#REF!</v>
      </c>
      <c r="L604" s="2" t="str">
        <f>IFERROR(__xludf.DUMMYFUNCTION("IMPORTRANGE(""https://docs.google.com/spreadsheets/d/""&amp;$A604&amp;""/edit#gid=156619080"",L$3)"),"#REF!")</f>
        <v>#REF!</v>
      </c>
      <c r="M604" s="2" t="str">
        <f>IFERROR(__xludf.DUMMYFUNCTION("IMPORTRANGE(""https://docs.google.com/spreadsheets/d/""&amp;$A604&amp;""/edit#gid=156619080"",M$3)"),"#REF!")</f>
        <v>#REF!</v>
      </c>
      <c r="N604" s="2" t="str">
        <f>IFERROR(__xludf.DUMMYFUNCTION("IMPORTRANGE(""https://docs.google.com/spreadsheets/d/""&amp;$A604&amp;""/edit#gid=156619080"",N$3)"),"#REF!")</f>
        <v>#REF!</v>
      </c>
      <c r="O604" s="2" t="str">
        <f>IFERROR(__xludf.DUMMYFUNCTION("IMPORTRANGE(""https://docs.google.com/spreadsheets/d/""&amp;$A604&amp;""/edit#gid=156619080"",O$3)"),"#REF!")</f>
        <v>#REF!</v>
      </c>
      <c r="P604" s="2" t="str">
        <f>IFERROR(__xludf.DUMMYFUNCTION("IMPORTRANGE(""https://docs.google.com/spreadsheets/d/""&amp;$A604&amp;""/edit#gid=156619080"",P$3)"),"#REF!")</f>
        <v>#REF!</v>
      </c>
      <c r="Q604" s="2" t="str">
        <f>IFERROR(__xludf.DUMMYFUNCTION("IMPORTRANGE(""https://docs.google.com/spreadsheets/d/""&amp;$A604&amp;""/edit#gid=156619080"",Q$3)"),"#REF!")</f>
        <v>#REF!</v>
      </c>
      <c r="R604" s="2" t="str">
        <f>IFERROR(__xludf.DUMMYFUNCTION("IMPORTRANGE(""https://docs.google.com/spreadsheets/d/""&amp;$A604&amp;""/edit#gid=156619080"",R$3)"),"#REF!")</f>
        <v>#REF!</v>
      </c>
      <c r="S604" s="2" t="str">
        <f>IFERROR(__xludf.DUMMYFUNCTION("IMPORTRANGE(""https://docs.google.com/spreadsheets/d/""&amp;$A604&amp;""/edit#gid=156619080"",S$3)"),"#REF!")</f>
        <v>#REF!</v>
      </c>
      <c r="T604" s="2" t="str">
        <f>IFERROR(__xludf.DUMMYFUNCTION("IMPORTRANGE(""https://docs.google.com/spreadsheets/d/""&amp;$A604&amp;""/edit#gid=156619080"",T$3)"),"#REF!")</f>
        <v>#REF!</v>
      </c>
      <c r="U604" s="2" t="str">
        <f>IFERROR(__xludf.DUMMYFUNCTION("IMPORTRANGE(""https://docs.google.com/spreadsheets/d/""&amp;$A604&amp;""/edit#gid=156619080"",U$3)"),"#REF!")</f>
        <v>#REF!</v>
      </c>
      <c r="V604" s="2" t="str">
        <f>IFERROR(__xludf.DUMMYFUNCTION("IMPORTRANGE(""https://docs.google.com/spreadsheets/d/""&amp;$A604&amp;""/edit#gid=156619080"",V$3)"),"#REF!")</f>
        <v>#REF!</v>
      </c>
      <c r="W604" s="2" t="str">
        <f>IFERROR(__xludf.DUMMYFUNCTION("IMPORTRANGE(""https://docs.google.com/spreadsheets/d/""&amp;$A604&amp;""/edit#gid=156619080"",W$3)"),"#REF!")</f>
        <v>#REF!</v>
      </c>
      <c r="X604" s="2" t="str">
        <f>IFERROR(__xludf.DUMMYFUNCTION("IMPORTRANGE(""https://docs.google.com/spreadsheets/d/""&amp;$A604&amp;""/edit#gid=156619080"",X$3)"),"#REF!")</f>
        <v>#REF!</v>
      </c>
      <c r="Y604" s="2" t="str">
        <f>IFERROR(__xludf.DUMMYFUNCTION("IMPORTRANGE(""https://docs.google.com/spreadsheets/d/""&amp;$A604&amp;""/edit#gid=156619080"",Y$3)"),"#REF!")</f>
        <v>#REF!</v>
      </c>
      <c r="Z604" s="2" t="str">
        <f>IFERROR(__xludf.DUMMYFUNCTION("IMPORTRANGE(""https://docs.google.com/spreadsheets/d/""&amp;$A604&amp;""/edit#gid=156619080"",Z$3)"),"#REF!")</f>
        <v>#REF!</v>
      </c>
      <c r="AA604" s="2" t="str">
        <f>IFERROR(__xludf.DUMMYFUNCTION("IMPORTRANGE(""https://docs.google.com/spreadsheets/d/""&amp;$A604&amp;""/edit#gid=156619080"",AA$3)"),"#REF!")</f>
        <v>#REF!</v>
      </c>
      <c r="AB604" s="2" t="str">
        <f>IFERROR(__xludf.DUMMYFUNCTION("IMPORTRANGE(""https://docs.google.com/spreadsheets/d/""&amp;$A604&amp;""/edit#gid=156619080"",AB$3)"),"#REF!")</f>
        <v>#REF!</v>
      </c>
      <c r="AC604" s="2" t="str">
        <f>IFERROR(__xludf.DUMMYFUNCTION("IMPORTRANGE(""https://docs.google.com/spreadsheets/d/""&amp;$A604&amp;""/edit#gid=156619080"",AC$3)"),"#REF!")</f>
        <v>#REF!</v>
      </c>
      <c r="AD604" s="2" t="str">
        <f>IFERROR(__xludf.DUMMYFUNCTION("IMPORTRANGE(""https://docs.google.com/spreadsheets/d/""&amp;$A604&amp;""/edit#gid=156619080"",AD$3)"),"#REF!")</f>
        <v>#REF!</v>
      </c>
      <c r="AE604" s="2" t="str">
        <f>IFERROR(__xludf.DUMMYFUNCTION("IMPORTRANGE(""https://docs.google.com/spreadsheets/d/""&amp;$A604&amp;""/edit#gid=156619080"",AE$3)"),"#REF!")</f>
        <v>#REF!</v>
      </c>
      <c r="AF604" s="2" t="str">
        <f>IFERROR(__xludf.DUMMYFUNCTION("IMPORTRANGE(""https://docs.google.com/spreadsheets/d/""&amp;$A604&amp;""/edit#gid=156619080"",AF$3)"),"#REF!")</f>
        <v>#REF!</v>
      </c>
      <c r="AG604" s="2" t="str">
        <f>IFERROR(__xludf.DUMMYFUNCTION("IMPORTRANGE(""https://docs.google.com/spreadsheets/d/""&amp;$A604&amp;""/edit#gid=156619080"",AG$3)"),"#REF!")</f>
        <v>#REF!</v>
      </c>
      <c r="AH604" s="2" t="str">
        <f>IFERROR(__xludf.DUMMYFUNCTION("IMPORTRANGE(""https://docs.google.com/spreadsheets/d/""&amp;$A604&amp;""/edit#gid=156619080"",AH$3)"),"#REF!")</f>
        <v>#REF!</v>
      </c>
      <c r="AI604" s="2" t="str">
        <f>IFERROR(__xludf.DUMMYFUNCTION("IMPORTRANGE(""https://docs.google.com/spreadsheets/d/""&amp;$A604&amp;""/edit#gid=156619080"",AI$3)"),"#REF!")</f>
        <v>#REF!</v>
      </c>
      <c r="AJ604" s="2" t="str">
        <f>IFERROR(__xludf.DUMMYFUNCTION("IMPORTRANGE(""https://docs.google.com/spreadsheets/d/""&amp;$A604&amp;""/edit#gid=156619080"",AJ$3)"),"#REF!")</f>
        <v>#REF!</v>
      </c>
      <c r="AK604" s="2" t="str">
        <f>IFERROR(__xludf.DUMMYFUNCTION("IMPORTRANGE(""https://docs.google.com/spreadsheets/d/""&amp;$A604&amp;""/edit#gid=156619080"",AK$3)"),"#REF!")</f>
        <v>#REF!</v>
      </c>
      <c r="AL604" s="2" t="str">
        <f>IFERROR(__xludf.DUMMYFUNCTION("IMPORTRANGE(""https://docs.google.com/spreadsheets/d/""&amp;$A604&amp;""/edit#gid=156619080"",AL$3)"),"#REF!")</f>
        <v>#REF!</v>
      </c>
      <c r="AM604" s="2" t="str">
        <f>IFERROR(__xludf.DUMMYFUNCTION("IMPORTRANGE(""https://docs.google.com/spreadsheets/d/""&amp;$A604&amp;""/edit#gid=156619080"",AM$3)"),"#REF!")</f>
        <v>#REF!</v>
      </c>
      <c r="AN604" s="2" t="str">
        <f>IFERROR(__xludf.DUMMYFUNCTION("IMPORTRANGE(""https://docs.google.com/spreadsheets/d/""&amp;$A604&amp;""/edit#gid=156619080"",AN$3)"),"#REF!")</f>
        <v>#REF!</v>
      </c>
      <c r="AO604" s="2" t="str">
        <f>IFERROR(__xludf.DUMMYFUNCTION("IMPORTRANGE(""https://docs.google.com/spreadsheets/d/""&amp;$A604&amp;""/edit#gid=156619080"",AO$3)"),"#REF!")</f>
        <v>#REF!</v>
      </c>
      <c r="AP604" s="2" t="str">
        <f>IFERROR(__xludf.DUMMYFUNCTION("IMPORTRANGE(""https://docs.google.com/spreadsheets/d/""&amp;$A604&amp;""/edit#gid=156619080"",AP$3)"),"#REF!")</f>
        <v>#REF!</v>
      </c>
      <c r="AQ604" s="2" t="str">
        <f>IFERROR(__xludf.DUMMYFUNCTION("IMPORTRANGE(""https://docs.google.com/spreadsheets/d/""&amp;$A604&amp;""/edit#gid=156619080"",AQ$3)"),"#REF!")</f>
        <v>#REF!</v>
      </c>
      <c r="AR604" s="2" t="str">
        <f>IFERROR(__xludf.DUMMYFUNCTION("IMPORTRANGE(""https://docs.google.com/spreadsheets/d/""&amp;$A604&amp;""/edit#gid=156619080"",AR$3)"),"#REF!")</f>
        <v>#REF!</v>
      </c>
      <c r="AS604" s="19" t="str">
        <f>IFERROR(__xludf.DUMMYFUNCTION("IMPORTRANGE(""https://docs.google.com/spreadsheets/d/""&amp;$A604&amp;""/edit#gid=156619080"",AS$3)"),"#REF!")</f>
        <v>#REF!</v>
      </c>
      <c r="AT604" s="2" t="str">
        <f>IFERROR(__xludf.DUMMYFUNCTION("IMPORTRANGE(""https://docs.google.com/spreadsheets/d/""&amp;$A604&amp;""/edit#gid=156619080"",AT$3)"),"#REF!")</f>
        <v>#REF!</v>
      </c>
      <c r="AU604" s="3" t="str">
        <f>IFERROR(__xludf.DUMMYFUNCTION("IMPORTRANGE(""https://docs.google.com/spreadsheets/d/""&amp;$A604&amp;""/edit#gid=156619080"",AU$3)"),"#REF!")</f>
        <v>#REF!</v>
      </c>
      <c r="AV604" s="2" t="str">
        <f>IFERROR(__xludf.DUMMYFUNCTION("IMPORTRANGE(""https://docs.google.com/spreadsheets/d/""&amp;$A604&amp;""/edit#gid=156619080"",AV$3)"),"#REF!")</f>
        <v>#REF!</v>
      </c>
      <c r="AW604" s="19" t="str">
        <f>IFERROR(__xludf.DUMMYFUNCTION("IMPORTRANGE(""https://docs.google.com/spreadsheets/d/""&amp;$A604&amp;""/edit#gid=156619080"",AW$3)"),"#REF!")</f>
        <v>#REF!</v>
      </c>
      <c r="AX604" s="2" t="str">
        <f>IFERROR(__xludf.DUMMYFUNCTION("IMPORTRANGE(""https://docs.google.com/spreadsheets/d/""&amp;$A604&amp;""/edit#gid=156619080"",AX$3)"),"#REF!")</f>
        <v>#REF!</v>
      </c>
      <c r="AY604" s="2" t="str">
        <f>IFERROR(__xludf.DUMMYFUNCTION("IMPORTRANGE(""https://docs.google.com/spreadsheets/d/""&amp;$A604&amp;""/edit#gid=156619080"",AY$3)"),"#REF!")</f>
        <v>#REF!</v>
      </c>
      <c r="AZ604" s="2" t="str">
        <f>IFERROR(__xludf.DUMMYFUNCTION("IMPORTRANGE(""https://docs.google.com/spreadsheets/d/""&amp;$A604&amp;""/edit#gid=156619080"",AZ$3)"),"#REF!")</f>
        <v>#REF!</v>
      </c>
      <c r="BA604" s="2" t="str">
        <f>IFERROR(__xludf.DUMMYFUNCTION("IMPORTRANGE(""https://docs.google.com/spreadsheets/d/""&amp;$A604&amp;""/edit#gid=156619080"",BA$3)"),"#REF!")</f>
        <v>#REF!</v>
      </c>
      <c r="BB604" s="2" t="str">
        <f>IFERROR(__xludf.DUMMYFUNCTION("IMPORTRANGE(""https://docs.google.com/spreadsheets/d/""&amp;$A604&amp;""/edit#gid=156619080"",BB$3)"),"#REF!")</f>
        <v>#REF!</v>
      </c>
      <c r="BC604" s="2" t="str">
        <f>IFERROR(__xludf.DUMMYFUNCTION("IMPORTRANGE(""https://docs.google.com/spreadsheets/d/""&amp;$A604&amp;""/edit#gid=156619080"",BC$3)"),"#REF!")</f>
        <v>#REF!</v>
      </c>
    </row>
    <row r="605" ht="51.0" customHeight="1">
      <c r="A605" s="7" t="str">
        <f t="shared" si="5"/>
        <v/>
      </c>
      <c r="C605" s="2" t="str">
        <f>IFERROR(__xludf.DUMMYFUNCTION("IMPORTRANGE(""https://docs.google.com/spreadsheets/d/""&amp;$A605&amp;""/edit#gid=156619080"",C$3)"),"#REF!")</f>
        <v>#REF!</v>
      </c>
      <c r="D605" s="2" t="str">
        <f>IFERROR(__xludf.DUMMYFUNCTION("IMPORTRANGE(""https://docs.google.com/spreadsheets/d/""&amp;$A605&amp;""/edit#gid=156619080"",D$3)"),"#REF!")</f>
        <v>#REF!</v>
      </c>
      <c r="E605" s="2" t="str">
        <f>IFERROR(__xludf.DUMMYFUNCTION("IMPORTRANGE(""https://docs.google.com/spreadsheets/d/""&amp;$A605&amp;""/edit#gid=156619080"",E$3)"),"#REF!")</f>
        <v>#REF!</v>
      </c>
      <c r="F605" s="2" t="str">
        <f>IFERROR(__xludf.DUMMYFUNCTION("IMPORTRANGE(""https://docs.google.com/spreadsheets/d/""&amp;$A605&amp;""/edit#gid=156619080"",F$3)"),"#REF!")</f>
        <v>#REF!</v>
      </c>
      <c r="G605" s="2" t="str">
        <f>IFERROR(__xludf.DUMMYFUNCTION("IMPORTRANGE(""https://docs.google.com/spreadsheets/d/""&amp;$A605&amp;""/edit#gid=156619080"",G$3)"),"#REF!")</f>
        <v>#REF!</v>
      </c>
      <c r="H605" s="2" t="str">
        <f>IFERROR(__xludf.DUMMYFUNCTION("IMPORTRANGE(""https://docs.google.com/spreadsheets/d/""&amp;$A605&amp;""/edit#gid=156619080"",H$3)"),"#REF!")</f>
        <v>#REF!</v>
      </c>
      <c r="I605" s="2" t="str">
        <f>IFERROR(__xludf.DUMMYFUNCTION("IMPORTRANGE(""https://docs.google.com/spreadsheets/d/""&amp;$A605&amp;""/edit#gid=156619080"",I$3)"),"#REF!")</f>
        <v>#REF!</v>
      </c>
      <c r="J605" s="2" t="str">
        <f>IFERROR(__xludf.DUMMYFUNCTION("IMPORTRANGE(""https://docs.google.com/spreadsheets/d/""&amp;$A605&amp;""/edit#gid=156619080"",J$3)"),"#REF!")</f>
        <v>#REF!</v>
      </c>
      <c r="K605" s="2" t="str">
        <f>IFERROR(__xludf.DUMMYFUNCTION("IMPORTRANGE(""https://docs.google.com/spreadsheets/d/""&amp;$A605&amp;""/edit#gid=156619080"",K$3)"),"#REF!")</f>
        <v>#REF!</v>
      </c>
      <c r="L605" s="2" t="str">
        <f>IFERROR(__xludf.DUMMYFUNCTION("IMPORTRANGE(""https://docs.google.com/spreadsheets/d/""&amp;$A605&amp;""/edit#gid=156619080"",L$3)"),"#REF!")</f>
        <v>#REF!</v>
      </c>
      <c r="M605" s="2" t="str">
        <f>IFERROR(__xludf.DUMMYFUNCTION("IMPORTRANGE(""https://docs.google.com/spreadsheets/d/""&amp;$A605&amp;""/edit#gid=156619080"",M$3)"),"#REF!")</f>
        <v>#REF!</v>
      </c>
      <c r="N605" s="2" t="str">
        <f>IFERROR(__xludf.DUMMYFUNCTION("IMPORTRANGE(""https://docs.google.com/spreadsheets/d/""&amp;$A605&amp;""/edit#gid=156619080"",N$3)"),"#REF!")</f>
        <v>#REF!</v>
      </c>
      <c r="O605" s="2" t="str">
        <f>IFERROR(__xludf.DUMMYFUNCTION("IMPORTRANGE(""https://docs.google.com/spreadsheets/d/""&amp;$A605&amp;""/edit#gid=156619080"",O$3)"),"#REF!")</f>
        <v>#REF!</v>
      </c>
      <c r="P605" s="2" t="str">
        <f>IFERROR(__xludf.DUMMYFUNCTION("IMPORTRANGE(""https://docs.google.com/spreadsheets/d/""&amp;$A605&amp;""/edit#gid=156619080"",P$3)"),"#REF!")</f>
        <v>#REF!</v>
      </c>
      <c r="Q605" s="2" t="str">
        <f>IFERROR(__xludf.DUMMYFUNCTION("IMPORTRANGE(""https://docs.google.com/spreadsheets/d/""&amp;$A605&amp;""/edit#gid=156619080"",Q$3)"),"#REF!")</f>
        <v>#REF!</v>
      </c>
      <c r="R605" s="2" t="str">
        <f>IFERROR(__xludf.DUMMYFUNCTION("IMPORTRANGE(""https://docs.google.com/spreadsheets/d/""&amp;$A605&amp;""/edit#gid=156619080"",R$3)"),"#REF!")</f>
        <v>#REF!</v>
      </c>
      <c r="S605" s="2" t="str">
        <f>IFERROR(__xludf.DUMMYFUNCTION("IMPORTRANGE(""https://docs.google.com/spreadsheets/d/""&amp;$A605&amp;""/edit#gid=156619080"",S$3)"),"#REF!")</f>
        <v>#REF!</v>
      </c>
      <c r="T605" s="2" t="str">
        <f>IFERROR(__xludf.DUMMYFUNCTION("IMPORTRANGE(""https://docs.google.com/spreadsheets/d/""&amp;$A605&amp;""/edit#gid=156619080"",T$3)"),"#REF!")</f>
        <v>#REF!</v>
      </c>
      <c r="U605" s="2" t="str">
        <f>IFERROR(__xludf.DUMMYFUNCTION("IMPORTRANGE(""https://docs.google.com/spreadsheets/d/""&amp;$A605&amp;""/edit#gid=156619080"",U$3)"),"#REF!")</f>
        <v>#REF!</v>
      </c>
      <c r="V605" s="2" t="str">
        <f>IFERROR(__xludf.DUMMYFUNCTION("IMPORTRANGE(""https://docs.google.com/spreadsheets/d/""&amp;$A605&amp;""/edit#gid=156619080"",V$3)"),"#REF!")</f>
        <v>#REF!</v>
      </c>
      <c r="W605" s="2" t="str">
        <f>IFERROR(__xludf.DUMMYFUNCTION("IMPORTRANGE(""https://docs.google.com/spreadsheets/d/""&amp;$A605&amp;""/edit#gid=156619080"",W$3)"),"#REF!")</f>
        <v>#REF!</v>
      </c>
      <c r="X605" s="2" t="str">
        <f>IFERROR(__xludf.DUMMYFUNCTION("IMPORTRANGE(""https://docs.google.com/spreadsheets/d/""&amp;$A605&amp;""/edit#gid=156619080"",X$3)"),"#REF!")</f>
        <v>#REF!</v>
      </c>
      <c r="Y605" s="2" t="str">
        <f>IFERROR(__xludf.DUMMYFUNCTION("IMPORTRANGE(""https://docs.google.com/spreadsheets/d/""&amp;$A605&amp;""/edit#gid=156619080"",Y$3)"),"#REF!")</f>
        <v>#REF!</v>
      </c>
      <c r="Z605" s="2" t="str">
        <f>IFERROR(__xludf.DUMMYFUNCTION("IMPORTRANGE(""https://docs.google.com/spreadsheets/d/""&amp;$A605&amp;""/edit#gid=156619080"",Z$3)"),"#REF!")</f>
        <v>#REF!</v>
      </c>
      <c r="AA605" s="2" t="str">
        <f>IFERROR(__xludf.DUMMYFUNCTION("IMPORTRANGE(""https://docs.google.com/spreadsheets/d/""&amp;$A605&amp;""/edit#gid=156619080"",AA$3)"),"#REF!")</f>
        <v>#REF!</v>
      </c>
      <c r="AB605" s="2" t="str">
        <f>IFERROR(__xludf.DUMMYFUNCTION("IMPORTRANGE(""https://docs.google.com/spreadsheets/d/""&amp;$A605&amp;""/edit#gid=156619080"",AB$3)"),"#REF!")</f>
        <v>#REF!</v>
      </c>
      <c r="AC605" s="2" t="str">
        <f>IFERROR(__xludf.DUMMYFUNCTION("IMPORTRANGE(""https://docs.google.com/spreadsheets/d/""&amp;$A605&amp;""/edit#gid=156619080"",AC$3)"),"#REF!")</f>
        <v>#REF!</v>
      </c>
      <c r="AD605" s="2" t="str">
        <f>IFERROR(__xludf.DUMMYFUNCTION("IMPORTRANGE(""https://docs.google.com/spreadsheets/d/""&amp;$A605&amp;""/edit#gid=156619080"",AD$3)"),"#REF!")</f>
        <v>#REF!</v>
      </c>
      <c r="AE605" s="2" t="str">
        <f>IFERROR(__xludf.DUMMYFUNCTION("IMPORTRANGE(""https://docs.google.com/spreadsheets/d/""&amp;$A605&amp;""/edit#gid=156619080"",AE$3)"),"#REF!")</f>
        <v>#REF!</v>
      </c>
      <c r="AF605" s="2" t="str">
        <f>IFERROR(__xludf.DUMMYFUNCTION("IMPORTRANGE(""https://docs.google.com/spreadsheets/d/""&amp;$A605&amp;""/edit#gid=156619080"",AF$3)"),"#REF!")</f>
        <v>#REF!</v>
      </c>
      <c r="AG605" s="2" t="str">
        <f>IFERROR(__xludf.DUMMYFUNCTION("IMPORTRANGE(""https://docs.google.com/spreadsheets/d/""&amp;$A605&amp;""/edit#gid=156619080"",AG$3)"),"#REF!")</f>
        <v>#REF!</v>
      </c>
      <c r="AH605" s="2" t="str">
        <f>IFERROR(__xludf.DUMMYFUNCTION("IMPORTRANGE(""https://docs.google.com/spreadsheets/d/""&amp;$A605&amp;""/edit#gid=156619080"",AH$3)"),"#REF!")</f>
        <v>#REF!</v>
      </c>
      <c r="AI605" s="2" t="str">
        <f>IFERROR(__xludf.DUMMYFUNCTION("IMPORTRANGE(""https://docs.google.com/spreadsheets/d/""&amp;$A605&amp;""/edit#gid=156619080"",AI$3)"),"#REF!")</f>
        <v>#REF!</v>
      </c>
      <c r="AJ605" s="2" t="str">
        <f>IFERROR(__xludf.DUMMYFUNCTION("IMPORTRANGE(""https://docs.google.com/spreadsheets/d/""&amp;$A605&amp;""/edit#gid=156619080"",AJ$3)"),"#REF!")</f>
        <v>#REF!</v>
      </c>
      <c r="AK605" s="2" t="str">
        <f>IFERROR(__xludf.DUMMYFUNCTION("IMPORTRANGE(""https://docs.google.com/spreadsheets/d/""&amp;$A605&amp;""/edit#gid=156619080"",AK$3)"),"#REF!")</f>
        <v>#REF!</v>
      </c>
      <c r="AL605" s="2" t="str">
        <f>IFERROR(__xludf.DUMMYFUNCTION("IMPORTRANGE(""https://docs.google.com/spreadsheets/d/""&amp;$A605&amp;""/edit#gid=156619080"",AL$3)"),"#REF!")</f>
        <v>#REF!</v>
      </c>
      <c r="AM605" s="2" t="str">
        <f>IFERROR(__xludf.DUMMYFUNCTION("IMPORTRANGE(""https://docs.google.com/spreadsheets/d/""&amp;$A605&amp;""/edit#gid=156619080"",AM$3)"),"#REF!")</f>
        <v>#REF!</v>
      </c>
      <c r="AN605" s="2" t="str">
        <f>IFERROR(__xludf.DUMMYFUNCTION("IMPORTRANGE(""https://docs.google.com/spreadsheets/d/""&amp;$A605&amp;""/edit#gid=156619080"",AN$3)"),"#REF!")</f>
        <v>#REF!</v>
      </c>
      <c r="AO605" s="2" t="str">
        <f>IFERROR(__xludf.DUMMYFUNCTION("IMPORTRANGE(""https://docs.google.com/spreadsheets/d/""&amp;$A605&amp;""/edit#gid=156619080"",AO$3)"),"#REF!")</f>
        <v>#REF!</v>
      </c>
      <c r="AP605" s="2" t="str">
        <f>IFERROR(__xludf.DUMMYFUNCTION("IMPORTRANGE(""https://docs.google.com/spreadsheets/d/""&amp;$A605&amp;""/edit#gid=156619080"",AP$3)"),"#REF!")</f>
        <v>#REF!</v>
      </c>
      <c r="AQ605" s="2" t="str">
        <f>IFERROR(__xludf.DUMMYFUNCTION("IMPORTRANGE(""https://docs.google.com/spreadsheets/d/""&amp;$A605&amp;""/edit#gid=156619080"",AQ$3)"),"#REF!")</f>
        <v>#REF!</v>
      </c>
      <c r="AR605" s="2" t="str">
        <f>IFERROR(__xludf.DUMMYFUNCTION("IMPORTRANGE(""https://docs.google.com/spreadsheets/d/""&amp;$A605&amp;""/edit#gid=156619080"",AR$3)"),"#REF!")</f>
        <v>#REF!</v>
      </c>
      <c r="AS605" s="19" t="str">
        <f>IFERROR(__xludf.DUMMYFUNCTION("IMPORTRANGE(""https://docs.google.com/spreadsheets/d/""&amp;$A605&amp;""/edit#gid=156619080"",AS$3)"),"#REF!")</f>
        <v>#REF!</v>
      </c>
      <c r="AT605" s="2" t="str">
        <f>IFERROR(__xludf.DUMMYFUNCTION("IMPORTRANGE(""https://docs.google.com/spreadsheets/d/""&amp;$A605&amp;""/edit#gid=156619080"",AT$3)"),"#REF!")</f>
        <v>#REF!</v>
      </c>
      <c r="AU605" s="3" t="str">
        <f>IFERROR(__xludf.DUMMYFUNCTION("IMPORTRANGE(""https://docs.google.com/spreadsheets/d/""&amp;$A605&amp;""/edit#gid=156619080"",AU$3)"),"#REF!")</f>
        <v>#REF!</v>
      </c>
      <c r="AV605" s="2" t="str">
        <f>IFERROR(__xludf.DUMMYFUNCTION("IMPORTRANGE(""https://docs.google.com/spreadsheets/d/""&amp;$A605&amp;""/edit#gid=156619080"",AV$3)"),"#REF!")</f>
        <v>#REF!</v>
      </c>
      <c r="AW605" s="19" t="str">
        <f>IFERROR(__xludf.DUMMYFUNCTION("IMPORTRANGE(""https://docs.google.com/spreadsheets/d/""&amp;$A605&amp;""/edit#gid=156619080"",AW$3)"),"#REF!")</f>
        <v>#REF!</v>
      </c>
      <c r="AX605" s="2" t="str">
        <f>IFERROR(__xludf.DUMMYFUNCTION("IMPORTRANGE(""https://docs.google.com/spreadsheets/d/""&amp;$A605&amp;""/edit#gid=156619080"",AX$3)"),"#REF!")</f>
        <v>#REF!</v>
      </c>
      <c r="AY605" s="2" t="str">
        <f>IFERROR(__xludf.DUMMYFUNCTION("IMPORTRANGE(""https://docs.google.com/spreadsheets/d/""&amp;$A605&amp;""/edit#gid=156619080"",AY$3)"),"#REF!")</f>
        <v>#REF!</v>
      </c>
      <c r="AZ605" s="2" t="str">
        <f>IFERROR(__xludf.DUMMYFUNCTION("IMPORTRANGE(""https://docs.google.com/spreadsheets/d/""&amp;$A605&amp;""/edit#gid=156619080"",AZ$3)"),"#REF!")</f>
        <v>#REF!</v>
      </c>
      <c r="BA605" s="2" t="str">
        <f>IFERROR(__xludf.DUMMYFUNCTION("IMPORTRANGE(""https://docs.google.com/spreadsheets/d/""&amp;$A605&amp;""/edit#gid=156619080"",BA$3)"),"#REF!")</f>
        <v>#REF!</v>
      </c>
      <c r="BB605" s="2" t="str">
        <f>IFERROR(__xludf.DUMMYFUNCTION("IMPORTRANGE(""https://docs.google.com/spreadsheets/d/""&amp;$A605&amp;""/edit#gid=156619080"",BB$3)"),"#REF!")</f>
        <v>#REF!</v>
      </c>
      <c r="BC605" s="2" t="str">
        <f>IFERROR(__xludf.DUMMYFUNCTION("IMPORTRANGE(""https://docs.google.com/spreadsheets/d/""&amp;$A605&amp;""/edit#gid=156619080"",BC$3)"),"#REF!")</f>
        <v>#REF!</v>
      </c>
    </row>
    <row r="606" ht="51.0" customHeight="1">
      <c r="A606" s="7" t="str">
        <f t="shared" si="5"/>
        <v/>
      </c>
      <c r="C606" s="2" t="str">
        <f>IFERROR(__xludf.DUMMYFUNCTION("IMPORTRANGE(""https://docs.google.com/spreadsheets/d/""&amp;$A606&amp;""/edit#gid=156619080"",C$3)"),"#REF!")</f>
        <v>#REF!</v>
      </c>
      <c r="D606" s="2" t="str">
        <f>IFERROR(__xludf.DUMMYFUNCTION("IMPORTRANGE(""https://docs.google.com/spreadsheets/d/""&amp;$A606&amp;""/edit#gid=156619080"",D$3)"),"#REF!")</f>
        <v>#REF!</v>
      </c>
      <c r="E606" s="2" t="str">
        <f>IFERROR(__xludf.DUMMYFUNCTION("IMPORTRANGE(""https://docs.google.com/spreadsheets/d/""&amp;$A606&amp;""/edit#gid=156619080"",E$3)"),"#REF!")</f>
        <v>#REF!</v>
      </c>
      <c r="F606" s="2" t="str">
        <f>IFERROR(__xludf.DUMMYFUNCTION("IMPORTRANGE(""https://docs.google.com/spreadsheets/d/""&amp;$A606&amp;""/edit#gid=156619080"",F$3)"),"#REF!")</f>
        <v>#REF!</v>
      </c>
      <c r="G606" s="2" t="str">
        <f>IFERROR(__xludf.DUMMYFUNCTION("IMPORTRANGE(""https://docs.google.com/spreadsheets/d/""&amp;$A606&amp;""/edit#gid=156619080"",G$3)"),"#REF!")</f>
        <v>#REF!</v>
      </c>
      <c r="H606" s="2" t="str">
        <f>IFERROR(__xludf.DUMMYFUNCTION("IMPORTRANGE(""https://docs.google.com/spreadsheets/d/""&amp;$A606&amp;""/edit#gid=156619080"",H$3)"),"#REF!")</f>
        <v>#REF!</v>
      </c>
      <c r="I606" s="2" t="str">
        <f>IFERROR(__xludf.DUMMYFUNCTION("IMPORTRANGE(""https://docs.google.com/spreadsheets/d/""&amp;$A606&amp;""/edit#gid=156619080"",I$3)"),"#REF!")</f>
        <v>#REF!</v>
      </c>
      <c r="J606" s="2" t="str">
        <f>IFERROR(__xludf.DUMMYFUNCTION("IMPORTRANGE(""https://docs.google.com/spreadsheets/d/""&amp;$A606&amp;""/edit#gid=156619080"",J$3)"),"#REF!")</f>
        <v>#REF!</v>
      </c>
      <c r="K606" s="2" t="str">
        <f>IFERROR(__xludf.DUMMYFUNCTION("IMPORTRANGE(""https://docs.google.com/spreadsheets/d/""&amp;$A606&amp;""/edit#gid=156619080"",K$3)"),"#REF!")</f>
        <v>#REF!</v>
      </c>
      <c r="L606" s="2" t="str">
        <f>IFERROR(__xludf.DUMMYFUNCTION("IMPORTRANGE(""https://docs.google.com/spreadsheets/d/""&amp;$A606&amp;""/edit#gid=156619080"",L$3)"),"#REF!")</f>
        <v>#REF!</v>
      </c>
      <c r="M606" s="2" t="str">
        <f>IFERROR(__xludf.DUMMYFUNCTION("IMPORTRANGE(""https://docs.google.com/spreadsheets/d/""&amp;$A606&amp;""/edit#gid=156619080"",M$3)"),"#REF!")</f>
        <v>#REF!</v>
      </c>
      <c r="N606" s="2" t="str">
        <f>IFERROR(__xludf.DUMMYFUNCTION("IMPORTRANGE(""https://docs.google.com/spreadsheets/d/""&amp;$A606&amp;""/edit#gid=156619080"",N$3)"),"#REF!")</f>
        <v>#REF!</v>
      </c>
      <c r="O606" s="2" t="str">
        <f>IFERROR(__xludf.DUMMYFUNCTION("IMPORTRANGE(""https://docs.google.com/spreadsheets/d/""&amp;$A606&amp;""/edit#gid=156619080"",O$3)"),"#REF!")</f>
        <v>#REF!</v>
      </c>
      <c r="P606" s="2" t="str">
        <f>IFERROR(__xludf.DUMMYFUNCTION("IMPORTRANGE(""https://docs.google.com/spreadsheets/d/""&amp;$A606&amp;""/edit#gid=156619080"",P$3)"),"#REF!")</f>
        <v>#REF!</v>
      </c>
      <c r="Q606" s="2" t="str">
        <f>IFERROR(__xludf.DUMMYFUNCTION("IMPORTRANGE(""https://docs.google.com/spreadsheets/d/""&amp;$A606&amp;""/edit#gid=156619080"",Q$3)"),"#REF!")</f>
        <v>#REF!</v>
      </c>
      <c r="R606" s="2" t="str">
        <f>IFERROR(__xludf.DUMMYFUNCTION("IMPORTRANGE(""https://docs.google.com/spreadsheets/d/""&amp;$A606&amp;""/edit#gid=156619080"",R$3)"),"#REF!")</f>
        <v>#REF!</v>
      </c>
      <c r="S606" s="2" t="str">
        <f>IFERROR(__xludf.DUMMYFUNCTION("IMPORTRANGE(""https://docs.google.com/spreadsheets/d/""&amp;$A606&amp;""/edit#gid=156619080"",S$3)"),"#REF!")</f>
        <v>#REF!</v>
      </c>
      <c r="T606" s="2" t="str">
        <f>IFERROR(__xludf.DUMMYFUNCTION("IMPORTRANGE(""https://docs.google.com/spreadsheets/d/""&amp;$A606&amp;""/edit#gid=156619080"",T$3)"),"#REF!")</f>
        <v>#REF!</v>
      </c>
      <c r="U606" s="2" t="str">
        <f>IFERROR(__xludf.DUMMYFUNCTION("IMPORTRANGE(""https://docs.google.com/spreadsheets/d/""&amp;$A606&amp;""/edit#gid=156619080"",U$3)"),"#REF!")</f>
        <v>#REF!</v>
      </c>
      <c r="V606" s="2" t="str">
        <f>IFERROR(__xludf.DUMMYFUNCTION("IMPORTRANGE(""https://docs.google.com/spreadsheets/d/""&amp;$A606&amp;""/edit#gid=156619080"",V$3)"),"#REF!")</f>
        <v>#REF!</v>
      </c>
      <c r="W606" s="2" t="str">
        <f>IFERROR(__xludf.DUMMYFUNCTION("IMPORTRANGE(""https://docs.google.com/spreadsheets/d/""&amp;$A606&amp;""/edit#gid=156619080"",W$3)"),"#REF!")</f>
        <v>#REF!</v>
      </c>
      <c r="X606" s="2" t="str">
        <f>IFERROR(__xludf.DUMMYFUNCTION("IMPORTRANGE(""https://docs.google.com/spreadsheets/d/""&amp;$A606&amp;""/edit#gid=156619080"",X$3)"),"#REF!")</f>
        <v>#REF!</v>
      </c>
      <c r="Y606" s="2" t="str">
        <f>IFERROR(__xludf.DUMMYFUNCTION("IMPORTRANGE(""https://docs.google.com/spreadsheets/d/""&amp;$A606&amp;""/edit#gid=156619080"",Y$3)"),"#REF!")</f>
        <v>#REF!</v>
      </c>
      <c r="Z606" s="2" t="str">
        <f>IFERROR(__xludf.DUMMYFUNCTION("IMPORTRANGE(""https://docs.google.com/spreadsheets/d/""&amp;$A606&amp;""/edit#gid=156619080"",Z$3)"),"#REF!")</f>
        <v>#REF!</v>
      </c>
      <c r="AA606" s="2" t="str">
        <f>IFERROR(__xludf.DUMMYFUNCTION("IMPORTRANGE(""https://docs.google.com/spreadsheets/d/""&amp;$A606&amp;""/edit#gid=156619080"",AA$3)"),"#REF!")</f>
        <v>#REF!</v>
      </c>
      <c r="AB606" s="2" t="str">
        <f>IFERROR(__xludf.DUMMYFUNCTION("IMPORTRANGE(""https://docs.google.com/spreadsheets/d/""&amp;$A606&amp;""/edit#gid=156619080"",AB$3)"),"#REF!")</f>
        <v>#REF!</v>
      </c>
      <c r="AC606" s="2" t="str">
        <f>IFERROR(__xludf.DUMMYFUNCTION("IMPORTRANGE(""https://docs.google.com/spreadsheets/d/""&amp;$A606&amp;""/edit#gid=156619080"",AC$3)"),"#REF!")</f>
        <v>#REF!</v>
      </c>
      <c r="AD606" s="2" t="str">
        <f>IFERROR(__xludf.DUMMYFUNCTION("IMPORTRANGE(""https://docs.google.com/spreadsheets/d/""&amp;$A606&amp;""/edit#gid=156619080"",AD$3)"),"#REF!")</f>
        <v>#REF!</v>
      </c>
      <c r="AE606" s="2" t="str">
        <f>IFERROR(__xludf.DUMMYFUNCTION("IMPORTRANGE(""https://docs.google.com/spreadsheets/d/""&amp;$A606&amp;""/edit#gid=156619080"",AE$3)"),"#REF!")</f>
        <v>#REF!</v>
      </c>
      <c r="AF606" s="2" t="str">
        <f>IFERROR(__xludf.DUMMYFUNCTION("IMPORTRANGE(""https://docs.google.com/spreadsheets/d/""&amp;$A606&amp;""/edit#gid=156619080"",AF$3)"),"#REF!")</f>
        <v>#REF!</v>
      </c>
      <c r="AG606" s="2" t="str">
        <f>IFERROR(__xludf.DUMMYFUNCTION("IMPORTRANGE(""https://docs.google.com/spreadsheets/d/""&amp;$A606&amp;""/edit#gid=156619080"",AG$3)"),"#REF!")</f>
        <v>#REF!</v>
      </c>
      <c r="AH606" s="2" t="str">
        <f>IFERROR(__xludf.DUMMYFUNCTION("IMPORTRANGE(""https://docs.google.com/spreadsheets/d/""&amp;$A606&amp;""/edit#gid=156619080"",AH$3)"),"#REF!")</f>
        <v>#REF!</v>
      </c>
      <c r="AI606" s="2" t="str">
        <f>IFERROR(__xludf.DUMMYFUNCTION("IMPORTRANGE(""https://docs.google.com/spreadsheets/d/""&amp;$A606&amp;""/edit#gid=156619080"",AI$3)"),"#REF!")</f>
        <v>#REF!</v>
      </c>
      <c r="AJ606" s="2" t="str">
        <f>IFERROR(__xludf.DUMMYFUNCTION("IMPORTRANGE(""https://docs.google.com/spreadsheets/d/""&amp;$A606&amp;""/edit#gid=156619080"",AJ$3)"),"#REF!")</f>
        <v>#REF!</v>
      </c>
      <c r="AK606" s="2" t="str">
        <f>IFERROR(__xludf.DUMMYFUNCTION("IMPORTRANGE(""https://docs.google.com/spreadsheets/d/""&amp;$A606&amp;""/edit#gid=156619080"",AK$3)"),"#REF!")</f>
        <v>#REF!</v>
      </c>
      <c r="AL606" s="2" t="str">
        <f>IFERROR(__xludf.DUMMYFUNCTION("IMPORTRANGE(""https://docs.google.com/spreadsheets/d/""&amp;$A606&amp;""/edit#gid=156619080"",AL$3)"),"#REF!")</f>
        <v>#REF!</v>
      </c>
      <c r="AM606" s="2" t="str">
        <f>IFERROR(__xludf.DUMMYFUNCTION("IMPORTRANGE(""https://docs.google.com/spreadsheets/d/""&amp;$A606&amp;""/edit#gid=156619080"",AM$3)"),"#REF!")</f>
        <v>#REF!</v>
      </c>
      <c r="AN606" s="2" t="str">
        <f>IFERROR(__xludf.DUMMYFUNCTION("IMPORTRANGE(""https://docs.google.com/spreadsheets/d/""&amp;$A606&amp;""/edit#gid=156619080"",AN$3)"),"#REF!")</f>
        <v>#REF!</v>
      </c>
      <c r="AO606" s="2" t="str">
        <f>IFERROR(__xludf.DUMMYFUNCTION("IMPORTRANGE(""https://docs.google.com/spreadsheets/d/""&amp;$A606&amp;""/edit#gid=156619080"",AO$3)"),"#REF!")</f>
        <v>#REF!</v>
      </c>
      <c r="AP606" s="2" t="str">
        <f>IFERROR(__xludf.DUMMYFUNCTION("IMPORTRANGE(""https://docs.google.com/spreadsheets/d/""&amp;$A606&amp;""/edit#gid=156619080"",AP$3)"),"#REF!")</f>
        <v>#REF!</v>
      </c>
      <c r="AQ606" s="2" t="str">
        <f>IFERROR(__xludf.DUMMYFUNCTION("IMPORTRANGE(""https://docs.google.com/spreadsheets/d/""&amp;$A606&amp;""/edit#gid=156619080"",AQ$3)"),"#REF!")</f>
        <v>#REF!</v>
      </c>
      <c r="AR606" s="2" t="str">
        <f>IFERROR(__xludf.DUMMYFUNCTION("IMPORTRANGE(""https://docs.google.com/spreadsheets/d/""&amp;$A606&amp;""/edit#gid=156619080"",AR$3)"),"#REF!")</f>
        <v>#REF!</v>
      </c>
      <c r="AS606" s="19" t="str">
        <f>IFERROR(__xludf.DUMMYFUNCTION("IMPORTRANGE(""https://docs.google.com/spreadsheets/d/""&amp;$A606&amp;""/edit#gid=156619080"",AS$3)"),"#REF!")</f>
        <v>#REF!</v>
      </c>
      <c r="AT606" s="2" t="str">
        <f>IFERROR(__xludf.DUMMYFUNCTION("IMPORTRANGE(""https://docs.google.com/spreadsheets/d/""&amp;$A606&amp;""/edit#gid=156619080"",AT$3)"),"#REF!")</f>
        <v>#REF!</v>
      </c>
      <c r="AU606" s="3" t="str">
        <f>IFERROR(__xludf.DUMMYFUNCTION("IMPORTRANGE(""https://docs.google.com/spreadsheets/d/""&amp;$A606&amp;""/edit#gid=156619080"",AU$3)"),"#REF!")</f>
        <v>#REF!</v>
      </c>
      <c r="AV606" s="2" t="str">
        <f>IFERROR(__xludf.DUMMYFUNCTION("IMPORTRANGE(""https://docs.google.com/spreadsheets/d/""&amp;$A606&amp;""/edit#gid=156619080"",AV$3)"),"#REF!")</f>
        <v>#REF!</v>
      </c>
      <c r="AW606" s="19" t="str">
        <f>IFERROR(__xludf.DUMMYFUNCTION("IMPORTRANGE(""https://docs.google.com/spreadsheets/d/""&amp;$A606&amp;""/edit#gid=156619080"",AW$3)"),"#REF!")</f>
        <v>#REF!</v>
      </c>
      <c r="AX606" s="2" t="str">
        <f>IFERROR(__xludf.DUMMYFUNCTION("IMPORTRANGE(""https://docs.google.com/spreadsheets/d/""&amp;$A606&amp;""/edit#gid=156619080"",AX$3)"),"#REF!")</f>
        <v>#REF!</v>
      </c>
      <c r="AY606" s="2" t="str">
        <f>IFERROR(__xludf.DUMMYFUNCTION("IMPORTRANGE(""https://docs.google.com/spreadsheets/d/""&amp;$A606&amp;""/edit#gid=156619080"",AY$3)"),"#REF!")</f>
        <v>#REF!</v>
      </c>
      <c r="AZ606" s="2" t="str">
        <f>IFERROR(__xludf.DUMMYFUNCTION("IMPORTRANGE(""https://docs.google.com/spreadsheets/d/""&amp;$A606&amp;""/edit#gid=156619080"",AZ$3)"),"#REF!")</f>
        <v>#REF!</v>
      </c>
      <c r="BA606" s="2" t="str">
        <f>IFERROR(__xludf.DUMMYFUNCTION("IMPORTRANGE(""https://docs.google.com/spreadsheets/d/""&amp;$A606&amp;""/edit#gid=156619080"",BA$3)"),"#REF!")</f>
        <v>#REF!</v>
      </c>
      <c r="BB606" s="2" t="str">
        <f>IFERROR(__xludf.DUMMYFUNCTION("IMPORTRANGE(""https://docs.google.com/spreadsheets/d/""&amp;$A606&amp;""/edit#gid=156619080"",BB$3)"),"#REF!")</f>
        <v>#REF!</v>
      </c>
      <c r="BC606" s="2" t="str">
        <f>IFERROR(__xludf.DUMMYFUNCTION("IMPORTRANGE(""https://docs.google.com/spreadsheets/d/""&amp;$A606&amp;""/edit#gid=156619080"",BC$3)"),"#REF!")</f>
        <v>#REF!</v>
      </c>
    </row>
    <row r="607" ht="51.0" customHeight="1">
      <c r="A607" s="7" t="str">
        <f t="shared" si="5"/>
        <v/>
      </c>
      <c r="C607" s="2" t="str">
        <f>IFERROR(__xludf.DUMMYFUNCTION("IMPORTRANGE(""https://docs.google.com/spreadsheets/d/""&amp;$A607&amp;""/edit#gid=156619080"",C$3)"),"#REF!")</f>
        <v>#REF!</v>
      </c>
      <c r="D607" s="2" t="str">
        <f>IFERROR(__xludf.DUMMYFUNCTION("IMPORTRANGE(""https://docs.google.com/spreadsheets/d/""&amp;$A607&amp;""/edit#gid=156619080"",D$3)"),"#REF!")</f>
        <v>#REF!</v>
      </c>
      <c r="E607" s="2" t="str">
        <f>IFERROR(__xludf.DUMMYFUNCTION("IMPORTRANGE(""https://docs.google.com/spreadsheets/d/""&amp;$A607&amp;""/edit#gid=156619080"",E$3)"),"#REF!")</f>
        <v>#REF!</v>
      </c>
      <c r="F607" s="2" t="str">
        <f>IFERROR(__xludf.DUMMYFUNCTION("IMPORTRANGE(""https://docs.google.com/spreadsheets/d/""&amp;$A607&amp;""/edit#gid=156619080"",F$3)"),"#REF!")</f>
        <v>#REF!</v>
      </c>
      <c r="G607" s="2" t="str">
        <f>IFERROR(__xludf.DUMMYFUNCTION("IMPORTRANGE(""https://docs.google.com/spreadsheets/d/""&amp;$A607&amp;""/edit#gid=156619080"",G$3)"),"#REF!")</f>
        <v>#REF!</v>
      </c>
      <c r="H607" s="2" t="str">
        <f>IFERROR(__xludf.DUMMYFUNCTION("IMPORTRANGE(""https://docs.google.com/spreadsheets/d/""&amp;$A607&amp;""/edit#gid=156619080"",H$3)"),"#REF!")</f>
        <v>#REF!</v>
      </c>
      <c r="I607" s="2" t="str">
        <f>IFERROR(__xludf.DUMMYFUNCTION("IMPORTRANGE(""https://docs.google.com/spreadsheets/d/""&amp;$A607&amp;""/edit#gid=156619080"",I$3)"),"#REF!")</f>
        <v>#REF!</v>
      </c>
      <c r="J607" s="2" t="str">
        <f>IFERROR(__xludf.DUMMYFUNCTION("IMPORTRANGE(""https://docs.google.com/spreadsheets/d/""&amp;$A607&amp;""/edit#gid=156619080"",J$3)"),"#REF!")</f>
        <v>#REF!</v>
      </c>
      <c r="K607" s="2" t="str">
        <f>IFERROR(__xludf.DUMMYFUNCTION("IMPORTRANGE(""https://docs.google.com/spreadsheets/d/""&amp;$A607&amp;""/edit#gid=156619080"",K$3)"),"#REF!")</f>
        <v>#REF!</v>
      </c>
      <c r="L607" s="2" t="str">
        <f>IFERROR(__xludf.DUMMYFUNCTION("IMPORTRANGE(""https://docs.google.com/spreadsheets/d/""&amp;$A607&amp;""/edit#gid=156619080"",L$3)"),"#REF!")</f>
        <v>#REF!</v>
      </c>
      <c r="M607" s="2" t="str">
        <f>IFERROR(__xludf.DUMMYFUNCTION("IMPORTRANGE(""https://docs.google.com/spreadsheets/d/""&amp;$A607&amp;""/edit#gid=156619080"",M$3)"),"#REF!")</f>
        <v>#REF!</v>
      </c>
      <c r="N607" s="2" t="str">
        <f>IFERROR(__xludf.DUMMYFUNCTION("IMPORTRANGE(""https://docs.google.com/spreadsheets/d/""&amp;$A607&amp;""/edit#gid=156619080"",N$3)"),"#REF!")</f>
        <v>#REF!</v>
      </c>
      <c r="O607" s="2" t="str">
        <f>IFERROR(__xludf.DUMMYFUNCTION("IMPORTRANGE(""https://docs.google.com/spreadsheets/d/""&amp;$A607&amp;""/edit#gid=156619080"",O$3)"),"#REF!")</f>
        <v>#REF!</v>
      </c>
      <c r="P607" s="2" t="str">
        <f>IFERROR(__xludf.DUMMYFUNCTION("IMPORTRANGE(""https://docs.google.com/spreadsheets/d/""&amp;$A607&amp;""/edit#gid=156619080"",P$3)"),"#REF!")</f>
        <v>#REF!</v>
      </c>
      <c r="Q607" s="2" t="str">
        <f>IFERROR(__xludf.DUMMYFUNCTION("IMPORTRANGE(""https://docs.google.com/spreadsheets/d/""&amp;$A607&amp;""/edit#gid=156619080"",Q$3)"),"#REF!")</f>
        <v>#REF!</v>
      </c>
      <c r="R607" s="2" t="str">
        <f>IFERROR(__xludf.DUMMYFUNCTION("IMPORTRANGE(""https://docs.google.com/spreadsheets/d/""&amp;$A607&amp;""/edit#gid=156619080"",R$3)"),"#REF!")</f>
        <v>#REF!</v>
      </c>
      <c r="S607" s="2" t="str">
        <f>IFERROR(__xludf.DUMMYFUNCTION("IMPORTRANGE(""https://docs.google.com/spreadsheets/d/""&amp;$A607&amp;""/edit#gid=156619080"",S$3)"),"#REF!")</f>
        <v>#REF!</v>
      </c>
      <c r="T607" s="2" t="str">
        <f>IFERROR(__xludf.DUMMYFUNCTION("IMPORTRANGE(""https://docs.google.com/spreadsheets/d/""&amp;$A607&amp;""/edit#gid=156619080"",T$3)"),"#REF!")</f>
        <v>#REF!</v>
      </c>
      <c r="U607" s="2" t="str">
        <f>IFERROR(__xludf.DUMMYFUNCTION("IMPORTRANGE(""https://docs.google.com/spreadsheets/d/""&amp;$A607&amp;""/edit#gid=156619080"",U$3)"),"#REF!")</f>
        <v>#REF!</v>
      </c>
      <c r="V607" s="2" t="str">
        <f>IFERROR(__xludf.DUMMYFUNCTION("IMPORTRANGE(""https://docs.google.com/spreadsheets/d/""&amp;$A607&amp;""/edit#gid=156619080"",V$3)"),"#REF!")</f>
        <v>#REF!</v>
      </c>
      <c r="W607" s="2" t="str">
        <f>IFERROR(__xludf.DUMMYFUNCTION("IMPORTRANGE(""https://docs.google.com/spreadsheets/d/""&amp;$A607&amp;""/edit#gid=156619080"",W$3)"),"#REF!")</f>
        <v>#REF!</v>
      </c>
      <c r="X607" s="2" t="str">
        <f>IFERROR(__xludf.DUMMYFUNCTION("IMPORTRANGE(""https://docs.google.com/spreadsheets/d/""&amp;$A607&amp;""/edit#gid=156619080"",X$3)"),"#REF!")</f>
        <v>#REF!</v>
      </c>
      <c r="Y607" s="2" t="str">
        <f>IFERROR(__xludf.DUMMYFUNCTION("IMPORTRANGE(""https://docs.google.com/spreadsheets/d/""&amp;$A607&amp;""/edit#gid=156619080"",Y$3)"),"#REF!")</f>
        <v>#REF!</v>
      </c>
      <c r="Z607" s="2" t="str">
        <f>IFERROR(__xludf.DUMMYFUNCTION("IMPORTRANGE(""https://docs.google.com/spreadsheets/d/""&amp;$A607&amp;""/edit#gid=156619080"",Z$3)"),"#REF!")</f>
        <v>#REF!</v>
      </c>
      <c r="AA607" s="2" t="str">
        <f>IFERROR(__xludf.DUMMYFUNCTION("IMPORTRANGE(""https://docs.google.com/spreadsheets/d/""&amp;$A607&amp;""/edit#gid=156619080"",AA$3)"),"#REF!")</f>
        <v>#REF!</v>
      </c>
      <c r="AB607" s="2" t="str">
        <f>IFERROR(__xludf.DUMMYFUNCTION("IMPORTRANGE(""https://docs.google.com/spreadsheets/d/""&amp;$A607&amp;""/edit#gid=156619080"",AB$3)"),"#REF!")</f>
        <v>#REF!</v>
      </c>
      <c r="AC607" s="2" t="str">
        <f>IFERROR(__xludf.DUMMYFUNCTION("IMPORTRANGE(""https://docs.google.com/spreadsheets/d/""&amp;$A607&amp;""/edit#gid=156619080"",AC$3)"),"#REF!")</f>
        <v>#REF!</v>
      </c>
      <c r="AD607" s="2" t="str">
        <f>IFERROR(__xludf.DUMMYFUNCTION("IMPORTRANGE(""https://docs.google.com/spreadsheets/d/""&amp;$A607&amp;""/edit#gid=156619080"",AD$3)"),"#REF!")</f>
        <v>#REF!</v>
      </c>
      <c r="AE607" s="2" t="str">
        <f>IFERROR(__xludf.DUMMYFUNCTION("IMPORTRANGE(""https://docs.google.com/spreadsheets/d/""&amp;$A607&amp;""/edit#gid=156619080"",AE$3)"),"#REF!")</f>
        <v>#REF!</v>
      </c>
      <c r="AF607" s="2" t="str">
        <f>IFERROR(__xludf.DUMMYFUNCTION("IMPORTRANGE(""https://docs.google.com/spreadsheets/d/""&amp;$A607&amp;""/edit#gid=156619080"",AF$3)"),"#REF!")</f>
        <v>#REF!</v>
      </c>
      <c r="AG607" s="2" t="str">
        <f>IFERROR(__xludf.DUMMYFUNCTION("IMPORTRANGE(""https://docs.google.com/spreadsheets/d/""&amp;$A607&amp;""/edit#gid=156619080"",AG$3)"),"#REF!")</f>
        <v>#REF!</v>
      </c>
      <c r="AH607" s="2" t="str">
        <f>IFERROR(__xludf.DUMMYFUNCTION("IMPORTRANGE(""https://docs.google.com/spreadsheets/d/""&amp;$A607&amp;""/edit#gid=156619080"",AH$3)"),"#REF!")</f>
        <v>#REF!</v>
      </c>
      <c r="AI607" s="2" t="str">
        <f>IFERROR(__xludf.DUMMYFUNCTION("IMPORTRANGE(""https://docs.google.com/spreadsheets/d/""&amp;$A607&amp;""/edit#gid=156619080"",AI$3)"),"#REF!")</f>
        <v>#REF!</v>
      </c>
      <c r="AJ607" s="2" t="str">
        <f>IFERROR(__xludf.DUMMYFUNCTION("IMPORTRANGE(""https://docs.google.com/spreadsheets/d/""&amp;$A607&amp;""/edit#gid=156619080"",AJ$3)"),"#REF!")</f>
        <v>#REF!</v>
      </c>
      <c r="AK607" s="2" t="str">
        <f>IFERROR(__xludf.DUMMYFUNCTION("IMPORTRANGE(""https://docs.google.com/spreadsheets/d/""&amp;$A607&amp;""/edit#gid=156619080"",AK$3)"),"#REF!")</f>
        <v>#REF!</v>
      </c>
      <c r="AL607" s="2" t="str">
        <f>IFERROR(__xludf.DUMMYFUNCTION("IMPORTRANGE(""https://docs.google.com/spreadsheets/d/""&amp;$A607&amp;""/edit#gid=156619080"",AL$3)"),"#REF!")</f>
        <v>#REF!</v>
      </c>
      <c r="AM607" s="2" t="str">
        <f>IFERROR(__xludf.DUMMYFUNCTION("IMPORTRANGE(""https://docs.google.com/spreadsheets/d/""&amp;$A607&amp;""/edit#gid=156619080"",AM$3)"),"#REF!")</f>
        <v>#REF!</v>
      </c>
      <c r="AN607" s="2" t="str">
        <f>IFERROR(__xludf.DUMMYFUNCTION("IMPORTRANGE(""https://docs.google.com/spreadsheets/d/""&amp;$A607&amp;""/edit#gid=156619080"",AN$3)"),"#REF!")</f>
        <v>#REF!</v>
      </c>
      <c r="AO607" s="2" t="str">
        <f>IFERROR(__xludf.DUMMYFUNCTION("IMPORTRANGE(""https://docs.google.com/spreadsheets/d/""&amp;$A607&amp;""/edit#gid=156619080"",AO$3)"),"#REF!")</f>
        <v>#REF!</v>
      </c>
      <c r="AP607" s="2" t="str">
        <f>IFERROR(__xludf.DUMMYFUNCTION("IMPORTRANGE(""https://docs.google.com/spreadsheets/d/""&amp;$A607&amp;""/edit#gid=156619080"",AP$3)"),"#REF!")</f>
        <v>#REF!</v>
      </c>
      <c r="AQ607" s="2" t="str">
        <f>IFERROR(__xludf.DUMMYFUNCTION("IMPORTRANGE(""https://docs.google.com/spreadsheets/d/""&amp;$A607&amp;""/edit#gid=156619080"",AQ$3)"),"#REF!")</f>
        <v>#REF!</v>
      </c>
      <c r="AR607" s="2" t="str">
        <f>IFERROR(__xludf.DUMMYFUNCTION("IMPORTRANGE(""https://docs.google.com/spreadsheets/d/""&amp;$A607&amp;""/edit#gid=156619080"",AR$3)"),"#REF!")</f>
        <v>#REF!</v>
      </c>
      <c r="AS607" s="19" t="str">
        <f>IFERROR(__xludf.DUMMYFUNCTION("IMPORTRANGE(""https://docs.google.com/spreadsheets/d/""&amp;$A607&amp;""/edit#gid=156619080"",AS$3)"),"#REF!")</f>
        <v>#REF!</v>
      </c>
      <c r="AT607" s="2" t="str">
        <f>IFERROR(__xludf.DUMMYFUNCTION("IMPORTRANGE(""https://docs.google.com/spreadsheets/d/""&amp;$A607&amp;""/edit#gid=156619080"",AT$3)"),"#REF!")</f>
        <v>#REF!</v>
      </c>
      <c r="AU607" s="3" t="str">
        <f>IFERROR(__xludf.DUMMYFUNCTION("IMPORTRANGE(""https://docs.google.com/spreadsheets/d/""&amp;$A607&amp;""/edit#gid=156619080"",AU$3)"),"#REF!")</f>
        <v>#REF!</v>
      </c>
      <c r="AV607" s="2" t="str">
        <f>IFERROR(__xludf.DUMMYFUNCTION("IMPORTRANGE(""https://docs.google.com/spreadsheets/d/""&amp;$A607&amp;""/edit#gid=156619080"",AV$3)"),"#REF!")</f>
        <v>#REF!</v>
      </c>
      <c r="AW607" s="19" t="str">
        <f>IFERROR(__xludf.DUMMYFUNCTION("IMPORTRANGE(""https://docs.google.com/spreadsheets/d/""&amp;$A607&amp;""/edit#gid=156619080"",AW$3)"),"#REF!")</f>
        <v>#REF!</v>
      </c>
      <c r="AX607" s="2" t="str">
        <f>IFERROR(__xludf.DUMMYFUNCTION("IMPORTRANGE(""https://docs.google.com/spreadsheets/d/""&amp;$A607&amp;""/edit#gid=156619080"",AX$3)"),"#REF!")</f>
        <v>#REF!</v>
      </c>
      <c r="AY607" s="2" t="str">
        <f>IFERROR(__xludf.DUMMYFUNCTION("IMPORTRANGE(""https://docs.google.com/spreadsheets/d/""&amp;$A607&amp;""/edit#gid=156619080"",AY$3)"),"#REF!")</f>
        <v>#REF!</v>
      </c>
      <c r="AZ607" s="2" t="str">
        <f>IFERROR(__xludf.DUMMYFUNCTION("IMPORTRANGE(""https://docs.google.com/spreadsheets/d/""&amp;$A607&amp;""/edit#gid=156619080"",AZ$3)"),"#REF!")</f>
        <v>#REF!</v>
      </c>
      <c r="BA607" s="2" t="str">
        <f>IFERROR(__xludf.DUMMYFUNCTION("IMPORTRANGE(""https://docs.google.com/spreadsheets/d/""&amp;$A607&amp;""/edit#gid=156619080"",BA$3)"),"#REF!")</f>
        <v>#REF!</v>
      </c>
      <c r="BB607" s="2" t="str">
        <f>IFERROR(__xludf.DUMMYFUNCTION("IMPORTRANGE(""https://docs.google.com/spreadsheets/d/""&amp;$A607&amp;""/edit#gid=156619080"",BB$3)"),"#REF!")</f>
        <v>#REF!</v>
      </c>
      <c r="BC607" s="2" t="str">
        <f>IFERROR(__xludf.DUMMYFUNCTION("IMPORTRANGE(""https://docs.google.com/spreadsheets/d/""&amp;$A607&amp;""/edit#gid=156619080"",BC$3)"),"#REF!")</f>
        <v>#REF!</v>
      </c>
    </row>
    <row r="608" ht="51.0" customHeight="1">
      <c r="A608" s="7" t="str">
        <f t="shared" si="5"/>
        <v/>
      </c>
      <c r="C608" s="2" t="str">
        <f>IFERROR(__xludf.DUMMYFUNCTION("IMPORTRANGE(""https://docs.google.com/spreadsheets/d/""&amp;$A608&amp;""/edit#gid=156619080"",C$3)"),"#REF!")</f>
        <v>#REF!</v>
      </c>
      <c r="D608" s="2" t="str">
        <f>IFERROR(__xludf.DUMMYFUNCTION("IMPORTRANGE(""https://docs.google.com/spreadsheets/d/""&amp;$A608&amp;""/edit#gid=156619080"",D$3)"),"#REF!")</f>
        <v>#REF!</v>
      </c>
      <c r="E608" s="2" t="str">
        <f>IFERROR(__xludf.DUMMYFUNCTION("IMPORTRANGE(""https://docs.google.com/spreadsheets/d/""&amp;$A608&amp;""/edit#gid=156619080"",E$3)"),"#REF!")</f>
        <v>#REF!</v>
      </c>
      <c r="F608" s="2" t="str">
        <f>IFERROR(__xludf.DUMMYFUNCTION("IMPORTRANGE(""https://docs.google.com/spreadsheets/d/""&amp;$A608&amp;""/edit#gid=156619080"",F$3)"),"#REF!")</f>
        <v>#REF!</v>
      </c>
      <c r="G608" s="2" t="str">
        <f>IFERROR(__xludf.DUMMYFUNCTION("IMPORTRANGE(""https://docs.google.com/spreadsheets/d/""&amp;$A608&amp;""/edit#gid=156619080"",G$3)"),"#REF!")</f>
        <v>#REF!</v>
      </c>
      <c r="H608" s="2" t="str">
        <f>IFERROR(__xludf.DUMMYFUNCTION("IMPORTRANGE(""https://docs.google.com/spreadsheets/d/""&amp;$A608&amp;""/edit#gid=156619080"",H$3)"),"#REF!")</f>
        <v>#REF!</v>
      </c>
      <c r="I608" s="2" t="str">
        <f>IFERROR(__xludf.DUMMYFUNCTION("IMPORTRANGE(""https://docs.google.com/spreadsheets/d/""&amp;$A608&amp;""/edit#gid=156619080"",I$3)"),"#REF!")</f>
        <v>#REF!</v>
      </c>
      <c r="J608" s="2" t="str">
        <f>IFERROR(__xludf.DUMMYFUNCTION("IMPORTRANGE(""https://docs.google.com/spreadsheets/d/""&amp;$A608&amp;""/edit#gid=156619080"",J$3)"),"#REF!")</f>
        <v>#REF!</v>
      </c>
      <c r="K608" s="2" t="str">
        <f>IFERROR(__xludf.DUMMYFUNCTION("IMPORTRANGE(""https://docs.google.com/spreadsheets/d/""&amp;$A608&amp;""/edit#gid=156619080"",K$3)"),"#REF!")</f>
        <v>#REF!</v>
      </c>
      <c r="L608" s="2" t="str">
        <f>IFERROR(__xludf.DUMMYFUNCTION("IMPORTRANGE(""https://docs.google.com/spreadsheets/d/""&amp;$A608&amp;""/edit#gid=156619080"",L$3)"),"#REF!")</f>
        <v>#REF!</v>
      </c>
      <c r="M608" s="2" t="str">
        <f>IFERROR(__xludf.DUMMYFUNCTION("IMPORTRANGE(""https://docs.google.com/spreadsheets/d/""&amp;$A608&amp;""/edit#gid=156619080"",M$3)"),"#REF!")</f>
        <v>#REF!</v>
      </c>
      <c r="N608" s="2" t="str">
        <f>IFERROR(__xludf.DUMMYFUNCTION("IMPORTRANGE(""https://docs.google.com/spreadsheets/d/""&amp;$A608&amp;""/edit#gid=156619080"",N$3)"),"#REF!")</f>
        <v>#REF!</v>
      </c>
      <c r="O608" s="2" t="str">
        <f>IFERROR(__xludf.DUMMYFUNCTION("IMPORTRANGE(""https://docs.google.com/spreadsheets/d/""&amp;$A608&amp;""/edit#gid=156619080"",O$3)"),"#REF!")</f>
        <v>#REF!</v>
      </c>
      <c r="P608" s="2" t="str">
        <f>IFERROR(__xludf.DUMMYFUNCTION("IMPORTRANGE(""https://docs.google.com/spreadsheets/d/""&amp;$A608&amp;""/edit#gid=156619080"",P$3)"),"#REF!")</f>
        <v>#REF!</v>
      </c>
      <c r="Q608" s="2" t="str">
        <f>IFERROR(__xludf.DUMMYFUNCTION("IMPORTRANGE(""https://docs.google.com/spreadsheets/d/""&amp;$A608&amp;""/edit#gid=156619080"",Q$3)"),"#REF!")</f>
        <v>#REF!</v>
      </c>
      <c r="R608" s="2" t="str">
        <f>IFERROR(__xludf.DUMMYFUNCTION("IMPORTRANGE(""https://docs.google.com/spreadsheets/d/""&amp;$A608&amp;""/edit#gid=156619080"",R$3)"),"#REF!")</f>
        <v>#REF!</v>
      </c>
      <c r="S608" s="2" t="str">
        <f>IFERROR(__xludf.DUMMYFUNCTION("IMPORTRANGE(""https://docs.google.com/spreadsheets/d/""&amp;$A608&amp;""/edit#gid=156619080"",S$3)"),"#REF!")</f>
        <v>#REF!</v>
      </c>
      <c r="T608" s="2" t="str">
        <f>IFERROR(__xludf.DUMMYFUNCTION("IMPORTRANGE(""https://docs.google.com/spreadsheets/d/""&amp;$A608&amp;""/edit#gid=156619080"",T$3)"),"#REF!")</f>
        <v>#REF!</v>
      </c>
      <c r="U608" s="2" t="str">
        <f>IFERROR(__xludf.DUMMYFUNCTION("IMPORTRANGE(""https://docs.google.com/spreadsheets/d/""&amp;$A608&amp;""/edit#gid=156619080"",U$3)"),"#REF!")</f>
        <v>#REF!</v>
      </c>
      <c r="V608" s="2" t="str">
        <f>IFERROR(__xludf.DUMMYFUNCTION("IMPORTRANGE(""https://docs.google.com/spreadsheets/d/""&amp;$A608&amp;""/edit#gid=156619080"",V$3)"),"#REF!")</f>
        <v>#REF!</v>
      </c>
      <c r="W608" s="2" t="str">
        <f>IFERROR(__xludf.DUMMYFUNCTION("IMPORTRANGE(""https://docs.google.com/spreadsheets/d/""&amp;$A608&amp;""/edit#gid=156619080"",W$3)"),"#REF!")</f>
        <v>#REF!</v>
      </c>
      <c r="X608" s="2" t="str">
        <f>IFERROR(__xludf.DUMMYFUNCTION("IMPORTRANGE(""https://docs.google.com/spreadsheets/d/""&amp;$A608&amp;""/edit#gid=156619080"",X$3)"),"#REF!")</f>
        <v>#REF!</v>
      </c>
      <c r="Y608" s="2" t="str">
        <f>IFERROR(__xludf.DUMMYFUNCTION("IMPORTRANGE(""https://docs.google.com/spreadsheets/d/""&amp;$A608&amp;""/edit#gid=156619080"",Y$3)"),"#REF!")</f>
        <v>#REF!</v>
      </c>
      <c r="Z608" s="2" t="str">
        <f>IFERROR(__xludf.DUMMYFUNCTION("IMPORTRANGE(""https://docs.google.com/spreadsheets/d/""&amp;$A608&amp;""/edit#gid=156619080"",Z$3)"),"#REF!")</f>
        <v>#REF!</v>
      </c>
      <c r="AA608" s="2" t="str">
        <f>IFERROR(__xludf.DUMMYFUNCTION("IMPORTRANGE(""https://docs.google.com/spreadsheets/d/""&amp;$A608&amp;""/edit#gid=156619080"",AA$3)"),"#REF!")</f>
        <v>#REF!</v>
      </c>
      <c r="AB608" s="2" t="str">
        <f>IFERROR(__xludf.DUMMYFUNCTION("IMPORTRANGE(""https://docs.google.com/spreadsheets/d/""&amp;$A608&amp;""/edit#gid=156619080"",AB$3)"),"#REF!")</f>
        <v>#REF!</v>
      </c>
      <c r="AC608" s="2" t="str">
        <f>IFERROR(__xludf.DUMMYFUNCTION("IMPORTRANGE(""https://docs.google.com/spreadsheets/d/""&amp;$A608&amp;""/edit#gid=156619080"",AC$3)"),"#REF!")</f>
        <v>#REF!</v>
      </c>
      <c r="AD608" s="2" t="str">
        <f>IFERROR(__xludf.DUMMYFUNCTION("IMPORTRANGE(""https://docs.google.com/spreadsheets/d/""&amp;$A608&amp;""/edit#gid=156619080"",AD$3)"),"#REF!")</f>
        <v>#REF!</v>
      </c>
      <c r="AE608" s="2" t="str">
        <f>IFERROR(__xludf.DUMMYFUNCTION("IMPORTRANGE(""https://docs.google.com/spreadsheets/d/""&amp;$A608&amp;""/edit#gid=156619080"",AE$3)"),"#REF!")</f>
        <v>#REF!</v>
      </c>
      <c r="AF608" s="2" t="str">
        <f>IFERROR(__xludf.DUMMYFUNCTION("IMPORTRANGE(""https://docs.google.com/spreadsheets/d/""&amp;$A608&amp;""/edit#gid=156619080"",AF$3)"),"#REF!")</f>
        <v>#REF!</v>
      </c>
      <c r="AG608" s="2" t="str">
        <f>IFERROR(__xludf.DUMMYFUNCTION("IMPORTRANGE(""https://docs.google.com/spreadsheets/d/""&amp;$A608&amp;""/edit#gid=156619080"",AG$3)"),"#REF!")</f>
        <v>#REF!</v>
      </c>
      <c r="AH608" s="2" t="str">
        <f>IFERROR(__xludf.DUMMYFUNCTION("IMPORTRANGE(""https://docs.google.com/spreadsheets/d/""&amp;$A608&amp;""/edit#gid=156619080"",AH$3)"),"#REF!")</f>
        <v>#REF!</v>
      </c>
      <c r="AI608" s="2" t="str">
        <f>IFERROR(__xludf.DUMMYFUNCTION("IMPORTRANGE(""https://docs.google.com/spreadsheets/d/""&amp;$A608&amp;""/edit#gid=156619080"",AI$3)"),"#REF!")</f>
        <v>#REF!</v>
      </c>
      <c r="AJ608" s="2" t="str">
        <f>IFERROR(__xludf.DUMMYFUNCTION("IMPORTRANGE(""https://docs.google.com/spreadsheets/d/""&amp;$A608&amp;""/edit#gid=156619080"",AJ$3)"),"#REF!")</f>
        <v>#REF!</v>
      </c>
      <c r="AK608" s="2" t="str">
        <f>IFERROR(__xludf.DUMMYFUNCTION("IMPORTRANGE(""https://docs.google.com/spreadsheets/d/""&amp;$A608&amp;""/edit#gid=156619080"",AK$3)"),"#REF!")</f>
        <v>#REF!</v>
      </c>
      <c r="AL608" s="2" t="str">
        <f>IFERROR(__xludf.DUMMYFUNCTION("IMPORTRANGE(""https://docs.google.com/spreadsheets/d/""&amp;$A608&amp;""/edit#gid=156619080"",AL$3)"),"#REF!")</f>
        <v>#REF!</v>
      </c>
      <c r="AM608" s="2" t="str">
        <f>IFERROR(__xludf.DUMMYFUNCTION("IMPORTRANGE(""https://docs.google.com/spreadsheets/d/""&amp;$A608&amp;""/edit#gid=156619080"",AM$3)"),"#REF!")</f>
        <v>#REF!</v>
      </c>
      <c r="AN608" s="2" t="str">
        <f>IFERROR(__xludf.DUMMYFUNCTION("IMPORTRANGE(""https://docs.google.com/spreadsheets/d/""&amp;$A608&amp;""/edit#gid=156619080"",AN$3)"),"#REF!")</f>
        <v>#REF!</v>
      </c>
      <c r="AO608" s="2" t="str">
        <f>IFERROR(__xludf.DUMMYFUNCTION("IMPORTRANGE(""https://docs.google.com/spreadsheets/d/""&amp;$A608&amp;""/edit#gid=156619080"",AO$3)"),"#REF!")</f>
        <v>#REF!</v>
      </c>
      <c r="AP608" s="2" t="str">
        <f>IFERROR(__xludf.DUMMYFUNCTION("IMPORTRANGE(""https://docs.google.com/spreadsheets/d/""&amp;$A608&amp;""/edit#gid=156619080"",AP$3)"),"#REF!")</f>
        <v>#REF!</v>
      </c>
      <c r="AQ608" s="2" t="str">
        <f>IFERROR(__xludf.DUMMYFUNCTION("IMPORTRANGE(""https://docs.google.com/spreadsheets/d/""&amp;$A608&amp;""/edit#gid=156619080"",AQ$3)"),"#REF!")</f>
        <v>#REF!</v>
      </c>
      <c r="AR608" s="2" t="str">
        <f>IFERROR(__xludf.DUMMYFUNCTION("IMPORTRANGE(""https://docs.google.com/spreadsheets/d/""&amp;$A608&amp;""/edit#gid=156619080"",AR$3)"),"#REF!")</f>
        <v>#REF!</v>
      </c>
      <c r="AS608" s="19" t="str">
        <f>IFERROR(__xludf.DUMMYFUNCTION("IMPORTRANGE(""https://docs.google.com/spreadsheets/d/""&amp;$A608&amp;""/edit#gid=156619080"",AS$3)"),"#REF!")</f>
        <v>#REF!</v>
      </c>
      <c r="AT608" s="2" t="str">
        <f>IFERROR(__xludf.DUMMYFUNCTION("IMPORTRANGE(""https://docs.google.com/spreadsheets/d/""&amp;$A608&amp;""/edit#gid=156619080"",AT$3)"),"#REF!")</f>
        <v>#REF!</v>
      </c>
      <c r="AU608" s="3" t="str">
        <f>IFERROR(__xludf.DUMMYFUNCTION("IMPORTRANGE(""https://docs.google.com/spreadsheets/d/""&amp;$A608&amp;""/edit#gid=156619080"",AU$3)"),"#REF!")</f>
        <v>#REF!</v>
      </c>
      <c r="AV608" s="2" t="str">
        <f>IFERROR(__xludf.DUMMYFUNCTION("IMPORTRANGE(""https://docs.google.com/spreadsheets/d/""&amp;$A608&amp;""/edit#gid=156619080"",AV$3)"),"#REF!")</f>
        <v>#REF!</v>
      </c>
      <c r="AW608" s="19" t="str">
        <f>IFERROR(__xludf.DUMMYFUNCTION("IMPORTRANGE(""https://docs.google.com/spreadsheets/d/""&amp;$A608&amp;""/edit#gid=156619080"",AW$3)"),"#REF!")</f>
        <v>#REF!</v>
      </c>
      <c r="AX608" s="2" t="str">
        <f>IFERROR(__xludf.DUMMYFUNCTION("IMPORTRANGE(""https://docs.google.com/spreadsheets/d/""&amp;$A608&amp;""/edit#gid=156619080"",AX$3)"),"#REF!")</f>
        <v>#REF!</v>
      </c>
      <c r="AY608" s="2" t="str">
        <f>IFERROR(__xludf.DUMMYFUNCTION("IMPORTRANGE(""https://docs.google.com/spreadsheets/d/""&amp;$A608&amp;""/edit#gid=156619080"",AY$3)"),"#REF!")</f>
        <v>#REF!</v>
      </c>
      <c r="AZ608" s="2" t="str">
        <f>IFERROR(__xludf.DUMMYFUNCTION("IMPORTRANGE(""https://docs.google.com/spreadsheets/d/""&amp;$A608&amp;""/edit#gid=156619080"",AZ$3)"),"#REF!")</f>
        <v>#REF!</v>
      </c>
      <c r="BA608" s="2" t="str">
        <f>IFERROR(__xludf.DUMMYFUNCTION("IMPORTRANGE(""https://docs.google.com/spreadsheets/d/""&amp;$A608&amp;""/edit#gid=156619080"",BA$3)"),"#REF!")</f>
        <v>#REF!</v>
      </c>
      <c r="BB608" s="2" t="str">
        <f>IFERROR(__xludf.DUMMYFUNCTION("IMPORTRANGE(""https://docs.google.com/spreadsheets/d/""&amp;$A608&amp;""/edit#gid=156619080"",BB$3)"),"#REF!")</f>
        <v>#REF!</v>
      </c>
      <c r="BC608" s="2" t="str">
        <f>IFERROR(__xludf.DUMMYFUNCTION("IMPORTRANGE(""https://docs.google.com/spreadsheets/d/""&amp;$A608&amp;""/edit#gid=156619080"",BC$3)"),"#REF!")</f>
        <v>#REF!</v>
      </c>
    </row>
    <row r="609" ht="51.0" customHeight="1">
      <c r="A609" s="7" t="str">
        <f t="shared" si="5"/>
        <v/>
      </c>
      <c r="C609" s="2" t="str">
        <f>IFERROR(__xludf.DUMMYFUNCTION("IMPORTRANGE(""https://docs.google.com/spreadsheets/d/""&amp;$A609&amp;""/edit#gid=156619080"",C$3)"),"#REF!")</f>
        <v>#REF!</v>
      </c>
      <c r="D609" s="2" t="str">
        <f>IFERROR(__xludf.DUMMYFUNCTION("IMPORTRANGE(""https://docs.google.com/spreadsheets/d/""&amp;$A609&amp;""/edit#gid=156619080"",D$3)"),"#REF!")</f>
        <v>#REF!</v>
      </c>
      <c r="E609" s="2" t="str">
        <f>IFERROR(__xludf.DUMMYFUNCTION("IMPORTRANGE(""https://docs.google.com/spreadsheets/d/""&amp;$A609&amp;""/edit#gid=156619080"",E$3)"),"#REF!")</f>
        <v>#REF!</v>
      </c>
      <c r="F609" s="2" t="str">
        <f>IFERROR(__xludf.DUMMYFUNCTION("IMPORTRANGE(""https://docs.google.com/spreadsheets/d/""&amp;$A609&amp;""/edit#gid=156619080"",F$3)"),"#REF!")</f>
        <v>#REF!</v>
      </c>
      <c r="G609" s="2" t="str">
        <f>IFERROR(__xludf.DUMMYFUNCTION("IMPORTRANGE(""https://docs.google.com/spreadsheets/d/""&amp;$A609&amp;""/edit#gid=156619080"",G$3)"),"#REF!")</f>
        <v>#REF!</v>
      </c>
      <c r="H609" s="2" t="str">
        <f>IFERROR(__xludf.DUMMYFUNCTION("IMPORTRANGE(""https://docs.google.com/spreadsheets/d/""&amp;$A609&amp;""/edit#gid=156619080"",H$3)"),"#REF!")</f>
        <v>#REF!</v>
      </c>
      <c r="I609" s="2" t="str">
        <f>IFERROR(__xludf.DUMMYFUNCTION("IMPORTRANGE(""https://docs.google.com/spreadsheets/d/""&amp;$A609&amp;""/edit#gid=156619080"",I$3)"),"#REF!")</f>
        <v>#REF!</v>
      </c>
      <c r="J609" s="2" t="str">
        <f>IFERROR(__xludf.DUMMYFUNCTION("IMPORTRANGE(""https://docs.google.com/spreadsheets/d/""&amp;$A609&amp;""/edit#gid=156619080"",J$3)"),"#REF!")</f>
        <v>#REF!</v>
      </c>
      <c r="K609" s="2" t="str">
        <f>IFERROR(__xludf.DUMMYFUNCTION("IMPORTRANGE(""https://docs.google.com/spreadsheets/d/""&amp;$A609&amp;""/edit#gid=156619080"",K$3)"),"#REF!")</f>
        <v>#REF!</v>
      </c>
      <c r="L609" s="2" t="str">
        <f>IFERROR(__xludf.DUMMYFUNCTION("IMPORTRANGE(""https://docs.google.com/spreadsheets/d/""&amp;$A609&amp;""/edit#gid=156619080"",L$3)"),"#REF!")</f>
        <v>#REF!</v>
      </c>
      <c r="M609" s="2" t="str">
        <f>IFERROR(__xludf.DUMMYFUNCTION("IMPORTRANGE(""https://docs.google.com/spreadsheets/d/""&amp;$A609&amp;""/edit#gid=156619080"",M$3)"),"#REF!")</f>
        <v>#REF!</v>
      </c>
      <c r="N609" s="2" t="str">
        <f>IFERROR(__xludf.DUMMYFUNCTION("IMPORTRANGE(""https://docs.google.com/spreadsheets/d/""&amp;$A609&amp;""/edit#gid=156619080"",N$3)"),"#REF!")</f>
        <v>#REF!</v>
      </c>
      <c r="O609" s="2" t="str">
        <f>IFERROR(__xludf.DUMMYFUNCTION("IMPORTRANGE(""https://docs.google.com/spreadsheets/d/""&amp;$A609&amp;""/edit#gid=156619080"",O$3)"),"#REF!")</f>
        <v>#REF!</v>
      </c>
      <c r="P609" s="2" t="str">
        <f>IFERROR(__xludf.DUMMYFUNCTION("IMPORTRANGE(""https://docs.google.com/spreadsheets/d/""&amp;$A609&amp;""/edit#gid=156619080"",P$3)"),"#REF!")</f>
        <v>#REF!</v>
      </c>
      <c r="Q609" s="2" t="str">
        <f>IFERROR(__xludf.DUMMYFUNCTION("IMPORTRANGE(""https://docs.google.com/spreadsheets/d/""&amp;$A609&amp;""/edit#gid=156619080"",Q$3)"),"#REF!")</f>
        <v>#REF!</v>
      </c>
      <c r="R609" s="2" t="str">
        <f>IFERROR(__xludf.DUMMYFUNCTION("IMPORTRANGE(""https://docs.google.com/spreadsheets/d/""&amp;$A609&amp;""/edit#gid=156619080"",R$3)"),"#REF!")</f>
        <v>#REF!</v>
      </c>
      <c r="S609" s="2" t="str">
        <f>IFERROR(__xludf.DUMMYFUNCTION("IMPORTRANGE(""https://docs.google.com/spreadsheets/d/""&amp;$A609&amp;""/edit#gid=156619080"",S$3)"),"#REF!")</f>
        <v>#REF!</v>
      </c>
      <c r="T609" s="2" t="str">
        <f>IFERROR(__xludf.DUMMYFUNCTION("IMPORTRANGE(""https://docs.google.com/spreadsheets/d/""&amp;$A609&amp;""/edit#gid=156619080"",T$3)"),"#REF!")</f>
        <v>#REF!</v>
      </c>
      <c r="U609" s="2" t="str">
        <f>IFERROR(__xludf.DUMMYFUNCTION("IMPORTRANGE(""https://docs.google.com/spreadsheets/d/""&amp;$A609&amp;""/edit#gid=156619080"",U$3)"),"#REF!")</f>
        <v>#REF!</v>
      </c>
      <c r="V609" s="2" t="str">
        <f>IFERROR(__xludf.DUMMYFUNCTION("IMPORTRANGE(""https://docs.google.com/spreadsheets/d/""&amp;$A609&amp;""/edit#gid=156619080"",V$3)"),"#REF!")</f>
        <v>#REF!</v>
      </c>
      <c r="W609" s="2" t="str">
        <f>IFERROR(__xludf.DUMMYFUNCTION("IMPORTRANGE(""https://docs.google.com/spreadsheets/d/""&amp;$A609&amp;""/edit#gid=156619080"",W$3)"),"#REF!")</f>
        <v>#REF!</v>
      </c>
      <c r="X609" s="2" t="str">
        <f>IFERROR(__xludf.DUMMYFUNCTION("IMPORTRANGE(""https://docs.google.com/spreadsheets/d/""&amp;$A609&amp;""/edit#gid=156619080"",X$3)"),"#REF!")</f>
        <v>#REF!</v>
      </c>
      <c r="Y609" s="2" t="str">
        <f>IFERROR(__xludf.DUMMYFUNCTION("IMPORTRANGE(""https://docs.google.com/spreadsheets/d/""&amp;$A609&amp;""/edit#gid=156619080"",Y$3)"),"#REF!")</f>
        <v>#REF!</v>
      </c>
      <c r="Z609" s="2" t="str">
        <f>IFERROR(__xludf.DUMMYFUNCTION("IMPORTRANGE(""https://docs.google.com/spreadsheets/d/""&amp;$A609&amp;""/edit#gid=156619080"",Z$3)"),"#REF!")</f>
        <v>#REF!</v>
      </c>
      <c r="AA609" s="2" t="str">
        <f>IFERROR(__xludf.DUMMYFUNCTION("IMPORTRANGE(""https://docs.google.com/spreadsheets/d/""&amp;$A609&amp;""/edit#gid=156619080"",AA$3)"),"#REF!")</f>
        <v>#REF!</v>
      </c>
      <c r="AB609" s="2" t="str">
        <f>IFERROR(__xludf.DUMMYFUNCTION("IMPORTRANGE(""https://docs.google.com/spreadsheets/d/""&amp;$A609&amp;""/edit#gid=156619080"",AB$3)"),"#REF!")</f>
        <v>#REF!</v>
      </c>
      <c r="AC609" s="2" t="str">
        <f>IFERROR(__xludf.DUMMYFUNCTION("IMPORTRANGE(""https://docs.google.com/spreadsheets/d/""&amp;$A609&amp;""/edit#gid=156619080"",AC$3)"),"#REF!")</f>
        <v>#REF!</v>
      </c>
      <c r="AD609" s="2" t="str">
        <f>IFERROR(__xludf.DUMMYFUNCTION("IMPORTRANGE(""https://docs.google.com/spreadsheets/d/""&amp;$A609&amp;""/edit#gid=156619080"",AD$3)"),"#REF!")</f>
        <v>#REF!</v>
      </c>
      <c r="AE609" s="2" t="str">
        <f>IFERROR(__xludf.DUMMYFUNCTION("IMPORTRANGE(""https://docs.google.com/spreadsheets/d/""&amp;$A609&amp;""/edit#gid=156619080"",AE$3)"),"#REF!")</f>
        <v>#REF!</v>
      </c>
      <c r="AF609" s="2" t="str">
        <f>IFERROR(__xludf.DUMMYFUNCTION("IMPORTRANGE(""https://docs.google.com/spreadsheets/d/""&amp;$A609&amp;""/edit#gid=156619080"",AF$3)"),"#REF!")</f>
        <v>#REF!</v>
      </c>
      <c r="AG609" s="2" t="str">
        <f>IFERROR(__xludf.DUMMYFUNCTION("IMPORTRANGE(""https://docs.google.com/spreadsheets/d/""&amp;$A609&amp;""/edit#gid=156619080"",AG$3)"),"#REF!")</f>
        <v>#REF!</v>
      </c>
      <c r="AH609" s="2" t="str">
        <f>IFERROR(__xludf.DUMMYFUNCTION("IMPORTRANGE(""https://docs.google.com/spreadsheets/d/""&amp;$A609&amp;""/edit#gid=156619080"",AH$3)"),"#REF!")</f>
        <v>#REF!</v>
      </c>
      <c r="AI609" s="2" t="str">
        <f>IFERROR(__xludf.DUMMYFUNCTION("IMPORTRANGE(""https://docs.google.com/spreadsheets/d/""&amp;$A609&amp;""/edit#gid=156619080"",AI$3)"),"#REF!")</f>
        <v>#REF!</v>
      </c>
      <c r="AJ609" s="2" t="str">
        <f>IFERROR(__xludf.DUMMYFUNCTION("IMPORTRANGE(""https://docs.google.com/spreadsheets/d/""&amp;$A609&amp;""/edit#gid=156619080"",AJ$3)"),"#REF!")</f>
        <v>#REF!</v>
      </c>
      <c r="AK609" s="2" t="str">
        <f>IFERROR(__xludf.DUMMYFUNCTION("IMPORTRANGE(""https://docs.google.com/spreadsheets/d/""&amp;$A609&amp;""/edit#gid=156619080"",AK$3)"),"#REF!")</f>
        <v>#REF!</v>
      </c>
      <c r="AL609" s="2" t="str">
        <f>IFERROR(__xludf.DUMMYFUNCTION("IMPORTRANGE(""https://docs.google.com/spreadsheets/d/""&amp;$A609&amp;""/edit#gid=156619080"",AL$3)"),"#REF!")</f>
        <v>#REF!</v>
      </c>
      <c r="AM609" s="2" t="str">
        <f>IFERROR(__xludf.DUMMYFUNCTION("IMPORTRANGE(""https://docs.google.com/spreadsheets/d/""&amp;$A609&amp;""/edit#gid=156619080"",AM$3)"),"#REF!")</f>
        <v>#REF!</v>
      </c>
      <c r="AN609" s="2" t="str">
        <f>IFERROR(__xludf.DUMMYFUNCTION("IMPORTRANGE(""https://docs.google.com/spreadsheets/d/""&amp;$A609&amp;""/edit#gid=156619080"",AN$3)"),"#REF!")</f>
        <v>#REF!</v>
      </c>
      <c r="AO609" s="2" t="str">
        <f>IFERROR(__xludf.DUMMYFUNCTION("IMPORTRANGE(""https://docs.google.com/spreadsheets/d/""&amp;$A609&amp;""/edit#gid=156619080"",AO$3)"),"#REF!")</f>
        <v>#REF!</v>
      </c>
      <c r="AP609" s="2" t="str">
        <f>IFERROR(__xludf.DUMMYFUNCTION("IMPORTRANGE(""https://docs.google.com/spreadsheets/d/""&amp;$A609&amp;""/edit#gid=156619080"",AP$3)"),"#REF!")</f>
        <v>#REF!</v>
      </c>
      <c r="AQ609" s="2" t="str">
        <f>IFERROR(__xludf.DUMMYFUNCTION("IMPORTRANGE(""https://docs.google.com/spreadsheets/d/""&amp;$A609&amp;""/edit#gid=156619080"",AQ$3)"),"#REF!")</f>
        <v>#REF!</v>
      </c>
      <c r="AR609" s="2" t="str">
        <f>IFERROR(__xludf.DUMMYFUNCTION("IMPORTRANGE(""https://docs.google.com/spreadsheets/d/""&amp;$A609&amp;""/edit#gid=156619080"",AR$3)"),"#REF!")</f>
        <v>#REF!</v>
      </c>
      <c r="AS609" s="19" t="str">
        <f>IFERROR(__xludf.DUMMYFUNCTION("IMPORTRANGE(""https://docs.google.com/spreadsheets/d/""&amp;$A609&amp;""/edit#gid=156619080"",AS$3)"),"#REF!")</f>
        <v>#REF!</v>
      </c>
      <c r="AT609" s="2" t="str">
        <f>IFERROR(__xludf.DUMMYFUNCTION("IMPORTRANGE(""https://docs.google.com/spreadsheets/d/""&amp;$A609&amp;""/edit#gid=156619080"",AT$3)"),"#REF!")</f>
        <v>#REF!</v>
      </c>
      <c r="AU609" s="3" t="str">
        <f>IFERROR(__xludf.DUMMYFUNCTION("IMPORTRANGE(""https://docs.google.com/spreadsheets/d/""&amp;$A609&amp;""/edit#gid=156619080"",AU$3)"),"#REF!")</f>
        <v>#REF!</v>
      </c>
      <c r="AV609" s="2" t="str">
        <f>IFERROR(__xludf.DUMMYFUNCTION("IMPORTRANGE(""https://docs.google.com/spreadsheets/d/""&amp;$A609&amp;""/edit#gid=156619080"",AV$3)"),"#REF!")</f>
        <v>#REF!</v>
      </c>
      <c r="AW609" s="19" t="str">
        <f>IFERROR(__xludf.DUMMYFUNCTION("IMPORTRANGE(""https://docs.google.com/spreadsheets/d/""&amp;$A609&amp;""/edit#gid=156619080"",AW$3)"),"#REF!")</f>
        <v>#REF!</v>
      </c>
      <c r="AX609" s="2" t="str">
        <f>IFERROR(__xludf.DUMMYFUNCTION("IMPORTRANGE(""https://docs.google.com/spreadsheets/d/""&amp;$A609&amp;""/edit#gid=156619080"",AX$3)"),"#REF!")</f>
        <v>#REF!</v>
      </c>
      <c r="AY609" s="2" t="str">
        <f>IFERROR(__xludf.DUMMYFUNCTION("IMPORTRANGE(""https://docs.google.com/spreadsheets/d/""&amp;$A609&amp;""/edit#gid=156619080"",AY$3)"),"#REF!")</f>
        <v>#REF!</v>
      </c>
      <c r="AZ609" s="2" t="str">
        <f>IFERROR(__xludf.DUMMYFUNCTION("IMPORTRANGE(""https://docs.google.com/spreadsheets/d/""&amp;$A609&amp;""/edit#gid=156619080"",AZ$3)"),"#REF!")</f>
        <v>#REF!</v>
      </c>
      <c r="BA609" s="2" t="str">
        <f>IFERROR(__xludf.DUMMYFUNCTION("IMPORTRANGE(""https://docs.google.com/spreadsheets/d/""&amp;$A609&amp;""/edit#gid=156619080"",BA$3)"),"#REF!")</f>
        <v>#REF!</v>
      </c>
      <c r="BB609" s="2" t="str">
        <f>IFERROR(__xludf.DUMMYFUNCTION("IMPORTRANGE(""https://docs.google.com/spreadsheets/d/""&amp;$A609&amp;""/edit#gid=156619080"",BB$3)"),"#REF!")</f>
        <v>#REF!</v>
      </c>
      <c r="BC609" s="2" t="str">
        <f>IFERROR(__xludf.DUMMYFUNCTION("IMPORTRANGE(""https://docs.google.com/spreadsheets/d/""&amp;$A609&amp;""/edit#gid=156619080"",BC$3)"),"#REF!")</f>
        <v>#REF!</v>
      </c>
    </row>
    <row r="610" ht="51.0" customHeight="1">
      <c r="A610" s="7" t="str">
        <f t="shared" si="5"/>
        <v/>
      </c>
      <c r="C610" s="2" t="str">
        <f>IFERROR(__xludf.DUMMYFUNCTION("IMPORTRANGE(""https://docs.google.com/spreadsheets/d/""&amp;$A610&amp;""/edit#gid=156619080"",C$3)"),"#REF!")</f>
        <v>#REF!</v>
      </c>
      <c r="D610" s="2" t="str">
        <f>IFERROR(__xludf.DUMMYFUNCTION("IMPORTRANGE(""https://docs.google.com/spreadsheets/d/""&amp;$A610&amp;""/edit#gid=156619080"",D$3)"),"#REF!")</f>
        <v>#REF!</v>
      </c>
      <c r="E610" s="2" t="str">
        <f>IFERROR(__xludf.DUMMYFUNCTION("IMPORTRANGE(""https://docs.google.com/spreadsheets/d/""&amp;$A610&amp;""/edit#gid=156619080"",E$3)"),"#REF!")</f>
        <v>#REF!</v>
      </c>
      <c r="F610" s="2" t="str">
        <f>IFERROR(__xludf.DUMMYFUNCTION("IMPORTRANGE(""https://docs.google.com/spreadsheets/d/""&amp;$A610&amp;""/edit#gid=156619080"",F$3)"),"#REF!")</f>
        <v>#REF!</v>
      </c>
      <c r="G610" s="2" t="str">
        <f>IFERROR(__xludf.DUMMYFUNCTION("IMPORTRANGE(""https://docs.google.com/spreadsheets/d/""&amp;$A610&amp;""/edit#gid=156619080"",G$3)"),"#REF!")</f>
        <v>#REF!</v>
      </c>
      <c r="H610" s="2" t="str">
        <f>IFERROR(__xludf.DUMMYFUNCTION("IMPORTRANGE(""https://docs.google.com/spreadsheets/d/""&amp;$A610&amp;""/edit#gid=156619080"",H$3)"),"#REF!")</f>
        <v>#REF!</v>
      </c>
      <c r="I610" s="2" t="str">
        <f>IFERROR(__xludf.DUMMYFUNCTION("IMPORTRANGE(""https://docs.google.com/spreadsheets/d/""&amp;$A610&amp;""/edit#gid=156619080"",I$3)"),"#REF!")</f>
        <v>#REF!</v>
      </c>
      <c r="J610" s="2" t="str">
        <f>IFERROR(__xludf.DUMMYFUNCTION("IMPORTRANGE(""https://docs.google.com/spreadsheets/d/""&amp;$A610&amp;""/edit#gid=156619080"",J$3)"),"#REF!")</f>
        <v>#REF!</v>
      </c>
      <c r="K610" s="2" t="str">
        <f>IFERROR(__xludf.DUMMYFUNCTION("IMPORTRANGE(""https://docs.google.com/spreadsheets/d/""&amp;$A610&amp;""/edit#gid=156619080"",K$3)"),"#REF!")</f>
        <v>#REF!</v>
      </c>
      <c r="L610" s="2" t="str">
        <f>IFERROR(__xludf.DUMMYFUNCTION("IMPORTRANGE(""https://docs.google.com/spreadsheets/d/""&amp;$A610&amp;""/edit#gid=156619080"",L$3)"),"#REF!")</f>
        <v>#REF!</v>
      </c>
      <c r="M610" s="2" t="str">
        <f>IFERROR(__xludf.DUMMYFUNCTION("IMPORTRANGE(""https://docs.google.com/spreadsheets/d/""&amp;$A610&amp;""/edit#gid=156619080"",M$3)"),"#REF!")</f>
        <v>#REF!</v>
      </c>
      <c r="N610" s="2" t="str">
        <f>IFERROR(__xludf.DUMMYFUNCTION("IMPORTRANGE(""https://docs.google.com/spreadsheets/d/""&amp;$A610&amp;""/edit#gid=156619080"",N$3)"),"#REF!")</f>
        <v>#REF!</v>
      </c>
      <c r="O610" s="2" t="str">
        <f>IFERROR(__xludf.DUMMYFUNCTION("IMPORTRANGE(""https://docs.google.com/spreadsheets/d/""&amp;$A610&amp;""/edit#gid=156619080"",O$3)"),"#REF!")</f>
        <v>#REF!</v>
      </c>
      <c r="P610" s="2" t="str">
        <f>IFERROR(__xludf.DUMMYFUNCTION("IMPORTRANGE(""https://docs.google.com/spreadsheets/d/""&amp;$A610&amp;""/edit#gid=156619080"",P$3)"),"#REF!")</f>
        <v>#REF!</v>
      </c>
      <c r="Q610" s="2" t="str">
        <f>IFERROR(__xludf.DUMMYFUNCTION("IMPORTRANGE(""https://docs.google.com/spreadsheets/d/""&amp;$A610&amp;""/edit#gid=156619080"",Q$3)"),"#REF!")</f>
        <v>#REF!</v>
      </c>
      <c r="R610" s="2" t="str">
        <f>IFERROR(__xludf.DUMMYFUNCTION("IMPORTRANGE(""https://docs.google.com/spreadsheets/d/""&amp;$A610&amp;""/edit#gid=156619080"",R$3)"),"#REF!")</f>
        <v>#REF!</v>
      </c>
      <c r="S610" s="2" t="str">
        <f>IFERROR(__xludf.DUMMYFUNCTION("IMPORTRANGE(""https://docs.google.com/spreadsheets/d/""&amp;$A610&amp;""/edit#gid=156619080"",S$3)"),"#REF!")</f>
        <v>#REF!</v>
      </c>
      <c r="T610" s="2" t="str">
        <f>IFERROR(__xludf.DUMMYFUNCTION("IMPORTRANGE(""https://docs.google.com/spreadsheets/d/""&amp;$A610&amp;""/edit#gid=156619080"",T$3)"),"#REF!")</f>
        <v>#REF!</v>
      </c>
      <c r="U610" s="2" t="str">
        <f>IFERROR(__xludf.DUMMYFUNCTION("IMPORTRANGE(""https://docs.google.com/spreadsheets/d/""&amp;$A610&amp;""/edit#gid=156619080"",U$3)"),"#REF!")</f>
        <v>#REF!</v>
      </c>
      <c r="V610" s="2" t="str">
        <f>IFERROR(__xludf.DUMMYFUNCTION("IMPORTRANGE(""https://docs.google.com/spreadsheets/d/""&amp;$A610&amp;""/edit#gid=156619080"",V$3)"),"#REF!")</f>
        <v>#REF!</v>
      </c>
      <c r="W610" s="2" t="str">
        <f>IFERROR(__xludf.DUMMYFUNCTION("IMPORTRANGE(""https://docs.google.com/spreadsheets/d/""&amp;$A610&amp;""/edit#gid=156619080"",W$3)"),"#REF!")</f>
        <v>#REF!</v>
      </c>
      <c r="X610" s="2" t="str">
        <f>IFERROR(__xludf.DUMMYFUNCTION("IMPORTRANGE(""https://docs.google.com/spreadsheets/d/""&amp;$A610&amp;""/edit#gid=156619080"",X$3)"),"#REF!")</f>
        <v>#REF!</v>
      </c>
      <c r="Y610" s="2" t="str">
        <f>IFERROR(__xludf.DUMMYFUNCTION("IMPORTRANGE(""https://docs.google.com/spreadsheets/d/""&amp;$A610&amp;""/edit#gid=156619080"",Y$3)"),"#REF!")</f>
        <v>#REF!</v>
      </c>
      <c r="Z610" s="2" t="str">
        <f>IFERROR(__xludf.DUMMYFUNCTION("IMPORTRANGE(""https://docs.google.com/spreadsheets/d/""&amp;$A610&amp;""/edit#gid=156619080"",Z$3)"),"#REF!")</f>
        <v>#REF!</v>
      </c>
      <c r="AA610" s="2" t="str">
        <f>IFERROR(__xludf.DUMMYFUNCTION("IMPORTRANGE(""https://docs.google.com/spreadsheets/d/""&amp;$A610&amp;""/edit#gid=156619080"",AA$3)"),"#REF!")</f>
        <v>#REF!</v>
      </c>
      <c r="AB610" s="2" t="str">
        <f>IFERROR(__xludf.DUMMYFUNCTION("IMPORTRANGE(""https://docs.google.com/spreadsheets/d/""&amp;$A610&amp;""/edit#gid=156619080"",AB$3)"),"#REF!")</f>
        <v>#REF!</v>
      </c>
      <c r="AC610" s="2" t="str">
        <f>IFERROR(__xludf.DUMMYFUNCTION("IMPORTRANGE(""https://docs.google.com/spreadsheets/d/""&amp;$A610&amp;""/edit#gid=156619080"",AC$3)"),"#REF!")</f>
        <v>#REF!</v>
      </c>
      <c r="AD610" s="2" t="str">
        <f>IFERROR(__xludf.DUMMYFUNCTION("IMPORTRANGE(""https://docs.google.com/spreadsheets/d/""&amp;$A610&amp;""/edit#gid=156619080"",AD$3)"),"#REF!")</f>
        <v>#REF!</v>
      </c>
      <c r="AE610" s="2" t="str">
        <f>IFERROR(__xludf.DUMMYFUNCTION("IMPORTRANGE(""https://docs.google.com/spreadsheets/d/""&amp;$A610&amp;""/edit#gid=156619080"",AE$3)"),"#REF!")</f>
        <v>#REF!</v>
      </c>
      <c r="AF610" s="2" t="str">
        <f>IFERROR(__xludf.DUMMYFUNCTION("IMPORTRANGE(""https://docs.google.com/spreadsheets/d/""&amp;$A610&amp;""/edit#gid=156619080"",AF$3)"),"#REF!")</f>
        <v>#REF!</v>
      </c>
      <c r="AG610" s="2" t="str">
        <f>IFERROR(__xludf.DUMMYFUNCTION("IMPORTRANGE(""https://docs.google.com/spreadsheets/d/""&amp;$A610&amp;""/edit#gid=156619080"",AG$3)"),"#REF!")</f>
        <v>#REF!</v>
      </c>
      <c r="AH610" s="2" t="str">
        <f>IFERROR(__xludf.DUMMYFUNCTION("IMPORTRANGE(""https://docs.google.com/spreadsheets/d/""&amp;$A610&amp;""/edit#gid=156619080"",AH$3)"),"#REF!")</f>
        <v>#REF!</v>
      </c>
      <c r="AI610" s="2" t="str">
        <f>IFERROR(__xludf.DUMMYFUNCTION("IMPORTRANGE(""https://docs.google.com/spreadsheets/d/""&amp;$A610&amp;""/edit#gid=156619080"",AI$3)"),"#REF!")</f>
        <v>#REF!</v>
      </c>
      <c r="AJ610" s="2" t="str">
        <f>IFERROR(__xludf.DUMMYFUNCTION("IMPORTRANGE(""https://docs.google.com/spreadsheets/d/""&amp;$A610&amp;""/edit#gid=156619080"",AJ$3)"),"#REF!")</f>
        <v>#REF!</v>
      </c>
      <c r="AK610" s="2" t="str">
        <f>IFERROR(__xludf.DUMMYFUNCTION("IMPORTRANGE(""https://docs.google.com/spreadsheets/d/""&amp;$A610&amp;""/edit#gid=156619080"",AK$3)"),"#REF!")</f>
        <v>#REF!</v>
      </c>
      <c r="AL610" s="2" t="str">
        <f>IFERROR(__xludf.DUMMYFUNCTION("IMPORTRANGE(""https://docs.google.com/spreadsheets/d/""&amp;$A610&amp;""/edit#gid=156619080"",AL$3)"),"#REF!")</f>
        <v>#REF!</v>
      </c>
      <c r="AM610" s="2" t="str">
        <f>IFERROR(__xludf.DUMMYFUNCTION("IMPORTRANGE(""https://docs.google.com/spreadsheets/d/""&amp;$A610&amp;""/edit#gid=156619080"",AM$3)"),"#REF!")</f>
        <v>#REF!</v>
      </c>
      <c r="AN610" s="2" t="str">
        <f>IFERROR(__xludf.DUMMYFUNCTION("IMPORTRANGE(""https://docs.google.com/spreadsheets/d/""&amp;$A610&amp;""/edit#gid=156619080"",AN$3)"),"#REF!")</f>
        <v>#REF!</v>
      </c>
      <c r="AO610" s="2" t="str">
        <f>IFERROR(__xludf.DUMMYFUNCTION("IMPORTRANGE(""https://docs.google.com/spreadsheets/d/""&amp;$A610&amp;""/edit#gid=156619080"",AO$3)"),"#REF!")</f>
        <v>#REF!</v>
      </c>
      <c r="AP610" s="2" t="str">
        <f>IFERROR(__xludf.DUMMYFUNCTION("IMPORTRANGE(""https://docs.google.com/spreadsheets/d/""&amp;$A610&amp;""/edit#gid=156619080"",AP$3)"),"#REF!")</f>
        <v>#REF!</v>
      </c>
      <c r="AQ610" s="2" t="str">
        <f>IFERROR(__xludf.DUMMYFUNCTION("IMPORTRANGE(""https://docs.google.com/spreadsheets/d/""&amp;$A610&amp;""/edit#gid=156619080"",AQ$3)"),"#REF!")</f>
        <v>#REF!</v>
      </c>
      <c r="AR610" s="2" t="str">
        <f>IFERROR(__xludf.DUMMYFUNCTION("IMPORTRANGE(""https://docs.google.com/spreadsheets/d/""&amp;$A610&amp;""/edit#gid=156619080"",AR$3)"),"#REF!")</f>
        <v>#REF!</v>
      </c>
      <c r="AS610" s="19" t="str">
        <f>IFERROR(__xludf.DUMMYFUNCTION("IMPORTRANGE(""https://docs.google.com/spreadsheets/d/""&amp;$A610&amp;""/edit#gid=156619080"",AS$3)"),"#REF!")</f>
        <v>#REF!</v>
      </c>
      <c r="AT610" s="2" t="str">
        <f>IFERROR(__xludf.DUMMYFUNCTION("IMPORTRANGE(""https://docs.google.com/spreadsheets/d/""&amp;$A610&amp;""/edit#gid=156619080"",AT$3)"),"#REF!")</f>
        <v>#REF!</v>
      </c>
      <c r="AU610" s="3" t="str">
        <f>IFERROR(__xludf.DUMMYFUNCTION("IMPORTRANGE(""https://docs.google.com/spreadsheets/d/""&amp;$A610&amp;""/edit#gid=156619080"",AU$3)"),"#REF!")</f>
        <v>#REF!</v>
      </c>
      <c r="AV610" s="2" t="str">
        <f>IFERROR(__xludf.DUMMYFUNCTION("IMPORTRANGE(""https://docs.google.com/spreadsheets/d/""&amp;$A610&amp;""/edit#gid=156619080"",AV$3)"),"#REF!")</f>
        <v>#REF!</v>
      </c>
      <c r="AW610" s="19" t="str">
        <f>IFERROR(__xludf.DUMMYFUNCTION("IMPORTRANGE(""https://docs.google.com/spreadsheets/d/""&amp;$A610&amp;""/edit#gid=156619080"",AW$3)"),"#REF!")</f>
        <v>#REF!</v>
      </c>
      <c r="AX610" s="2" t="str">
        <f>IFERROR(__xludf.DUMMYFUNCTION("IMPORTRANGE(""https://docs.google.com/spreadsheets/d/""&amp;$A610&amp;""/edit#gid=156619080"",AX$3)"),"#REF!")</f>
        <v>#REF!</v>
      </c>
      <c r="AY610" s="2" t="str">
        <f>IFERROR(__xludf.DUMMYFUNCTION("IMPORTRANGE(""https://docs.google.com/spreadsheets/d/""&amp;$A610&amp;""/edit#gid=156619080"",AY$3)"),"#REF!")</f>
        <v>#REF!</v>
      </c>
      <c r="AZ610" s="2" t="str">
        <f>IFERROR(__xludf.DUMMYFUNCTION("IMPORTRANGE(""https://docs.google.com/spreadsheets/d/""&amp;$A610&amp;""/edit#gid=156619080"",AZ$3)"),"#REF!")</f>
        <v>#REF!</v>
      </c>
      <c r="BA610" s="2" t="str">
        <f>IFERROR(__xludf.DUMMYFUNCTION("IMPORTRANGE(""https://docs.google.com/spreadsheets/d/""&amp;$A610&amp;""/edit#gid=156619080"",BA$3)"),"#REF!")</f>
        <v>#REF!</v>
      </c>
      <c r="BB610" s="2" t="str">
        <f>IFERROR(__xludf.DUMMYFUNCTION("IMPORTRANGE(""https://docs.google.com/spreadsheets/d/""&amp;$A610&amp;""/edit#gid=156619080"",BB$3)"),"#REF!")</f>
        <v>#REF!</v>
      </c>
      <c r="BC610" s="2" t="str">
        <f>IFERROR(__xludf.DUMMYFUNCTION("IMPORTRANGE(""https://docs.google.com/spreadsheets/d/""&amp;$A610&amp;""/edit#gid=156619080"",BC$3)"),"#REF!")</f>
        <v>#REF!</v>
      </c>
    </row>
    <row r="611" ht="51.0" customHeight="1">
      <c r="A611" s="7" t="str">
        <f t="shared" si="5"/>
        <v/>
      </c>
      <c r="C611" s="2" t="str">
        <f>IFERROR(__xludf.DUMMYFUNCTION("IMPORTRANGE(""https://docs.google.com/spreadsheets/d/""&amp;$A611&amp;""/edit#gid=156619080"",C$3)"),"#REF!")</f>
        <v>#REF!</v>
      </c>
      <c r="D611" s="2" t="str">
        <f>IFERROR(__xludf.DUMMYFUNCTION("IMPORTRANGE(""https://docs.google.com/spreadsheets/d/""&amp;$A611&amp;""/edit#gid=156619080"",D$3)"),"#REF!")</f>
        <v>#REF!</v>
      </c>
      <c r="E611" s="2" t="str">
        <f>IFERROR(__xludf.DUMMYFUNCTION("IMPORTRANGE(""https://docs.google.com/spreadsheets/d/""&amp;$A611&amp;""/edit#gid=156619080"",E$3)"),"#REF!")</f>
        <v>#REF!</v>
      </c>
      <c r="F611" s="2" t="str">
        <f>IFERROR(__xludf.DUMMYFUNCTION("IMPORTRANGE(""https://docs.google.com/spreadsheets/d/""&amp;$A611&amp;""/edit#gid=156619080"",F$3)"),"#REF!")</f>
        <v>#REF!</v>
      </c>
      <c r="G611" s="2" t="str">
        <f>IFERROR(__xludf.DUMMYFUNCTION("IMPORTRANGE(""https://docs.google.com/spreadsheets/d/""&amp;$A611&amp;""/edit#gid=156619080"",G$3)"),"#REF!")</f>
        <v>#REF!</v>
      </c>
      <c r="H611" s="2" t="str">
        <f>IFERROR(__xludf.DUMMYFUNCTION("IMPORTRANGE(""https://docs.google.com/spreadsheets/d/""&amp;$A611&amp;""/edit#gid=156619080"",H$3)"),"#REF!")</f>
        <v>#REF!</v>
      </c>
      <c r="I611" s="2" t="str">
        <f>IFERROR(__xludf.DUMMYFUNCTION("IMPORTRANGE(""https://docs.google.com/spreadsheets/d/""&amp;$A611&amp;""/edit#gid=156619080"",I$3)"),"#REF!")</f>
        <v>#REF!</v>
      </c>
      <c r="J611" s="2" t="str">
        <f>IFERROR(__xludf.DUMMYFUNCTION("IMPORTRANGE(""https://docs.google.com/spreadsheets/d/""&amp;$A611&amp;""/edit#gid=156619080"",J$3)"),"#REF!")</f>
        <v>#REF!</v>
      </c>
      <c r="K611" s="2" t="str">
        <f>IFERROR(__xludf.DUMMYFUNCTION("IMPORTRANGE(""https://docs.google.com/spreadsheets/d/""&amp;$A611&amp;""/edit#gid=156619080"",K$3)"),"#REF!")</f>
        <v>#REF!</v>
      </c>
      <c r="L611" s="2" t="str">
        <f>IFERROR(__xludf.DUMMYFUNCTION("IMPORTRANGE(""https://docs.google.com/spreadsheets/d/""&amp;$A611&amp;""/edit#gid=156619080"",L$3)"),"#REF!")</f>
        <v>#REF!</v>
      </c>
      <c r="M611" s="2" t="str">
        <f>IFERROR(__xludf.DUMMYFUNCTION("IMPORTRANGE(""https://docs.google.com/spreadsheets/d/""&amp;$A611&amp;""/edit#gid=156619080"",M$3)"),"#REF!")</f>
        <v>#REF!</v>
      </c>
      <c r="N611" s="2" t="str">
        <f>IFERROR(__xludf.DUMMYFUNCTION("IMPORTRANGE(""https://docs.google.com/spreadsheets/d/""&amp;$A611&amp;""/edit#gid=156619080"",N$3)"),"#REF!")</f>
        <v>#REF!</v>
      </c>
      <c r="O611" s="2" t="str">
        <f>IFERROR(__xludf.DUMMYFUNCTION("IMPORTRANGE(""https://docs.google.com/spreadsheets/d/""&amp;$A611&amp;""/edit#gid=156619080"",O$3)"),"#REF!")</f>
        <v>#REF!</v>
      </c>
      <c r="P611" s="2" t="str">
        <f>IFERROR(__xludf.DUMMYFUNCTION("IMPORTRANGE(""https://docs.google.com/spreadsheets/d/""&amp;$A611&amp;""/edit#gid=156619080"",P$3)"),"#REF!")</f>
        <v>#REF!</v>
      </c>
      <c r="Q611" s="2" t="str">
        <f>IFERROR(__xludf.DUMMYFUNCTION("IMPORTRANGE(""https://docs.google.com/spreadsheets/d/""&amp;$A611&amp;""/edit#gid=156619080"",Q$3)"),"#REF!")</f>
        <v>#REF!</v>
      </c>
      <c r="R611" s="2" t="str">
        <f>IFERROR(__xludf.DUMMYFUNCTION("IMPORTRANGE(""https://docs.google.com/spreadsheets/d/""&amp;$A611&amp;""/edit#gid=156619080"",R$3)"),"#REF!")</f>
        <v>#REF!</v>
      </c>
      <c r="S611" s="2" t="str">
        <f>IFERROR(__xludf.DUMMYFUNCTION("IMPORTRANGE(""https://docs.google.com/spreadsheets/d/""&amp;$A611&amp;""/edit#gid=156619080"",S$3)"),"#REF!")</f>
        <v>#REF!</v>
      </c>
      <c r="T611" s="2" t="str">
        <f>IFERROR(__xludf.DUMMYFUNCTION("IMPORTRANGE(""https://docs.google.com/spreadsheets/d/""&amp;$A611&amp;""/edit#gid=156619080"",T$3)"),"#REF!")</f>
        <v>#REF!</v>
      </c>
      <c r="U611" s="2" t="str">
        <f>IFERROR(__xludf.DUMMYFUNCTION("IMPORTRANGE(""https://docs.google.com/spreadsheets/d/""&amp;$A611&amp;""/edit#gid=156619080"",U$3)"),"#REF!")</f>
        <v>#REF!</v>
      </c>
      <c r="V611" s="2" t="str">
        <f>IFERROR(__xludf.DUMMYFUNCTION("IMPORTRANGE(""https://docs.google.com/spreadsheets/d/""&amp;$A611&amp;""/edit#gid=156619080"",V$3)"),"#REF!")</f>
        <v>#REF!</v>
      </c>
      <c r="W611" s="2" t="str">
        <f>IFERROR(__xludf.DUMMYFUNCTION("IMPORTRANGE(""https://docs.google.com/spreadsheets/d/""&amp;$A611&amp;""/edit#gid=156619080"",W$3)"),"#REF!")</f>
        <v>#REF!</v>
      </c>
      <c r="X611" s="2" t="str">
        <f>IFERROR(__xludf.DUMMYFUNCTION("IMPORTRANGE(""https://docs.google.com/spreadsheets/d/""&amp;$A611&amp;""/edit#gid=156619080"",X$3)"),"#REF!")</f>
        <v>#REF!</v>
      </c>
      <c r="Y611" s="2" t="str">
        <f>IFERROR(__xludf.DUMMYFUNCTION("IMPORTRANGE(""https://docs.google.com/spreadsheets/d/""&amp;$A611&amp;""/edit#gid=156619080"",Y$3)"),"#REF!")</f>
        <v>#REF!</v>
      </c>
      <c r="Z611" s="2" t="str">
        <f>IFERROR(__xludf.DUMMYFUNCTION("IMPORTRANGE(""https://docs.google.com/spreadsheets/d/""&amp;$A611&amp;""/edit#gid=156619080"",Z$3)"),"#REF!")</f>
        <v>#REF!</v>
      </c>
      <c r="AA611" s="2" t="str">
        <f>IFERROR(__xludf.DUMMYFUNCTION("IMPORTRANGE(""https://docs.google.com/spreadsheets/d/""&amp;$A611&amp;""/edit#gid=156619080"",AA$3)"),"#REF!")</f>
        <v>#REF!</v>
      </c>
      <c r="AB611" s="2" t="str">
        <f>IFERROR(__xludf.DUMMYFUNCTION("IMPORTRANGE(""https://docs.google.com/spreadsheets/d/""&amp;$A611&amp;""/edit#gid=156619080"",AB$3)"),"#REF!")</f>
        <v>#REF!</v>
      </c>
      <c r="AC611" s="2" t="str">
        <f>IFERROR(__xludf.DUMMYFUNCTION("IMPORTRANGE(""https://docs.google.com/spreadsheets/d/""&amp;$A611&amp;""/edit#gid=156619080"",AC$3)"),"#REF!")</f>
        <v>#REF!</v>
      </c>
      <c r="AD611" s="2" t="str">
        <f>IFERROR(__xludf.DUMMYFUNCTION("IMPORTRANGE(""https://docs.google.com/spreadsheets/d/""&amp;$A611&amp;""/edit#gid=156619080"",AD$3)"),"#REF!")</f>
        <v>#REF!</v>
      </c>
      <c r="AE611" s="2" t="str">
        <f>IFERROR(__xludf.DUMMYFUNCTION("IMPORTRANGE(""https://docs.google.com/spreadsheets/d/""&amp;$A611&amp;""/edit#gid=156619080"",AE$3)"),"#REF!")</f>
        <v>#REF!</v>
      </c>
      <c r="AF611" s="2" t="str">
        <f>IFERROR(__xludf.DUMMYFUNCTION("IMPORTRANGE(""https://docs.google.com/spreadsheets/d/""&amp;$A611&amp;""/edit#gid=156619080"",AF$3)"),"#REF!")</f>
        <v>#REF!</v>
      </c>
      <c r="AG611" s="2" t="str">
        <f>IFERROR(__xludf.DUMMYFUNCTION("IMPORTRANGE(""https://docs.google.com/spreadsheets/d/""&amp;$A611&amp;""/edit#gid=156619080"",AG$3)"),"#REF!")</f>
        <v>#REF!</v>
      </c>
      <c r="AH611" s="2" t="str">
        <f>IFERROR(__xludf.DUMMYFUNCTION("IMPORTRANGE(""https://docs.google.com/spreadsheets/d/""&amp;$A611&amp;""/edit#gid=156619080"",AH$3)"),"#REF!")</f>
        <v>#REF!</v>
      </c>
      <c r="AI611" s="2" t="str">
        <f>IFERROR(__xludf.DUMMYFUNCTION("IMPORTRANGE(""https://docs.google.com/spreadsheets/d/""&amp;$A611&amp;""/edit#gid=156619080"",AI$3)"),"#REF!")</f>
        <v>#REF!</v>
      </c>
      <c r="AJ611" s="2" t="str">
        <f>IFERROR(__xludf.DUMMYFUNCTION("IMPORTRANGE(""https://docs.google.com/spreadsheets/d/""&amp;$A611&amp;""/edit#gid=156619080"",AJ$3)"),"#REF!")</f>
        <v>#REF!</v>
      </c>
      <c r="AK611" s="2" t="str">
        <f>IFERROR(__xludf.DUMMYFUNCTION("IMPORTRANGE(""https://docs.google.com/spreadsheets/d/""&amp;$A611&amp;""/edit#gid=156619080"",AK$3)"),"#REF!")</f>
        <v>#REF!</v>
      </c>
      <c r="AL611" s="2" t="str">
        <f>IFERROR(__xludf.DUMMYFUNCTION("IMPORTRANGE(""https://docs.google.com/spreadsheets/d/""&amp;$A611&amp;""/edit#gid=156619080"",AL$3)"),"#REF!")</f>
        <v>#REF!</v>
      </c>
      <c r="AM611" s="2" t="str">
        <f>IFERROR(__xludf.DUMMYFUNCTION("IMPORTRANGE(""https://docs.google.com/spreadsheets/d/""&amp;$A611&amp;""/edit#gid=156619080"",AM$3)"),"#REF!")</f>
        <v>#REF!</v>
      </c>
      <c r="AN611" s="2" t="str">
        <f>IFERROR(__xludf.DUMMYFUNCTION("IMPORTRANGE(""https://docs.google.com/spreadsheets/d/""&amp;$A611&amp;""/edit#gid=156619080"",AN$3)"),"#REF!")</f>
        <v>#REF!</v>
      </c>
      <c r="AO611" s="2" t="str">
        <f>IFERROR(__xludf.DUMMYFUNCTION("IMPORTRANGE(""https://docs.google.com/spreadsheets/d/""&amp;$A611&amp;""/edit#gid=156619080"",AO$3)"),"#REF!")</f>
        <v>#REF!</v>
      </c>
      <c r="AP611" s="2" t="str">
        <f>IFERROR(__xludf.DUMMYFUNCTION("IMPORTRANGE(""https://docs.google.com/spreadsheets/d/""&amp;$A611&amp;""/edit#gid=156619080"",AP$3)"),"#REF!")</f>
        <v>#REF!</v>
      </c>
      <c r="AQ611" s="2" t="str">
        <f>IFERROR(__xludf.DUMMYFUNCTION("IMPORTRANGE(""https://docs.google.com/spreadsheets/d/""&amp;$A611&amp;""/edit#gid=156619080"",AQ$3)"),"#REF!")</f>
        <v>#REF!</v>
      </c>
      <c r="AR611" s="2" t="str">
        <f>IFERROR(__xludf.DUMMYFUNCTION("IMPORTRANGE(""https://docs.google.com/spreadsheets/d/""&amp;$A611&amp;""/edit#gid=156619080"",AR$3)"),"#REF!")</f>
        <v>#REF!</v>
      </c>
      <c r="AS611" s="19" t="str">
        <f>IFERROR(__xludf.DUMMYFUNCTION("IMPORTRANGE(""https://docs.google.com/spreadsheets/d/""&amp;$A611&amp;""/edit#gid=156619080"",AS$3)"),"#REF!")</f>
        <v>#REF!</v>
      </c>
      <c r="AT611" s="2" t="str">
        <f>IFERROR(__xludf.DUMMYFUNCTION("IMPORTRANGE(""https://docs.google.com/spreadsheets/d/""&amp;$A611&amp;""/edit#gid=156619080"",AT$3)"),"#REF!")</f>
        <v>#REF!</v>
      </c>
      <c r="AU611" s="3" t="str">
        <f>IFERROR(__xludf.DUMMYFUNCTION("IMPORTRANGE(""https://docs.google.com/spreadsheets/d/""&amp;$A611&amp;""/edit#gid=156619080"",AU$3)"),"#REF!")</f>
        <v>#REF!</v>
      </c>
      <c r="AV611" s="2" t="str">
        <f>IFERROR(__xludf.DUMMYFUNCTION("IMPORTRANGE(""https://docs.google.com/spreadsheets/d/""&amp;$A611&amp;""/edit#gid=156619080"",AV$3)"),"#REF!")</f>
        <v>#REF!</v>
      </c>
      <c r="AW611" s="19" t="str">
        <f>IFERROR(__xludf.DUMMYFUNCTION("IMPORTRANGE(""https://docs.google.com/spreadsheets/d/""&amp;$A611&amp;""/edit#gid=156619080"",AW$3)"),"#REF!")</f>
        <v>#REF!</v>
      </c>
      <c r="AX611" s="2" t="str">
        <f>IFERROR(__xludf.DUMMYFUNCTION("IMPORTRANGE(""https://docs.google.com/spreadsheets/d/""&amp;$A611&amp;""/edit#gid=156619080"",AX$3)"),"#REF!")</f>
        <v>#REF!</v>
      </c>
      <c r="AY611" s="2" t="str">
        <f>IFERROR(__xludf.DUMMYFUNCTION("IMPORTRANGE(""https://docs.google.com/spreadsheets/d/""&amp;$A611&amp;""/edit#gid=156619080"",AY$3)"),"#REF!")</f>
        <v>#REF!</v>
      </c>
      <c r="AZ611" s="2" t="str">
        <f>IFERROR(__xludf.DUMMYFUNCTION("IMPORTRANGE(""https://docs.google.com/spreadsheets/d/""&amp;$A611&amp;""/edit#gid=156619080"",AZ$3)"),"#REF!")</f>
        <v>#REF!</v>
      </c>
      <c r="BA611" s="2" t="str">
        <f>IFERROR(__xludf.DUMMYFUNCTION("IMPORTRANGE(""https://docs.google.com/spreadsheets/d/""&amp;$A611&amp;""/edit#gid=156619080"",BA$3)"),"#REF!")</f>
        <v>#REF!</v>
      </c>
      <c r="BB611" s="2" t="str">
        <f>IFERROR(__xludf.DUMMYFUNCTION("IMPORTRANGE(""https://docs.google.com/spreadsheets/d/""&amp;$A611&amp;""/edit#gid=156619080"",BB$3)"),"#REF!")</f>
        <v>#REF!</v>
      </c>
      <c r="BC611" s="2" t="str">
        <f>IFERROR(__xludf.DUMMYFUNCTION("IMPORTRANGE(""https://docs.google.com/spreadsheets/d/""&amp;$A611&amp;""/edit#gid=156619080"",BC$3)"),"#REF!")</f>
        <v>#REF!</v>
      </c>
    </row>
    <row r="612" ht="51.0" customHeight="1">
      <c r="A612" s="7" t="str">
        <f t="shared" si="5"/>
        <v/>
      </c>
      <c r="C612" s="2" t="str">
        <f>IFERROR(__xludf.DUMMYFUNCTION("IMPORTRANGE(""https://docs.google.com/spreadsheets/d/""&amp;$A612&amp;""/edit#gid=156619080"",C$3)"),"#REF!")</f>
        <v>#REF!</v>
      </c>
      <c r="D612" s="2" t="str">
        <f>IFERROR(__xludf.DUMMYFUNCTION("IMPORTRANGE(""https://docs.google.com/spreadsheets/d/""&amp;$A612&amp;""/edit#gid=156619080"",D$3)"),"#REF!")</f>
        <v>#REF!</v>
      </c>
      <c r="E612" s="2" t="str">
        <f>IFERROR(__xludf.DUMMYFUNCTION("IMPORTRANGE(""https://docs.google.com/spreadsheets/d/""&amp;$A612&amp;""/edit#gid=156619080"",E$3)"),"#REF!")</f>
        <v>#REF!</v>
      </c>
      <c r="F612" s="2" t="str">
        <f>IFERROR(__xludf.DUMMYFUNCTION("IMPORTRANGE(""https://docs.google.com/spreadsheets/d/""&amp;$A612&amp;""/edit#gid=156619080"",F$3)"),"#REF!")</f>
        <v>#REF!</v>
      </c>
      <c r="G612" s="2" t="str">
        <f>IFERROR(__xludf.DUMMYFUNCTION("IMPORTRANGE(""https://docs.google.com/spreadsheets/d/""&amp;$A612&amp;""/edit#gid=156619080"",G$3)"),"#REF!")</f>
        <v>#REF!</v>
      </c>
      <c r="H612" s="2" t="str">
        <f>IFERROR(__xludf.DUMMYFUNCTION("IMPORTRANGE(""https://docs.google.com/spreadsheets/d/""&amp;$A612&amp;""/edit#gid=156619080"",H$3)"),"#REF!")</f>
        <v>#REF!</v>
      </c>
      <c r="I612" s="2" t="str">
        <f>IFERROR(__xludf.DUMMYFUNCTION("IMPORTRANGE(""https://docs.google.com/spreadsheets/d/""&amp;$A612&amp;""/edit#gid=156619080"",I$3)"),"#REF!")</f>
        <v>#REF!</v>
      </c>
      <c r="J612" s="2" t="str">
        <f>IFERROR(__xludf.DUMMYFUNCTION("IMPORTRANGE(""https://docs.google.com/spreadsheets/d/""&amp;$A612&amp;""/edit#gid=156619080"",J$3)"),"#REF!")</f>
        <v>#REF!</v>
      </c>
      <c r="K612" s="2" t="str">
        <f>IFERROR(__xludf.DUMMYFUNCTION("IMPORTRANGE(""https://docs.google.com/spreadsheets/d/""&amp;$A612&amp;""/edit#gid=156619080"",K$3)"),"#REF!")</f>
        <v>#REF!</v>
      </c>
      <c r="L612" s="2" t="str">
        <f>IFERROR(__xludf.DUMMYFUNCTION("IMPORTRANGE(""https://docs.google.com/spreadsheets/d/""&amp;$A612&amp;""/edit#gid=156619080"",L$3)"),"#REF!")</f>
        <v>#REF!</v>
      </c>
      <c r="M612" s="2" t="str">
        <f>IFERROR(__xludf.DUMMYFUNCTION("IMPORTRANGE(""https://docs.google.com/spreadsheets/d/""&amp;$A612&amp;""/edit#gid=156619080"",M$3)"),"#REF!")</f>
        <v>#REF!</v>
      </c>
      <c r="N612" s="2" t="str">
        <f>IFERROR(__xludf.DUMMYFUNCTION("IMPORTRANGE(""https://docs.google.com/spreadsheets/d/""&amp;$A612&amp;""/edit#gid=156619080"",N$3)"),"#REF!")</f>
        <v>#REF!</v>
      </c>
      <c r="O612" s="2" t="str">
        <f>IFERROR(__xludf.DUMMYFUNCTION("IMPORTRANGE(""https://docs.google.com/spreadsheets/d/""&amp;$A612&amp;""/edit#gid=156619080"",O$3)"),"#REF!")</f>
        <v>#REF!</v>
      </c>
      <c r="P612" s="2" t="str">
        <f>IFERROR(__xludf.DUMMYFUNCTION("IMPORTRANGE(""https://docs.google.com/spreadsheets/d/""&amp;$A612&amp;""/edit#gid=156619080"",P$3)"),"#REF!")</f>
        <v>#REF!</v>
      </c>
      <c r="Q612" s="2" t="str">
        <f>IFERROR(__xludf.DUMMYFUNCTION("IMPORTRANGE(""https://docs.google.com/spreadsheets/d/""&amp;$A612&amp;""/edit#gid=156619080"",Q$3)"),"#REF!")</f>
        <v>#REF!</v>
      </c>
      <c r="R612" s="2" t="str">
        <f>IFERROR(__xludf.DUMMYFUNCTION("IMPORTRANGE(""https://docs.google.com/spreadsheets/d/""&amp;$A612&amp;""/edit#gid=156619080"",R$3)"),"#REF!")</f>
        <v>#REF!</v>
      </c>
      <c r="S612" s="2" t="str">
        <f>IFERROR(__xludf.DUMMYFUNCTION("IMPORTRANGE(""https://docs.google.com/spreadsheets/d/""&amp;$A612&amp;""/edit#gid=156619080"",S$3)"),"#REF!")</f>
        <v>#REF!</v>
      </c>
      <c r="T612" s="2" t="str">
        <f>IFERROR(__xludf.DUMMYFUNCTION("IMPORTRANGE(""https://docs.google.com/spreadsheets/d/""&amp;$A612&amp;""/edit#gid=156619080"",T$3)"),"#REF!")</f>
        <v>#REF!</v>
      </c>
      <c r="U612" s="2" t="str">
        <f>IFERROR(__xludf.DUMMYFUNCTION("IMPORTRANGE(""https://docs.google.com/spreadsheets/d/""&amp;$A612&amp;""/edit#gid=156619080"",U$3)"),"#REF!")</f>
        <v>#REF!</v>
      </c>
      <c r="V612" s="2" t="str">
        <f>IFERROR(__xludf.DUMMYFUNCTION("IMPORTRANGE(""https://docs.google.com/spreadsheets/d/""&amp;$A612&amp;""/edit#gid=156619080"",V$3)"),"#REF!")</f>
        <v>#REF!</v>
      </c>
      <c r="W612" s="2" t="str">
        <f>IFERROR(__xludf.DUMMYFUNCTION("IMPORTRANGE(""https://docs.google.com/spreadsheets/d/""&amp;$A612&amp;""/edit#gid=156619080"",W$3)"),"#REF!")</f>
        <v>#REF!</v>
      </c>
      <c r="X612" s="2" t="str">
        <f>IFERROR(__xludf.DUMMYFUNCTION("IMPORTRANGE(""https://docs.google.com/spreadsheets/d/""&amp;$A612&amp;""/edit#gid=156619080"",X$3)"),"#REF!")</f>
        <v>#REF!</v>
      </c>
      <c r="Y612" s="2" t="str">
        <f>IFERROR(__xludf.DUMMYFUNCTION("IMPORTRANGE(""https://docs.google.com/spreadsheets/d/""&amp;$A612&amp;""/edit#gid=156619080"",Y$3)"),"#REF!")</f>
        <v>#REF!</v>
      </c>
      <c r="Z612" s="2" t="str">
        <f>IFERROR(__xludf.DUMMYFUNCTION("IMPORTRANGE(""https://docs.google.com/spreadsheets/d/""&amp;$A612&amp;""/edit#gid=156619080"",Z$3)"),"#REF!")</f>
        <v>#REF!</v>
      </c>
      <c r="AA612" s="2" t="str">
        <f>IFERROR(__xludf.DUMMYFUNCTION("IMPORTRANGE(""https://docs.google.com/spreadsheets/d/""&amp;$A612&amp;""/edit#gid=156619080"",AA$3)"),"#REF!")</f>
        <v>#REF!</v>
      </c>
      <c r="AB612" s="2" t="str">
        <f>IFERROR(__xludf.DUMMYFUNCTION("IMPORTRANGE(""https://docs.google.com/spreadsheets/d/""&amp;$A612&amp;""/edit#gid=156619080"",AB$3)"),"#REF!")</f>
        <v>#REF!</v>
      </c>
      <c r="AC612" s="2" t="str">
        <f>IFERROR(__xludf.DUMMYFUNCTION("IMPORTRANGE(""https://docs.google.com/spreadsheets/d/""&amp;$A612&amp;""/edit#gid=156619080"",AC$3)"),"#REF!")</f>
        <v>#REF!</v>
      </c>
      <c r="AD612" s="2" t="str">
        <f>IFERROR(__xludf.DUMMYFUNCTION("IMPORTRANGE(""https://docs.google.com/spreadsheets/d/""&amp;$A612&amp;""/edit#gid=156619080"",AD$3)"),"#REF!")</f>
        <v>#REF!</v>
      </c>
      <c r="AE612" s="2" t="str">
        <f>IFERROR(__xludf.DUMMYFUNCTION("IMPORTRANGE(""https://docs.google.com/spreadsheets/d/""&amp;$A612&amp;""/edit#gid=156619080"",AE$3)"),"#REF!")</f>
        <v>#REF!</v>
      </c>
      <c r="AF612" s="2" t="str">
        <f>IFERROR(__xludf.DUMMYFUNCTION("IMPORTRANGE(""https://docs.google.com/spreadsheets/d/""&amp;$A612&amp;""/edit#gid=156619080"",AF$3)"),"#REF!")</f>
        <v>#REF!</v>
      </c>
      <c r="AG612" s="2" t="str">
        <f>IFERROR(__xludf.DUMMYFUNCTION("IMPORTRANGE(""https://docs.google.com/spreadsheets/d/""&amp;$A612&amp;""/edit#gid=156619080"",AG$3)"),"#REF!")</f>
        <v>#REF!</v>
      </c>
      <c r="AH612" s="2" t="str">
        <f>IFERROR(__xludf.DUMMYFUNCTION("IMPORTRANGE(""https://docs.google.com/spreadsheets/d/""&amp;$A612&amp;""/edit#gid=156619080"",AH$3)"),"#REF!")</f>
        <v>#REF!</v>
      </c>
      <c r="AI612" s="2" t="str">
        <f>IFERROR(__xludf.DUMMYFUNCTION("IMPORTRANGE(""https://docs.google.com/spreadsheets/d/""&amp;$A612&amp;""/edit#gid=156619080"",AI$3)"),"#REF!")</f>
        <v>#REF!</v>
      </c>
      <c r="AJ612" s="2" t="str">
        <f>IFERROR(__xludf.DUMMYFUNCTION("IMPORTRANGE(""https://docs.google.com/spreadsheets/d/""&amp;$A612&amp;""/edit#gid=156619080"",AJ$3)"),"#REF!")</f>
        <v>#REF!</v>
      </c>
      <c r="AK612" s="2" t="str">
        <f>IFERROR(__xludf.DUMMYFUNCTION("IMPORTRANGE(""https://docs.google.com/spreadsheets/d/""&amp;$A612&amp;""/edit#gid=156619080"",AK$3)"),"#REF!")</f>
        <v>#REF!</v>
      </c>
      <c r="AL612" s="2" t="str">
        <f>IFERROR(__xludf.DUMMYFUNCTION("IMPORTRANGE(""https://docs.google.com/spreadsheets/d/""&amp;$A612&amp;""/edit#gid=156619080"",AL$3)"),"#REF!")</f>
        <v>#REF!</v>
      </c>
      <c r="AM612" s="2" t="str">
        <f>IFERROR(__xludf.DUMMYFUNCTION("IMPORTRANGE(""https://docs.google.com/spreadsheets/d/""&amp;$A612&amp;""/edit#gid=156619080"",AM$3)"),"#REF!")</f>
        <v>#REF!</v>
      </c>
      <c r="AN612" s="2" t="str">
        <f>IFERROR(__xludf.DUMMYFUNCTION("IMPORTRANGE(""https://docs.google.com/spreadsheets/d/""&amp;$A612&amp;""/edit#gid=156619080"",AN$3)"),"#REF!")</f>
        <v>#REF!</v>
      </c>
      <c r="AO612" s="2" t="str">
        <f>IFERROR(__xludf.DUMMYFUNCTION("IMPORTRANGE(""https://docs.google.com/spreadsheets/d/""&amp;$A612&amp;""/edit#gid=156619080"",AO$3)"),"#REF!")</f>
        <v>#REF!</v>
      </c>
      <c r="AP612" s="2" t="str">
        <f>IFERROR(__xludf.DUMMYFUNCTION("IMPORTRANGE(""https://docs.google.com/spreadsheets/d/""&amp;$A612&amp;""/edit#gid=156619080"",AP$3)"),"#REF!")</f>
        <v>#REF!</v>
      </c>
      <c r="AQ612" s="2" t="str">
        <f>IFERROR(__xludf.DUMMYFUNCTION("IMPORTRANGE(""https://docs.google.com/spreadsheets/d/""&amp;$A612&amp;""/edit#gid=156619080"",AQ$3)"),"#REF!")</f>
        <v>#REF!</v>
      </c>
      <c r="AR612" s="2" t="str">
        <f>IFERROR(__xludf.DUMMYFUNCTION("IMPORTRANGE(""https://docs.google.com/spreadsheets/d/""&amp;$A612&amp;""/edit#gid=156619080"",AR$3)"),"#REF!")</f>
        <v>#REF!</v>
      </c>
      <c r="AS612" s="19" t="str">
        <f>IFERROR(__xludf.DUMMYFUNCTION("IMPORTRANGE(""https://docs.google.com/spreadsheets/d/""&amp;$A612&amp;""/edit#gid=156619080"",AS$3)"),"#REF!")</f>
        <v>#REF!</v>
      </c>
      <c r="AT612" s="2" t="str">
        <f>IFERROR(__xludf.DUMMYFUNCTION("IMPORTRANGE(""https://docs.google.com/spreadsheets/d/""&amp;$A612&amp;""/edit#gid=156619080"",AT$3)"),"#REF!")</f>
        <v>#REF!</v>
      </c>
      <c r="AU612" s="3" t="str">
        <f>IFERROR(__xludf.DUMMYFUNCTION("IMPORTRANGE(""https://docs.google.com/spreadsheets/d/""&amp;$A612&amp;""/edit#gid=156619080"",AU$3)"),"#REF!")</f>
        <v>#REF!</v>
      </c>
      <c r="AV612" s="2" t="str">
        <f>IFERROR(__xludf.DUMMYFUNCTION("IMPORTRANGE(""https://docs.google.com/spreadsheets/d/""&amp;$A612&amp;""/edit#gid=156619080"",AV$3)"),"#REF!")</f>
        <v>#REF!</v>
      </c>
      <c r="AW612" s="19" t="str">
        <f>IFERROR(__xludf.DUMMYFUNCTION("IMPORTRANGE(""https://docs.google.com/spreadsheets/d/""&amp;$A612&amp;""/edit#gid=156619080"",AW$3)"),"#REF!")</f>
        <v>#REF!</v>
      </c>
      <c r="AX612" s="2" t="str">
        <f>IFERROR(__xludf.DUMMYFUNCTION("IMPORTRANGE(""https://docs.google.com/spreadsheets/d/""&amp;$A612&amp;""/edit#gid=156619080"",AX$3)"),"#REF!")</f>
        <v>#REF!</v>
      </c>
      <c r="AY612" s="2" t="str">
        <f>IFERROR(__xludf.DUMMYFUNCTION("IMPORTRANGE(""https://docs.google.com/spreadsheets/d/""&amp;$A612&amp;""/edit#gid=156619080"",AY$3)"),"#REF!")</f>
        <v>#REF!</v>
      </c>
      <c r="AZ612" s="2" t="str">
        <f>IFERROR(__xludf.DUMMYFUNCTION("IMPORTRANGE(""https://docs.google.com/spreadsheets/d/""&amp;$A612&amp;""/edit#gid=156619080"",AZ$3)"),"#REF!")</f>
        <v>#REF!</v>
      </c>
      <c r="BA612" s="2" t="str">
        <f>IFERROR(__xludf.DUMMYFUNCTION("IMPORTRANGE(""https://docs.google.com/spreadsheets/d/""&amp;$A612&amp;""/edit#gid=156619080"",BA$3)"),"#REF!")</f>
        <v>#REF!</v>
      </c>
      <c r="BB612" s="2" t="str">
        <f>IFERROR(__xludf.DUMMYFUNCTION("IMPORTRANGE(""https://docs.google.com/spreadsheets/d/""&amp;$A612&amp;""/edit#gid=156619080"",BB$3)"),"#REF!")</f>
        <v>#REF!</v>
      </c>
      <c r="BC612" s="2" t="str">
        <f>IFERROR(__xludf.DUMMYFUNCTION("IMPORTRANGE(""https://docs.google.com/spreadsheets/d/""&amp;$A612&amp;""/edit#gid=156619080"",BC$3)"),"#REF!")</f>
        <v>#REF!</v>
      </c>
    </row>
    <row r="613" ht="51.0" customHeight="1">
      <c r="A613" s="7" t="str">
        <f t="shared" si="5"/>
        <v/>
      </c>
      <c r="C613" s="2" t="str">
        <f>IFERROR(__xludf.DUMMYFUNCTION("IMPORTRANGE(""https://docs.google.com/spreadsheets/d/""&amp;$A613&amp;""/edit#gid=156619080"",C$3)"),"#REF!")</f>
        <v>#REF!</v>
      </c>
      <c r="D613" s="2" t="str">
        <f>IFERROR(__xludf.DUMMYFUNCTION("IMPORTRANGE(""https://docs.google.com/spreadsheets/d/""&amp;$A613&amp;""/edit#gid=156619080"",D$3)"),"#REF!")</f>
        <v>#REF!</v>
      </c>
      <c r="E613" s="2" t="str">
        <f>IFERROR(__xludf.DUMMYFUNCTION("IMPORTRANGE(""https://docs.google.com/spreadsheets/d/""&amp;$A613&amp;""/edit#gid=156619080"",E$3)"),"#REF!")</f>
        <v>#REF!</v>
      </c>
      <c r="F613" s="2" t="str">
        <f>IFERROR(__xludf.DUMMYFUNCTION("IMPORTRANGE(""https://docs.google.com/spreadsheets/d/""&amp;$A613&amp;""/edit#gid=156619080"",F$3)"),"#REF!")</f>
        <v>#REF!</v>
      </c>
      <c r="G613" s="2" t="str">
        <f>IFERROR(__xludf.DUMMYFUNCTION("IMPORTRANGE(""https://docs.google.com/spreadsheets/d/""&amp;$A613&amp;""/edit#gid=156619080"",G$3)"),"#REF!")</f>
        <v>#REF!</v>
      </c>
      <c r="H613" s="2" t="str">
        <f>IFERROR(__xludf.DUMMYFUNCTION("IMPORTRANGE(""https://docs.google.com/spreadsheets/d/""&amp;$A613&amp;""/edit#gid=156619080"",H$3)"),"#REF!")</f>
        <v>#REF!</v>
      </c>
      <c r="I613" s="2" t="str">
        <f>IFERROR(__xludf.DUMMYFUNCTION("IMPORTRANGE(""https://docs.google.com/spreadsheets/d/""&amp;$A613&amp;""/edit#gid=156619080"",I$3)"),"#REF!")</f>
        <v>#REF!</v>
      </c>
      <c r="J613" s="2" t="str">
        <f>IFERROR(__xludf.DUMMYFUNCTION("IMPORTRANGE(""https://docs.google.com/spreadsheets/d/""&amp;$A613&amp;""/edit#gid=156619080"",J$3)"),"#REF!")</f>
        <v>#REF!</v>
      </c>
      <c r="K613" s="2" t="str">
        <f>IFERROR(__xludf.DUMMYFUNCTION("IMPORTRANGE(""https://docs.google.com/spreadsheets/d/""&amp;$A613&amp;""/edit#gid=156619080"",K$3)"),"#REF!")</f>
        <v>#REF!</v>
      </c>
      <c r="L613" s="2" t="str">
        <f>IFERROR(__xludf.DUMMYFUNCTION("IMPORTRANGE(""https://docs.google.com/spreadsheets/d/""&amp;$A613&amp;""/edit#gid=156619080"",L$3)"),"#REF!")</f>
        <v>#REF!</v>
      </c>
      <c r="M613" s="2" t="str">
        <f>IFERROR(__xludf.DUMMYFUNCTION("IMPORTRANGE(""https://docs.google.com/spreadsheets/d/""&amp;$A613&amp;""/edit#gid=156619080"",M$3)"),"#REF!")</f>
        <v>#REF!</v>
      </c>
      <c r="N613" s="2" t="str">
        <f>IFERROR(__xludf.DUMMYFUNCTION("IMPORTRANGE(""https://docs.google.com/spreadsheets/d/""&amp;$A613&amp;""/edit#gid=156619080"",N$3)"),"#REF!")</f>
        <v>#REF!</v>
      </c>
      <c r="O613" s="2" t="str">
        <f>IFERROR(__xludf.DUMMYFUNCTION("IMPORTRANGE(""https://docs.google.com/spreadsheets/d/""&amp;$A613&amp;""/edit#gid=156619080"",O$3)"),"#REF!")</f>
        <v>#REF!</v>
      </c>
      <c r="P613" s="2" t="str">
        <f>IFERROR(__xludf.DUMMYFUNCTION("IMPORTRANGE(""https://docs.google.com/spreadsheets/d/""&amp;$A613&amp;""/edit#gid=156619080"",P$3)"),"#REF!")</f>
        <v>#REF!</v>
      </c>
      <c r="Q613" s="2" t="str">
        <f>IFERROR(__xludf.DUMMYFUNCTION("IMPORTRANGE(""https://docs.google.com/spreadsheets/d/""&amp;$A613&amp;""/edit#gid=156619080"",Q$3)"),"#REF!")</f>
        <v>#REF!</v>
      </c>
      <c r="R613" s="2" t="str">
        <f>IFERROR(__xludf.DUMMYFUNCTION("IMPORTRANGE(""https://docs.google.com/spreadsheets/d/""&amp;$A613&amp;""/edit#gid=156619080"",R$3)"),"#REF!")</f>
        <v>#REF!</v>
      </c>
      <c r="S613" s="2" t="str">
        <f>IFERROR(__xludf.DUMMYFUNCTION("IMPORTRANGE(""https://docs.google.com/spreadsheets/d/""&amp;$A613&amp;""/edit#gid=156619080"",S$3)"),"#REF!")</f>
        <v>#REF!</v>
      </c>
      <c r="T613" s="2" t="str">
        <f>IFERROR(__xludf.DUMMYFUNCTION("IMPORTRANGE(""https://docs.google.com/spreadsheets/d/""&amp;$A613&amp;""/edit#gid=156619080"",T$3)"),"#REF!")</f>
        <v>#REF!</v>
      </c>
      <c r="U613" s="2" t="str">
        <f>IFERROR(__xludf.DUMMYFUNCTION("IMPORTRANGE(""https://docs.google.com/spreadsheets/d/""&amp;$A613&amp;""/edit#gid=156619080"",U$3)"),"#REF!")</f>
        <v>#REF!</v>
      </c>
      <c r="V613" s="2" t="str">
        <f>IFERROR(__xludf.DUMMYFUNCTION("IMPORTRANGE(""https://docs.google.com/spreadsheets/d/""&amp;$A613&amp;""/edit#gid=156619080"",V$3)"),"#REF!")</f>
        <v>#REF!</v>
      </c>
      <c r="W613" s="2" t="str">
        <f>IFERROR(__xludf.DUMMYFUNCTION("IMPORTRANGE(""https://docs.google.com/spreadsheets/d/""&amp;$A613&amp;""/edit#gid=156619080"",W$3)"),"#REF!")</f>
        <v>#REF!</v>
      </c>
      <c r="X613" s="2" t="str">
        <f>IFERROR(__xludf.DUMMYFUNCTION("IMPORTRANGE(""https://docs.google.com/spreadsheets/d/""&amp;$A613&amp;""/edit#gid=156619080"",X$3)"),"#REF!")</f>
        <v>#REF!</v>
      </c>
      <c r="Y613" s="2" t="str">
        <f>IFERROR(__xludf.DUMMYFUNCTION("IMPORTRANGE(""https://docs.google.com/spreadsheets/d/""&amp;$A613&amp;""/edit#gid=156619080"",Y$3)"),"#REF!")</f>
        <v>#REF!</v>
      </c>
      <c r="Z613" s="2" t="str">
        <f>IFERROR(__xludf.DUMMYFUNCTION("IMPORTRANGE(""https://docs.google.com/spreadsheets/d/""&amp;$A613&amp;""/edit#gid=156619080"",Z$3)"),"#REF!")</f>
        <v>#REF!</v>
      </c>
      <c r="AA613" s="2" t="str">
        <f>IFERROR(__xludf.DUMMYFUNCTION("IMPORTRANGE(""https://docs.google.com/spreadsheets/d/""&amp;$A613&amp;""/edit#gid=156619080"",AA$3)"),"#REF!")</f>
        <v>#REF!</v>
      </c>
      <c r="AB613" s="2" t="str">
        <f>IFERROR(__xludf.DUMMYFUNCTION("IMPORTRANGE(""https://docs.google.com/spreadsheets/d/""&amp;$A613&amp;""/edit#gid=156619080"",AB$3)"),"#REF!")</f>
        <v>#REF!</v>
      </c>
      <c r="AC613" s="2" t="str">
        <f>IFERROR(__xludf.DUMMYFUNCTION("IMPORTRANGE(""https://docs.google.com/spreadsheets/d/""&amp;$A613&amp;""/edit#gid=156619080"",AC$3)"),"#REF!")</f>
        <v>#REF!</v>
      </c>
      <c r="AD613" s="2" t="str">
        <f>IFERROR(__xludf.DUMMYFUNCTION("IMPORTRANGE(""https://docs.google.com/spreadsheets/d/""&amp;$A613&amp;""/edit#gid=156619080"",AD$3)"),"#REF!")</f>
        <v>#REF!</v>
      </c>
      <c r="AE613" s="2" t="str">
        <f>IFERROR(__xludf.DUMMYFUNCTION("IMPORTRANGE(""https://docs.google.com/spreadsheets/d/""&amp;$A613&amp;""/edit#gid=156619080"",AE$3)"),"#REF!")</f>
        <v>#REF!</v>
      </c>
      <c r="AF613" s="2" t="str">
        <f>IFERROR(__xludf.DUMMYFUNCTION("IMPORTRANGE(""https://docs.google.com/spreadsheets/d/""&amp;$A613&amp;""/edit#gid=156619080"",AF$3)"),"#REF!")</f>
        <v>#REF!</v>
      </c>
      <c r="AG613" s="2" t="str">
        <f>IFERROR(__xludf.DUMMYFUNCTION("IMPORTRANGE(""https://docs.google.com/spreadsheets/d/""&amp;$A613&amp;""/edit#gid=156619080"",AG$3)"),"#REF!")</f>
        <v>#REF!</v>
      </c>
      <c r="AH613" s="2" t="str">
        <f>IFERROR(__xludf.DUMMYFUNCTION("IMPORTRANGE(""https://docs.google.com/spreadsheets/d/""&amp;$A613&amp;""/edit#gid=156619080"",AH$3)"),"#REF!")</f>
        <v>#REF!</v>
      </c>
      <c r="AI613" s="2" t="str">
        <f>IFERROR(__xludf.DUMMYFUNCTION("IMPORTRANGE(""https://docs.google.com/spreadsheets/d/""&amp;$A613&amp;""/edit#gid=156619080"",AI$3)"),"#REF!")</f>
        <v>#REF!</v>
      </c>
      <c r="AJ613" s="2" t="str">
        <f>IFERROR(__xludf.DUMMYFUNCTION("IMPORTRANGE(""https://docs.google.com/spreadsheets/d/""&amp;$A613&amp;""/edit#gid=156619080"",AJ$3)"),"#REF!")</f>
        <v>#REF!</v>
      </c>
      <c r="AK613" s="2" t="str">
        <f>IFERROR(__xludf.DUMMYFUNCTION("IMPORTRANGE(""https://docs.google.com/spreadsheets/d/""&amp;$A613&amp;""/edit#gid=156619080"",AK$3)"),"#REF!")</f>
        <v>#REF!</v>
      </c>
      <c r="AL613" s="2" t="str">
        <f>IFERROR(__xludf.DUMMYFUNCTION("IMPORTRANGE(""https://docs.google.com/spreadsheets/d/""&amp;$A613&amp;""/edit#gid=156619080"",AL$3)"),"#REF!")</f>
        <v>#REF!</v>
      </c>
      <c r="AM613" s="2" t="str">
        <f>IFERROR(__xludf.DUMMYFUNCTION("IMPORTRANGE(""https://docs.google.com/spreadsheets/d/""&amp;$A613&amp;""/edit#gid=156619080"",AM$3)"),"#REF!")</f>
        <v>#REF!</v>
      </c>
      <c r="AN613" s="2" t="str">
        <f>IFERROR(__xludf.DUMMYFUNCTION("IMPORTRANGE(""https://docs.google.com/spreadsheets/d/""&amp;$A613&amp;""/edit#gid=156619080"",AN$3)"),"#REF!")</f>
        <v>#REF!</v>
      </c>
      <c r="AO613" s="2" t="str">
        <f>IFERROR(__xludf.DUMMYFUNCTION("IMPORTRANGE(""https://docs.google.com/spreadsheets/d/""&amp;$A613&amp;""/edit#gid=156619080"",AO$3)"),"#REF!")</f>
        <v>#REF!</v>
      </c>
      <c r="AP613" s="2" t="str">
        <f>IFERROR(__xludf.DUMMYFUNCTION("IMPORTRANGE(""https://docs.google.com/spreadsheets/d/""&amp;$A613&amp;""/edit#gid=156619080"",AP$3)"),"#REF!")</f>
        <v>#REF!</v>
      </c>
      <c r="AQ613" s="2" t="str">
        <f>IFERROR(__xludf.DUMMYFUNCTION("IMPORTRANGE(""https://docs.google.com/spreadsheets/d/""&amp;$A613&amp;""/edit#gid=156619080"",AQ$3)"),"#REF!")</f>
        <v>#REF!</v>
      </c>
      <c r="AR613" s="2" t="str">
        <f>IFERROR(__xludf.DUMMYFUNCTION("IMPORTRANGE(""https://docs.google.com/spreadsheets/d/""&amp;$A613&amp;""/edit#gid=156619080"",AR$3)"),"#REF!")</f>
        <v>#REF!</v>
      </c>
      <c r="AS613" s="19" t="str">
        <f>IFERROR(__xludf.DUMMYFUNCTION("IMPORTRANGE(""https://docs.google.com/spreadsheets/d/""&amp;$A613&amp;""/edit#gid=156619080"",AS$3)"),"#REF!")</f>
        <v>#REF!</v>
      </c>
      <c r="AT613" s="2" t="str">
        <f>IFERROR(__xludf.DUMMYFUNCTION("IMPORTRANGE(""https://docs.google.com/spreadsheets/d/""&amp;$A613&amp;""/edit#gid=156619080"",AT$3)"),"#REF!")</f>
        <v>#REF!</v>
      </c>
      <c r="AU613" s="3" t="str">
        <f>IFERROR(__xludf.DUMMYFUNCTION("IMPORTRANGE(""https://docs.google.com/spreadsheets/d/""&amp;$A613&amp;""/edit#gid=156619080"",AU$3)"),"#REF!")</f>
        <v>#REF!</v>
      </c>
      <c r="AV613" s="2" t="str">
        <f>IFERROR(__xludf.DUMMYFUNCTION("IMPORTRANGE(""https://docs.google.com/spreadsheets/d/""&amp;$A613&amp;""/edit#gid=156619080"",AV$3)"),"#REF!")</f>
        <v>#REF!</v>
      </c>
      <c r="AW613" s="19" t="str">
        <f>IFERROR(__xludf.DUMMYFUNCTION("IMPORTRANGE(""https://docs.google.com/spreadsheets/d/""&amp;$A613&amp;""/edit#gid=156619080"",AW$3)"),"#REF!")</f>
        <v>#REF!</v>
      </c>
      <c r="AX613" s="2" t="str">
        <f>IFERROR(__xludf.DUMMYFUNCTION("IMPORTRANGE(""https://docs.google.com/spreadsheets/d/""&amp;$A613&amp;""/edit#gid=156619080"",AX$3)"),"#REF!")</f>
        <v>#REF!</v>
      </c>
      <c r="AY613" s="2" t="str">
        <f>IFERROR(__xludf.DUMMYFUNCTION("IMPORTRANGE(""https://docs.google.com/spreadsheets/d/""&amp;$A613&amp;""/edit#gid=156619080"",AY$3)"),"#REF!")</f>
        <v>#REF!</v>
      </c>
      <c r="AZ613" s="2" t="str">
        <f>IFERROR(__xludf.DUMMYFUNCTION("IMPORTRANGE(""https://docs.google.com/spreadsheets/d/""&amp;$A613&amp;""/edit#gid=156619080"",AZ$3)"),"#REF!")</f>
        <v>#REF!</v>
      </c>
      <c r="BA613" s="2" t="str">
        <f>IFERROR(__xludf.DUMMYFUNCTION("IMPORTRANGE(""https://docs.google.com/spreadsheets/d/""&amp;$A613&amp;""/edit#gid=156619080"",BA$3)"),"#REF!")</f>
        <v>#REF!</v>
      </c>
      <c r="BB613" s="2" t="str">
        <f>IFERROR(__xludf.DUMMYFUNCTION("IMPORTRANGE(""https://docs.google.com/spreadsheets/d/""&amp;$A613&amp;""/edit#gid=156619080"",BB$3)"),"#REF!")</f>
        <v>#REF!</v>
      </c>
      <c r="BC613" s="2" t="str">
        <f>IFERROR(__xludf.DUMMYFUNCTION("IMPORTRANGE(""https://docs.google.com/spreadsheets/d/""&amp;$A613&amp;""/edit#gid=156619080"",BC$3)"),"#REF!")</f>
        <v>#REF!</v>
      </c>
    </row>
    <row r="614" ht="51.0" customHeight="1">
      <c r="A614" s="7" t="str">
        <f t="shared" si="5"/>
        <v/>
      </c>
      <c r="C614" s="2" t="str">
        <f>IFERROR(__xludf.DUMMYFUNCTION("IMPORTRANGE(""https://docs.google.com/spreadsheets/d/""&amp;$A614&amp;""/edit#gid=156619080"",C$3)"),"#REF!")</f>
        <v>#REF!</v>
      </c>
      <c r="D614" s="2" t="str">
        <f>IFERROR(__xludf.DUMMYFUNCTION("IMPORTRANGE(""https://docs.google.com/spreadsheets/d/""&amp;$A614&amp;""/edit#gid=156619080"",D$3)"),"#REF!")</f>
        <v>#REF!</v>
      </c>
      <c r="E614" s="2" t="str">
        <f>IFERROR(__xludf.DUMMYFUNCTION("IMPORTRANGE(""https://docs.google.com/spreadsheets/d/""&amp;$A614&amp;""/edit#gid=156619080"",E$3)"),"#REF!")</f>
        <v>#REF!</v>
      </c>
      <c r="F614" s="2" t="str">
        <f>IFERROR(__xludf.DUMMYFUNCTION("IMPORTRANGE(""https://docs.google.com/spreadsheets/d/""&amp;$A614&amp;""/edit#gid=156619080"",F$3)"),"#REF!")</f>
        <v>#REF!</v>
      </c>
      <c r="G614" s="2" t="str">
        <f>IFERROR(__xludf.DUMMYFUNCTION("IMPORTRANGE(""https://docs.google.com/spreadsheets/d/""&amp;$A614&amp;""/edit#gid=156619080"",G$3)"),"#REF!")</f>
        <v>#REF!</v>
      </c>
      <c r="H614" s="2" t="str">
        <f>IFERROR(__xludf.DUMMYFUNCTION("IMPORTRANGE(""https://docs.google.com/spreadsheets/d/""&amp;$A614&amp;""/edit#gid=156619080"",H$3)"),"#REF!")</f>
        <v>#REF!</v>
      </c>
      <c r="I614" s="2" t="str">
        <f>IFERROR(__xludf.DUMMYFUNCTION("IMPORTRANGE(""https://docs.google.com/spreadsheets/d/""&amp;$A614&amp;""/edit#gid=156619080"",I$3)"),"#REF!")</f>
        <v>#REF!</v>
      </c>
      <c r="J614" s="2" t="str">
        <f>IFERROR(__xludf.DUMMYFUNCTION("IMPORTRANGE(""https://docs.google.com/spreadsheets/d/""&amp;$A614&amp;""/edit#gid=156619080"",J$3)"),"#REF!")</f>
        <v>#REF!</v>
      </c>
      <c r="K614" s="2" t="str">
        <f>IFERROR(__xludf.DUMMYFUNCTION("IMPORTRANGE(""https://docs.google.com/spreadsheets/d/""&amp;$A614&amp;""/edit#gid=156619080"",K$3)"),"#REF!")</f>
        <v>#REF!</v>
      </c>
      <c r="L614" s="2" t="str">
        <f>IFERROR(__xludf.DUMMYFUNCTION("IMPORTRANGE(""https://docs.google.com/spreadsheets/d/""&amp;$A614&amp;""/edit#gid=156619080"",L$3)"),"#REF!")</f>
        <v>#REF!</v>
      </c>
      <c r="M614" s="2" t="str">
        <f>IFERROR(__xludf.DUMMYFUNCTION("IMPORTRANGE(""https://docs.google.com/spreadsheets/d/""&amp;$A614&amp;""/edit#gid=156619080"",M$3)"),"#REF!")</f>
        <v>#REF!</v>
      </c>
      <c r="N614" s="2" t="str">
        <f>IFERROR(__xludf.DUMMYFUNCTION("IMPORTRANGE(""https://docs.google.com/spreadsheets/d/""&amp;$A614&amp;""/edit#gid=156619080"",N$3)"),"#REF!")</f>
        <v>#REF!</v>
      </c>
      <c r="O614" s="2" t="str">
        <f>IFERROR(__xludf.DUMMYFUNCTION("IMPORTRANGE(""https://docs.google.com/spreadsheets/d/""&amp;$A614&amp;""/edit#gid=156619080"",O$3)"),"#REF!")</f>
        <v>#REF!</v>
      </c>
      <c r="P614" s="2" t="str">
        <f>IFERROR(__xludf.DUMMYFUNCTION("IMPORTRANGE(""https://docs.google.com/spreadsheets/d/""&amp;$A614&amp;""/edit#gid=156619080"",P$3)"),"#REF!")</f>
        <v>#REF!</v>
      </c>
      <c r="Q614" s="2" t="str">
        <f>IFERROR(__xludf.DUMMYFUNCTION("IMPORTRANGE(""https://docs.google.com/spreadsheets/d/""&amp;$A614&amp;""/edit#gid=156619080"",Q$3)"),"#REF!")</f>
        <v>#REF!</v>
      </c>
      <c r="R614" s="2" t="str">
        <f>IFERROR(__xludf.DUMMYFUNCTION("IMPORTRANGE(""https://docs.google.com/spreadsheets/d/""&amp;$A614&amp;""/edit#gid=156619080"",R$3)"),"#REF!")</f>
        <v>#REF!</v>
      </c>
      <c r="S614" s="2" t="str">
        <f>IFERROR(__xludf.DUMMYFUNCTION("IMPORTRANGE(""https://docs.google.com/spreadsheets/d/""&amp;$A614&amp;""/edit#gid=156619080"",S$3)"),"#REF!")</f>
        <v>#REF!</v>
      </c>
      <c r="T614" s="2" t="str">
        <f>IFERROR(__xludf.DUMMYFUNCTION("IMPORTRANGE(""https://docs.google.com/spreadsheets/d/""&amp;$A614&amp;""/edit#gid=156619080"",T$3)"),"#REF!")</f>
        <v>#REF!</v>
      </c>
      <c r="U614" s="2" t="str">
        <f>IFERROR(__xludf.DUMMYFUNCTION("IMPORTRANGE(""https://docs.google.com/spreadsheets/d/""&amp;$A614&amp;""/edit#gid=156619080"",U$3)"),"#REF!")</f>
        <v>#REF!</v>
      </c>
      <c r="V614" s="2" t="str">
        <f>IFERROR(__xludf.DUMMYFUNCTION("IMPORTRANGE(""https://docs.google.com/spreadsheets/d/""&amp;$A614&amp;""/edit#gid=156619080"",V$3)"),"#REF!")</f>
        <v>#REF!</v>
      </c>
      <c r="W614" s="2" t="str">
        <f>IFERROR(__xludf.DUMMYFUNCTION("IMPORTRANGE(""https://docs.google.com/spreadsheets/d/""&amp;$A614&amp;""/edit#gid=156619080"",W$3)"),"#REF!")</f>
        <v>#REF!</v>
      </c>
      <c r="X614" s="2" t="str">
        <f>IFERROR(__xludf.DUMMYFUNCTION("IMPORTRANGE(""https://docs.google.com/spreadsheets/d/""&amp;$A614&amp;""/edit#gid=156619080"",X$3)"),"#REF!")</f>
        <v>#REF!</v>
      </c>
      <c r="Y614" s="2" t="str">
        <f>IFERROR(__xludf.DUMMYFUNCTION("IMPORTRANGE(""https://docs.google.com/spreadsheets/d/""&amp;$A614&amp;""/edit#gid=156619080"",Y$3)"),"#REF!")</f>
        <v>#REF!</v>
      </c>
      <c r="Z614" s="2" t="str">
        <f>IFERROR(__xludf.DUMMYFUNCTION("IMPORTRANGE(""https://docs.google.com/spreadsheets/d/""&amp;$A614&amp;""/edit#gid=156619080"",Z$3)"),"#REF!")</f>
        <v>#REF!</v>
      </c>
      <c r="AA614" s="2" t="str">
        <f>IFERROR(__xludf.DUMMYFUNCTION("IMPORTRANGE(""https://docs.google.com/spreadsheets/d/""&amp;$A614&amp;""/edit#gid=156619080"",AA$3)"),"#REF!")</f>
        <v>#REF!</v>
      </c>
      <c r="AB614" s="2" t="str">
        <f>IFERROR(__xludf.DUMMYFUNCTION("IMPORTRANGE(""https://docs.google.com/spreadsheets/d/""&amp;$A614&amp;""/edit#gid=156619080"",AB$3)"),"#REF!")</f>
        <v>#REF!</v>
      </c>
      <c r="AC614" s="2" t="str">
        <f>IFERROR(__xludf.DUMMYFUNCTION("IMPORTRANGE(""https://docs.google.com/spreadsheets/d/""&amp;$A614&amp;""/edit#gid=156619080"",AC$3)"),"#REF!")</f>
        <v>#REF!</v>
      </c>
      <c r="AD614" s="2" t="str">
        <f>IFERROR(__xludf.DUMMYFUNCTION("IMPORTRANGE(""https://docs.google.com/spreadsheets/d/""&amp;$A614&amp;""/edit#gid=156619080"",AD$3)"),"#REF!")</f>
        <v>#REF!</v>
      </c>
      <c r="AE614" s="2" t="str">
        <f>IFERROR(__xludf.DUMMYFUNCTION("IMPORTRANGE(""https://docs.google.com/spreadsheets/d/""&amp;$A614&amp;""/edit#gid=156619080"",AE$3)"),"#REF!")</f>
        <v>#REF!</v>
      </c>
      <c r="AF614" s="2" t="str">
        <f>IFERROR(__xludf.DUMMYFUNCTION("IMPORTRANGE(""https://docs.google.com/spreadsheets/d/""&amp;$A614&amp;""/edit#gid=156619080"",AF$3)"),"#REF!")</f>
        <v>#REF!</v>
      </c>
      <c r="AG614" s="2" t="str">
        <f>IFERROR(__xludf.DUMMYFUNCTION("IMPORTRANGE(""https://docs.google.com/spreadsheets/d/""&amp;$A614&amp;""/edit#gid=156619080"",AG$3)"),"#REF!")</f>
        <v>#REF!</v>
      </c>
      <c r="AH614" s="2" t="str">
        <f>IFERROR(__xludf.DUMMYFUNCTION("IMPORTRANGE(""https://docs.google.com/spreadsheets/d/""&amp;$A614&amp;""/edit#gid=156619080"",AH$3)"),"#REF!")</f>
        <v>#REF!</v>
      </c>
      <c r="AI614" s="2" t="str">
        <f>IFERROR(__xludf.DUMMYFUNCTION("IMPORTRANGE(""https://docs.google.com/spreadsheets/d/""&amp;$A614&amp;""/edit#gid=156619080"",AI$3)"),"#REF!")</f>
        <v>#REF!</v>
      </c>
      <c r="AJ614" s="2" t="str">
        <f>IFERROR(__xludf.DUMMYFUNCTION("IMPORTRANGE(""https://docs.google.com/spreadsheets/d/""&amp;$A614&amp;""/edit#gid=156619080"",AJ$3)"),"#REF!")</f>
        <v>#REF!</v>
      </c>
      <c r="AK614" s="2" t="str">
        <f>IFERROR(__xludf.DUMMYFUNCTION("IMPORTRANGE(""https://docs.google.com/spreadsheets/d/""&amp;$A614&amp;""/edit#gid=156619080"",AK$3)"),"#REF!")</f>
        <v>#REF!</v>
      </c>
      <c r="AL614" s="2" t="str">
        <f>IFERROR(__xludf.DUMMYFUNCTION("IMPORTRANGE(""https://docs.google.com/spreadsheets/d/""&amp;$A614&amp;""/edit#gid=156619080"",AL$3)"),"#REF!")</f>
        <v>#REF!</v>
      </c>
      <c r="AM614" s="2" t="str">
        <f>IFERROR(__xludf.DUMMYFUNCTION("IMPORTRANGE(""https://docs.google.com/spreadsheets/d/""&amp;$A614&amp;""/edit#gid=156619080"",AM$3)"),"#REF!")</f>
        <v>#REF!</v>
      </c>
      <c r="AN614" s="2" t="str">
        <f>IFERROR(__xludf.DUMMYFUNCTION("IMPORTRANGE(""https://docs.google.com/spreadsheets/d/""&amp;$A614&amp;""/edit#gid=156619080"",AN$3)"),"#REF!")</f>
        <v>#REF!</v>
      </c>
      <c r="AO614" s="2" t="str">
        <f>IFERROR(__xludf.DUMMYFUNCTION("IMPORTRANGE(""https://docs.google.com/spreadsheets/d/""&amp;$A614&amp;""/edit#gid=156619080"",AO$3)"),"#REF!")</f>
        <v>#REF!</v>
      </c>
      <c r="AP614" s="2" t="str">
        <f>IFERROR(__xludf.DUMMYFUNCTION("IMPORTRANGE(""https://docs.google.com/spreadsheets/d/""&amp;$A614&amp;""/edit#gid=156619080"",AP$3)"),"#REF!")</f>
        <v>#REF!</v>
      </c>
      <c r="AQ614" s="2" t="str">
        <f>IFERROR(__xludf.DUMMYFUNCTION("IMPORTRANGE(""https://docs.google.com/spreadsheets/d/""&amp;$A614&amp;""/edit#gid=156619080"",AQ$3)"),"#REF!")</f>
        <v>#REF!</v>
      </c>
      <c r="AR614" s="2" t="str">
        <f>IFERROR(__xludf.DUMMYFUNCTION("IMPORTRANGE(""https://docs.google.com/spreadsheets/d/""&amp;$A614&amp;""/edit#gid=156619080"",AR$3)"),"#REF!")</f>
        <v>#REF!</v>
      </c>
      <c r="AS614" s="19" t="str">
        <f>IFERROR(__xludf.DUMMYFUNCTION("IMPORTRANGE(""https://docs.google.com/spreadsheets/d/""&amp;$A614&amp;""/edit#gid=156619080"",AS$3)"),"#REF!")</f>
        <v>#REF!</v>
      </c>
      <c r="AT614" s="2" t="str">
        <f>IFERROR(__xludf.DUMMYFUNCTION("IMPORTRANGE(""https://docs.google.com/spreadsheets/d/""&amp;$A614&amp;""/edit#gid=156619080"",AT$3)"),"#REF!")</f>
        <v>#REF!</v>
      </c>
      <c r="AU614" s="3" t="str">
        <f>IFERROR(__xludf.DUMMYFUNCTION("IMPORTRANGE(""https://docs.google.com/spreadsheets/d/""&amp;$A614&amp;""/edit#gid=156619080"",AU$3)"),"#REF!")</f>
        <v>#REF!</v>
      </c>
      <c r="AV614" s="2" t="str">
        <f>IFERROR(__xludf.DUMMYFUNCTION("IMPORTRANGE(""https://docs.google.com/spreadsheets/d/""&amp;$A614&amp;""/edit#gid=156619080"",AV$3)"),"#REF!")</f>
        <v>#REF!</v>
      </c>
      <c r="AW614" s="19" t="str">
        <f>IFERROR(__xludf.DUMMYFUNCTION("IMPORTRANGE(""https://docs.google.com/spreadsheets/d/""&amp;$A614&amp;""/edit#gid=156619080"",AW$3)"),"#REF!")</f>
        <v>#REF!</v>
      </c>
      <c r="AX614" s="2" t="str">
        <f>IFERROR(__xludf.DUMMYFUNCTION("IMPORTRANGE(""https://docs.google.com/spreadsheets/d/""&amp;$A614&amp;""/edit#gid=156619080"",AX$3)"),"#REF!")</f>
        <v>#REF!</v>
      </c>
      <c r="AY614" s="2" t="str">
        <f>IFERROR(__xludf.DUMMYFUNCTION("IMPORTRANGE(""https://docs.google.com/spreadsheets/d/""&amp;$A614&amp;""/edit#gid=156619080"",AY$3)"),"#REF!")</f>
        <v>#REF!</v>
      </c>
      <c r="AZ614" s="2" t="str">
        <f>IFERROR(__xludf.DUMMYFUNCTION("IMPORTRANGE(""https://docs.google.com/spreadsheets/d/""&amp;$A614&amp;""/edit#gid=156619080"",AZ$3)"),"#REF!")</f>
        <v>#REF!</v>
      </c>
      <c r="BA614" s="2" t="str">
        <f>IFERROR(__xludf.DUMMYFUNCTION("IMPORTRANGE(""https://docs.google.com/spreadsheets/d/""&amp;$A614&amp;""/edit#gid=156619080"",BA$3)"),"#REF!")</f>
        <v>#REF!</v>
      </c>
      <c r="BB614" s="2" t="str">
        <f>IFERROR(__xludf.DUMMYFUNCTION("IMPORTRANGE(""https://docs.google.com/spreadsheets/d/""&amp;$A614&amp;""/edit#gid=156619080"",BB$3)"),"#REF!")</f>
        <v>#REF!</v>
      </c>
      <c r="BC614" s="2" t="str">
        <f>IFERROR(__xludf.DUMMYFUNCTION("IMPORTRANGE(""https://docs.google.com/spreadsheets/d/""&amp;$A614&amp;""/edit#gid=156619080"",BC$3)"),"#REF!")</f>
        <v>#REF!</v>
      </c>
    </row>
    <row r="615" ht="51.0" customHeight="1">
      <c r="A615" s="7" t="str">
        <f t="shared" si="5"/>
        <v/>
      </c>
      <c r="C615" s="2" t="str">
        <f>IFERROR(__xludf.DUMMYFUNCTION("IMPORTRANGE(""https://docs.google.com/spreadsheets/d/""&amp;$A615&amp;""/edit#gid=156619080"",C$3)"),"#REF!")</f>
        <v>#REF!</v>
      </c>
      <c r="D615" s="2" t="str">
        <f>IFERROR(__xludf.DUMMYFUNCTION("IMPORTRANGE(""https://docs.google.com/spreadsheets/d/""&amp;$A615&amp;""/edit#gid=156619080"",D$3)"),"#REF!")</f>
        <v>#REF!</v>
      </c>
      <c r="E615" s="2" t="str">
        <f>IFERROR(__xludf.DUMMYFUNCTION("IMPORTRANGE(""https://docs.google.com/spreadsheets/d/""&amp;$A615&amp;""/edit#gid=156619080"",E$3)"),"#REF!")</f>
        <v>#REF!</v>
      </c>
      <c r="F615" s="2" t="str">
        <f>IFERROR(__xludf.DUMMYFUNCTION("IMPORTRANGE(""https://docs.google.com/spreadsheets/d/""&amp;$A615&amp;""/edit#gid=156619080"",F$3)"),"#REF!")</f>
        <v>#REF!</v>
      </c>
      <c r="G615" s="2" t="str">
        <f>IFERROR(__xludf.DUMMYFUNCTION("IMPORTRANGE(""https://docs.google.com/spreadsheets/d/""&amp;$A615&amp;""/edit#gid=156619080"",G$3)"),"#REF!")</f>
        <v>#REF!</v>
      </c>
      <c r="H615" s="2" t="str">
        <f>IFERROR(__xludf.DUMMYFUNCTION("IMPORTRANGE(""https://docs.google.com/spreadsheets/d/""&amp;$A615&amp;""/edit#gid=156619080"",H$3)"),"#REF!")</f>
        <v>#REF!</v>
      </c>
      <c r="I615" s="2" t="str">
        <f>IFERROR(__xludf.DUMMYFUNCTION("IMPORTRANGE(""https://docs.google.com/spreadsheets/d/""&amp;$A615&amp;""/edit#gid=156619080"",I$3)"),"#REF!")</f>
        <v>#REF!</v>
      </c>
      <c r="J615" s="2" t="str">
        <f>IFERROR(__xludf.DUMMYFUNCTION("IMPORTRANGE(""https://docs.google.com/spreadsheets/d/""&amp;$A615&amp;""/edit#gid=156619080"",J$3)"),"#REF!")</f>
        <v>#REF!</v>
      </c>
      <c r="K615" s="2" t="str">
        <f>IFERROR(__xludf.DUMMYFUNCTION("IMPORTRANGE(""https://docs.google.com/spreadsheets/d/""&amp;$A615&amp;""/edit#gid=156619080"",K$3)"),"#REF!")</f>
        <v>#REF!</v>
      </c>
      <c r="L615" s="2" t="str">
        <f>IFERROR(__xludf.DUMMYFUNCTION("IMPORTRANGE(""https://docs.google.com/spreadsheets/d/""&amp;$A615&amp;""/edit#gid=156619080"",L$3)"),"#REF!")</f>
        <v>#REF!</v>
      </c>
      <c r="M615" s="2" t="str">
        <f>IFERROR(__xludf.DUMMYFUNCTION("IMPORTRANGE(""https://docs.google.com/spreadsheets/d/""&amp;$A615&amp;""/edit#gid=156619080"",M$3)"),"#REF!")</f>
        <v>#REF!</v>
      </c>
      <c r="N615" s="2" t="str">
        <f>IFERROR(__xludf.DUMMYFUNCTION("IMPORTRANGE(""https://docs.google.com/spreadsheets/d/""&amp;$A615&amp;""/edit#gid=156619080"",N$3)"),"#REF!")</f>
        <v>#REF!</v>
      </c>
      <c r="O615" s="2" t="str">
        <f>IFERROR(__xludf.DUMMYFUNCTION("IMPORTRANGE(""https://docs.google.com/spreadsheets/d/""&amp;$A615&amp;""/edit#gid=156619080"",O$3)"),"#REF!")</f>
        <v>#REF!</v>
      </c>
      <c r="P615" s="2" t="str">
        <f>IFERROR(__xludf.DUMMYFUNCTION("IMPORTRANGE(""https://docs.google.com/spreadsheets/d/""&amp;$A615&amp;""/edit#gid=156619080"",P$3)"),"#REF!")</f>
        <v>#REF!</v>
      </c>
      <c r="Q615" s="2" t="str">
        <f>IFERROR(__xludf.DUMMYFUNCTION("IMPORTRANGE(""https://docs.google.com/spreadsheets/d/""&amp;$A615&amp;""/edit#gid=156619080"",Q$3)"),"#REF!")</f>
        <v>#REF!</v>
      </c>
      <c r="R615" s="2" t="str">
        <f>IFERROR(__xludf.DUMMYFUNCTION("IMPORTRANGE(""https://docs.google.com/spreadsheets/d/""&amp;$A615&amp;""/edit#gid=156619080"",R$3)"),"#REF!")</f>
        <v>#REF!</v>
      </c>
      <c r="S615" s="2" t="str">
        <f>IFERROR(__xludf.DUMMYFUNCTION("IMPORTRANGE(""https://docs.google.com/spreadsheets/d/""&amp;$A615&amp;""/edit#gid=156619080"",S$3)"),"#REF!")</f>
        <v>#REF!</v>
      </c>
      <c r="T615" s="2" t="str">
        <f>IFERROR(__xludf.DUMMYFUNCTION("IMPORTRANGE(""https://docs.google.com/spreadsheets/d/""&amp;$A615&amp;""/edit#gid=156619080"",T$3)"),"#REF!")</f>
        <v>#REF!</v>
      </c>
      <c r="U615" s="2" t="str">
        <f>IFERROR(__xludf.DUMMYFUNCTION("IMPORTRANGE(""https://docs.google.com/spreadsheets/d/""&amp;$A615&amp;""/edit#gid=156619080"",U$3)"),"#REF!")</f>
        <v>#REF!</v>
      </c>
      <c r="V615" s="2" t="str">
        <f>IFERROR(__xludf.DUMMYFUNCTION("IMPORTRANGE(""https://docs.google.com/spreadsheets/d/""&amp;$A615&amp;""/edit#gid=156619080"",V$3)"),"#REF!")</f>
        <v>#REF!</v>
      </c>
      <c r="W615" s="2" t="str">
        <f>IFERROR(__xludf.DUMMYFUNCTION("IMPORTRANGE(""https://docs.google.com/spreadsheets/d/""&amp;$A615&amp;""/edit#gid=156619080"",W$3)"),"#REF!")</f>
        <v>#REF!</v>
      </c>
      <c r="X615" s="2" t="str">
        <f>IFERROR(__xludf.DUMMYFUNCTION("IMPORTRANGE(""https://docs.google.com/spreadsheets/d/""&amp;$A615&amp;""/edit#gid=156619080"",X$3)"),"#REF!")</f>
        <v>#REF!</v>
      </c>
      <c r="Y615" s="2" t="str">
        <f>IFERROR(__xludf.DUMMYFUNCTION("IMPORTRANGE(""https://docs.google.com/spreadsheets/d/""&amp;$A615&amp;""/edit#gid=156619080"",Y$3)"),"#REF!")</f>
        <v>#REF!</v>
      </c>
      <c r="Z615" s="2" t="str">
        <f>IFERROR(__xludf.DUMMYFUNCTION("IMPORTRANGE(""https://docs.google.com/spreadsheets/d/""&amp;$A615&amp;""/edit#gid=156619080"",Z$3)"),"#REF!")</f>
        <v>#REF!</v>
      </c>
      <c r="AA615" s="2" t="str">
        <f>IFERROR(__xludf.DUMMYFUNCTION("IMPORTRANGE(""https://docs.google.com/spreadsheets/d/""&amp;$A615&amp;""/edit#gid=156619080"",AA$3)"),"#REF!")</f>
        <v>#REF!</v>
      </c>
      <c r="AB615" s="2" t="str">
        <f>IFERROR(__xludf.DUMMYFUNCTION("IMPORTRANGE(""https://docs.google.com/spreadsheets/d/""&amp;$A615&amp;""/edit#gid=156619080"",AB$3)"),"#REF!")</f>
        <v>#REF!</v>
      </c>
      <c r="AC615" s="2" t="str">
        <f>IFERROR(__xludf.DUMMYFUNCTION("IMPORTRANGE(""https://docs.google.com/spreadsheets/d/""&amp;$A615&amp;""/edit#gid=156619080"",AC$3)"),"#REF!")</f>
        <v>#REF!</v>
      </c>
      <c r="AD615" s="2" t="str">
        <f>IFERROR(__xludf.DUMMYFUNCTION("IMPORTRANGE(""https://docs.google.com/spreadsheets/d/""&amp;$A615&amp;""/edit#gid=156619080"",AD$3)"),"#REF!")</f>
        <v>#REF!</v>
      </c>
      <c r="AE615" s="2" t="str">
        <f>IFERROR(__xludf.DUMMYFUNCTION("IMPORTRANGE(""https://docs.google.com/spreadsheets/d/""&amp;$A615&amp;""/edit#gid=156619080"",AE$3)"),"#REF!")</f>
        <v>#REF!</v>
      </c>
      <c r="AF615" s="2" t="str">
        <f>IFERROR(__xludf.DUMMYFUNCTION("IMPORTRANGE(""https://docs.google.com/spreadsheets/d/""&amp;$A615&amp;""/edit#gid=156619080"",AF$3)"),"#REF!")</f>
        <v>#REF!</v>
      </c>
      <c r="AG615" s="2" t="str">
        <f>IFERROR(__xludf.DUMMYFUNCTION("IMPORTRANGE(""https://docs.google.com/spreadsheets/d/""&amp;$A615&amp;""/edit#gid=156619080"",AG$3)"),"#REF!")</f>
        <v>#REF!</v>
      </c>
      <c r="AH615" s="2" t="str">
        <f>IFERROR(__xludf.DUMMYFUNCTION("IMPORTRANGE(""https://docs.google.com/spreadsheets/d/""&amp;$A615&amp;""/edit#gid=156619080"",AH$3)"),"#REF!")</f>
        <v>#REF!</v>
      </c>
      <c r="AI615" s="2" t="str">
        <f>IFERROR(__xludf.DUMMYFUNCTION("IMPORTRANGE(""https://docs.google.com/spreadsheets/d/""&amp;$A615&amp;""/edit#gid=156619080"",AI$3)"),"#REF!")</f>
        <v>#REF!</v>
      </c>
      <c r="AJ615" s="2" t="str">
        <f>IFERROR(__xludf.DUMMYFUNCTION("IMPORTRANGE(""https://docs.google.com/spreadsheets/d/""&amp;$A615&amp;""/edit#gid=156619080"",AJ$3)"),"#REF!")</f>
        <v>#REF!</v>
      </c>
      <c r="AK615" s="2" t="str">
        <f>IFERROR(__xludf.DUMMYFUNCTION("IMPORTRANGE(""https://docs.google.com/spreadsheets/d/""&amp;$A615&amp;""/edit#gid=156619080"",AK$3)"),"#REF!")</f>
        <v>#REF!</v>
      </c>
      <c r="AL615" s="2" t="str">
        <f>IFERROR(__xludf.DUMMYFUNCTION("IMPORTRANGE(""https://docs.google.com/spreadsheets/d/""&amp;$A615&amp;""/edit#gid=156619080"",AL$3)"),"#REF!")</f>
        <v>#REF!</v>
      </c>
      <c r="AM615" s="2" t="str">
        <f>IFERROR(__xludf.DUMMYFUNCTION("IMPORTRANGE(""https://docs.google.com/spreadsheets/d/""&amp;$A615&amp;""/edit#gid=156619080"",AM$3)"),"#REF!")</f>
        <v>#REF!</v>
      </c>
      <c r="AN615" s="2" t="str">
        <f>IFERROR(__xludf.DUMMYFUNCTION("IMPORTRANGE(""https://docs.google.com/spreadsheets/d/""&amp;$A615&amp;""/edit#gid=156619080"",AN$3)"),"#REF!")</f>
        <v>#REF!</v>
      </c>
      <c r="AO615" s="2" t="str">
        <f>IFERROR(__xludf.DUMMYFUNCTION("IMPORTRANGE(""https://docs.google.com/spreadsheets/d/""&amp;$A615&amp;""/edit#gid=156619080"",AO$3)"),"#REF!")</f>
        <v>#REF!</v>
      </c>
      <c r="AP615" s="2" t="str">
        <f>IFERROR(__xludf.DUMMYFUNCTION("IMPORTRANGE(""https://docs.google.com/spreadsheets/d/""&amp;$A615&amp;""/edit#gid=156619080"",AP$3)"),"#REF!")</f>
        <v>#REF!</v>
      </c>
      <c r="AQ615" s="2" t="str">
        <f>IFERROR(__xludf.DUMMYFUNCTION("IMPORTRANGE(""https://docs.google.com/spreadsheets/d/""&amp;$A615&amp;""/edit#gid=156619080"",AQ$3)"),"#REF!")</f>
        <v>#REF!</v>
      </c>
      <c r="AR615" s="2" t="str">
        <f>IFERROR(__xludf.DUMMYFUNCTION("IMPORTRANGE(""https://docs.google.com/spreadsheets/d/""&amp;$A615&amp;""/edit#gid=156619080"",AR$3)"),"#REF!")</f>
        <v>#REF!</v>
      </c>
      <c r="AS615" s="19" t="str">
        <f>IFERROR(__xludf.DUMMYFUNCTION("IMPORTRANGE(""https://docs.google.com/spreadsheets/d/""&amp;$A615&amp;""/edit#gid=156619080"",AS$3)"),"#REF!")</f>
        <v>#REF!</v>
      </c>
      <c r="AT615" s="2" t="str">
        <f>IFERROR(__xludf.DUMMYFUNCTION("IMPORTRANGE(""https://docs.google.com/spreadsheets/d/""&amp;$A615&amp;""/edit#gid=156619080"",AT$3)"),"#REF!")</f>
        <v>#REF!</v>
      </c>
      <c r="AU615" s="3" t="str">
        <f>IFERROR(__xludf.DUMMYFUNCTION("IMPORTRANGE(""https://docs.google.com/spreadsheets/d/""&amp;$A615&amp;""/edit#gid=156619080"",AU$3)"),"#REF!")</f>
        <v>#REF!</v>
      </c>
      <c r="AV615" s="2" t="str">
        <f>IFERROR(__xludf.DUMMYFUNCTION("IMPORTRANGE(""https://docs.google.com/spreadsheets/d/""&amp;$A615&amp;""/edit#gid=156619080"",AV$3)"),"#REF!")</f>
        <v>#REF!</v>
      </c>
      <c r="AW615" s="19" t="str">
        <f>IFERROR(__xludf.DUMMYFUNCTION("IMPORTRANGE(""https://docs.google.com/spreadsheets/d/""&amp;$A615&amp;""/edit#gid=156619080"",AW$3)"),"#REF!")</f>
        <v>#REF!</v>
      </c>
      <c r="AX615" s="2" t="str">
        <f>IFERROR(__xludf.DUMMYFUNCTION("IMPORTRANGE(""https://docs.google.com/spreadsheets/d/""&amp;$A615&amp;""/edit#gid=156619080"",AX$3)"),"#REF!")</f>
        <v>#REF!</v>
      </c>
      <c r="AY615" s="2" t="str">
        <f>IFERROR(__xludf.DUMMYFUNCTION("IMPORTRANGE(""https://docs.google.com/spreadsheets/d/""&amp;$A615&amp;""/edit#gid=156619080"",AY$3)"),"#REF!")</f>
        <v>#REF!</v>
      </c>
      <c r="AZ615" s="2" t="str">
        <f>IFERROR(__xludf.DUMMYFUNCTION("IMPORTRANGE(""https://docs.google.com/spreadsheets/d/""&amp;$A615&amp;""/edit#gid=156619080"",AZ$3)"),"#REF!")</f>
        <v>#REF!</v>
      </c>
      <c r="BA615" s="2" t="str">
        <f>IFERROR(__xludf.DUMMYFUNCTION("IMPORTRANGE(""https://docs.google.com/spreadsheets/d/""&amp;$A615&amp;""/edit#gid=156619080"",BA$3)"),"#REF!")</f>
        <v>#REF!</v>
      </c>
      <c r="BB615" s="2" t="str">
        <f>IFERROR(__xludf.DUMMYFUNCTION("IMPORTRANGE(""https://docs.google.com/spreadsheets/d/""&amp;$A615&amp;""/edit#gid=156619080"",BB$3)"),"#REF!")</f>
        <v>#REF!</v>
      </c>
      <c r="BC615" s="2" t="str">
        <f>IFERROR(__xludf.DUMMYFUNCTION("IMPORTRANGE(""https://docs.google.com/spreadsheets/d/""&amp;$A615&amp;""/edit#gid=156619080"",BC$3)"),"#REF!")</f>
        <v>#REF!</v>
      </c>
    </row>
    <row r="616" ht="51.0" customHeight="1">
      <c r="A616" s="7" t="str">
        <f t="shared" si="5"/>
        <v/>
      </c>
      <c r="C616" s="2" t="str">
        <f>IFERROR(__xludf.DUMMYFUNCTION("IMPORTRANGE(""https://docs.google.com/spreadsheets/d/""&amp;$A616&amp;""/edit#gid=156619080"",C$3)"),"#REF!")</f>
        <v>#REF!</v>
      </c>
      <c r="D616" s="2" t="str">
        <f>IFERROR(__xludf.DUMMYFUNCTION("IMPORTRANGE(""https://docs.google.com/spreadsheets/d/""&amp;$A616&amp;""/edit#gid=156619080"",D$3)"),"#REF!")</f>
        <v>#REF!</v>
      </c>
      <c r="E616" s="2" t="str">
        <f>IFERROR(__xludf.DUMMYFUNCTION("IMPORTRANGE(""https://docs.google.com/spreadsheets/d/""&amp;$A616&amp;""/edit#gid=156619080"",E$3)"),"#REF!")</f>
        <v>#REF!</v>
      </c>
      <c r="F616" s="2" t="str">
        <f>IFERROR(__xludf.DUMMYFUNCTION("IMPORTRANGE(""https://docs.google.com/spreadsheets/d/""&amp;$A616&amp;""/edit#gid=156619080"",F$3)"),"#REF!")</f>
        <v>#REF!</v>
      </c>
      <c r="G616" s="2" t="str">
        <f>IFERROR(__xludf.DUMMYFUNCTION("IMPORTRANGE(""https://docs.google.com/spreadsheets/d/""&amp;$A616&amp;""/edit#gid=156619080"",G$3)"),"#REF!")</f>
        <v>#REF!</v>
      </c>
      <c r="H616" s="2" t="str">
        <f>IFERROR(__xludf.DUMMYFUNCTION("IMPORTRANGE(""https://docs.google.com/spreadsheets/d/""&amp;$A616&amp;""/edit#gid=156619080"",H$3)"),"#REF!")</f>
        <v>#REF!</v>
      </c>
      <c r="I616" s="2" t="str">
        <f>IFERROR(__xludf.DUMMYFUNCTION("IMPORTRANGE(""https://docs.google.com/spreadsheets/d/""&amp;$A616&amp;""/edit#gid=156619080"",I$3)"),"#REF!")</f>
        <v>#REF!</v>
      </c>
      <c r="J616" s="2" t="str">
        <f>IFERROR(__xludf.DUMMYFUNCTION("IMPORTRANGE(""https://docs.google.com/spreadsheets/d/""&amp;$A616&amp;""/edit#gid=156619080"",J$3)"),"#REF!")</f>
        <v>#REF!</v>
      </c>
      <c r="K616" s="2" t="str">
        <f>IFERROR(__xludf.DUMMYFUNCTION("IMPORTRANGE(""https://docs.google.com/spreadsheets/d/""&amp;$A616&amp;""/edit#gid=156619080"",K$3)"),"#REF!")</f>
        <v>#REF!</v>
      </c>
      <c r="L616" s="2" t="str">
        <f>IFERROR(__xludf.DUMMYFUNCTION("IMPORTRANGE(""https://docs.google.com/spreadsheets/d/""&amp;$A616&amp;""/edit#gid=156619080"",L$3)"),"#REF!")</f>
        <v>#REF!</v>
      </c>
      <c r="M616" s="2" t="str">
        <f>IFERROR(__xludf.DUMMYFUNCTION("IMPORTRANGE(""https://docs.google.com/spreadsheets/d/""&amp;$A616&amp;""/edit#gid=156619080"",M$3)"),"#REF!")</f>
        <v>#REF!</v>
      </c>
      <c r="N616" s="2" t="str">
        <f>IFERROR(__xludf.DUMMYFUNCTION("IMPORTRANGE(""https://docs.google.com/spreadsheets/d/""&amp;$A616&amp;""/edit#gid=156619080"",N$3)"),"#REF!")</f>
        <v>#REF!</v>
      </c>
      <c r="O616" s="2" t="str">
        <f>IFERROR(__xludf.DUMMYFUNCTION("IMPORTRANGE(""https://docs.google.com/spreadsheets/d/""&amp;$A616&amp;""/edit#gid=156619080"",O$3)"),"#REF!")</f>
        <v>#REF!</v>
      </c>
      <c r="P616" s="2" t="str">
        <f>IFERROR(__xludf.DUMMYFUNCTION("IMPORTRANGE(""https://docs.google.com/spreadsheets/d/""&amp;$A616&amp;""/edit#gid=156619080"",P$3)"),"#REF!")</f>
        <v>#REF!</v>
      </c>
      <c r="Q616" s="2" t="str">
        <f>IFERROR(__xludf.DUMMYFUNCTION("IMPORTRANGE(""https://docs.google.com/spreadsheets/d/""&amp;$A616&amp;""/edit#gid=156619080"",Q$3)"),"#REF!")</f>
        <v>#REF!</v>
      </c>
      <c r="R616" s="2" t="str">
        <f>IFERROR(__xludf.DUMMYFUNCTION("IMPORTRANGE(""https://docs.google.com/spreadsheets/d/""&amp;$A616&amp;""/edit#gid=156619080"",R$3)"),"#REF!")</f>
        <v>#REF!</v>
      </c>
      <c r="S616" s="2" t="str">
        <f>IFERROR(__xludf.DUMMYFUNCTION("IMPORTRANGE(""https://docs.google.com/spreadsheets/d/""&amp;$A616&amp;""/edit#gid=156619080"",S$3)"),"#REF!")</f>
        <v>#REF!</v>
      </c>
      <c r="T616" s="2" t="str">
        <f>IFERROR(__xludf.DUMMYFUNCTION("IMPORTRANGE(""https://docs.google.com/spreadsheets/d/""&amp;$A616&amp;""/edit#gid=156619080"",T$3)"),"#REF!")</f>
        <v>#REF!</v>
      </c>
      <c r="U616" s="2" t="str">
        <f>IFERROR(__xludf.DUMMYFUNCTION("IMPORTRANGE(""https://docs.google.com/spreadsheets/d/""&amp;$A616&amp;""/edit#gid=156619080"",U$3)"),"#REF!")</f>
        <v>#REF!</v>
      </c>
      <c r="V616" s="2" t="str">
        <f>IFERROR(__xludf.DUMMYFUNCTION("IMPORTRANGE(""https://docs.google.com/spreadsheets/d/""&amp;$A616&amp;""/edit#gid=156619080"",V$3)"),"#REF!")</f>
        <v>#REF!</v>
      </c>
      <c r="W616" s="2" t="str">
        <f>IFERROR(__xludf.DUMMYFUNCTION("IMPORTRANGE(""https://docs.google.com/spreadsheets/d/""&amp;$A616&amp;""/edit#gid=156619080"",W$3)"),"#REF!")</f>
        <v>#REF!</v>
      </c>
      <c r="X616" s="2" t="str">
        <f>IFERROR(__xludf.DUMMYFUNCTION("IMPORTRANGE(""https://docs.google.com/spreadsheets/d/""&amp;$A616&amp;""/edit#gid=156619080"",X$3)"),"#REF!")</f>
        <v>#REF!</v>
      </c>
      <c r="Y616" s="2" t="str">
        <f>IFERROR(__xludf.DUMMYFUNCTION("IMPORTRANGE(""https://docs.google.com/spreadsheets/d/""&amp;$A616&amp;""/edit#gid=156619080"",Y$3)"),"#REF!")</f>
        <v>#REF!</v>
      </c>
      <c r="Z616" s="2" t="str">
        <f>IFERROR(__xludf.DUMMYFUNCTION("IMPORTRANGE(""https://docs.google.com/spreadsheets/d/""&amp;$A616&amp;""/edit#gid=156619080"",Z$3)"),"#REF!")</f>
        <v>#REF!</v>
      </c>
      <c r="AA616" s="2" t="str">
        <f>IFERROR(__xludf.DUMMYFUNCTION("IMPORTRANGE(""https://docs.google.com/spreadsheets/d/""&amp;$A616&amp;""/edit#gid=156619080"",AA$3)"),"#REF!")</f>
        <v>#REF!</v>
      </c>
      <c r="AB616" s="2" t="str">
        <f>IFERROR(__xludf.DUMMYFUNCTION("IMPORTRANGE(""https://docs.google.com/spreadsheets/d/""&amp;$A616&amp;""/edit#gid=156619080"",AB$3)"),"#REF!")</f>
        <v>#REF!</v>
      </c>
      <c r="AC616" s="2" t="str">
        <f>IFERROR(__xludf.DUMMYFUNCTION("IMPORTRANGE(""https://docs.google.com/spreadsheets/d/""&amp;$A616&amp;""/edit#gid=156619080"",AC$3)"),"#REF!")</f>
        <v>#REF!</v>
      </c>
      <c r="AD616" s="2" t="str">
        <f>IFERROR(__xludf.DUMMYFUNCTION("IMPORTRANGE(""https://docs.google.com/spreadsheets/d/""&amp;$A616&amp;""/edit#gid=156619080"",AD$3)"),"#REF!")</f>
        <v>#REF!</v>
      </c>
      <c r="AE616" s="2" t="str">
        <f>IFERROR(__xludf.DUMMYFUNCTION("IMPORTRANGE(""https://docs.google.com/spreadsheets/d/""&amp;$A616&amp;""/edit#gid=156619080"",AE$3)"),"#REF!")</f>
        <v>#REF!</v>
      </c>
      <c r="AF616" s="2" t="str">
        <f>IFERROR(__xludf.DUMMYFUNCTION("IMPORTRANGE(""https://docs.google.com/spreadsheets/d/""&amp;$A616&amp;""/edit#gid=156619080"",AF$3)"),"#REF!")</f>
        <v>#REF!</v>
      </c>
      <c r="AG616" s="2" t="str">
        <f>IFERROR(__xludf.DUMMYFUNCTION("IMPORTRANGE(""https://docs.google.com/spreadsheets/d/""&amp;$A616&amp;""/edit#gid=156619080"",AG$3)"),"#REF!")</f>
        <v>#REF!</v>
      </c>
      <c r="AH616" s="2" t="str">
        <f>IFERROR(__xludf.DUMMYFUNCTION("IMPORTRANGE(""https://docs.google.com/spreadsheets/d/""&amp;$A616&amp;""/edit#gid=156619080"",AH$3)"),"#REF!")</f>
        <v>#REF!</v>
      </c>
      <c r="AI616" s="2" t="str">
        <f>IFERROR(__xludf.DUMMYFUNCTION("IMPORTRANGE(""https://docs.google.com/spreadsheets/d/""&amp;$A616&amp;""/edit#gid=156619080"",AI$3)"),"#REF!")</f>
        <v>#REF!</v>
      </c>
      <c r="AJ616" s="2" t="str">
        <f>IFERROR(__xludf.DUMMYFUNCTION("IMPORTRANGE(""https://docs.google.com/spreadsheets/d/""&amp;$A616&amp;""/edit#gid=156619080"",AJ$3)"),"#REF!")</f>
        <v>#REF!</v>
      </c>
      <c r="AK616" s="2" t="str">
        <f>IFERROR(__xludf.DUMMYFUNCTION("IMPORTRANGE(""https://docs.google.com/spreadsheets/d/""&amp;$A616&amp;""/edit#gid=156619080"",AK$3)"),"#REF!")</f>
        <v>#REF!</v>
      </c>
      <c r="AL616" s="2" t="str">
        <f>IFERROR(__xludf.DUMMYFUNCTION("IMPORTRANGE(""https://docs.google.com/spreadsheets/d/""&amp;$A616&amp;""/edit#gid=156619080"",AL$3)"),"#REF!")</f>
        <v>#REF!</v>
      </c>
      <c r="AM616" s="2" t="str">
        <f>IFERROR(__xludf.DUMMYFUNCTION("IMPORTRANGE(""https://docs.google.com/spreadsheets/d/""&amp;$A616&amp;""/edit#gid=156619080"",AM$3)"),"#REF!")</f>
        <v>#REF!</v>
      </c>
      <c r="AN616" s="2" t="str">
        <f>IFERROR(__xludf.DUMMYFUNCTION("IMPORTRANGE(""https://docs.google.com/spreadsheets/d/""&amp;$A616&amp;""/edit#gid=156619080"",AN$3)"),"#REF!")</f>
        <v>#REF!</v>
      </c>
      <c r="AO616" s="2" t="str">
        <f>IFERROR(__xludf.DUMMYFUNCTION("IMPORTRANGE(""https://docs.google.com/spreadsheets/d/""&amp;$A616&amp;""/edit#gid=156619080"",AO$3)"),"#REF!")</f>
        <v>#REF!</v>
      </c>
      <c r="AP616" s="2" t="str">
        <f>IFERROR(__xludf.DUMMYFUNCTION("IMPORTRANGE(""https://docs.google.com/spreadsheets/d/""&amp;$A616&amp;""/edit#gid=156619080"",AP$3)"),"#REF!")</f>
        <v>#REF!</v>
      </c>
      <c r="AQ616" s="2" t="str">
        <f>IFERROR(__xludf.DUMMYFUNCTION("IMPORTRANGE(""https://docs.google.com/spreadsheets/d/""&amp;$A616&amp;""/edit#gid=156619080"",AQ$3)"),"#REF!")</f>
        <v>#REF!</v>
      </c>
      <c r="AR616" s="2" t="str">
        <f>IFERROR(__xludf.DUMMYFUNCTION("IMPORTRANGE(""https://docs.google.com/spreadsheets/d/""&amp;$A616&amp;""/edit#gid=156619080"",AR$3)"),"#REF!")</f>
        <v>#REF!</v>
      </c>
      <c r="AS616" s="19" t="str">
        <f>IFERROR(__xludf.DUMMYFUNCTION("IMPORTRANGE(""https://docs.google.com/spreadsheets/d/""&amp;$A616&amp;""/edit#gid=156619080"",AS$3)"),"#REF!")</f>
        <v>#REF!</v>
      </c>
      <c r="AT616" s="2" t="str">
        <f>IFERROR(__xludf.DUMMYFUNCTION("IMPORTRANGE(""https://docs.google.com/spreadsheets/d/""&amp;$A616&amp;""/edit#gid=156619080"",AT$3)"),"#REF!")</f>
        <v>#REF!</v>
      </c>
      <c r="AU616" s="3" t="str">
        <f>IFERROR(__xludf.DUMMYFUNCTION("IMPORTRANGE(""https://docs.google.com/spreadsheets/d/""&amp;$A616&amp;""/edit#gid=156619080"",AU$3)"),"#REF!")</f>
        <v>#REF!</v>
      </c>
      <c r="AV616" s="2" t="str">
        <f>IFERROR(__xludf.DUMMYFUNCTION("IMPORTRANGE(""https://docs.google.com/spreadsheets/d/""&amp;$A616&amp;""/edit#gid=156619080"",AV$3)"),"#REF!")</f>
        <v>#REF!</v>
      </c>
      <c r="AW616" s="19" t="str">
        <f>IFERROR(__xludf.DUMMYFUNCTION("IMPORTRANGE(""https://docs.google.com/spreadsheets/d/""&amp;$A616&amp;""/edit#gid=156619080"",AW$3)"),"#REF!")</f>
        <v>#REF!</v>
      </c>
      <c r="AX616" s="2" t="str">
        <f>IFERROR(__xludf.DUMMYFUNCTION("IMPORTRANGE(""https://docs.google.com/spreadsheets/d/""&amp;$A616&amp;""/edit#gid=156619080"",AX$3)"),"#REF!")</f>
        <v>#REF!</v>
      </c>
      <c r="AY616" s="2" t="str">
        <f>IFERROR(__xludf.DUMMYFUNCTION("IMPORTRANGE(""https://docs.google.com/spreadsheets/d/""&amp;$A616&amp;""/edit#gid=156619080"",AY$3)"),"#REF!")</f>
        <v>#REF!</v>
      </c>
      <c r="AZ616" s="2" t="str">
        <f>IFERROR(__xludf.DUMMYFUNCTION("IMPORTRANGE(""https://docs.google.com/spreadsheets/d/""&amp;$A616&amp;""/edit#gid=156619080"",AZ$3)"),"#REF!")</f>
        <v>#REF!</v>
      </c>
      <c r="BA616" s="2" t="str">
        <f>IFERROR(__xludf.DUMMYFUNCTION("IMPORTRANGE(""https://docs.google.com/spreadsheets/d/""&amp;$A616&amp;""/edit#gid=156619080"",BA$3)"),"#REF!")</f>
        <v>#REF!</v>
      </c>
      <c r="BB616" s="2" t="str">
        <f>IFERROR(__xludf.DUMMYFUNCTION("IMPORTRANGE(""https://docs.google.com/spreadsheets/d/""&amp;$A616&amp;""/edit#gid=156619080"",BB$3)"),"#REF!")</f>
        <v>#REF!</v>
      </c>
      <c r="BC616" s="2" t="str">
        <f>IFERROR(__xludf.DUMMYFUNCTION("IMPORTRANGE(""https://docs.google.com/spreadsheets/d/""&amp;$A616&amp;""/edit#gid=156619080"",BC$3)"),"#REF!")</f>
        <v>#REF!</v>
      </c>
    </row>
    <row r="617" ht="51.0" customHeight="1">
      <c r="A617" s="7" t="str">
        <f t="shared" si="5"/>
        <v/>
      </c>
      <c r="C617" s="2" t="str">
        <f>IFERROR(__xludf.DUMMYFUNCTION("IMPORTRANGE(""https://docs.google.com/spreadsheets/d/""&amp;$A617&amp;""/edit#gid=156619080"",C$3)"),"#REF!")</f>
        <v>#REF!</v>
      </c>
      <c r="D617" s="2" t="str">
        <f>IFERROR(__xludf.DUMMYFUNCTION("IMPORTRANGE(""https://docs.google.com/spreadsheets/d/""&amp;$A617&amp;""/edit#gid=156619080"",D$3)"),"#REF!")</f>
        <v>#REF!</v>
      </c>
      <c r="E617" s="2" t="str">
        <f>IFERROR(__xludf.DUMMYFUNCTION("IMPORTRANGE(""https://docs.google.com/spreadsheets/d/""&amp;$A617&amp;""/edit#gid=156619080"",E$3)"),"#REF!")</f>
        <v>#REF!</v>
      </c>
      <c r="F617" s="2" t="str">
        <f>IFERROR(__xludf.DUMMYFUNCTION("IMPORTRANGE(""https://docs.google.com/spreadsheets/d/""&amp;$A617&amp;""/edit#gid=156619080"",F$3)"),"#REF!")</f>
        <v>#REF!</v>
      </c>
      <c r="G617" s="2" t="str">
        <f>IFERROR(__xludf.DUMMYFUNCTION("IMPORTRANGE(""https://docs.google.com/spreadsheets/d/""&amp;$A617&amp;""/edit#gid=156619080"",G$3)"),"#REF!")</f>
        <v>#REF!</v>
      </c>
      <c r="H617" s="2" t="str">
        <f>IFERROR(__xludf.DUMMYFUNCTION("IMPORTRANGE(""https://docs.google.com/spreadsheets/d/""&amp;$A617&amp;""/edit#gid=156619080"",H$3)"),"#REF!")</f>
        <v>#REF!</v>
      </c>
      <c r="I617" s="2" t="str">
        <f>IFERROR(__xludf.DUMMYFUNCTION("IMPORTRANGE(""https://docs.google.com/spreadsheets/d/""&amp;$A617&amp;""/edit#gid=156619080"",I$3)"),"#REF!")</f>
        <v>#REF!</v>
      </c>
      <c r="J617" s="2" t="str">
        <f>IFERROR(__xludf.DUMMYFUNCTION("IMPORTRANGE(""https://docs.google.com/spreadsheets/d/""&amp;$A617&amp;""/edit#gid=156619080"",J$3)"),"#REF!")</f>
        <v>#REF!</v>
      </c>
      <c r="K617" s="2" t="str">
        <f>IFERROR(__xludf.DUMMYFUNCTION("IMPORTRANGE(""https://docs.google.com/spreadsheets/d/""&amp;$A617&amp;""/edit#gid=156619080"",K$3)"),"#REF!")</f>
        <v>#REF!</v>
      </c>
      <c r="L617" s="2" t="str">
        <f>IFERROR(__xludf.DUMMYFUNCTION("IMPORTRANGE(""https://docs.google.com/spreadsheets/d/""&amp;$A617&amp;""/edit#gid=156619080"",L$3)"),"#REF!")</f>
        <v>#REF!</v>
      </c>
      <c r="M617" s="2" t="str">
        <f>IFERROR(__xludf.DUMMYFUNCTION("IMPORTRANGE(""https://docs.google.com/spreadsheets/d/""&amp;$A617&amp;""/edit#gid=156619080"",M$3)"),"#REF!")</f>
        <v>#REF!</v>
      </c>
      <c r="N617" s="2" t="str">
        <f>IFERROR(__xludf.DUMMYFUNCTION("IMPORTRANGE(""https://docs.google.com/spreadsheets/d/""&amp;$A617&amp;""/edit#gid=156619080"",N$3)"),"#REF!")</f>
        <v>#REF!</v>
      </c>
      <c r="O617" s="2" t="str">
        <f>IFERROR(__xludf.DUMMYFUNCTION("IMPORTRANGE(""https://docs.google.com/spreadsheets/d/""&amp;$A617&amp;""/edit#gid=156619080"",O$3)"),"#REF!")</f>
        <v>#REF!</v>
      </c>
      <c r="P617" s="2" t="str">
        <f>IFERROR(__xludf.DUMMYFUNCTION("IMPORTRANGE(""https://docs.google.com/spreadsheets/d/""&amp;$A617&amp;""/edit#gid=156619080"",P$3)"),"#REF!")</f>
        <v>#REF!</v>
      </c>
      <c r="Q617" s="2" t="str">
        <f>IFERROR(__xludf.DUMMYFUNCTION("IMPORTRANGE(""https://docs.google.com/spreadsheets/d/""&amp;$A617&amp;""/edit#gid=156619080"",Q$3)"),"#REF!")</f>
        <v>#REF!</v>
      </c>
      <c r="R617" s="2" t="str">
        <f>IFERROR(__xludf.DUMMYFUNCTION("IMPORTRANGE(""https://docs.google.com/spreadsheets/d/""&amp;$A617&amp;""/edit#gid=156619080"",R$3)"),"#REF!")</f>
        <v>#REF!</v>
      </c>
      <c r="S617" s="2" t="str">
        <f>IFERROR(__xludf.DUMMYFUNCTION("IMPORTRANGE(""https://docs.google.com/spreadsheets/d/""&amp;$A617&amp;""/edit#gid=156619080"",S$3)"),"#REF!")</f>
        <v>#REF!</v>
      </c>
      <c r="T617" s="2" t="str">
        <f>IFERROR(__xludf.DUMMYFUNCTION("IMPORTRANGE(""https://docs.google.com/spreadsheets/d/""&amp;$A617&amp;""/edit#gid=156619080"",T$3)"),"#REF!")</f>
        <v>#REF!</v>
      </c>
      <c r="U617" s="2" t="str">
        <f>IFERROR(__xludf.DUMMYFUNCTION("IMPORTRANGE(""https://docs.google.com/spreadsheets/d/""&amp;$A617&amp;""/edit#gid=156619080"",U$3)"),"#REF!")</f>
        <v>#REF!</v>
      </c>
      <c r="V617" s="2" t="str">
        <f>IFERROR(__xludf.DUMMYFUNCTION("IMPORTRANGE(""https://docs.google.com/spreadsheets/d/""&amp;$A617&amp;""/edit#gid=156619080"",V$3)"),"#REF!")</f>
        <v>#REF!</v>
      </c>
      <c r="W617" s="2" t="str">
        <f>IFERROR(__xludf.DUMMYFUNCTION("IMPORTRANGE(""https://docs.google.com/spreadsheets/d/""&amp;$A617&amp;""/edit#gid=156619080"",W$3)"),"#REF!")</f>
        <v>#REF!</v>
      </c>
      <c r="X617" s="2" t="str">
        <f>IFERROR(__xludf.DUMMYFUNCTION("IMPORTRANGE(""https://docs.google.com/spreadsheets/d/""&amp;$A617&amp;""/edit#gid=156619080"",X$3)"),"#REF!")</f>
        <v>#REF!</v>
      </c>
      <c r="Y617" s="2" t="str">
        <f>IFERROR(__xludf.DUMMYFUNCTION("IMPORTRANGE(""https://docs.google.com/spreadsheets/d/""&amp;$A617&amp;""/edit#gid=156619080"",Y$3)"),"#REF!")</f>
        <v>#REF!</v>
      </c>
      <c r="Z617" s="2" t="str">
        <f>IFERROR(__xludf.DUMMYFUNCTION("IMPORTRANGE(""https://docs.google.com/spreadsheets/d/""&amp;$A617&amp;""/edit#gid=156619080"",Z$3)"),"#REF!")</f>
        <v>#REF!</v>
      </c>
      <c r="AA617" s="2" t="str">
        <f>IFERROR(__xludf.DUMMYFUNCTION("IMPORTRANGE(""https://docs.google.com/spreadsheets/d/""&amp;$A617&amp;""/edit#gid=156619080"",AA$3)"),"#REF!")</f>
        <v>#REF!</v>
      </c>
      <c r="AB617" s="2" t="str">
        <f>IFERROR(__xludf.DUMMYFUNCTION("IMPORTRANGE(""https://docs.google.com/spreadsheets/d/""&amp;$A617&amp;""/edit#gid=156619080"",AB$3)"),"#REF!")</f>
        <v>#REF!</v>
      </c>
      <c r="AC617" s="2" t="str">
        <f>IFERROR(__xludf.DUMMYFUNCTION("IMPORTRANGE(""https://docs.google.com/spreadsheets/d/""&amp;$A617&amp;""/edit#gid=156619080"",AC$3)"),"#REF!")</f>
        <v>#REF!</v>
      </c>
      <c r="AD617" s="2" t="str">
        <f>IFERROR(__xludf.DUMMYFUNCTION("IMPORTRANGE(""https://docs.google.com/spreadsheets/d/""&amp;$A617&amp;""/edit#gid=156619080"",AD$3)"),"#REF!")</f>
        <v>#REF!</v>
      </c>
      <c r="AE617" s="2" t="str">
        <f>IFERROR(__xludf.DUMMYFUNCTION("IMPORTRANGE(""https://docs.google.com/spreadsheets/d/""&amp;$A617&amp;""/edit#gid=156619080"",AE$3)"),"#REF!")</f>
        <v>#REF!</v>
      </c>
      <c r="AF617" s="2" t="str">
        <f>IFERROR(__xludf.DUMMYFUNCTION("IMPORTRANGE(""https://docs.google.com/spreadsheets/d/""&amp;$A617&amp;""/edit#gid=156619080"",AF$3)"),"#REF!")</f>
        <v>#REF!</v>
      </c>
      <c r="AG617" s="2" t="str">
        <f>IFERROR(__xludf.DUMMYFUNCTION("IMPORTRANGE(""https://docs.google.com/spreadsheets/d/""&amp;$A617&amp;""/edit#gid=156619080"",AG$3)"),"#REF!")</f>
        <v>#REF!</v>
      </c>
      <c r="AH617" s="2" t="str">
        <f>IFERROR(__xludf.DUMMYFUNCTION("IMPORTRANGE(""https://docs.google.com/spreadsheets/d/""&amp;$A617&amp;""/edit#gid=156619080"",AH$3)"),"#REF!")</f>
        <v>#REF!</v>
      </c>
      <c r="AI617" s="2" t="str">
        <f>IFERROR(__xludf.DUMMYFUNCTION("IMPORTRANGE(""https://docs.google.com/spreadsheets/d/""&amp;$A617&amp;""/edit#gid=156619080"",AI$3)"),"#REF!")</f>
        <v>#REF!</v>
      </c>
      <c r="AJ617" s="2" t="str">
        <f>IFERROR(__xludf.DUMMYFUNCTION("IMPORTRANGE(""https://docs.google.com/spreadsheets/d/""&amp;$A617&amp;""/edit#gid=156619080"",AJ$3)"),"#REF!")</f>
        <v>#REF!</v>
      </c>
      <c r="AK617" s="2" t="str">
        <f>IFERROR(__xludf.DUMMYFUNCTION("IMPORTRANGE(""https://docs.google.com/spreadsheets/d/""&amp;$A617&amp;""/edit#gid=156619080"",AK$3)"),"#REF!")</f>
        <v>#REF!</v>
      </c>
      <c r="AL617" s="2" t="str">
        <f>IFERROR(__xludf.DUMMYFUNCTION("IMPORTRANGE(""https://docs.google.com/spreadsheets/d/""&amp;$A617&amp;""/edit#gid=156619080"",AL$3)"),"#REF!")</f>
        <v>#REF!</v>
      </c>
      <c r="AM617" s="2" t="str">
        <f>IFERROR(__xludf.DUMMYFUNCTION("IMPORTRANGE(""https://docs.google.com/spreadsheets/d/""&amp;$A617&amp;""/edit#gid=156619080"",AM$3)"),"#REF!")</f>
        <v>#REF!</v>
      </c>
      <c r="AN617" s="2" t="str">
        <f>IFERROR(__xludf.DUMMYFUNCTION("IMPORTRANGE(""https://docs.google.com/spreadsheets/d/""&amp;$A617&amp;""/edit#gid=156619080"",AN$3)"),"#REF!")</f>
        <v>#REF!</v>
      </c>
      <c r="AO617" s="2" t="str">
        <f>IFERROR(__xludf.DUMMYFUNCTION("IMPORTRANGE(""https://docs.google.com/spreadsheets/d/""&amp;$A617&amp;""/edit#gid=156619080"",AO$3)"),"#REF!")</f>
        <v>#REF!</v>
      </c>
      <c r="AP617" s="2" t="str">
        <f>IFERROR(__xludf.DUMMYFUNCTION("IMPORTRANGE(""https://docs.google.com/spreadsheets/d/""&amp;$A617&amp;""/edit#gid=156619080"",AP$3)"),"#REF!")</f>
        <v>#REF!</v>
      </c>
      <c r="AQ617" s="2" t="str">
        <f>IFERROR(__xludf.DUMMYFUNCTION("IMPORTRANGE(""https://docs.google.com/spreadsheets/d/""&amp;$A617&amp;""/edit#gid=156619080"",AQ$3)"),"#REF!")</f>
        <v>#REF!</v>
      </c>
      <c r="AR617" s="2" t="str">
        <f>IFERROR(__xludf.DUMMYFUNCTION("IMPORTRANGE(""https://docs.google.com/spreadsheets/d/""&amp;$A617&amp;""/edit#gid=156619080"",AR$3)"),"#REF!")</f>
        <v>#REF!</v>
      </c>
      <c r="AS617" s="19" t="str">
        <f>IFERROR(__xludf.DUMMYFUNCTION("IMPORTRANGE(""https://docs.google.com/spreadsheets/d/""&amp;$A617&amp;""/edit#gid=156619080"",AS$3)"),"#REF!")</f>
        <v>#REF!</v>
      </c>
      <c r="AT617" s="2" t="str">
        <f>IFERROR(__xludf.DUMMYFUNCTION("IMPORTRANGE(""https://docs.google.com/spreadsheets/d/""&amp;$A617&amp;""/edit#gid=156619080"",AT$3)"),"#REF!")</f>
        <v>#REF!</v>
      </c>
      <c r="AU617" s="3" t="str">
        <f>IFERROR(__xludf.DUMMYFUNCTION("IMPORTRANGE(""https://docs.google.com/spreadsheets/d/""&amp;$A617&amp;""/edit#gid=156619080"",AU$3)"),"#REF!")</f>
        <v>#REF!</v>
      </c>
      <c r="AV617" s="2" t="str">
        <f>IFERROR(__xludf.DUMMYFUNCTION("IMPORTRANGE(""https://docs.google.com/spreadsheets/d/""&amp;$A617&amp;""/edit#gid=156619080"",AV$3)"),"#REF!")</f>
        <v>#REF!</v>
      </c>
      <c r="AW617" s="19" t="str">
        <f>IFERROR(__xludf.DUMMYFUNCTION("IMPORTRANGE(""https://docs.google.com/spreadsheets/d/""&amp;$A617&amp;""/edit#gid=156619080"",AW$3)"),"#REF!")</f>
        <v>#REF!</v>
      </c>
      <c r="AX617" s="2" t="str">
        <f>IFERROR(__xludf.DUMMYFUNCTION("IMPORTRANGE(""https://docs.google.com/spreadsheets/d/""&amp;$A617&amp;""/edit#gid=156619080"",AX$3)"),"#REF!")</f>
        <v>#REF!</v>
      </c>
      <c r="AY617" s="2" t="str">
        <f>IFERROR(__xludf.DUMMYFUNCTION("IMPORTRANGE(""https://docs.google.com/spreadsheets/d/""&amp;$A617&amp;""/edit#gid=156619080"",AY$3)"),"#REF!")</f>
        <v>#REF!</v>
      </c>
      <c r="AZ617" s="2" t="str">
        <f>IFERROR(__xludf.DUMMYFUNCTION("IMPORTRANGE(""https://docs.google.com/spreadsheets/d/""&amp;$A617&amp;""/edit#gid=156619080"",AZ$3)"),"#REF!")</f>
        <v>#REF!</v>
      </c>
      <c r="BA617" s="2" t="str">
        <f>IFERROR(__xludf.DUMMYFUNCTION("IMPORTRANGE(""https://docs.google.com/spreadsheets/d/""&amp;$A617&amp;""/edit#gid=156619080"",BA$3)"),"#REF!")</f>
        <v>#REF!</v>
      </c>
      <c r="BB617" s="2" t="str">
        <f>IFERROR(__xludf.DUMMYFUNCTION("IMPORTRANGE(""https://docs.google.com/spreadsheets/d/""&amp;$A617&amp;""/edit#gid=156619080"",BB$3)"),"#REF!")</f>
        <v>#REF!</v>
      </c>
      <c r="BC617" s="2" t="str">
        <f>IFERROR(__xludf.DUMMYFUNCTION("IMPORTRANGE(""https://docs.google.com/spreadsheets/d/""&amp;$A617&amp;""/edit#gid=156619080"",BC$3)"),"#REF!")</f>
        <v>#REF!</v>
      </c>
    </row>
    <row r="618" ht="51.0" customHeight="1">
      <c r="A618" s="7" t="str">
        <f t="shared" si="5"/>
        <v/>
      </c>
      <c r="C618" s="2" t="str">
        <f>IFERROR(__xludf.DUMMYFUNCTION("IMPORTRANGE(""https://docs.google.com/spreadsheets/d/""&amp;$A618&amp;""/edit#gid=156619080"",C$3)"),"#REF!")</f>
        <v>#REF!</v>
      </c>
      <c r="D618" s="2" t="str">
        <f>IFERROR(__xludf.DUMMYFUNCTION("IMPORTRANGE(""https://docs.google.com/spreadsheets/d/""&amp;$A618&amp;""/edit#gid=156619080"",D$3)"),"#REF!")</f>
        <v>#REF!</v>
      </c>
      <c r="E618" s="2" t="str">
        <f>IFERROR(__xludf.DUMMYFUNCTION("IMPORTRANGE(""https://docs.google.com/spreadsheets/d/""&amp;$A618&amp;""/edit#gid=156619080"",E$3)"),"#REF!")</f>
        <v>#REF!</v>
      </c>
      <c r="F618" s="2" t="str">
        <f>IFERROR(__xludf.DUMMYFUNCTION("IMPORTRANGE(""https://docs.google.com/spreadsheets/d/""&amp;$A618&amp;""/edit#gid=156619080"",F$3)"),"#REF!")</f>
        <v>#REF!</v>
      </c>
      <c r="G618" s="2" t="str">
        <f>IFERROR(__xludf.DUMMYFUNCTION("IMPORTRANGE(""https://docs.google.com/spreadsheets/d/""&amp;$A618&amp;""/edit#gid=156619080"",G$3)"),"#REF!")</f>
        <v>#REF!</v>
      </c>
      <c r="H618" s="2" t="str">
        <f>IFERROR(__xludf.DUMMYFUNCTION("IMPORTRANGE(""https://docs.google.com/spreadsheets/d/""&amp;$A618&amp;""/edit#gid=156619080"",H$3)"),"#REF!")</f>
        <v>#REF!</v>
      </c>
      <c r="I618" s="2" t="str">
        <f>IFERROR(__xludf.DUMMYFUNCTION("IMPORTRANGE(""https://docs.google.com/spreadsheets/d/""&amp;$A618&amp;""/edit#gid=156619080"",I$3)"),"#REF!")</f>
        <v>#REF!</v>
      </c>
      <c r="J618" s="2" t="str">
        <f>IFERROR(__xludf.DUMMYFUNCTION("IMPORTRANGE(""https://docs.google.com/spreadsheets/d/""&amp;$A618&amp;""/edit#gid=156619080"",J$3)"),"#REF!")</f>
        <v>#REF!</v>
      </c>
      <c r="K618" s="2" t="str">
        <f>IFERROR(__xludf.DUMMYFUNCTION("IMPORTRANGE(""https://docs.google.com/spreadsheets/d/""&amp;$A618&amp;""/edit#gid=156619080"",K$3)"),"#REF!")</f>
        <v>#REF!</v>
      </c>
      <c r="L618" s="2" t="str">
        <f>IFERROR(__xludf.DUMMYFUNCTION("IMPORTRANGE(""https://docs.google.com/spreadsheets/d/""&amp;$A618&amp;""/edit#gid=156619080"",L$3)"),"#REF!")</f>
        <v>#REF!</v>
      </c>
      <c r="M618" s="2" t="str">
        <f>IFERROR(__xludf.DUMMYFUNCTION("IMPORTRANGE(""https://docs.google.com/spreadsheets/d/""&amp;$A618&amp;""/edit#gid=156619080"",M$3)"),"#REF!")</f>
        <v>#REF!</v>
      </c>
      <c r="N618" s="2" t="str">
        <f>IFERROR(__xludf.DUMMYFUNCTION("IMPORTRANGE(""https://docs.google.com/spreadsheets/d/""&amp;$A618&amp;""/edit#gid=156619080"",N$3)"),"#REF!")</f>
        <v>#REF!</v>
      </c>
      <c r="O618" s="2" t="str">
        <f>IFERROR(__xludf.DUMMYFUNCTION("IMPORTRANGE(""https://docs.google.com/spreadsheets/d/""&amp;$A618&amp;""/edit#gid=156619080"",O$3)"),"#REF!")</f>
        <v>#REF!</v>
      </c>
      <c r="P618" s="2" t="str">
        <f>IFERROR(__xludf.DUMMYFUNCTION("IMPORTRANGE(""https://docs.google.com/spreadsheets/d/""&amp;$A618&amp;""/edit#gid=156619080"",P$3)"),"#REF!")</f>
        <v>#REF!</v>
      </c>
      <c r="Q618" s="2" t="str">
        <f>IFERROR(__xludf.DUMMYFUNCTION("IMPORTRANGE(""https://docs.google.com/spreadsheets/d/""&amp;$A618&amp;""/edit#gid=156619080"",Q$3)"),"#REF!")</f>
        <v>#REF!</v>
      </c>
      <c r="R618" s="2" t="str">
        <f>IFERROR(__xludf.DUMMYFUNCTION("IMPORTRANGE(""https://docs.google.com/spreadsheets/d/""&amp;$A618&amp;""/edit#gid=156619080"",R$3)"),"#REF!")</f>
        <v>#REF!</v>
      </c>
      <c r="S618" s="2" t="str">
        <f>IFERROR(__xludf.DUMMYFUNCTION("IMPORTRANGE(""https://docs.google.com/spreadsheets/d/""&amp;$A618&amp;""/edit#gid=156619080"",S$3)"),"#REF!")</f>
        <v>#REF!</v>
      </c>
      <c r="T618" s="2" t="str">
        <f>IFERROR(__xludf.DUMMYFUNCTION("IMPORTRANGE(""https://docs.google.com/spreadsheets/d/""&amp;$A618&amp;""/edit#gid=156619080"",T$3)"),"#REF!")</f>
        <v>#REF!</v>
      </c>
      <c r="U618" s="2" t="str">
        <f>IFERROR(__xludf.DUMMYFUNCTION("IMPORTRANGE(""https://docs.google.com/spreadsheets/d/""&amp;$A618&amp;""/edit#gid=156619080"",U$3)"),"#REF!")</f>
        <v>#REF!</v>
      </c>
      <c r="V618" s="2" t="str">
        <f>IFERROR(__xludf.DUMMYFUNCTION("IMPORTRANGE(""https://docs.google.com/spreadsheets/d/""&amp;$A618&amp;""/edit#gid=156619080"",V$3)"),"#REF!")</f>
        <v>#REF!</v>
      </c>
      <c r="W618" s="2" t="str">
        <f>IFERROR(__xludf.DUMMYFUNCTION("IMPORTRANGE(""https://docs.google.com/spreadsheets/d/""&amp;$A618&amp;""/edit#gid=156619080"",W$3)"),"#REF!")</f>
        <v>#REF!</v>
      </c>
      <c r="X618" s="2" t="str">
        <f>IFERROR(__xludf.DUMMYFUNCTION("IMPORTRANGE(""https://docs.google.com/spreadsheets/d/""&amp;$A618&amp;""/edit#gid=156619080"",X$3)"),"#REF!")</f>
        <v>#REF!</v>
      </c>
      <c r="Y618" s="2" t="str">
        <f>IFERROR(__xludf.DUMMYFUNCTION("IMPORTRANGE(""https://docs.google.com/spreadsheets/d/""&amp;$A618&amp;""/edit#gid=156619080"",Y$3)"),"#REF!")</f>
        <v>#REF!</v>
      </c>
      <c r="Z618" s="2" t="str">
        <f>IFERROR(__xludf.DUMMYFUNCTION("IMPORTRANGE(""https://docs.google.com/spreadsheets/d/""&amp;$A618&amp;""/edit#gid=156619080"",Z$3)"),"#REF!")</f>
        <v>#REF!</v>
      </c>
      <c r="AA618" s="2" t="str">
        <f>IFERROR(__xludf.DUMMYFUNCTION("IMPORTRANGE(""https://docs.google.com/spreadsheets/d/""&amp;$A618&amp;""/edit#gid=156619080"",AA$3)"),"#REF!")</f>
        <v>#REF!</v>
      </c>
      <c r="AB618" s="2" t="str">
        <f>IFERROR(__xludf.DUMMYFUNCTION("IMPORTRANGE(""https://docs.google.com/spreadsheets/d/""&amp;$A618&amp;""/edit#gid=156619080"",AB$3)"),"#REF!")</f>
        <v>#REF!</v>
      </c>
      <c r="AC618" s="2" t="str">
        <f>IFERROR(__xludf.DUMMYFUNCTION("IMPORTRANGE(""https://docs.google.com/spreadsheets/d/""&amp;$A618&amp;""/edit#gid=156619080"",AC$3)"),"#REF!")</f>
        <v>#REF!</v>
      </c>
      <c r="AD618" s="2" t="str">
        <f>IFERROR(__xludf.DUMMYFUNCTION("IMPORTRANGE(""https://docs.google.com/spreadsheets/d/""&amp;$A618&amp;""/edit#gid=156619080"",AD$3)"),"#REF!")</f>
        <v>#REF!</v>
      </c>
      <c r="AE618" s="2" t="str">
        <f>IFERROR(__xludf.DUMMYFUNCTION("IMPORTRANGE(""https://docs.google.com/spreadsheets/d/""&amp;$A618&amp;""/edit#gid=156619080"",AE$3)"),"#REF!")</f>
        <v>#REF!</v>
      </c>
      <c r="AF618" s="2" t="str">
        <f>IFERROR(__xludf.DUMMYFUNCTION("IMPORTRANGE(""https://docs.google.com/spreadsheets/d/""&amp;$A618&amp;""/edit#gid=156619080"",AF$3)"),"#REF!")</f>
        <v>#REF!</v>
      </c>
      <c r="AG618" s="2" t="str">
        <f>IFERROR(__xludf.DUMMYFUNCTION("IMPORTRANGE(""https://docs.google.com/spreadsheets/d/""&amp;$A618&amp;""/edit#gid=156619080"",AG$3)"),"#REF!")</f>
        <v>#REF!</v>
      </c>
      <c r="AH618" s="2" t="str">
        <f>IFERROR(__xludf.DUMMYFUNCTION("IMPORTRANGE(""https://docs.google.com/spreadsheets/d/""&amp;$A618&amp;""/edit#gid=156619080"",AH$3)"),"#REF!")</f>
        <v>#REF!</v>
      </c>
      <c r="AI618" s="2" t="str">
        <f>IFERROR(__xludf.DUMMYFUNCTION("IMPORTRANGE(""https://docs.google.com/spreadsheets/d/""&amp;$A618&amp;""/edit#gid=156619080"",AI$3)"),"#REF!")</f>
        <v>#REF!</v>
      </c>
      <c r="AJ618" s="2" t="str">
        <f>IFERROR(__xludf.DUMMYFUNCTION("IMPORTRANGE(""https://docs.google.com/spreadsheets/d/""&amp;$A618&amp;""/edit#gid=156619080"",AJ$3)"),"#REF!")</f>
        <v>#REF!</v>
      </c>
      <c r="AK618" s="2" t="str">
        <f>IFERROR(__xludf.DUMMYFUNCTION("IMPORTRANGE(""https://docs.google.com/spreadsheets/d/""&amp;$A618&amp;""/edit#gid=156619080"",AK$3)"),"#REF!")</f>
        <v>#REF!</v>
      </c>
      <c r="AL618" s="2" t="str">
        <f>IFERROR(__xludf.DUMMYFUNCTION("IMPORTRANGE(""https://docs.google.com/spreadsheets/d/""&amp;$A618&amp;""/edit#gid=156619080"",AL$3)"),"#REF!")</f>
        <v>#REF!</v>
      </c>
      <c r="AM618" s="2" t="str">
        <f>IFERROR(__xludf.DUMMYFUNCTION("IMPORTRANGE(""https://docs.google.com/spreadsheets/d/""&amp;$A618&amp;""/edit#gid=156619080"",AM$3)"),"#REF!")</f>
        <v>#REF!</v>
      </c>
      <c r="AN618" s="2" t="str">
        <f>IFERROR(__xludf.DUMMYFUNCTION("IMPORTRANGE(""https://docs.google.com/spreadsheets/d/""&amp;$A618&amp;""/edit#gid=156619080"",AN$3)"),"#REF!")</f>
        <v>#REF!</v>
      </c>
      <c r="AO618" s="2" t="str">
        <f>IFERROR(__xludf.DUMMYFUNCTION("IMPORTRANGE(""https://docs.google.com/spreadsheets/d/""&amp;$A618&amp;""/edit#gid=156619080"",AO$3)"),"#REF!")</f>
        <v>#REF!</v>
      </c>
      <c r="AP618" s="2" t="str">
        <f>IFERROR(__xludf.DUMMYFUNCTION("IMPORTRANGE(""https://docs.google.com/spreadsheets/d/""&amp;$A618&amp;""/edit#gid=156619080"",AP$3)"),"#REF!")</f>
        <v>#REF!</v>
      </c>
      <c r="AQ618" s="2" t="str">
        <f>IFERROR(__xludf.DUMMYFUNCTION("IMPORTRANGE(""https://docs.google.com/spreadsheets/d/""&amp;$A618&amp;""/edit#gid=156619080"",AQ$3)"),"#REF!")</f>
        <v>#REF!</v>
      </c>
      <c r="AR618" s="2" t="str">
        <f>IFERROR(__xludf.DUMMYFUNCTION("IMPORTRANGE(""https://docs.google.com/spreadsheets/d/""&amp;$A618&amp;""/edit#gid=156619080"",AR$3)"),"#REF!")</f>
        <v>#REF!</v>
      </c>
      <c r="AS618" s="19" t="str">
        <f>IFERROR(__xludf.DUMMYFUNCTION("IMPORTRANGE(""https://docs.google.com/spreadsheets/d/""&amp;$A618&amp;""/edit#gid=156619080"",AS$3)"),"#REF!")</f>
        <v>#REF!</v>
      </c>
      <c r="AT618" s="2" t="str">
        <f>IFERROR(__xludf.DUMMYFUNCTION("IMPORTRANGE(""https://docs.google.com/spreadsheets/d/""&amp;$A618&amp;""/edit#gid=156619080"",AT$3)"),"#REF!")</f>
        <v>#REF!</v>
      </c>
      <c r="AU618" s="3" t="str">
        <f>IFERROR(__xludf.DUMMYFUNCTION("IMPORTRANGE(""https://docs.google.com/spreadsheets/d/""&amp;$A618&amp;""/edit#gid=156619080"",AU$3)"),"#REF!")</f>
        <v>#REF!</v>
      </c>
      <c r="AV618" s="2" t="str">
        <f>IFERROR(__xludf.DUMMYFUNCTION("IMPORTRANGE(""https://docs.google.com/spreadsheets/d/""&amp;$A618&amp;""/edit#gid=156619080"",AV$3)"),"#REF!")</f>
        <v>#REF!</v>
      </c>
      <c r="AW618" s="19" t="str">
        <f>IFERROR(__xludf.DUMMYFUNCTION("IMPORTRANGE(""https://docs.google.com/spreadsheets/d/""&amp;$A618&amp;""/edit#gid=156619080"",AW$3)"),"#REF!")</f>
        <v>#REF!</v>
      </c>
      <c r="AX618" s="2" t="str">
        <f>IFERROR(__xludf.DUMMYFUNCTION("IMPORTRANGE(""https://docs.google.com/spreadsheets/d/""&amp;$A618&amp;""/edit#gid=156619080"",AX$3)"),"#REF!")</f>
        <v>#REF!</v>
      </c>
      <c r="AY618" s="2" t="str">
        <f>IFERROR(__xludf.DUMMYFUNCTION("IMPORTRANGE(""https://docs.google.com/spreadsheets/d/""&amp;$A618&amp;""/edit#gid=156619080"",AY$3)"),"#REF!")</f>
        <v>#REF!</v>
      </c>
      <c r="AZ618" s="2" t="str">
        <f>IFERROR(__xludf.DUMMYFUNCTION("IMPORTRANGE(""https://docs.google.com/spreadsheets/d/""&amp;$A618&amp;""/edit#gid=156619080"",AZ$3)"),"#REF!")</f>
        <v>#REF!</v>
      </c>
      <c r="BA618" s="2" t="str">
        <f>IFERROR(__xludf.DUMMYFUNCTION("IMPORTRANGE(""https://docs.google.com/spreadsheets/d/""&amp;$A618&amp;""/edit#gid=156619080"",BA$3)"),"#REF!")</f>
        <v>#REF!</v>
      </c>
      <c r="BB618" s="2" t="str">
        <f>IFERROR(__xludf.DUMMYFUNCTION("IMPORTRANGE(""https://docs.google.com/spreadsheets/d/""&amp;$A618&amp;""/edit#gid=156619080"",BB$3)"),"#REF!")</f>
        <v>#REF!</v>
      </c>
      <c r="BC618" s="2" t="str">
        <f>IFERROR(__xludf.DUMMYFUNCTION("IMPORTRANGE(""https://docs.google.com/spreadsheets/d/""&amp;$A618&amp;""/edit#gid=156619080"",BC$3)"),"#REF!")</f>
        <v>#REF!</v>
      </c>
    </row>
    <row r="619" ht="51.0" customHeight="1">
      <c r="A619" s="7" t="str">
        <f t="shared" si="5"/>
        <v/>
      </c>
      <c r="C619" s="2" t="str">
        <f>IFERROR(__xludf.DUMMYFUNCTION("IMPORTRANGE(""https://docs.google.com/spreadsheets/d/""&amp;$A619&amp;""/edit#gid=156619080"",C$3)"),"#REF!")</f>
        <v>#REF!</v>
      </c>
      <c r="D619" s="2" t="str">
        <f>IFERROR(__xludf.DUMMYFUNCTION("IMPORTRANGE(""https://docs.google.com/spreadsheets/d/""&amp;$A619&amp;""/edit#gid=156619080"",D$3)"),"#REF!")</f>
        <v>#REF!</v>
      </c>
      <c r="E619" s="2" t="str">
        <f>IFERROR(__xludf.DUMMYFUNCTION("IMPORTRANGE(""https://docs.google.com/spreadsheets/d/""&amp;$A619&amp;""/edit#gid=156619080"",E$3)"),"#REF!")</f>
        <v>#REF!</v>
      </c>
      <c r="F619" s="2" t="str">
        <f>IFERROR(__xludf.DUMMYFUNCTION("IMPORTRANGE(""https://docs.google.com/spreadsheets/d/""&amp;$A619&amp;""/edit#gid=156619080"",F$3)"),"#REF!")</f>
        <v>#REF!</v>
      </c>
      <c r="G619" s="2" t="str">
        <f>IFERROR(__xludf.DUMMYFUNCTION("IMPORTRANGE(""https://docs.google.com/spreadsheets/d/""&amp;$A619&amp;""/edit#gid=156619080"",G$3)"),"#REF!")</f>
        <v>#REF!</v>
      </c>
      <c r="H619" s="2" t="str">
        <f>IFERROR(__xludf.DUMMYFUNCTION("IMPORTRANGE(""https://docs.google.com/spreadsheets/d/""&amp;$A619&amp;""/edit#gid=156619080"",H$3)"),"#REF!")</f>
        <v>#REF!</v>
      </c>
      <c r="I619" s="2" t="str">
        <f>IFERROR(__xludf.DUMMYFUNCTION("IMPORTRANGE(""https://docs.google.com/spreadsheets/d/""&amp;$A619&amp;""/edit#gid=156619080"",I$3)"),"#REF!")</f>
        <v>#REF!</v>
      </c>
      <c r="J619" s="2" t="str">
        <f>IFERROR(__xludf.DUMMYFUNCTION("IMPORTRANGE(""https://docs.google.com/spreadsheets/d/""&amp;$A619&amp;""/edit#gid=156619080"",J$3)"),"#REF!")</f>
        <v>#REF!</v>
      </c>
      <c r="K619" s="2" t="str">
        <f>IFERROR(__xludf.DUMMYFUNCTION("IMPORTRANGE(""https://docs.google.com/spreadsheets/d/""&amp;$A619&amp;""/edit#gid=156619080"",K$3)"),"#REF!")</f>
        <v>#REF!</v>
      </c>
      <c r="L619" s="2" t="str">
        <f>IFERROR(__xludf.DUMMYFUNCTION("IMPORTRANGE(""https://docs.google.com/spreadsheets/d/""&amp;$A619&amp;""/edit#gid=156619080"",L$3)"),"#REF!")</f>
        <v>#REF!</v>
      </c>
      <c r="M619" s="2" t="str">
        <f>IFERROR(__xludf.DUMMYFUNCTION("IMPORTRANGE(""https://docs.google.com/spreadsheets/d/""&amp;$A619&amp;""/edit#gid=156619080"",M$3)"),"#REF!")</f>
        <v>#REF!</v>
      </c>
      <c r="N619" s="2" t="str">
        <f>IFERROR(__xludf.DUMMYFUNCTION("IMPORTRANGE(""https://docs.google.com/spreadsheets/d/""&amp;$A619&amp;""/edit#gid=156619080"",N$3)"),"#REF!")</f>
        <v>#REF!</v>
      </c>
      <c r="O619" s="2" t="str">
        <f>IFERROR(__xludf.DUMMYFUNCTION("IMPORTRANGE(""https://docs.google.com/spreadsheets/d/""&amp;$A619&amp;""/edit#gid=156619080"",O$3)"),"#REF!")</f>
        <v>#REF!</v>
      </c>
      <c r="P619" s="2" t="str">
        <f>IFERROR(__xludf.DUMMYFUNCTION("IMPORTRANGE(""https://docs.google.com/spreadsheets/d/""&amp;$A619&amp;""/edit#gid=156619080"",P$3)"),"#REF!")</f>
        <v>#REF!</v>
      </c>
      <c r="Q619" s="2" t="str">
        <f>IFERROR(__xludf.DUMMYFUNCTION("IMPORTRANGE(""https://docs.google.com/spreadsheets/d/""&amp;$A619&amp;""/edit#gid=156619080"",Q$3)"),"#REF!")</f>
        <v>#REF!</v>
      </c>
      <c r="R619" s="2" t="str">
        <f>IFERROR(__xludf.DUMMYFUNCTION("IMPORTRANGE(""https://docs.google.com/spreadsheets/d/""&amp;$A619&amp;""/edit#gid=156619080"",R$3)"),"#REF!")</f>
        <v>#REF!</v>
      </c>
      <c r="S619" s="2" t="str">
        <f>IFERROR(__xludf.DUMMYFUNCTION("IMPORTRANGE(""https://docs.google.com/spreadsheets/d/""&amp;$A619&amp;""/edit#gid=156619080"",S$3)"),"#REF!")</f>
        <v>#REF!</v>
      </c>
      <c r="T619" s="2" t="str">
        <f>IFERROR(__xludf.DUMMYFUNCTION("IMPORTRANGE(""https://docs.google.com/spreadsheets/d/""&amp;$A619&amp;""/edit#gid=156619080"",T$3)"),"#REF!")</f>
        <v>#REF!</v>
      </c>
      <c r="U619" s="2" t="str">
        <f>IFERROR(__xludf.DUMMYFUNCTION("IMPORTRANGE(""https://docs.google.com/spreadsheets/d/""&amp;$A619&amp;""/edit#gid=156619080"",U$3)"),"#REF!")</f>
        <v>#REF!</v>
      </c>
      <c r="V619" s="2" t="str">
        <f>IFERROR(__xludf.DUMMYFUNCTION("IMPORTRANGE(""https://docs.google.com/spreadsheets/d/""&amp;$A619&amp;""/edit#gid=156619080"",V$3)"),"#REF!")</f>
        <v>#REF!</v>
      </c>
      <c r="W619" s="2" t="str">
        <f>IFERROR(__xludf.DUMMYFUNCTION("IMPORTRANGE(""https://docs.google.com/spreadsheets/d/""&amp;$A619&amp;""/edit#gid=156619080"",W$3)"),"#REF!")</f>
        <v>#REF!</v>
      </c>
      <c r="X619" s="2" t="str">
        <f>IFERROR(__xludf.DUMMYFUNCTION("IMPORTRANGE(""https://docs.google.com/spreadsheets/d/""&amp;$A619&amp;""/edit#gid=156619080"",X$3)"),"#REF!")</f>
        <v>#REF!</v>
      </c>
      <c r="Y619" s="2" t="str">
        <f>IFERROR(__xludf.DUMMYFUNCTION("IMPORTRANGE(""https://docs.google.com/spreadsheets/d/""&amp;$A619&amp;""/edit#gid=156619080"",Y$3)"),"#REF!")</f>
        <v>#REF!</v>
      </c>
      <c r="Z619" s="2" t="str">
        <f>IFERROR(__xludf.DUMMYFUNCTION("IMPORTRANGE(""https://docs.google.com/spreadsheets/d/""&amp;$A619&amp;""/edit#gid=156619080"",Z$3)"),"#REF!")</f>
        <v>#REF!</v>
      </c>
      <c r="AA619" s="2" t="str">
        <f>IFERROR(__xludf.DUMMYFUNCTION("IMPORTRANGE(""https://docs.google.com/spreadsheets/d/""&amp;$A619&amp;""/edit#gid=156619080"",AA$3)"),"#REF!")</f>
        <v>#REF!</v>
      </c>
      <c r="AB619" s="2" t="str">
        <f>IFERROR(__xludf.DUMMYFUNCTION("IMPORTRANGE(""https://docs.google.com/spreadsheets/d/""&amp;$A619&amp;""/edit#gid=156619080"",AB$3)"),"#REF!")</f>
        <v>#REF!</v>
      </c>
      <c r="AC619" s="2" t="str">
        <f>IFERROR(__xludf.DUMMYFUNCTION("IMPORTRANGE(""https://docs.google.com/spreadsheets/d/""&amp;$A619&amp;""/edit#gid=156619080"",AC$3)"),"#REF!")</f>
        <v>#REF!</v>
      </c>
      <c r="AD619" s="2" t="str">
        <f>IFERROR(__xludf.DUMMYFUNCTION("IMPORTRANGE(""https://docs.google.com/spreadsheets/d/""&amp;$A619&amp;""/edit#gid=156619080"",AD$3)"),"#REF!")</f>
        <v>#REF!</v>
      </c>
      <c r="AE619" s="2" t="str">
        <f>IFERROR(__xludf.DUMMYFUNCTION("IMPORTRANGE(""https://docs.google.com/spreadsheets/d/""&amp;$A619&amp;""/edit#gid=156619080"",AE$3)"),"#REF!")</f>
        <v>#REF!</v>
      </c>
      <c r="AF619" s="2" t="str">
        <f>IFERROR(__xludf.DUMMYFUNCTION("IMPORTRANGE(""https://docs.google.com/spreadsheets/d/""&amp;$A619&amp;""/edit#gid=156619080"",AF$3)"),"#REF!")</f>
        <v>#REF!</v>
      </c>
      <c r="AG619" s="2" t="str">
        <f>IFERROR(__xludf.DUMMYFUNCTION("IMPORTRANGE(""https://docs.google.com/spreadsheets/d/""&amp;$A619&amp;""/edit#gid=156619080"",AG$3)"),"#REF!")</f>
        <v>#REF!</v>
      </c>
      <c r="AH619" s="2" t="str">
        <f>IFERROR(__xludf.DUMMYFUNCTION("IMPORTRANGE(""https://docs.google.com/spreadsheets/d/""&amp;$A619&amp;""/edit#gid=156619080"",AH$3)"),"#REF!")</f>
        <v>#REF!</v>
      </c>
      <c r="AI619" s="2" t="str">
        <f>IFERROR(__xludf.DUMMYFUNCTION("IMPORTRANGE(""https://docs.google.com/spreadsheets/d/""&amp;$A619&amp;""/edit#gid=156619080"",AI$3)"),"#REF!")</f>
        <v>#REF!</v>
      </c>
      <c r="AJ619" s="2" t="str">
        <f>IFERROR(__xludf.DUMMYFUNCTION("IMPORTRANGE(""https://docs.google.com/spreadsheets/d/""&amp;$A619&amp;""/edit#gid=156619080"",AJ$3)"),"#REF!")</f>
        <v>#REF!</v>
      </c>
      <c r="AK619" s="2" t="str">
        <f>IFERROR(__xludf.DUMMYFUNCTION("IMPORTRANGE(""https://docs.google.com/spreadsheets/d/""&amp;$A619&amp;""/edit#gid=156619080"",AK$3)"),"#REF!")</f>
        <v>#REF!</v>
      </c>
      <c r="AL619" s="2" t="str">
        <f>IFERROR(__xludf.DUMMYFUNCTION("IMPORTRANGE(""https://docs.google.com/spreadsheets/d/""&amp;$A619&amp;""/edit#gid=156619080"",AL$3)"),"#REF!")</f>
        <v>#REF!</v>
      </c>
      <c r="AM619" s="2" t="str">
        <f>IFERROR(__xludf.DUMMYFUNCTION("IMPORTRANGE(""https://docs.google.com/spreadsheets/d/""&amp;$A619&amp;""/edit#gid=156619080"",AM$3)"),"#REF!")</f>
        <v>#REF!</v>
      </c>
      <c r="AN619" s="2" t="str">
        <f>IFERROR(__xludf.DUMMYFUNCTION("IMPORTRANGE(""https://docs.google.com/spreadsheets/d/""&amp;$A619&amp;""/edit#gid=156619080"",AN$3)"),"#REF!")</f>
        <v>#REF!</v>
      </c>
      <c r="AO619" s="2" t="str">
        <f>IFERROR(__xludf.DUMMYFUNCTION("IMPORTRANGE(""https://docs.google.com/spreadsheets/d/""&amp;$A619&amp;""/edit#gid=156619080"",AO$3)"),"#REF!")</f>
        <v>#REF!</v>
      </c>
      <c r="AP619" s="2" t="str">
        <f>IFERROR(__xludf.DUMMYFUNCTION("IMPORTRANGE(""https://docs.google.com/spreadsheets/d/""&amp;$A619&amp;""/edit#gid=156619080"",AP$3)"),"#REF!")</f>
        <v>#REF!</v>
      </c>
      <c r="AQ619" s="2" t="str">
        <f>IFERROR(__xludf.DUMMYFUNCTION("IMPORTRANGE(""https://docs.google.com/spreadsheets/d/""&amp;$A619&amp;""/edit#gid=156619080"",AQ$3)"),"#REF!")</f>
        <v>#REF!</v>
      </c>
      <c r="AR619" s="2" t="str">
        <f>IFERROR(__xludf.DUMMYFUNCTION("IMPORTRANGE(""https://docs.google.com/spreadsheets/d/""&amp;$A619&amp;""/edit#gid=156619080"",AR$3)"),"#REF!")</f>
        <v>#REF!</v>
      </c>
      <c r="AS619" s="19" t="str">
        <f>IFERROR(__xludf.DUMMYFUNCTION("IMPORTRANGE(""https://docs.google.com/spreadsheets/d/""&amp;$A619&amp;""/edit#gid=156619080"",AS$3)"),"#REF!")</f>
        <v>#REF!</v>
      </c>
      <c r="AT619" s="2" t="str">
        <f>IFERROR(__xludf.DUMMYFUNCTION("IMPORTRANGE(""https://docs.google.com/spreadsheets/d/""&amp;$A619&amp;""/edit#gid=156619080"",AT$3)"),"#REF!")</f>
        <v>#REF!</v>
      </c>
      <c r="AU619" s="3" t="str">
        <f>IFERROR(__xludf.DUMMYFUNCTION("IMPORTRANGE(""https://docs.google.com/spreadsheets/d/""&amp;$A619&amp;""/edit#gid=156619080"",AU$3)"),"#REF!")</f>
        <v>#REF!</v>
      </c>
      <c r="AV619" s="2" t="str">
        <f>IFERROR(__xludf.DUMMYFUNCTION("IMPORTRANGE(""https://docs.google.com/spreadsheets/d/""&amp;$A619&amp;""/edit#gid=156619080"",AV$3)"),"#REF!")</f>
        <v>#REF!</v>
      </c>
      <c r="AW619" s="19" t="str">
        <f>IFERROR(__xludf.DUMMYFUNCTION("IMPORTRANGE(""https://docs.google.com/spreadsheets/d/""&amp;$A619&amp;""/edit#gid=156619080"",AW$3)"),"#REF!")</f>
        <v>#REF!</v>
      </c>
      <c r="AX619" s="2" t="str">
        <f>IFERROR(__xludf.DUMMYFUNCTION("IMPORTRANGE(""https://docs.google.com/spreadsheets/d/""&amp;$A619&amp;""/edit#gid=156619080"",AX$3)"),"#REF!")</f>
        <v>#REF!</v>
      </c>
      <c r="AY619" s="2" t="str">
        <f>IFERROR(__xludf.DUMMYFUNCTION("IMPORTRANGE(""https://docs.google.com/spreadsheets/d/""&amp;$A619&amp;""/edit#gid=156619080"",AY$3)"),"#REF!")</f>
        <v>#REF!</v>
      </c>
      <c r="AZ619" s="2" t="str">
        <f>IFERROR(__xludf.DUMMYFUNCTION("IMPORTRANGE(""https://docs.google.com/spreadsheets/d/""&amp;$A619&amp;""/edit#gid=156619080"",AZ$3)"),"#REF!")</f>
        <v>#REF!</v>
      </c>
      <c r="BA619" s="2" t="str">
        <f>IFERROR(__xludf.DUMMYFUNCTION("IMPORTRANGE(""https://docs.google.com/spreadsheets/d/""&amp;$A619&amp;""/edit#gid=156619080"",BA$3)"),"#REF!")</f>
        <v>#REF!</v>
      </c>
      <c r="BB619" s="2" t="str">
        <f>IFERROR(__xludf.DUMMYFUNCTION("IMPORTRANGE(""https://docs.google.com/spreadsheets/d/""&amp;$A619&amp;""/edit#gid=156619080"",BB$3)"),"#REF!")</f>
        <v>#REF!</v>
      </c>
      <c r="BC619" s="2" t="str">
        <f>IFERROR(__xludf.DUMMYFUNCTION("IMPORTRANGE(""https://docs.google.com/spreadsheets/d/""&amp;$A619&amp;""/edit#gid=156619080"",BC$3)"),"#REF!")</f>
        <v>#REF!</v>
      </c>
    </row>
    <row r="620" ht="51.0" customHeight="1">
      <c r="A620" s="7" t="str">
        <f t="shared" si="5"/>
        <v/>
      </c>
      <c r="C620" s="2" t="str">
        <f>IFERROR(__xludf.DUMMYFUNCTION("IMPORTRANGE(""https://docs.google.com/spreadsheets/d/""&amp;$A620&amp;""/edit#gid=156619080"",C$3)"),"#REF!")</f>
        <v>#REF!</v>
      </c>
      <c r="D620" s="2" t="str">
        <f>IFERROR(__xludf.DUMMYFUNCTION("IMPORTRANGE(""https://docs.google.com/spreadsheets/d/""&amp;$A620&amp;""/edit#gid=156619080"",D$3)"),"#REF!")</f>
        <v>#REF!</v>
      </c>
      <c r="E620" s="2" t="str">
        <f>IFERROR(__xludf.DUMMYFUNCTION("IMPORTRANGE(""https://docs.google.com/spreadsheets/d/""&amp;$A620&amp;""/edit#gid=156619080"",E$3)"),"#REF!")</f>
        <v>#REF!</v>
      </c>
      <c r="F620" s="2" t="str">
        <f>IFERROR(__xludf.DUMMYFUNCTION("IMPORTRANGE(""https://docs.google.com/spreadsheets/d/""&amp;$A620&amp;""/edit#gid=156619080"",F$3)"),"#REF!")</f>
        <v>#REF!</v>
      </c>
      <c r="G620" s="2" t="str">
        <f>IFERROR(__xludf.DUMMYFUNCTION("IMPORTRANGE(""https://docs.google.com/spreadsheets/d/""&amp;$A620&amp;""/edit#gid=156619080"",G$3)"),"#REF!")</f>
        <v>#REF!</v>
      </c>
      <c r="H620" s="2" t="str">
        <f>IFERROR(__xludf.DUMMYFUNCTION("IMPORTRANGE(""https://docs.google.com/spreadsheets/d/""&amp;$A620&amp;""/edit#gid=156619080"",H$3)"),"#REF!")</f>
        <v>#REF!</v>
      </c>
      <c r="I620" s="2" t="str">
        <f>IFERROR(__xludf.DUMMYFUNCTION("IMPORTRANGE(""https://docs.google.com/spreadsheets/d/""&amp;$A620&amp;""/edit#gid=156619080"",I$3)"),"#REF!")</f>
        <v>#REF!</v>
      </c>
      <c r="J620" s="2" t="str">
        <f>IFERROR(__xludf.DUMMYFUNCTION("IMPORTRANGE(""https://docs.google.com/spreadsheets/d/""&amp;$A620&amp;""/edit#gid=156619080"",J$3)"),"#REF!")</f>
        <v>#REF!</v>
      </c>
      <c r="K620" s="2" t="str">
        <f>IFERROR(__xludf.DUMMYFUNCTION("IMPORTRANGE(""https://docs.google.com/spreadsheets/d/""&amp;$A620&amp;""/edit#gid=156619080"",K$3)"),"#REF!")</f>
        <v>#REF!</v>
      </c>
      <c r="L620" s="2" t="str">
        <f>IFERROR(__xludf.DUMMYFUNCTION("IMPORTRANGE(""https://docs.google.com/spreadsheets/d/""&amp;$A620&amp;""/edit#gid=156619080"",L$3)"),"#REF!")</f>
        <v>#REF!</v>
      </c>
      <c r="M620" s="2" t="str">
        <f>IFERROR(__xludf.DUMMYFUNCTION("IMPORTRANGE(""https://docs.google.com/spreadsheets/d/""&amp;$A620&amp;""/edit#gid=156619080"",M$3)"),"#REF!")</f>
        <v>#REF!</v>
      </c>
      <c r="N620" s="2" t="str">
        <f>IFERROR(__xludf.DUMMYFUNCTION("IMPORTRANGE(""https://docs.google.com/spreadsheets/d/""&amp;$A620&amp;""/edit#gid=156619080"",N$3)"),"#REF!")</f>
        <v>#REF!</v>
      </c>
      <c r="O620" s="2" t="str">
        <f>IFERROR(__xludf.DUMMYFUNCTION("IMPORTRANGE(""https://docs.google.com/spreadsheets/d/""&amp;$A620&amp;""/edit#gid=156619080"",O$3)"),"#REF!")</f>
        <v>#REF!</v>
      </c>
      <c r="P620" s="2" t="str">
        <f>IFERROR(__xludf.DUMMYFUNCTION("IMPORTRANGE(""https://docs.google.com/spreadsheets/d/""&amp;$A620&amp;""/edit#gid=156619080"",P$3)"),"#REF!")</f>
        <v>#REF!</v>
      </c>
      <c r="Q620" s="2" t="str">
        <f>IFERROR(__xludf.DUMMYFUNCTION("IMPORTRANGE(""https://docs.google.com/spreadsheets/d/""&amp;$A620&amp;""/edit#gid=156619080"",Q$3)"),"#REF!")</f>
        <v>#REF!</v>
      </c>
      <c r="R620" s="2" t="str">
        <f>IFERROR(__xludf.DUMMYFUNCTION("IMPORTRANGE(""https://docs.google.com/spreadsheets/d/""&amp;$A620&amp;""/edit#gid=156619080"",R$3)"),"#REF!")</f>
        <v>#REF!</v>
      </c>
      <c r="S620" s="2" t="str">
        <f>IFERROR(__xludf.DUMMYFUNCTION("IMPORTRANGE(""https://docs.google.com/spreadsheets/d/""&amp;$A620&amp;""/edit#gid=156619080"",S$3)"),"#REF!")</f>
        <v>#REF!</v>
      </c>
      <c r="T620" s="2" t="str">
        <f>IFERROR(__xludf.DUMMYFUNCTION("IMPORTRANGE(""https://docs.google.com/spreadsheets/d/""&amp;$A620&amp;""/edit#gid=156619080"",T$3)"),"#REF!")</f>
        <v>#REF!</v>
      </c>
      <c r="U620" s="2" t="str">
        <f>IFERROR(__xludf.DUMMYFUNCTION("IMPORTRANGE(""https://docs.google.com/spreadsheets/d/""&amp;$A620&amp;""/edit#gid=156619080"",U$3)"),"#REF!")</f>
        <v>#REF!</v>
      </c>
      <c r="V620" s="2" t="str">
        <f>IFERROR(__xludf.DUMMYFUNCTION("IMPORTRANGE(""https://docs.google.com/spreadsheets/d/""&amp;$A620&amp;""/edit#gid=156619080"",V$3)"),"#REF!")</f>
        <v>#REF!</v>
      </c>
      <c r="W620" s="2" t="str">
        <f>IFERROR(__xludf.DUMMYFUNCTION("IMPORTRANGE(""https://docs.google.com/spreadsheets/d/""&amp;$A620&amp;""/edit#gid=156619080"",W$3)"),"#REF!")</f>
        <v>#REF!</v>
      </c>
      <c r="X620" s="2" t="str">
        <f>IFERROR(__xludf.DUMMYFUNCTION("IMPORTRANGE(""https://docs.google.com/spreadsheets/d/""&amp;$A620&amp;""/edit#gid=156619080"",X$3)"),"#REF!")</f>
        <v>#REF!</v>
      </c>
      <c r="Y620" s="2" t="str">
        <f>IFERROR(__xludf.DUMMYFUNCTION("IMPORTRANGE(""https://docs.google.com/spreadsheets/d/""&amp;$A620&amp;""/edit#gid=156619080"",Y$3)"),"#REF!")</f>
        <v>#REF!</v>
      </c>
      <c r="Z620" s="2" t="str">
        <f>IFERROR(__xludf.DUMMYFUNCTION("IMPORTRANGE(""https://docs.google.com/spreadsheets/d/""&amp;$A620&amp;""/edit#gid=156619080"",Z$3)"),"#REF!")</f>
        <v>#REF!</v>
      </c>
      <c r="AA620" s="2" t="str">
        <f>IFERROR(__xludf.DUMMYFUNCTION("IMPORTRANGE(""https://docs.google.com/spreadsheets/d/""&amp;$A620&amp;""/edit#gid=156619080"",AA$3)"),"#REF!")</f>
        <v>#REF!</v>
      </c>
      <c r="AB620" s="2" t="str">
        <f>IFERROR(__xludf.DUMMYFUNCTION("IMPORTRANGE(""https://docs.google.com/spreadsheets/d/""&amp;$A620&amp;""/edit#gid=156619080"",AB$3)"),"#REF!")</f>
        <v>#REF!</v>
      </c>
      <c r="AC620" s="2" t="str">
        <f>IFERROR(__xludf.DUMMYFUNCTION("IMPORTRANGE(""https://docs.google.com/spreadsheets/d/""&amp;$A620&amp;""/edit#gid=156619080"",AC$3)"),"#REF!")</f>
        <v>#REF!</v>
      </c>
      <c r="AD620" s="2" t="str">
        <f>IFERROR(__xludf.DUMMYFUNCTION("IMPORTRANGE(""https://docs.google.com/spreadsheets/d/""&amp;$A620&amp;""/edit#gid=156619080"",AD$3)"),"#REF!")</f>
        <v>#REF!</v>
      </c>
      <c r="AE620" s="2" t="str">
        <f>IFERROR(__xludf.DUMMYFUNCTION("IMPORTRANGE(""https://docs.google.com/spreadsheets/d/""&amp;$A620&amp;""/edit#gid=156619080"",AE$3)"),"#REF!")</f>
        <v>#REF!</v>
      </c>
      <c r="AF620" s="2" t="str">
        <f>IFERROR(__xludf.DUMMYFUNCTION("IMPORTRANGE(""https://docs.google.com/spreadsheets/d/""&amp;$A620&amp;""/edit#gid=156619080"",AF$3)"),"#REF!")</f>
        <v>#REF!</v>
      </c>
      <c r="AG620" s="2" t="str">
        <f>IFERROR(__xludf.DUMMYFUNCTION("IMPORTRANGE(""https://docs.google.com/spreadsheets/d/""&amp;$A620&amp;""/edit#gid=156619080"",AG$3)"),"#REF!")</f>
        <v>#REF!</v>
      </c>
      <c r="AH620" s="2" t="str">
        <f>IFERROR(__xludf.DUMMYFUNCTION("IMPORTRANGE(""https://docs.google.com/spreadsheets/d/""&amp;$A620&amp;""/edit#gid=156619080"",AH$3)"),"#REF!")</f>
        <v>#REF!</v>
      </c>
      <c r="AI620" s="2" t="str">
        <f>IFERROR(__xludf.DUMMYFUNCTION("IMPORTRANGE(""https://docs.google.com/spreadsheets/d/""&amp;$A620&amp;""/edit#gid=156619080"",AI$3)"),"#REF!")</f>
        <v>#REF!</v>
      </c>
      <c r="AJ620" s="2" t="str">
        <f>IFERROR(__xludf.DUMMYFUNCTION("IMPORTRANGE(""https://docs.google.com/spreadsheets/d/""&amp;$A620&amp;""/edit#gid=156619080"",AJ$3)"),"#REF!")</f>
        <v>#REF!</v>
      </c>
      <c r="AK620" s="2" t="str">
        <f>IFERROR(__xludf.DUMMYFUNCTION("IMPORTRANGE(""https://docs.google.com/spreadsheets/d/""&amp;$A620&amp;""/edit#gid=156619080"",AK$3)"),"#REF!")</f>
        <v>#REF!</v>
      </c>
      <c r="AL620" s="2" t="str">
        <f>IFERROR(__xludf.DUMMYFUNCTION("IMPORTRANGE(""https://docs.google.com/spreadsheets/d/""&amp;$A620&amp;""/edit#gid=156619080"",AL$3)"),"#REF!")</f>
        <v>#REF!</v>
      </c>
      <c r="AM620" s="2" t="str">
        <f>IFERROR(__xludf.DUMMYFUNCTION("IMPORTRANGE(""https://docs.google.com/spreadsheets/d/""&amp;$A620&amp;""/edit#gid=156619080"",AM$3)"),"#REF!")</f>
        <v>#REF!</v>
      </c>
      <c r="AN620" s="2" t="str">
        <f>IFERROR(__xludf.DUMMYFUNCTION("IMPORTRANGE(""https://docs.google.com/spreadsheets/d/""&amp;$A620&amp;""/edit#gid=156619080"",AN$3)"),"#REF!")</f>
        <v>#REF!</v>
      </c>
      <c r="AO620" s="2" t="str">
        <f>IFERROR(__xludf.DUMMYFUNCTION("IMPORTRANGE(""https://docs.google.com/spreadsheets/d/""&amp;$A620&amp;""/edit#gid=156619080"",AO$3)"),"#REF!")</f>
        <v>#REF!</v>
      </c>
      <c r="AP620" s="2" t="str">
        <f>IFERROR(__xludf.DUMMYFUNCTION("IMPORTRANGE(""https://docs.google.com/spreadsheets/d/""&amp;$A620&amp;""/edit#gid=156619080"",AP$3)"),"#REF!")</f>
        <v>#REF!</v>
      </c>
      <c r="AQ620" s="2" t="str">
        <f>IFERROR(__xludf.DUMMYFUNCTION("IMPORTRANGE(""https://docs.google.com/spreadsheets/d/""&amp;$A620&amp;""/edit#gid=156619080"",AQ$3)"),"#REF!")</f>
        <v>#REF!</v>
      </c>
      <c r="AR620" s="2" t="str">
        <f>IFERROR(__xludf.DUMMYFUNCTION("IMPORTRANGE(""https://docs.google.com/spreadsheets/d/""&amp;$A620&amp;""/edit#gid=156619080"",AR$3)"),"#REF!")</f>
        <v>#REF!</v>
      </c>
      <c r="AS620" s="19" t="str">
        <f>IFERROR(__xludf.DUMMYFUNCTION("IMPORTRANGE(""https://docs.google.com/spreadsheets/d/""&amp;$A620&amp;""/edit#gid=156619080"",AS$3)"),"#REF!")</f>
        <v>#REF!</v>
      </c>
      <c r="AT620" s="2" t="str">
        <f>IFERROR(__xludf.DUMMYFUNCTION("IMPORTRANGE(""https://docs.google.com/spreadsheets/d/""&amp;$A620&amp;""/edit#gid=156619080"",AT$3)"),"#REF!")</f>
        <v>#REF!</v>
      </c>
      <c r="AU620" s="3" t="str">
        <f>IFERROR(__xludf.DUMMYFUNCTION("IMPORTRANGE(""https://docs.google.com/spreadsheets/d/""&amp;$A620&amp;""/edit#gid=156619080"",AU$3)"),"#REF!")</f>
        <v>#REF!</v>
      </c>
      <c r="AV620" s="2" t="str">
        <f>IFERROR(__xludf.DUMMYFUNCTION("IMPORTRANGE(""https://docs.google.com/spreadsheets/d/""&amp;$A620&amp;""/edit#gid=156619080"",AV$3)"),"#REF!")</f>
        <v>#REF!</v>
      </c>
      <c r="AW620" s="19" t="str">
        <f>IFERROR(__xludf.DUMMYFUNCTION("IMPORTRANGE(""https://docs.google.com/spreadsheets/d/""&amp;$A620&amp;""/edit#gid=156619080"",AW$3)"),"#REF!")</f>
        <v>#REF!</v>
      </c>
      <c r="AX620" s="2" t="str">
        <f>IFERROR(__xludf.DUMMYFUNCTION("IMPORTRANGE(""https://docs.google.com/spreadsheets/d/""&amp;$A620&amp;""/edit#gid=156619080"",AX$3)"),"#REF!")</f>
        <v>#REF!</v>
      </c>
      <c r="AY620" s="2" t="str">
        <f>IFERROR(__xludf.DUMMYFUNCTION("IMPORTRANGE(""https://docs.google.com/spreadsheets/d/""&amp;$A620&amp;""/edit#gid=156619080"",AY$3)"),"#REF!")</f>
        <v>#REF!</v>
      </c>
      <c r="AZ620" s="2" t="str">
        <f>IFERROR(__xludf.DUMMYFUNCTION("IMPORTRANGE(""https://docs.google.com/spreadsheets/d/""&amp;$A620&amp;""/edit#gid=156619080"",AZ$3)"),"#REF!")</f>
        <v>#REF!</v>
      </c>
      <c r="BA620" s="2" t="str">
        <f>IFERROR(__xludf.DUMMYFUNCTION("IMPORTRANGE(""https://docs.google.com/spreadsheets/d/""&amp;$A620&amp;""/edit#gid=156619080"",BA$3)"),"#REF!")</f>
        <v>#REF!</v>
      </c>
      <c r="BB620" s="2" t="str">
        <f>IFERROR(__xludf.DUMMYFUNCTION("IMPORTRANGE(""https://docs.google.com/spreadsheets/d/""&amp;$A620&amp;""/edit#gid=156619080"",BB$3)"),"#REF!")</f>
        <v>#REF!</v>
      </c>
      <c r="BC620" s="2" t="str">
        <f>IFERROR(__xludf.DUMMYFUNCTION("IMPORTRANGE(""https://docs.google.com/spreadsheets/d/""&amp;$A620&amp;""/edit#gid=156619080"",BC$3)"),"#REF!")</f>
        <v>#REF!</v>
      </c>
    </row>
    <row r="621" ht="51.0" customHeight="1">
      <c r="A621" s="7" t="str">
        <f t="shared" si="5"/>
        <v/>
      </c>
      <c r="C621" s="2" t="str">
        <f>IFERROR(__xludf.DUMMYFUNCTION("IMPORTRANGE(""https://docs.google.com/spreadsheets/d/""&amp;$A621&amp;""/edit#gid=156619080"",C$3)"),"#REF!")</f>
        <v>#REF!</v>
      </c>
      <c r="D621" s="2" t="str">
        <f>IFERROR(__xludf.DUMMYFUNCTION("IMPORTRANGE(""https://docs.google.com/spreadsheets/d/""&amp;$A621&amp;""/edit#gid=156619080"",D$3)"),"#REF!")</f>
        <v>#REF!</v>
      </c>
      <c r="E621" s="2" t="str">
        <f>IFERROR(__xludf.DUMMYFUNCTION("IMPORTRANGE(""https://docs.google.com/spreadsheets/d/""&amp;$A621&amp;""/edit#gid=156619080"",E$3)"),"#REF!")</f>
        <v>#REF!</v>
      </c>
      <c r="F621" s="2" t="str">
        <f>IFERROR(__xludf.DUMMYFUNCTION("IMPORTRANGE(""https://docs.google.com/spreadsheets/d/""&amp;$A621&amp;""/edit#gid=156619080"",F$3)"),"#REF!")</f>
        <v>#REF!</v>
      </c>
      <c r="G621" s="2" t="str">
        <f>IFERROR(__xludf.DUMMYFUNCTION("IMPORTRANGE(""https://docs.google.com/spreadsheets/d/""&amp;$A621&amp;""/edit#gid=156619080"",G$3)"),"#REF!")</f>
        <v>#REF!</v>
      </c>
      <c r="H621" s="2" t="str">
        <f>IFERROR(__xludf.DUMMYFUNCTION("IMPORTRANGE(""https://docs.google.com/spreadsheets/d/""&amp;$A621&amp;""/edit#gid=156619080"",H$3)"),"#REF!")</f>
        <v>#REF!</v>
      </c>
      <c r="I621" s="2" t="str">
        <f>IFERROR(__xludf.DUMMYFUNCTION("IMPORTRANGE(""https://docs.google.com/spreadsheets/d/""&amp;$A621&amp;""/edit#gid=156619080"",I$3)"),"#REF!")</f>
        <v>#REF!</v>
      </c>
      <c r="J621" s="2" t="str">
        <f>IFERROR(__xludf.DUMMYFUNCTION("IMPORTRANGE(""https://docs.google.com/spreadsheets/d/""&amp;$A621&amp;""/edit#gid=156619080"",J$3)"),"#REF!")</f>
        <v>#REF!</v>
      </c>
      <c r="K621" s="2" t="str">
        <f>IFERROR(__xludf.DUMMYFUNCTION("IMPORTRANGE(""https://docs.google.com/spreadsheets/d/""&amp;$A621&amp;""/edit#gid=156619080"",K$3)"),"#REF!")</f>
        <v>#REF!</v>
      </c>
      <c r="L621" s="2" t="str">
        <f>IFERROR(__xludf.DUMMYFUNCTION("IMPORTRANGE(""https://docs.google.com/spreadsheets/d/""&amp;$A621&amp;""/edit#gid=156619080"",L$3)"),"#REF!")</f>
        <v>#REF!</v>
      </c>
      <c r="M621" s="2" t="str">
        <f>IFERROR(__xludf.DUMMYFUNCTION("IMPORTRANGE(""https://docs.google.com/spreadsheets/d/""&amp;$A621&amp;""/edit#gid=156619080"",M$3)"),"#REF!")</f>
        <v>#REF!</v>
      </c>
      <c r="N621" s="2" t="str">
        <f>IFERROR(__xludf.DUMMYFUNCTION("IMPORTRANGE(""https://docs.google.com/spreadsheets/d/""&amp;$A621&amp;""/edit#gid=156619080"",N$3)"),"#REF!")</f>
        <v>#REF!</v>
      </c>
      <c r="O621" s="2" t="str">
        <f>IFERROR(__xludf.DUMMYFUNCTION("IMPORTRANGE(""https://docs.google.com/spreadsheets/d/""&amp;$A621&amp;""/edit#gid=156619080"",O$3)"),"#REF!")</f>
        <v>#REF!</v>
      </c>
      <c r="P621" s="2" t="str">
        <f>IFERROR(__xludf.DUMMYFUNCTION("IMPORTRANGE(""https://docs.google.com/spreadsheets/d/""&amp;$A621&amp;""/edit#gid=156619080"",P$3)"),"#REF!")</f>
        <v>#REF!</v>
      </c>
      <c r="Q621" s="2" t="str">
        <f>IFERROR(__xludf.DUMMYFUNCTION("IMPORTRANGE(""https://docs.google.com/spreadsheets/d/""&amp;$A621&amp;""/edit#gid=156619080"",Q$3)"),"#REF!")</f>
        <v>#REF!</v>
      </c>
      <c r="R621" s="2" t="str">
        <f>IFERROR(__xludf.DUMMYFUNCTION("IMPORTRANGE(""https://docs.google.com/spreadsheets/d/""&amp;$A621&amp;""/edit#gid=156619080"",R$3)"),"#REF!")</f>
        <v>#REF!</v>
      </c>
      <c r="S621" s="2" t="str">
        <f>IFERROR(__xludf.DUMMYFUNCTION("IMPORTRANGE(""https://docs.google.com/spreadsheets/d/""&amp;$A621&amp;""/edit#gid=156619080"",S$3)"),"#REF!")</f>
        <v>#REF!</v>
      </c>
      <c r="T621" s="2" t="str">
        <f>IFERROR(__xludf.DUMMYFUNCTION("IMPORTRANGE(""https://docs.google.com/spreadsheets/d/""&amp;$A621&amp;""/edit#gid=156619080"",T$3)"),"#REF!")</f>
        <v>#REF!</v>
      </c>
      <c r="U621" s="2" t="str">
        <f>IFERROR(__xludf.DUMMYFUNCTION("IMPORTRANGE(""https://docs.google.com/spreadsheets/d/""&amp;$A621&amp;""/edit#gid=156619080"",U$3)"),"#REF!")</f>
        <v>#REF!</v>
      </c>
      <c r="V621" s="2" t="str">
        <f>IFERROR(__xludf.DUMMYFUNCTION("IMPORTRANGE(""https://docs.google.com/spreadsheets/d/""&amp;$A621&amp;""/edit#gid=156619080"",V$3)"),"#REF!")</f>
        <v>#REF!</v>
      </c>
      <c r="W621" s="2" t="str">
        <f>IFERROR(__xludf.DUMMYFUNCTION("IMPORTRANGE(""https://docs.google.com/spreadsheets/d/""&amp;$A621&amp;""/edit#gid=156619080"",W$3)"),"#REF!")</f>
        <v>#REF!</v>
      </c>
      <c r="X621" s="2" t="str">
        <f>IFERROR(__xludf.DUMMYFUNCTION("IMPORTRANGE(""https://docs.google.com/spreadsheets/d/""&amp;$A621&amp;""/edit#gid=156619080"",X$3)"),"#REF!")</f>
        <v>#REF!</v>
      </c>
      <c r="Y621" s="2" t="str">
        <f>IFERROR(__xludf.DUMMYFUNCTION("IMPORTRANGE(""https://docs.google.com/spreadsheets/d/""&amp;$A621&amp;""/edit#gid=156619080"",Y$3)"),"#REF!")</f>
        <v>#REF!</v>
      </c>
      <c r="Z621" s="2" t="str">
        <f>IFERROR(__xludf.DUMMYFUNCTION("IMPORTRANGE(""https://docs.google.com/spreadsheets/d/""&amp;$A621&amp;""/edit#gid=156619080"",Z$3)"),"#REF!")</f>
        <v>#REF!</v>
      </c>
      <c r="AA621" s="2" t="str">
        <f>IFERROR(__xludf.DUMMYFUNCTION("IMPORTRANGE(""https://docs.google.com/spreadsheets/d/""&amp;$A621&amp;""/edit#gid=156619080"",AA$3)"),"#REF!")</f>
        <v>#REF!</v>
      </c>
      <c r="AB621" s="2" t="str">
        <f>IFERROR(__xludf.DUMMYFUNCTION("IMPORTRANGE(""https://docs.google.com/spreadsheets/d/""&amp;$A621&amp;""/edit#gid=156619080"",AB$3)"),"#REF!")</f>
        <v>#REF!</v>
      </c>
      <c r="AC621" s="2" t="str">
        <f>IFERROR(__xludf.DUMMYFUNCTION("IMPORTRANGE(""https://docs.google.com/spreadsheets/d/""&amp;$A621&amp;""/edit#gid=156619080"",AC$3)"),"#REF!")</f>
        <v>#REF!</v>
      </c>
      <c r="AD621" s="2" t="str">
        <f>IFERROR(__xludf.DUMMYFUNCTION("IMPORTRANGE(""https://docs.google.com/spreadsheets/d/""&amp;$A621&amp;""/edit#gid=156619080"",AD$3)"),"#REF!")</f>
        <v>#REF!</v>
      </c>
      <c r="AE621" s="2" t="str">
        <f>IFERROR(__xludf.DUMMYFUNCTION("IMPORTRANGE(""https://docs.google.com/spreadsheets/d/""&amp;$A621&amp;""/edit#gid=156619080"",AE$3)"),"#REF!")</f>
        <v>#REF!</v>
      </c>
      <c r="AF621" s="2" t="str">
        <f>IFERROR(__xludf.DUMMYFUNCTION("IMPORTRANGE(""https://docs.google.com/spreadsheets/d/""&amp;$A621&amp;""/edit#gid=156619080"",AF$3)"),"#REF!")</f>
        <v>#REF!</v>
      </c>
      <c r="AG621" s="2" t="str">
        <f>IFERROR(__xludf.DUMMYFUNCTION("IMPORTRANGE(""https://docs.google.com/spreadsheets/d/""&amp;$A621&amp;""/edit#gid=156619080"",AG$3)"),"#REF!")</f>
        <v>#REF!</v>
      </c>
      <c r="AH621" s="2" t="str">
        <f>IFERROR(__xludf.DUMMYFUNCTION("IMPORTRANGE(""https://docs.google.com/spreadsheets/d/""&amp;$A621&amp;""/edit#gid=156619080"",AH$3)"),"#REF!")</f>
        <v>#REF!</v>
      </c>
      <c r="AI621" s="2" t="str">
        <f>IFERROR(__xludf.DUMMYFUNCTION("IMPORTRANGE(""https://docs.google.com/spreadsheets/d/""&amp;$A621&amp;""/edit#gid=156619080"",AI$3)"),"#REF!")</f>
        <v>#REF!</v>
      </c>
      <c r="AJ621" s="2" t="str">
        <f>IFERROR(__xludf.DUMMYFUNCTION("IMPORTRANGE(""https://docs.google.com/spreadsheets/d/""&amp;$A621&amp;""/edit#gid=156619080"",AJ$3)"),"#REF!")</f>
        <v>#REF!</v>
      </c>
      <c r="AK621" s="2" t="str">
        <f>IFERROR(__xludf.DUMMYFUNCTION("IMPORTRANGE(""https://docs.google.com/spreadsheets/d/""&amp;$A621&amp;""/edit#gid=156619080"",AK$3)"),"#REF!")</f>
        <v>#REF!</v>
      </c>
      <c r="AL621" s="2" t="str">
        <f>IFERROR(__xludf.DUMMYFUNCTION("IMPORTRANGE(""https://docs.google.com/spreadsheets/d/""&amp;$A621&amp;""/edit#gid=156619080"",AL$3)"),"#REF!")</f>
        <v>#REF!</v>
      </c>
      <c r="AM621" s="2" t="str">
        <f>IFERROR(__xludf.DUMMYFUNCTION("IMPORTRANGE(""https://docs.google.com/spreadsheets/d/""&amp;$A621&amp;""/edit#gid=156619080"",AM$3)"),"#REF!")</f>
        <v>#REF!</v>
      </c>
      <c r="AN621" s="2" t="str">
        <f>IFERROR(__xludf.DUMMYFUNCTION("IMPORTRANGE(""https://docs.google.com/spreadsheets/d/""&amp;$A621&amp;""/edit#gid=156619080"",AN$3)"),"#REF!")</f>
        <v>#REF!</v>
      </c>
      <c r="AO621" s="2" t="str">
        <f>IFERROR(__xludf.DUMMYFUNCTION("IMPORTRANGE(""https://docs.google.com/spreadsheets/d/""&amp;$A621&amp;""/edit#gid=156619080"",AO$3)"),"#REF!")</f>
        <v>#REF!</v>
      </c>
      <c r="AP621" s="2" t="str">
        <f>IFERROR(__xludf.DUMMYFUNCTION("IMPORTRANGE(""https://docs.google.com/spreadsheets/d/""&amp;$A621&amp;""/edit#gid=156619080"",AP$3)"),"#REF!")</f>
        <v>#REF!</v>
      </c>
      <c r="AQ621" s="2" t="str">
        <f>IFERROR(__xludf.DUMMYFUNCTION("IMPORTRANGE(""https://docs.google.com/spreadsheets/d/""&amp;$A621&amp;""/edit#gid=156619080"",AQ$3)"),"#REF!")</f>
        <v>#REF!</v>
      </c>
      <c r="AR621" s="2" t="str">
        <f>IFERROR(__xludf.DUMMYFUNCTION("IMPORTRANGE(""https://docs.google.com/spreadsheets/d/""&amp;$A621&amp;""/edit#gid=156619080"",AR$3)"),"#REF!")</f>
        <v>#REF!</v>
      </c>
      <c r="AS621" s="19" t="str">
        <f>IFERROR(__xludf.DUMMYFUNCTION("IMPORTRANGE(""https://docs.google.com/spreadsheets/d/""&amp;$A621&amp;""/edit#gid=156619080"",AS$3)"),"#REF!")</f>
        <v>#REF!</v>
      </c>
      <c r="AT621" s="2" t="str">
        <f>IFERROR(__xludf.DUMMYFUNCTION("IMPORTRANGE(""https://docs.google.com/spreadsheets/d/""&amp;$A621&amp;""/edit#gid=156619080"",AT$3)"),"#REF!")</f>
        <v>#REF!</v>
      </c>
      <c r="AU621" s="3" t="str">
        <f>IFERROR(__xludf.DUMMYFUNCTION("IMPORTRANGE(""https://docs.google.com/spreadsheets/d/""&amp;$A621&amp;""/edit#gid=156619080"",AU$3)"),"#REF!")</f>
        <v>#REF!</v>
      </c>
      <c r="AV621" s="2" t="str">
        <f>IFERROR(__xludf.DUMMYFUNCTION("IMPORTRANGE(""https://docs.google.com/spreadsheets/d/""&amp;$A621&amp;""/edit#gid=156619080"",AV$3)"),"#REF!")</f>
        <v>#REF!</v>
      </c>
      <c r="AW621" s="19" t="str">
        <f>IFERROR(__xludf.DUMMYFUNCTION("IMPORTRANGE(""https://docs.google.com/spreadsheets/d/""&amp;$A621&amp;""/edit#gid=156619080"",AW$3)"),"#REF!")</f>
        <v>#REF!</v>
      </c>
      <c r="AX621" s="2" t="str">
        <f>IFERROR(__xludf.DUMMYFUNCTION("IMPORTRANGE(""https://docs.google.com/spreadsheets/d/""&amp;$A621&amp;""/edit#gid=156619080"",AX$3)"),"#REF!")</f>
        <v>#REF!</v>
      </c>
      <c r="AY621" s="2" t="str">
        <f>IFERROR(__xludf.DUMMYFUNCTION("IMPORTRANGE(""https://docs.google.com/spreadsheets/d/""&amp;$A621&amp;""/edit#gid=156619080"",AY$3)"),"#REF!")</f>
        <v>#REF!</v>
      </c>
      <c r="AZ621" s="2" t="str">
        <f>IFERROR(__xludf.DUMMYFUNCTION("IMPORTRANGE(""https://docs.google.com/spreadsheets/d/""&amp;$A621&amp;""/edit#gid=156619080"",AZ$3)"),"#REF!")</f>
        <v>#REF!</v>
      </c>
      <c r="BA621" s="2" t="str">
        <f>IFERROR(__xludf.DUMMYFUNCTION("IMPORTRANGE(""https://docs.google.com/spreadsheets/d/""&amp;$A621&amp;""/edit#gid=156619080"",BA$3)"),"#REF!")</f>
        <v>#REF!</v>
      </c>
      <c r="BB621" s="2" t="str">
        <f>IFERROR(__xludf.DUMMYFUNCTION("IMPORTRANGE(""https://docs.google.com/spreadsheets/d/""&amp;$A621&amp;""/edit#gid=156619080"",BB$3)"),"#REF!")</f>
        <v>#REF!</v>
      </c>
      <c r="BC621" s="2" t="str">
        <f>IFERROR(__xludf.DUMMYFUNCTION("IMPORTRANGE(""https://docs.google.com/spreadsheets/d/""&amp;$A621&amp;""/edit#gid=156619080"",BC$3)"),"#REF!")</f>
        <v>#REF!</v>
      </c>
    </row>
    <row r="622" ht="51.0" customHeight="1">
      <c r="A622" s="7" t="str">
        <f t="shared" si="5"/>
        <v/>
      </c>
      <c r="C622" s="2" t="str">
        <f>IFERROR(__xludf.DUMMYFUNCTION("IMPORTRANGE(""https://docs.google.com/spreadsheets/d/""&amp;$A622&amp;""/edit#gid=156619080"",C$3)"),"#REF!")</f>
        <v>#REF!</v>
      </c>
      <c r="D622" s="2" t="str">
        <f>IFERROR(__xludf.DUMMYFUNCTION("IMPORTRANGE(""https://docs.google.com/spreadsheets/d/""&amp;$A622&amp;""/edit#gid=156619080"",D$3)"),"#REF!")</f>
        <v>#REF!</v>
      </c>
      <c r="E622" s="2" t="str">
        <f>IFERROR(__xludf.DUMMYFUNCTION("IMPORTRANGE(""https://docs.google.com/spreadsheets/d/""&amp;$A622&amp;""/edit#gid=156619080"",E$3)"),"#REF!")</f>
        <v>#REF!</v>
      </c>
      <c r="F622" s="2" t="str">
        <f>IFERROR(__xludf.DUMMYFUNCTION("IMPORTRANGE(""https://docs.google.com/spreadsheets/d/""&amp;$A622&amp;""/edit#gid=156619080"",F$3)"),"#REF!")</f>
        <v>#REF!</v>
      </c>
      <c r="G622" s="2" t="str">
        <f>IFERROR(__xludf.DUMMYFUNCTION("IMPORTRANGE(""https://docs.google.com/spreadsheets/d/""&amp;$A622&amp;""/edit#gid=156619080"",G$3)"),"#REF!")</f>
        <v>#REF!</v>
      </c>
      <c r="H622" s="2" t="str">
        <f>IFERROR(__xludf.DUMMYFUNCTION("IMPORTRANGE(""https://docs.google.com/spreadsheets/d/""&amp;$A622&amp;""/edit#gid=156619080"",H$3)"),"#REF!")</f>
        <v>#REF!</v>
      </c>
      <c r="I622" s="2" t="str">
        <f>IFERROR(__xludf.DUMMYFUNCTION("IMPORTRANGE(""https://docs.google.com/spreadsheets/d/""&amp;$A622&amp;""/edit#gid=156619080"",I$3)"),"#REF!")</f>
        <v>#REF!</v>
      </c>
      <c r="J622" s="2" t="str">
        <f>IFERROR(__xludf.DUMMYFUNCTION("IMPORTRANGE(""https://docs.google.com/spreadsheets/d/""&amp;$A622&amp;""/edit#gid=156619080"",J$3)"),"#REF!")</f>
        <v>#REF!</v>
      </c>
      <c r="K622" s="2" t="str">
        <f>IFERROR(__xludf.DUMMYFUNCTION("IMPORTRANGE(""https://docs.google.com/spreadsheets/d/""&amp;$A622&amp;""/edit#gid=156619080"",K$3)"),"#REF!")</f>
        <v>#REF!</v>
      </c>
      <c r="L622" s="2" t="str">
        <f>IFERROR(__xludf.DUMMYFUNCTION("IMPORTRANGE(""https://docs.google.com/spreadsheets/d/""&amp;$A622&amp;""/edit#gid=156619080"",L$3)"),"#REF!")</f>
        <v>#REF!</v>
      </c>
      <c r="M622" s="2" t="str">
        <f>IFERROR(__xludf.DUMMYFUNCTION("IMPORTRANGE(""https://docs.google.com/spreadsheets/d/""&amp;$A622&amp;""/edit#gid=156619080"",M$3)"),"#REF!")</f>
        <v>#REF!</v>
      </c>
      <c r="N622" s="2" t="str">
        <f>IFERROR(__xludf.DUMMYFUNCTION("IMPORTRANGE(""https://docs.google.com/spreadsheets/d/""&amp;$A622&amp;""/edit#gid=156619080"",N$3)"),"#REF!")</f>
        <v>#REF!</v>
      </c>
      <c r="O622" s="2" t="str">
        <f>IFERROR(__xludf.DUMMYFUNCTION("IMPORTRANGE(""https://docs.google.com/spreadsheets/d/""&amp;$A622&amp;""/edit#gid=156619080"",O$3)"),"#REF!")</f>
        <v>#REF!</v>
      </c>
      <c r="P622" s="2" t="str">
        <f>IFERROR(__xludf.DUMMYFUNCTION("IMPORTRANGE(""https://docs.google.com/spreadsheets/d/""&amp;$A622&amp;""/edit#gid=156619080"",P$3)"),"#REF!")</f>
        <v>#REF!</v>
      </c>
      <c r="Q622" s="2" t="str">
        <f>IFERROR(__xludf.DUMMYFUNCTION("IMPORTRANGE(""https://docs.google.com/spreadsheets/d/""&amp;$A622&amp;""/edit#gid=156619080"",Q$3)"),"#REF!")</f>
        <v>#REF!</v>
      </c>
      <c r="R622" s="2" t="str">
        <f>IFERROR(__xludf.DUMMYFUNCTION("IMPORTRANGE(""https://docs.google.com/spreadsheets/d/""&amp;$A622&amp;""/edit#gid=156619080"",R$3)"),"#REF!")</f>
        <v>#REF!</v>
      </c>
      <c r="S622" s="2" t="str">
        <f>IFERROR(__xludf.DUMMYFUNCTION("IMPORTRANGE(""https://docs.google.com/spreadsheets/d/""&amp;$A622&amp;""/edit#gid=156619080"",S$3)"),"#REF!")</f>
        <v>#REF!</v>
      </c>
      <c r="T622" s="2" t="str">
        <f>IFERROR(__xludf.DUMMYFUNCTION("IMPORTRANGE(""https://docs.google.com/spreadsheets/d/""&amp;$A622&amp;""/edit#gid=156619080"",T$3)"),"#REF!")</f>
        <v>#REF!</v>
      </c>
      <c r="U622" s="2" t="str">
        <f>IFERROR(__xludf.DUMMYFUNCTION("IMPORTRANGE(""https://docs.google.com/spreadsheets/d/""&amp;$A622&amp;""/edit#gid=156619080"",U$3)"),"#REF!")</f>
        <v>#REF!</v>
      </c>
      <c r="V622" s="2" t="str">
        <f>IFERROR(__xludf.DUMMYFUNCTION("IMPORTRANGE(""https://docs.google.com/spreadsheets/d/""&amp;$A622&amp;""/edit#gid=156619080"",V$3)"),"#REF!")</f>
        <v>#REF!</v>
      </c>
      <c r="W622" s="2" t="str">
        <f>IFERROR(__xludf.DUMMYFUNCTION("IMPORTRANGE(""https://docs.google.com/spreadsheets/d/""&amp;$A622&amp;""/edit#gid=156619080"",W$3)"),"#REF!")</f>
        <v>#REF!</v>
      </c>
      <c r="X622" s="2" t="str">
        <f>IFERROR(__xludf.DUMMYFUNCTION("IMPORTRANGE(""https://docs.google.com/spreadsheets/d/""&amp;$A622&amp;""/edit#gid=156619080"",X$3)"),"#REF!")</f>
        <v>#REF!</v>
      </c>
      <c r="Y622" s="2" t="str">
        <f>IFERROR(__xludf.DUMMYFUNCTION("IMPORTRANGE(""https://docs.google.com/spreadsheets/d/""&amp;$A622&amp;""/edit#gid=156619080"",Y$3)"),"#REF!")</f>
        <v>#REF!</v>
      </c>
      <c r="Z622" s="2" t="str">
        <f>IFERROR(__xludf.DUMMYFUNCTION("IMPORTRANGE(""https://docs.google.com/spreadsheets/d/""&amp;$A622&amp;""/edit#gid=156619080"",Z$3)"),"#REF!")</f>
        <v>#REF!</v>
      </c>
      <c r="AA622" s="2" t="str">
        <f>IFERROR(__xludf.DUMMYFUNCTION("IMPORTRANGE(""https://docs.google.com/spreadsheets/d/""&amp;$A622&amp;""/edit#gid=156619080"",AA$3)"),"#REF!")</f>
        <v>#REF!</v>
      </c>
      <c r="AB622" s="2" t="str">
        <f>IFERROR(__xludf.DUMMYFUNCTION("IMPORTRANGE(""https://docs.google.com/spreadsheets/d/""&amp;$A622&amp;""/edit#gid=156619080"",AB$3)"),"#REF!")</f>
        <v>#REF!</v>
      </c>
      <c r="AC622" s="2" t="str">
        <f>IFERROR(__xludf.DUMMYFUNCTION("IMPORTRANGE(""https://docs.google.com/spreadsheets/d/""&amp;$A622&amp;""/edit#gid=156619080"",AC$3)"),"#REF!")</f>
        <v>#REF!</v>
      </c>
      <c r="AD622" s="2" t="str">
        <f>IFERROR(__xludf.DUMMYFUNCTION("IMPORTRANGE(""https://docs.google.com/spreadsheets/d/""&amp;$A622&amp;""/edit#gid=156619080"",AD$3)"),"#REF!")</f>
        <v>#REF!</v>
      </c>
      <c r="AE622" s="2" t="str">
        <f>IFERROR(__xludf.DUMMYFUNCTION("IMPORTRANGE(""https://docs.google.com/spreadsheets/d/""&amp;$A622&amp;""/edit#gid=156619080"",AE$3)"),"#REF!")</f>
        <v>#REF!</v>
      </c>
      <c r="AF622" s="2" t="str">
        <f>IFERROR(__xludf.DUMMYFUNCTION("IMPORTRANGE(""https://docs.google.com/spreadsheets/d/""&amp;$A622&amp;""/edit#gid=156619080"",AF$3)"),"#REF!")</f>
        <v>#REF!</v>
      </c>
      <c r="AG622" s="2" t="str">
        <f>IFERROR(__xludf.DUMMYFUNCTION("IMPORTRANGE(""https://docs.google.com/spreadsheets/d/""&amp;$A622&amp;""/edit#gid=156619080"",AG$3)"),"#REF!")</f>
        <v>#REF!</v>
      </c>
      <c r="AH622" s="2" t="str">
        <f>IFERROR(__xludf.DUMMYFUNCTION("IMPORTRANGE(""https://docs.google.com/spreadsheets/d/""&amp;$A622&amp;""/edit#gid=156619080"",AH$3)"),"#REF!")</f>
        <v>#REF!</v>
      </c>
      <c r="AI622" s="2" t="str">
        <f>IFERROR(__xludf.DUMMYFUNCTION("IMPORTRANGE(""https://docs.google.com/spreadsheets/d/""&amp;$A622&amp;""/edit#gid=156619080"",AI$3)"),"#REF!")</f>
        <v>#REF!</v>
      </c>
      <c r="AJ622" s="2" t="str">
        <f>IFERROR(__xludf.DUMMYFUNCTION("IMPORTRANGE(""https://docs.google.com/spreadsheets/d/""&amp;$A622&amp;""/edit#gid=156619080"",AJ$3)"),"#REF!")</f>
        <v>#REF!</v>
      </c>
      <c r="AK622" s="2" t="str">
        <f>IFERROR(__xludf.DUMMYFUNCTION("IMPORTRANGE(""https://docs.google.com/spreadsheets/d/""&amp;$A622&amp;""/edit#gid=156619080"",AK$3)"),"#REF!")</f>
        <v>#REF!</v>
      </c>
      <c r="AL622" s="2" t="str">
        <f>IFERROR(__xludf.DUMMYFUNCTION("IMPORTRANGE(""https://docs.google.com/spreadsheets/d/""&amp;$A622&amp;""/edit#gid=156619080"",AL$3)"),"#REF!")</f>
        <v>#REF!</v>
      </c>
      <c r="AM622" s="2" t="str">
        <f>IFERROR(__xludf.DUMMYFUNCTION("IMPORTRANGE(""https://docs.google.com/spreadsheets/d/""&amp;$A622&amp;""/edit#gid=156619080"",AM$3)"),"#REF!")</f>
        <v>#REF!</v>
      </c>
      <c r="AN622" s="2" t="str">
        <f>IFERROR(__xludf.DUMMYFUNCTION("IMPORTRANGE(""https://docs.google.com/spreadsheets/d/""&amp;$A622&amp;""/edit#gid=156619080"",AN$3)"),"#REF!")</f>
        <v>#REF!</v>
      </c>
      <c r="AO622" s="2" t="str">
        <f>IFERROR(__xludf.DUMMYFUNCTION("IMPORTRANGE(""https://docs.google.com/spreadsheets/d/""&amp;$A622&amp;""/edit#gid=156619080"",AO$3)"),"#REF!")</f>
        <v>#REF!</v>
      </c>
      <c r="AP622" s="2" t="str">
        <f>IFERROR(__xludf.DUMMYFUNCTION("IMPORTRANGE(""https://docs.google.com/spreadsheets/d/""&amp;$A622&amp;""/edit#gid=156619080"",AP$3)"),"#REF!")</f>
        <v>#REF!</v>
      </c>
      <c r="AQ622" s="2" t="str">
        <f>IFERROR(__xludf.DUMMYFUNCTION("IMPORTRANGE(""https://docs.google.com/spreadsheets/d/""&amp;$A622&amp;""/edit#gid=156619080"",AQ$3)"),"#REF!")</f>
        <v>#REF!</v>
      </c>
      <c r="AR622" s="2" t="str">
        <f>IFERROR(__xludf.DUMMYFUNCTION("IMPORTRANGE(""https://docs.google.com/spreadsheets/d/""&amp;$A622&amp;""/edit#gid=156619080"",AR$3)"),"#REF!")</f>
        <v>#REF!</v>
      </c>
      <c r="AS622" s="19" t="str">
        <f>IFERROR(__xludf.DUMMYFUNCTION("IMPORTRANGE(""https://docs.google.com/spreadsheets/d/""&amp;$A622&amp;""/edit#gid=156619080"",AS$3)"),"#REF!")</f>
        <v>#REF!</v>
      </c>
      <c r="AT622" s="2" t="str">
        <f>IFERROR(__xludf.DUMMYFUNCTION("IMPORTRANGE(""https://docs.google.com/spreadsheets/d/""&amp;$A622&amp;""/edit#gid=156619080"",AT$3)"),"#REF!")</f>
        <v>#REF!</v>
      </c>
      <c r="AU622" s="3" t="str">
        <f>IFERROR(__xludf.DUMMYFUNCTION("IMPORTRANGE(""https://docs.google.com/spreadsheets/d/""&amp;$A622&amp;""/edit#gid=156619080"",AU$3)"),"#REF!")</f>
        <v>#REF!</v>
      </c>
      <c r="AV622" s="2" t="str">
        <f>IFERROR(__xludf.DUMMYFUNCTION("IMPORTRANGE(""https://docs.google.com/spreadsheets/d/""&amp;$A622&amp;""/edit#gid=156619080"",AV$3)"),"#REF!")</f>
        <v>#REF!</v>
      </c>
      <c r="AW622" s="19" t="str">
        <f>IFERROR(__xludf.DUMMYFUNCTION("IMPORTRANGE(""https://docs.google.com/spreadsheets/d/""&amp;$A622&amp;""/edit#gid=156619080"",AW$3)"),"#REF!")</f>
        <v>#REF!</v>
      </c>
      <c r="AX622" s="2" t="str">
        <f>IFERROR(__xludf.DUMMYFUNCTION("IMPORTRANGE(""https://docs.google.com/spreadsheets/d/""&amp;$A622&amp;""/edit#gid=156619080"",AX$3)"),"#REF!")</f>
        <v>#REF!</v>
      </c>
      <c r="AY622" s="2" t="str">
        <f>IFERROR(__xludf.DUMMYFUNCTION("IMPORTRANGE(""https://docs.google.com/spreadsheets/d/""&amp;$A622&amp;""/edit#gid=156619080"",AY$3)"),"#REF!")</f>
        <v>#REF!</v>
      </c>
      <c r="AZ622" s="2" t="str">
        <f>IFERROR(__xludf.DUMMYFUNCTION("IMPORTRANGE(""https://docs.google.com/spreadsheets/d/""&amp;$A622&amp;""/edit#gid=156619080"",AZ$3)"),"#REF!")</f>
        <v>#REF!</v>
      </c>
      <c r="BA622" s="2" t="str">
        <f>IFERROR(__xludf.DUMMYFUNCTION("IMPORTRANGE(""https://docs.google.com/spreadsheets/d/""&amp;$A622&amp;""/edit#gid=156619080"",BA$3)"),"#REF!")</f>
        <v>#REF!</v>
      </c>
      <c r="BB622" s="2" t="str">
        <f>IFERROR(__xludf.DUMMYFUNCTION("IMPORTRANGE(""https://docs.google.com/spreadsheets/d/""&amp;$A622&amp;""/edit#gid=156619080"",BB$3)"),"#REF!")</f>
        <v>#REF!</v>
      </c>
      <c r="BC622" s="2" t="str">
        <f>IFERROR(__xludf.DUMMYFUNCTION("IMPORTRANGE(""https://docs.google.com/spreadsheets/d/""&amp;$A622&amp;""/edit#gid=156619080"",BC$3)"),"#REF!")</f>
        <v>#REF!</v>
      </c>
    </row>
    <row r="623" ht="51.0" customHeight="1">
      <c r="A623" s="7" t="str">
        <f t="shared" si="5"/>
        <v/>
      </c>
      <c r="C623" s="2" t="str">
        <f>IFERROR(__xludf.DUMMYFUNCTION("IMPORTRANGE(""https://docs.google.com/spreadsheets/d/""&amp;$A623&amp;""/edit#gid=156619080"",C$3)"),"#REF!")</f>
        <v>#REF!</v>
      </c>
      <c r="D623" s="2" t="str">
        <f>IFERROR(__xludf.DUMMYFUNCTION("IMPORTRANGE(""https://docs.google.com/spreadsheets/d/""&amp;$A623&amp;""/edit#gid=156619080"",D$3)"),"#REF!")</f>
        <v>#REF!</v>
      </c>
      <c r="E623" s="2" t="str">
        <f>IFERROR(__xludf.DUMMYFUNCTION("IMPORTRANGE(""https://docs.google.com/spreadsheets/d/""&amp;$A623&amp;""/edit#gid=156619080"",E$3)"),"#REF!")</f>
        <v>#REF!</v>
      </c>
      <c r="F623" s="2" t="str">
        <f>IFERROR(__xludf.DUMMYFUNCTION("IMPORTRANGE(""https://docs.google.com/spreadsheets/d/""&amp;$A623&amp;""/edit#gid=156619080"",F$3)"),"#REF!")</f>
        <v>#REF!</v>
      </c>
      <c r="G623" s="2" t="str">
        <f>IFERROR(__xludf.DUMMYFUNCTION("IMPORTRANGE(""https://docs.google.com/spreadsheets/d/""&amp;$A623&amp;""/edit#gid=156619080"",G$3)"),"#REF!")</f>
        <v>#REF!</v>
      </c>
      <c r="H623" s="2" t="str">
        <f>IFERROR(__xludf.DUMMYFUNCTION("IMPORTRANGE(""https://docs.google.com/spreadsheets/d/""&amp;$A623&amp;""/edit#gid=156619080"",H$3)"),"#REF!")</f>
        <v>#REF!</v>
      </c>
      <c r="I623" s="2" t="str">
        <f>IFERROR(__xludf.DUMMYFUNCTION("IMPORTRANGE(""https://docs.google.com/spreadsheets/d/""&amp;$A623&amp;""/edit#gid=156619080"",I$3)"),"#REF!")</f>
        <v>#REF!</v>
      </c>
      <c r="J623" s="2" t="str">
        <f>IFERROR(__xludf.DUMMYFUNCTION("IMPORTRANGE(""https://docs.google.com/spreadsheets/d/""&amp;$A623&amp;""/edit#gid=156619080"",J$3)"),"#REF!")</f>
        <v>#REF!</v>
      </c>
      <c r="K623" s="2" t="str">
        <f>IFERROR(__xludf.DUMMYFUNCTION("IMPORTRANGE(""https://docs.google.com/spreadsheets/d/""&amp;$A623&amp;""/edit#gid=156619080"",K$3)"),"#REF!")</f>
        <v>#REF!</v>
      </c>
      <c r="L623" s="2" t="str">
        <f>IFERROR(__xludf.DUMMYFUNCTION("IMPORTRANGE(""https://docs.google.com/spreadsheets/d/""&amp;$A623&amp;""/edit#gid=156619080"",L$3)"),"#REF!")</f>
        <v>#REF!</v>
      </c>
      <c r="M623" s="2" t="str">
        <f>IFERROR(__xludf.DUMMYFUNCTION("IMPORTRANGE(""https://docs.google.com/spreadsheets/d/""&amp;$A623&amp;""/edit#gid=156619080"",M$3)"),"#REF!")</f>
        <v>#REF!</v>
      </c>
      <c r="N623" s="2" t="str">
        <f>IFERROR(__xludf.DUMMYFUNCTION("IMPORTRANGE(""https://docs.google.com/spreadsheets/d/""&amp;$A623&amp;""/edit#gid=156619080"",N$3)"),"#REF!")</f>
        <v>#REF!</v>
      </c>
      <c r="O623" s="2" t="str">
        <f>IFERROR(__xludf.DUMMYFUNCTION("IMPORTRANGE(""https://docs.google.com/spreadsheets/d/""&amp;$A623&amp;""/edit#gid=156619080"",O$3)"),"#REF!")</f>
        <v>#REF!</v>
      </c>
      <c r="P623" s="2" t="str">
        <f>IFERROR(__xludf.DUMMYFUNCTION("IMPORTRANGE(""https://docs.google.com/spreadsheets/d/""&amp;$A623&amp;""/edit#gid=156619080"",P$3)"),"#REF!")</f>
        <v>#REF!</v>
      </c>
      <c r="Q623" s="2" t="str">
        <f>IFERROR(__xludf.DUMMYFUNCTION("IMPORTRANGE(""https://docs.google.com/spreadsheets/d/""&amp;$A623&amp;""/edit#gid=156619080"",Q$3)"),"#REF!")</f>
        <v>#REF!</v>
      </c>
      <c r="R623" s="2" t="str">
        <f>IFERROR(__xludf.DUMMYFUNCTION("IMPORTRANGE(""https://docs.google.com/spreadsheets/d/""&amp;$A623&amp;""/edit#gid=156619080"",R$3)"),"#REF!")</f>
        <v>#REF!</v>
      </c>
      <c r="S623" s="2" t="str">
        <f>IFERROR(__xludf.DUMMYFUNCTION("IMPORTRANGE(""https://docs.google.com/spreadsheets/d/""&amp;$A623&amp;""/edit#gid=156619080"",S$3)"),"#REF!")</f>
        <v>#REF!</v>
      </c>
      <c r="T623" s="2" t="str">
        <f>IFERROR(__xludf.DUMMYFUNCTION("IMPORTRANGE(""https://docs.google.com/spreadsheets/d/""&amp;$A623&amp;""/edit#gid=156619080"",T$3)"),"#REF!")</f>
        <v>#REF!</v>
      </c>
      <c r="U623" s="2" t="str">
        <f>IFERROR(__xludf.DUMMYFUNCTION("IMPORTRANGE(""https://docs.google.com/spreadsheets/d/""&amp;$A623&amp;""/edit#gid=156619080"",U$3)"),"#REF!")</f>
        <v>#REF!</v>
      </c>
      <c r="V623" s="2" t="str">
        <f>IFERROR(__xludf.DUMMYFUNCTION("IMPORTRANGE(""https://docs.google.com/spreadsheets/d/""&amp;$A623&amp;""/edit#gid=156619080"",V$3)"),"#REF!")</f>
        <v>#REF!</v>
      </c>
      <c r="W623" s="2" t="str">
        <f>IFERROR(__xludf.DUMMYFUNCTION("IMPORTRANGE(""https://docs.google.com/spreadsheets/d/""&amp;$A623&amp;""/edit#gid=156619080"",W$3)"),"#REF!")</f>
        <v>#REF!</v>
      </c>
      <c r="X623" s="2" t="str">
        <f>IFERROR(__xludf.DUMMYFUNCTION("IMPORTRANGE(""https://docs.google.com/spreadsheets/d/""&amp;$A623&amp;""/edit#gid=156619080"",X$3)"),"#REF!")</f>
        <v>#REF!</v>
      </c>
      <c r="Y623" s="2" t="str">
        <f>IFERROR(__xludf.DUMMYFUNCTION("IMPORTRANGE(""https://docs.google.com/spreadsheets/d/""&amp;$A623&amp;""/edit#gid=156619080"",Y$3)"),"#REF!")</f>
        <v>#REF!</v>
      </c>
      <c r="Z623" s="2" t="str">
        <f>IFERROR(__xludf.DUMMYFUNCTION("IMPORTRANGE(""https://docs.google.com/spreadsheets/d/""&amp;$A623&amp;""/edit#gid=156619080"",Z$3)"),"#REF!")</f>
        <v>#REF!</v>
      </c>
      <c r="AA623" s="2" t="str">
        <f>IFERROR(__xludf.DUMMYFUNCTION("IMPORTRANGE(""https://docs.google.com/spreadsheets/d/""&amp;$A623&amp;""/edit#gid=156619080"",AA$3)"),"#REF!")</f>
        <v>#REF!</v>
      </c>
      <c r="AB623" s="2" t="str">
        <f>IFERROR(__xludf.DUMMYFUNCTION("IMPORTRANGE(""https://docs.google.com/spreadsheets/d/""&amp;$A623&amp;""/edit#gid=156619080"",AB$3)"),"#REF!")</f>
        <v>#REF!</v>
      </c>
      <c r="AC623" s="2" t="str">
        <f>IFERROR(__xludf.DUMMYFUNCTION("IMPORTRANGE(""https://docs.google.com/spreadsheets/d/""&amp;$A623&amp;""/edit#gid=156619080"",AC$3)"),"#REF!")</f>
        <v>#REF!</v>
      </c>
      <c r="AD623" s="2" t="str">
        <f>IFERROR(__xludf.DUMMYFUNCTION("IMPORTRANGE(""https://docs.google.com/spreadsheets/d/""&amp;$A623&amp;""/edit#gid=156619080"",AD$3)"),"#REF!")</f>
        <v>#REF!</v>
      </c>
      <c r="AE623" s="2" t="str">
        <f>IFERROR(__xludf.DUMMYFUNCTION("IMPORTRANGE(""https://docs.google.com/spreadsheets/d/""&amp;$A623&amp;""/edit#gid=156619080"",AE$3)"),"#REF!")</f>
        <v>#REF!</v>
      </c>
      <c r="AF623" s="2" t="str">
        <f>IFERROR(__xludf.DUMMYFUNCTION("IMPORTRANGE(""https://docs.google.com/spreadsheets/d/""&amp;$A623&amp;""/edit#gid=156619080"",AF$3)"),"#REF!")</f>
        <v>#REF!</v>
      </c>
      <c r="AG623" s="2" t="str">
        <f>IFERROR(__xludf.DUMMYFUNCTION("IMPORTRANGE(""https://docs.google.com/spreadsheets/d/""&amp;$A623&amp;""/edit#gid=156619080"",AG$3)"),"#REF!")</f>
        <v>#REF!</v>
      </c>
      <c r="AH623" s="2" t="str">
        <f>IFERROR(__xludf.DUMMYFUNCTION("IMPORTRANGE(""https://docs.google.com/spreadsheets/d/""&amp;$A623&amp;""/edit#gid=156619080"",AH$3)"),"#REF!")</f>
        <v>#REF!</v>
      </c>
      <c r="AI623" s="2" t="str">
        <f>IFERROR(__xludf.DUMMYFUNCTION("IMPORTRANGE(""https://docs.google.com/spreadsheets/d/""&amp;$A623&amp;""/edit#gid=156619080"",AI$3)"),"#REF!")</f>
        <v>#REF!</v>
      </c>
      <c r="AJ623" s="2" t="str">
        <f>IFERROR(__xludf.DUMMYFUNCTION("IMPORTRANGE(""https://docs.google.com/spreadsheets/d/""&amp;$A623&amp;""/edit#gid=156619080"",AJ$3)"),"#REF!")</f>
        <v>#REF!</v>
      </c>
      <c r="AK623" s="2" t="str">
        <f>IFERROR(__xludf.DUMMYFUNCTION("IMPORTRANGE(""https://docs.google.com/spreadsheets/d/""&amp;$A623&amp;""/edit#gid=156619080"",AK$3)"),"#REF!")</f>
        <v>#REF!</v>
      </c>
      <c r="AL623" s="2" t="str">
        <f>IFERROR(__xludf.DUMMYFUNCTION("IMPORTRANGE(""https://docs.google.com/spreadsheets/d/""&amp;$A623&amp;""/edit#gid=156619080"",AL$3)"),"#REF!")</f>
        <v>#REF!</v>
      </c>
      <c r="AM623" s="2" t="str">
        <f>IFERROR(__xludf.DUMMYFUNCTION("IMPORTRANGE(""https://docs.google.com/spreadsheets/d/""&amp;$A623&amp;""/edit#gid=156619080"",AM$3)"),"#REF!")</f>
        <v>#REF!</v>
      </c>
      <c r="AN623" s="2" t="str">
        <f>IFERROR(__xludf.DUMMYFUNCTION("IMPORTRANGE(""https://docs.google.com/spreadsheets/d/""&amp;$A623&amp;""/edit#gid=156619080"",AN$3)"),"#REF!")</f>
        <v>#REF!</v>
      </c>
      <c r="AO623" s="2" t="str">
        <f>IFERROR(__xludf.DUMMYFUNCTION("IMPORTRANGE(""https://docs.google.com/spreadsheets/d/""&amp;$A623&amp;""/edit#gid=156619080"",AO$3)"),"#REF!")</f>
        <v>#REF!</v>
      </c>
      <c r="AP623" s="2" t="str">
        <f>IFERROR(__xludf.DUMMYFUNCTION("IMPORTRANGE(""https://docs.google.com/spreadsheets/d/""&amp;$A623&amp;""/edit#gid=156619080"",AP$3)"),"#REF!")</f>
        <v>#REF!</v>
      </c>
      <c r="AQ623" s="2" t="str">
        <f>IFERROR(__xludf.DUMMYFUNCTION("IMPORTRANGE(""https://docs.google.com/spreadsheets/d/""&amp;$A623&amp;""/edit#gid=156619080"",AQ$3)"),"#REF!")</f>
        <v>#REF!</v>
      </c>
      <c r="AR623" s="2" t="str">
        <f>IFERROR(__xludf.DUMMYFUNCTION("IMPORTRANGE(""https://docs.google.com/spreadsheets/d/""&amp;$A623&amp;""/edit#gid=156619080"",AR$3)"),"#REF!")</f>
        <v>#REF!</v>
      </c>
      <c r="AS623" s="19" t="str">
        <f>IFERROR(__xludf.DUMMYFUNCTION("IMPORTRANGE(""https://docs.google.com/spreadsheets/d/""&amp;$A623&amp;""/edit#gid=156619080"",AS$3)"),"#REF!")</f>
        <v>#REF!</v>
      </c>
      <c r="AT623" s="2" t="str">
        <f>IFERROR(__xludf.DUMMYFUNCTION("IMPORTRANGE(""https://docs.google.com/spreadsheets/d/""&amp;$A623&amp;""/edit#gid=156619080"",AT$3)"),"#REF!")</f>
        <v>#REF!</v>
      </c>
      <c r="AU623" s="3" t="str">
        <f>IFERROR(__xludf.DUMMYFUNCTION("IMPORTRANGE(""https://docs.google.com/spreadsheets/d/""&amp;$A623&amp;""/edit#gid=156619080"",AU$3)"),"#REF!")</f>
        <v>#REF!</v>
      </c>
      <c r="AV623" s="2" t="str">
        <f>IFERROR(__xludf.DUMMYFUNCTION("IMPORTRANGE(""https://docs.google.com/spreadsheets/d/""&amp;$A623&amp;""/edit#gid=156619080"",AV$3)"),"#REF!")</f>
        <v>#REF!</v>
      </c>
      <c r="AW623" s="19" t="str">
        <f>IFERROR(__xludf.DUMMYFUNCTION("IMPORTRANGE(""https://docs.google.com/spreadsheets/d/""&amp;$A623&amp;""/edit#gid=156619080"",AW$3)"),"#REF!")</f>
        <v>#REF!</v>
      </c>
      <c r="AX623" s="2" t="str">
        <f>IFERROR(__xludf.DUMMYFUNCTION("IMPORTRANGE(""https://docs.google.com/spreadsheets/d/""&amp;$A623&amp;""/edit#gid=156619080"",AX$3)"),"#REF!")</f>
        <v>#REF!</v>
      </c>
      <c r="AY623" s="2" t="str">
        <f>IFERROR(__xludf.DUMMYFUNCTION("IMPORTRANGE(""https://docs.google.com/spreadsheets/d/""&amp;$A623&amp;""/edit#gid=156619080"",AY$3)"),"#REF!")</f>
        <v>#REF!</v>
      </c>
      <c r="AZ623" s="2" t="str">
        <f>IFERROR(__xludf.DUMMYFUNCTION("IMPORTRANGE(""https://docs.google.com/spreadsheets/d/""&amp;$A623&amp;""/edit#gid=156619080"",AZ$3)"),"#REF!")</f>
        <v>#REF!</v>
      </c>
      <c r="BA623" s="2" t="str">
        <f>IFERROR(__xludf.DUMMYFUNCTION("IMPORTRANGE(""https://docs.google.com/spreadsheets/d/""&amp;$A623&amp;""/edit#gid=156619080"",BA$3)"),"#REF!")</f>
        <v>#REF!</v>
      </c>
      <c r="BB623" s="2" t="str">
        <f>IFERROR(__xludf.DUMMYFUNCTION("IMPORTRANGE(""https://docs.google.com/spreadsheets/d/""&amp;$A623&amp;""/edit#gid=156619080"",BB$3)"),"#REF!")</f>
        <v>#REF!</v>
      </c>
      <c r="BC623" s="2" t="str">
        <f>IFERROR(__xludf.DUMMYFUNCTION("IMPORTRANGE(""https://docs.google.com/spreadsheets/d/""&amp;$A623&amp;""/edit#gid=156619080"",BC$3)"),"#REF!")</f>
        <v>#REF!</v>
      </c>
    </row>
    <row r="624" ht="51.0" customHeight="1">
      <c r="A624" s="7" t="str">
        <f t="shared" si="5"/>
        <v/>
      </c>
      <c r="C624" s="2" t="str">
        <f>IFERROR(__xludf.DUMMYFUNCTION("IMPORTRANGE(""https://docs.google.com/spreadsheets/d/""&amp;$A624&amp;""/edit#gid=156619080"",C$3)"),"#REF!")</f>
        <v>#REF!</v>
      </c>
      <c r="D624" s="2" t="str">
        <f>IFERROR(__xludf.DUMMYFUNCTION("IMPORTRANGE(""https://docs.google.com/spreadsheets/d/""&amp;$A624&amp;""/edit#gid=156619080"",D$3)"),"#REF!")</f>
        <v>#REF!</v>
      </c>
      <c r="E624" s="2" t="str">
        <f>IFERROR(__xludf.DUMMYFUNCTION("IMPORTRANGE(""https://docs.google.com/spreadsheets/d/""&amp;$A624&amp;""/edit#gid=156619080"",E$3)"),"#REF!")</f>
        <v>#REF!</v>
      </c>
      <c r="F624" s="2" t="str">
        <f>IFERROR(__xludf.DUMMYFUNCTION("IMPORTRANGE(""https://docs.google.com/spreadsheets/d/""&amp;$A624&amp;""/edit#gid=156619080"",F$3)"),"#REF!")</f>
        <v>#REF!</v>
      </c>
      <c r="G624" s="2" t="str">
        <f>IFERROR(__xludf.DUMMYFUNCTION("IMPORTRANGE(""https://docs.google.com/spreadsheets/d/""&amp;$A624&amp;""/edit#gid=156619080"",G$3)"),"#REF!")</f>
        <v>#REF!</v>
      </c>
      <c r="H624" s="2" t="str">
        <f>IFERROR(__xludf.DUMMYFUNCTION("IMPORTRANGE(""https://docs.google.com/spreadsheets/d/""&amp;$A624&amp;""/edit#gid=156619080"",H$3)"),"#REF!")</f>
        <v>#REF!</v>
      </c>
      <c r="I624" s="2" t="str">
        <f>IFERROR(__xludf.DUMMYFUNCTION("IMPORTRANGE(""https://docs.google.com/spreadsheets/d/""&amp;$A624&amp;""/edit#gid=156619080"",I$3)"),"#REF!")</f>
        <v>#REF!</v>
      </c>
      <c r="J624" s="2" t="str">
        <f>IFERROR(__xludf.DUMMYFUNCTION("IMPORTRANGE(""https://docs.google.com/spreadsheets/d/""&amp;$A624&amp;""/edit#gid=156619080"",J$3)"),"#REF!")</f>
        <v>#REF!</v>
      </c>
      <c r="K624" s="2" t="str">
        <f>IFERROR(__xludf.DUMMYFUNCTION("IMPORTRANGE(""https://docs.google.com/spreadsheets/d/""&amp;$A624&amp;""/edit#gid=156619080"",K$3)"),"#REF!")</f>
        <v>#REF!</v>
      </c>
      <c r="L624" s="2" t="str">
        <f>IFERROR(__xludf.DUMMYFUNCTION("IMPORTRANGE(""https://docs.google.com/spreadsheets/d/""&amp;$A624&amp;""/edit#gid=156619080"",L$3)"),"#REF!")</f>
        <v>#REF!</v>
      </c>
      <c r="M624" s="2" t="str">
        <f>IFERROR(__xludf.DUMMYFUNCTION("IMPORTRANGE(""https://docs.google.com/spreadsheets/d/""&amp;$A624&amp;""/edit#gid=156619080"",M$3)"),"#REF!")</f>
        <v>#REF!</v>
      </c>
      <c r="N624" s="2" t="str">
        <f>IFERROR(__xludf.DUMMYFUNCTION("IMPORTRANGE(""https://docs.google.com/spreadsheets/d/""&amp;$A624&amp;""/edit#gid=156619080"",N$3)"),"#REF!")</f>
        <v>#REF!</v>
      </c>
      <c r="O624" s="2" t="str">
        <f>IFERROR(__xludf.DUMMYFUNCTION("IMPORTRANGE(""https://docs.google.com/spreadsheets/d/""&amp;$A624&amp;""/edit#gid=156619080"",O$3)"),"#REF!")</f>
        <v>#REF!</v>
      </c>
      <c r="P624" s="2" t="str">
        <f>IFERROR(__xludf.DUMMYFUNCTION("IMPORTRANGE(""https://docs.google.com/spreadsheets/d/""&amp;$A624&amp;""/edit#gid=156619080"",P$3)"),"#REF!")</f>
        <v>#REF!</v>
      </c>
      <c r="Q624" s="2" t="str">
        <f>IFERROR(__xludf.DUMMYFUNCTION("IMPORTRANGE(""https://docs.google.com/spreadsheets/d/""&amp;$A624&amp;""/edit#gid=156619080"",Q$3)"),"#REF!")</f>
        <v>#REF!</v>
      </c>
      <c r="R624" s="2" t="str">
        <f>IFERROR(__xludf.DUMMYFUNCTION("IMPORTRANGE(""https://docs.google.com/spreadsheets/d/""&amp;$A624&amp;""/edit#gid=156619080"",R$3)"),"#REF!")</f>
        <v>#REF!</v>
      </c>
      <c r="S624" s="2" t="str">
        <f>IFERROR(__xludf.DUMMYFUNCTION("IMPORTRANGE(""https://docs.google.com/spreadsheets/d/""&amp;$A624&amp;""/edit#gid=156619080"",S$3)"),"#REF!")</f>
        <v>#REF!</v>
      </c>
      <c r="T624" s="2" t="str">
        <f>IFERROR(__xludf.DUMMYFUNCTION("IMPORTRANGE(""https://docs.google.com/spreadsheets/d/""&amp;$A624&amp;""/edit#gid=156619080"",T$3)"),"#REF!")</f>
        <v>#REF!</v>
      </c>
      <c r="U624" s="2" t="str">
        <f>IFERROR(__xludf.DUMMYFUNCTION("IMPORTRANGE(""https://docs.google.com/spreadsheets/d/""&amp;$A624&amp;""/edit#gid=156619080"",U$3)"),"#REF!")</f>
        <v>#REF!</v>
      </c>
      <c r="V624" s="2" t="str">
        <f>IFERROR(__xludf.DUMMYFUNCTION("IMPORTRANGE(""https://docs.google.com/spreadsheets/d/""&amp;$A624&amp;""/edit#gid=156619080"",V$3)"),"#REF!")</f>
        <v>#REF!</v>
      </c>
      <c r="W624" s="2" t="str">
        <f>IFERROR(__xludf.DUMMYFUNCTION("IMPORTRANGE(""https://docs.google.com/spreadsheets/d/""&amp;$A624&amp;""/edit#gid=156619080"",W$3)"),"#REF!")</f>
        <v>#REF!</v>
      </c>
      <c r="X624" s="2" t="str">
        <f>IFERROR(__xludf.DUMMYFUNCTION("IMPORTRANGE(""https://docs.google.com/spreadsheets/d/""&amp;$A624&amp;""/edit#gid=156619080"",X$3)"),"#REF!")</f>
        <v>#REF!</v>
      </c>
      <c r="Y624" s="2" t="str">
        <f>IFERROR(__xludf.DUMMYFUNCTION("IMPORTRANGE(""https://docs.google.com/spreadsheets/d/""&amp;$A624&amp;""/edit#gid=156619080"",Y$3)"),"#REF!")</f>
        <v>#REF!</v>
      </c>
      <c r="Z624" s="2" t="str">
        <f>IFERROR(__xludf.DUMMYFUNCTION("IMPORTRANGE(""https://docs.google.com/spreadsheets/d/""&amp;$A624&amp;""/edit#gid=156619080"",Z$3)"),"#REF!")</f>
        <v>#REF!</v>
      </c>
      <c r="AA624" s="2" t="str">
        <f>IFERROR(__xludf.DUMMYFUNCTION("IMPORTRANGE(""https://docs.google.com/spreadsheets/d/""&amp;$A624&amp;""/edit#gid=156619080"",AA$3)"),"#REF!")</f>
        <v>#REF!</v>
      </c>
      <c r="AB624" s="2" t="str">
        <f>IFERROR(__xludf.DUMMYFUNCTION("IMPORTRANGE(""https://docs.google.com/spreadsheets/d/""&amp;$A624&amp;""/edit#gid=156619080"",AB$3)"),"#REF!")</f>
        <v>#REF!</v>
      </c>
      <c r="AC624" s="2" t="str">
        <f>IFERROR(__xludf.DUMMYFUNCTION("IMPORTRANGE(""https://docs.google.com/spreadsheets/d/""&amp;$A624&amp;""/edit#gid=156619080"",AC$3)"),"#REF!")</f>
        <v>#REF!</v>
      </c>
      <c r="AD624" s="2" t="str">
        <f>IFERROR(__xludf.DUMMYFUNCTION("IMPORTRANGE(""https://docs.google.com/spreadsheets/d/""&amp;$A624&amp;""/edit#gid=156619080"",AD$3)"),"#REF!")</f>
        <v>#REF!</v>
      </c>
      <c r="AE624" s="2" t="str">
        <f>IFERROR(__xludf.DUMMYFUNCTION("IMPORTRANGE(""https://docs.google.com/spreadsheets/d/""&amp;$A624&amp;""/edit#gid=156619080"",AE$3)"),"#REF!")</f>
        <v>#REF!</v>
      </c>
      <c r="AF624" s="2" t="str">
        <f>IFERROR(__xludf.DUMMYFUNCTION("IMPORTRANGE(""https://docs.google.com/spreadsheets/d/""&amp;$A624&amp;""/edit#gid=156619080"",AF$3)"),"#REF!")</f>
        <v>#REF!</v>
      </c>
      <c r="AG624" s="2" t="str">
        <f>IFERROR(__xludf.DUMMYFUNCTION("IMPORTRANGE(""https://docs.google.com/spreadsheets/d/""&amp;$A624&amp;""/edit#gid=156619080"",AG$3)"),"#REF!")</f>
        <v>#REF!</v>
      </c>
      <c r="AH624" s="2" t="str">
        <f>IFERROR(__xludf.DUMMYFUNCTION("IMPORTRANGE(""https://docs.google.com/spreadsheets/d/""&amp;$A624&amp;""/edit#gid=156619080"",AH$3)"),"#REF!")</f>
        <v>#REF!</v>
      </c>
      <c r="AI624" s="2" t="str">
        <f>IFERROR(__xludf.DUMMYFUNCTION("IMPORTRANGE(""https://docs.google.com/spreadsheets/d/""&amp;$A624&amp;""/edit#gid=156619080"",AI$3)"),"#REF!")</f>
        <v>#REF!</v>
      </c>
      <c r="AJ624" s="2" t="str">
        <f>IFERROR(__xludf.DUMMYFUNCTION("IMPORTRANGE(""https://docs.google.com/spreadsheets/d/""&amp;$A624&amp;""/edit#gid=156619080"",AJ$3)"),"#REF!")</f>
        <v>#REF!</v>
      </c>
      <c r="AK624" s="2" t="str">
        <f>IFERROR(__xludf.DUMMYFUNCTION("IMPORTRANGE(""https://docs.google.com/spreadsheets/d/""&amp;$A624&amp;""/edit#gid=156619080"",AK$3)"),"#REF!")</f>
        <v>#REF!</v>
      </c>
      <c r="AL624" s="2" t="str">
        <f>IFERROR(__xludf.DUMMYFUNCTION("IMPORTRANGE(""https://docs.google.com/spreadsheets/d/""&amp;$A624&amp;""/edit#gid=156619080"",AL$3)"),"#REF!")</f>
        <v>#REF!</v>
      </c>
      <c r="AM624" s="2" t="str">
        <f>IFERROR(__xludf.DUMMYFUNCTION("IMPORTRANGE(""https://docs.google.com/spreadsheets/d/""&amp;$A624&amp;""/edit#gid=156619080"",AM$3)"),"#REF!")</f>
        <v>#REF!</v>
      </c>
      <c r="AN624" s="2" t="str">
        <f>IFERROR(__xludf.DUMMYFUNCTION("IMPORTRANGE(""https://docs.google.com/spreadsheets/d/""&amp;$A624&amp;""/edit#gid=156619080"",AN$3)"),"#REF!")</f>
        <v>#REF!</v>
      </c>
      <c r="AO624" s="2" t="str">
        <f>IFERROR(__xludf.DUMMYFUNCTION("IMPORTRANGE(""https://docs.google.com/spreadsheets/d/""&amp;$A624&amp;""/edit#gid=156619080"",AO$3)"),"#REF!")</f>
        <v>#REF!</v>
      </c>
      <c r="AP624" s="2" t="str">
        <f>IFERROR(__xludf.DUMMYFUNCTION("IMPORTRANGE(""https://docs.google.com/spreadsheets/d/""&amp;$A624&amp;""/edit#gid=156619080"",AP$3)"),"#REF!")</f>
        <v>#REF!</v>
      </c>
      <c r="AQ624" s="2" t="str">
        <f>IFERROR(__xludf.DUMMYFUNCTION("IMPORTRANGE(""https://docs.google.com/spreadsheets/d/""&amp;$A624&amp;""/edit#gid=156619080"",AQ$3)"),"#REF!")</f>
        <v>#REF!</v>
      </c>
      <c r="AR624" s="2" t="str">
        <f>IFERROR(__xludf.DUMMYFUNCTION("IMPORTRANGE(""https://docs.google.com/spreadsheets/d/""&amp;$A624&amp;""/edit#gid=156619080"",AR$3)"),"#REF!")</f>
        <v>#REF!</v>
      </c>
      <c r="AS624" s="19" t="str">
        <f>IFERROR(__xludf.DUMMYFUNCTION("IMPORTRANGE(""https://docs.google.com/spreadsheets/d/""&amp;$A624&amp;""/edit#gid=156619080"",AS$3)"),"#REF!")</f>
        <v>#REF!</v>
      </c>
      <c r="AT624" s="2" t="str">
        <f>IFERROR(__xludf.DUMMYFUNCTION("IMPORTRANGE(""https://docs.google.com/spreadsheets/d/""&amp;$A624&amp;""/edit#gid=156619080"",AT$3)"),"#REF!")</f>
        <v>#REF!</v>
      </c>
      <c r="AU624" s="3" t="str">
        <f>IFERROR(__xludf.DUMMYFUNCTION("IMPORTRANGE(""https://docs.google.com/spreadsheets/d/""&amp;$A624&amp;""/edit#gid=156619080"",AU$3)"),"#REF!")</f>
        <v>#REF!</v>
      </c>
      <c r="AV624" s="2" t="str">
        <f>IFERROR(__xludf.DUMMYFUNCTION("IMPORTRANGE(""https://docs.google.com/spreadsheets/d/""&amp;$A624&amp;""/edit#gid=156619080"",AV$3)"),"#REF!")</f>
        <v>#REF!</v>
      </c>
      <c r="AW624" s="19" t="str">
        <f>IFERROR(__xludf.DUMMYFUNCTION("IMPORTRANGE(""https://docs.google.com/spreadsheets/d/""&amp;$A624&amp;""/edit#gid=156619080"",AW$3)"),"#REF!")</f>
        <v>#REF!</v>
      </c>
      <c r="AX624" s="2" t="str">
        <f>IFERROR(__xludf.DUMMYFUNCTION("IMPORTRANGE(""https://docs.google.com/spreadsheets/d/""&amp;$A624&amp;""/edit#gid=156619080"",AX$3)"),"#REF!")</f>
        <v>#REF!</v>
      </c>
      <c r="AY624" s="2" t="str">
        <f>IFERROR(__xludf.DUMMYFUNCTION("IMPORTRANGE(""https://docs.google.com/spreadsheets/d/""&amp;$A624&amp;""/edit#gid=156619080"",AY$3)"),"#REF!")</f>
        <v>#REF!</v>
      </c>
      <c r="AZ624" s="2" t="str">
        <f>IFERROR(__xludf.DUMMYFUNCTION("IMPORTRANGE(""https://docs.google.com/spreadsheets/d/""&amp;$A624&amp;""/edit#gid=156619080"",AZ$3)"),"#REF!")</f>
        <v>#REF!</v>
      </c>
      <c r="BA624" s="2" t="str">
        <f>IFERROR(__xludf.DUMMYFUNCTION("IMPORTRANGE(""https://docs.google.com/spreadsheets/d/""&amp;$A624&amp;""/edit#gid=156619080"",BA$3)"),"#REF!")</f>
        <v>#REF!</v>
      </c>
      <c r="BB624" s="2" t="str">
        <f>IFERROR(__xludf.DUMMYFUNCTION("IMPORTRANGE(""https://docs.google.com/spreadsheets/d/""&amp;$A624&amp;""/edit#gid=156619080"",BB$3)"),"#REF!")</f>
        <v>#REF!</v>
      </c>
      <c r="BC624" s="2" t="str">
        <f>IFERROR(__xludf.DUMMYFUNCTION("IMPORTRANGE(""https://docs.google.com/spreadsheets/d/""&amp;$A624&amp;""/edit#gid=156619080"",BC$3)"),"#REF!")</f>
        <v>#REF!</v>
      </c>
    </row>
    <row r="625" ht="51.0" customHeight="1">
      <c r="A625" s="7" t="str">
        <f t="shared" si="5"/>
        <v/>
      </c>
      <c r="C625" s="2" t="str">
        <f>IFERROR(__xludf.DUMMYFUNCTION("IMPORTRANGE(""https://docs.google.com/spreadsheets/d/""&amp;$A625&amp;""/edit#gid=156619080"",C$3)"),"#REF!")</f>
        <v>#REF!</v>
      </c>
      <c r="D625" s="2" t="str">
        <f>IFERROR(__xludf.DUMMYFUNCTION("IMPORTRANGE(""https://docs.google.com/spreadsheets/d/""&amp;$A625&amp;""/edit#gid=156619080"",D$3)"),"#REF!")</f>
        <v>#REF!</v>
      </c>
      <c r="E625" s="2" t="str">
        <f>IFERROR(__xludf.DUMMYFUNCTION("IMPORTRANGE(""https://docs.google.com/spreadsheets/d/""&amp;$A625&amp;""/edit#gid=156619080"",E$3)"),"#REF!")</f>
        <v>#REF!</v>
      </c>
      <c r="F625" s="2" t="str">
        <f>IFERROR(__xludf.DUMMYFUNCTION("IMPORTRANGE(""https://docs.google.com/spreadsheets/d/""&amp;$A625&amp;""/edit#gid=156619080"",F$3)"),"#REF!")</f>
        <v>#REF!</v>
      </c>
      <c r="G625" s="2" t="str">
        <f>IFERROR(__xludf.DUMMYFUNCTION("IMPORTRANGE(""https://docs.google.com/spreadsheets/d/""&amp;$A625&amp;""/edit#gid=156619080"",G$3)"),"#REF!")</f>
        <v>#REF!</v>
      </c>
      <c r="H625" s="2" t="str">
        <f>IFERROR(__xludf.DUMMYFUNCTION("IMPORTRANGE(""https://docs.google.com/spreadsheets/d/""&amp;$A625&amp;""/edit#gid=156619080"",H$3)"),"#REF!")</f>
        <v>#REF!</v>
      </c>
      <c r="I625" s="2" t="str">
        <f>IFERROR(__xludf.DUMMYFUNCTION("IMPORTRANGE(""https://docs.google.com/spreadsheets/d/""&amp;$A625&amp;""/edit#gid=156619080"",I$3)"),"#REF!")</f>
        <v>#REF!</v>
      </c>
      <c r="J625" s="2" t="str">
        <f>IFERROR(__xludf.DUMMYFUNCTION("IMPORTRANGE(""https://docs.google.com/spreadsheets/d/""&amp;$A625&amp;""/edit#gid=156619080"",J$3)"),"#REF!")</f>
        <v>#REF!</v>
      </c>
      <c r="K625" s="2" t="str">
        <f>IFERROR(__xludf.DUMMYFUNCTION("IMPORTRANGE(""https://docs.google.com/spreadsheets/d/""&amp;$A625&amp;""/edit#gid=156619080"",K$3)"),"#REF!")</f>
        <v>#REF!</v>
      </c>
      <c r="L625" s="2" t="str">
        <f>IFERROR(__xludf.DUMMYFUNCTION("IMPORTRANGE(""https://docs.google.com/spreadsheets/d/""&amp;$A625&amp;""/edit#gid=156619080"",L$3)"),"#REF!")</f>
        <v>#REF!</v>
      </c>
      <c r="M625" s="2" t="str">
        <f>IFERROR(__xludf.DUMMYFUNCTION("IMPORTRANGE(""https://docs.google.com/spreadsheets/d/""&amp;$A625&amp;""/edit#gid=156619080"",M$3)"),"#REF!")</f>
        <v>#REF!</v>
      </c>
      <c r="N625" s="2" t="str">
        <f>IFERROR(__xludf.DUMMYFUNCTION("IMPORTRANGE(""https://docs.google.com/spreadsheets/d/""&amp;$A625&amp;""/edit#gid=156619080"",N$3)"),"#REF!")</f>
        <v>#REF!</v>
      </c>
      <c r="O625" s="2" t="str">
        <f>IFERROR(__xludf.DUMMYFUNCTION("IMPORTRANGE(""https://docs.google.com/spreadsheets/d/""&amp;$A625&amp;""/edit#gid=156619080"",O$3)"),"#REF!")</f>
        <v>#REF!</v>
      </c>
      <c r="P625" s="2" t="str">
        <f>IFERROR(__xludf.DUMMYFUNCTION("IMPORTRANGE(""https://docs.google.com/spreadsheets/d/""&amp;$A625&amp;""/edit#gid=156619080"",P$3)"),"#REF!")</f>
        <v>#REF!</v>
      </c>
      <c r="Q625" s="2" t="str">
        <f>IFERROR(__xludf.DUMMYFUNCTION("IMPORTRANGE(""https://docs.google.com/spreadsheets/d/""&amp;$A625&amp;""/edit#gid=156619080"",Q$3)"),"#REF!")</f>
        <v>#REF!</v>
      </c>
      <c r="R625" s="2" t="str">
        <f>IFERROR(__xludf.DUMMYFUNCTION("IMPORTRANGE(""https://docs.google.com/spreadsheets/d/""&amp;$A625&amp;""/edit#gid=156619080"",R$3)"),"#REF!")</f>
        <v>#REF!</v>
      </c>
      <c r="S625" s="2" t="str">
        <f>IFERROR(__xludf.DUMMYFUNCTION("IMPORTRANGE(""https://docs.google.com/spreadsheets/d/""&amp;$A625&amp;""/edit#gid=156619080"",S$3)"),"#REF!")</f>
        <v>#REF!</v>
      </c>
      <c r="T625" s="2" t="str">
        <f>IFERROR(__xludf.DUMMYFUNCTION("IMPORTRANGE(""https://docs.google.com/spreadsheets/d/""&amp;$A625&amp;""/edit#gid=156619080"",T$3)"),"#REF!")</f>
        <v>#REF!</v>
      </c>
      <c r="U625" s="2" t="str">
        <f>IFERROR(__xludf.DUMMYFUNCTION("IMPORTRANGE(""https://docs.google.com/spreadsheets/d/""&amp;$A625&amp;""/edit#gid=156619080"",U$3)"),"#REF!")</f>
        <v>#REF!</v>
      </c>
      <c r="V625" s="2" t="str">
        <f>IFERROR(__xludf.DUMMYFUNCTION("IMPORTRANGE(""https://docs.google.com/spreadsheets/d/""&amp;$A625&amp;""/edit#gid=156619080"",V$3)"),"#REF!")</f>
        <v>#REF!</v>
      </c>
      <c r="W625" s="2" t="str">
        <f>IFERROR(__xludf.DUMMYFUNCTION("IMPORTRANGE(""https://docs.google.com/spreadsheets/d/""&amp;$A625&amp;""/edit#gid=156619080"",W$3)"),"#REF!")</f>
        <v>#REF!</v>
      </c>
      <c r="X625" s="2" t="str">
        <f>IFERROR(__xludf.DUMMYFUNCTION("IMPORTRANGE(""https://docs.google.com/spreadsheets/d/""&amp;$A625&amp;""/edit#gid=156619080"",X$3)"),"#REF!")</f>
        <v>#REF!</v>
      </c>
      <c r="Y625" s="2" t="str">
        <f>IFERROR(__xludf.DUMMYFUNCTION("IMPORTRANGE(""https://docs.google.com/spreadsheets/d/""&amp;$A625&amp;""/edit#gid=156619080"",Y$3)"),"#REF!")</f>
        <v>#REF!</v>
      </c>
      <c r="Z625" s="2" t="str">
        <f>IFERROR(__xludf.DUMMYFUNCTION("IMPORTRANGE(""https://docs.google.com/spreadsheets/d/""&amp;$A625&amp;""/edit#gid=156619080"",Z$3)"),"#REF!")</f>
        <v>#REF!</v>
      </c>
      <c r="AA625" s="2" t="str">
        <f>IFERROR(__xludf.DUMMYFUNCTION("IMPORTRANGE(""https://docs.google.com/spreadsheets/d/""&amp;$A625&amp;""/edit#gid=156619080"",AA$3)"),"#REF!")</f>
        <v>#REF!</v>
      </c>
      <c r="AB625" s="2" t="str">
        <f>IFERROR(__xludf.DUMMYFUNCTION("IMPORTRANGE(""https://docs.google.com/spreadsheets/d/""&amp;$A625&amp;""/edit#gid=156619080"",AB$3)"),"#REF!")</f>
        <v>#REF!</v>
      </c>
      <c r="AC625" s="2" t="str">
        <f>IFERROR(__xludf.DUMMYFUNCTION("IMPORTRANGE(""https://docs.google.com/spreadsheets/d/""&amp;$A625&amp;""/edit#gid=156619080"",AC$3)"),"#REF!")</f>
        <v>#REF!</v>
      </c>
      <c r="AD625" s="2" t="str">
        <f>IFERROR(__xludf.DUMMYFUNCTION("IMPORTRANGE(""https://docs.google.com/spreadsheets/d/""&amp;$A625&amp;""/edit#gid=156619080"",AD$3)"),"#REF!")</f>
        <v>#REF!</v>
      </c>
      <c r="AE625" s="2" t="str">
        <f>IFERROR(__xludf.DUMMYFUNCTION("IMPORTRANGE(""https://docs.google.com/spreadsheets/d/""&amp;$A625&amp;""/edit#gid=156619080"",AE$3)"),"#REF!")</f>
        <v>#REF!</v>
      </c>
      <c r="AF625" s="2" t="str">
        <f>IFERROR(__xludf.DUMMYFUNCTION("IMPORTRANGE(""https://docs.google.com/spreadsheets/d/""&amp;$A625&amp;""/edit#gid=156619080"",AF$3)"),"#REF!")</f>
        <v>#REF!</v>
      </c>
      <c r="AG625" s="2" t="str">
        <f>IFERROR(__xludf.DUMMYFUNCTION("IMPORTRANGE(""https://docs.google.com/spreadsheets/d/""&amp;$A625&amp;""/edit#gid=156619080"",AG$3)"),"#REF!")</f>
        <v>#REF!</v>
      </c>
      <c r="AH625" s="2" t="str">
        <f>IFERROR(__xludf.DUMMYFUNCTION("IMPORTRANGE(""https://docs.google.com/spreadsheets/d/""&amp;$A625&amp;""/edit#gid=156619080"",AH$3)"),"#REF!")</f>
        <v>#REF!</v>
      </c>
      <c r="AI625" s="2" t="str">
        <f>IFERROR(__xludf.DUMMYFUNCTION("IMPORTRANGE(""https://docs.google.com/spreadsheets/d/""&amp;$A625&amp;""/edit#gid=156619080"",AI$3)"),"#REF!")</f>
        <v>#REF!</v>
      </c>
      <c r="AJ625" s="2" t="str">
        <f>IFERROR(__xludf.DUMMYFUNCTION("IMPORTRANGE(""https://docs.google.com/spreadsheets/d/""&amp;$A625&amp;""/edit#gid=156619080"",AJ$3)"),"#REF!")</f>
        <v>#REF!</v>
      </c>
      <c r="AK625" s="2" t="str">
        <f>IFERROR(__xludf.DUMMYFUNCTION("IMPORTRANGE(""https://docs.google.com/spreadsheets/d/""&amp;$A625&amp;""/edit#gid=156619080"",AK$3)"),"#REF!")</f>
        <v>#REF!</v>
      </c>
      <c r="AL625" s="2" t="str">
        <f>IFERROR(__xludf.DUMMYFUNCTION("IMPORTRANGE(""https://docs.google.com/spreadsheets/d/""&amp;$A625&amp;""/edit#gid=156619080"",AL$3)"),"#REF!")</f>
        <v>#REF!</v>
      </c>
      <c r="AM625" s="2" t="str">
        <f>IFERROR(__xludf.DUMMYFUNCTION("IMPORTRANGE(""https://docs.google.com/spreadsheets/d/""&amp;$A625&amp;""/edit#gid=156619080"",AM$3)"),"#REF!")</f>
        <v>#REF!</v>
      </c>
      <c r="AN625" s="2" t="str">
        <f>IFERROR(__xludf.DUMMYFUNCTION("IMPORTRANGE(""https://docs.google.com/spreadsheets/d/""&amp;$A625&amp;""/edit#gid=156619080"",AN$3)"),"#REF!")</f>
        <v>#REF!</v>
      </c>
      <c r="AO625" s="2" t="str">
        <f>IFERROR(__xludf.DUMMYFUNCTION("IMPORTRANGE(""https://docs.google.com/spreadsheets/d/""&amp;$A625&amp;""/edit#gid=156619080"",AO$3)"),"#REF!")</f>
        <v>#REF!</v>
      </c>
      <c r="AP625" s="2" t="str">
        <f>IFERROR(__xludf.DUMMYFUNCTION("IMPORTRANGE(""https://docs.google.com/spreadsheets/d/""&amp;$A625&amp;""/edit#gid=156619080"",AP$3)"),"#REF!")</f>
        <v>#REF!</v>
      </c>
      <c r="AQ625" s="2" t="str">
        <f>IFERROR(__xludf.DUMMYFUNCTION("IMPORTRANGE(""https://docs.google.com/spreadsheets/d/""&amp;$A625&amp;""/edit#gid=156619080"",AQ$3)"),"#REF!")</f>
        <v>#REF!</v>
      </c>
      <c r="AR625" s="2" t="str">
        <f>IFERROR(__xludf.DUMMYFUNCTION("IMPORTRANGE(""https://docs.google.com/spreadsheets/d/""&amp;$A625&amp;""/edit#gid=156619080"",AR$3)"),"#REF!")</f>
        <v>#REF!</v>
      </c>
      <c r="AS625" s="19" t="str">
        <f>IFERROR(__xludf.DUMMYFUNCTION("IMPORTRANGE(""https://docs.google.com/spreadsheets/d/""&amp;$A625&amp;""/edit#gid=156619080"",AS$3)"),"#REF!")</f>
        <v>#REF!</v>
      </c>
      <c r="AT625" s="2" t="str">
        <f>IFERROR(__xludf.DUMMYFUNCTION("IMPORTRANGE(""https://docs.google.com/spreadsheets/d/""&amp;$A625&amp;""/edit#gid=156619080"",AT$3)"),"#REF!")</f>
        <v>#REF!</v>
      </c>
      <c r="AU625" s="3" t="str">
        <f>IFERROR(__xludf.DUMMYFUNCTION("IMPORTRANGE(""https://docs.google.com/spreadsheets/d/""&amp;$A625&amp;""/edit#gid=156619080"",AU$3)"),"#REF!")</f>
        <v>#REF!</v>
      </c>
      <c r="AV625" s="2" t="str">
        <f>IFERROR(__xludf.DUMMYFUNCTION("IMPORTRANGE(""https://docs.google.com/spreadsheets/d/""&amp;$A625&amp;""/edit#gid=156619080"",AV$3)"),"#REF!")</f>
        <v>#REF!</v>
      </c>
      <c r="AW625" s="19" t="str">
        <f>IFERROR(__xludf.DUMMYFUNCTION("IMPORTRANGE(""https://docs.google.com/spreadsheets/d/""&amp;$A625&amp;""/edit#gid=156619080"",AW$3)"),"#REF!")</f>
        <v>#REF!</v>
      </c>
      <c r="AX625" s="2" t="str">
        <f>IFERROR(__xludf.DUMMYFUNCTION("IMPORTRANGE(""https://docs.google.com/spreadsheets/d/""&amp;$A625&amp;""/edit#gid=156619080"",AX$3)"),"#REF!")</f>
        <v>#REF!</v>
      </c>
      <c r="AY625" s="2" t="str">
        <f>IFERROR(__xludf.DUMMYFUNCTION("IMPORTRANGE(""https://docs.google.com/spreadsheets/d/""&amp;$A625&amp;""/edit#gid=156619080"",AY$3)"),"#REF!")</f>
        <v>#REF!</v>
      </c>
      <c r="AZ625" s="2" t="str">
        <f>IFERROR(__xludf.DUMMYFUNCTION("IMPORTRANGE(""https://docs.google.com/spreadsheets/d/""&amp;$A625&amp;""/edit#gid=156619080"",AZ$3)"),"#REF!")</f>
        <v>#REF!</v>
      </c>
      <c r="BA625" s="2" t="str">
        <f>IFERROR(__xludf.DUMMYFUNCTION("IMPORTRANGE(""https://docs.google.com/spreadsheets/d/""&amp;$A625&amp;""/edit#gid=156619080"",BA$3)"),"#REF!")</f>
        <v>#REF!</v>
      </c>
      <c r="BB625" s="2" t="str">
        <f>IFERROR(__xludf.DUMMYFUNCTION("IMPORTRANGE(""https://docs.google.com/spreadsheets/d/""&amp;$A625&amp;""/edit#gid=156619080"",BB$3)"),"#REF!")</f>
        <v>#REF!</v>
      </c>
      <c r="BC625" s="2" t="str">
        <f>IFERROR(__xludf.DUMMYFUNCTION("IMPORTRANGE(""https://docs.google.com/spreadsheets/d/""&amp;$A625&amp;""/edit#gid=156619080"",BC$3)"),"#REF!")</f>
        <v>#REF!</v>
      </c>
    </row>
    <row r="626" ht="51.0" customHeight="1">
      <c r="A626" s="7" t="str">
        <f t="shared" si="5"/>
        <v/>
      </c>
      <c r="C626" s="2" t="str">
        <f>IFERROR(__xludf.DUMMYFUNCTION("IMPORTRANGE(""https://docs.google.com/spreadsheets/d/""&amp;$A626&amp;""/edit#gid=156619080"",C$3)"),"#REF!")</f>
        <v>#REF!</v>
      </c>
      <c r="D626" s="2" t="str">
        <f>IFERROR(__xludf.DUMMYFUNCTION("IMPORTRANGE(""https://docs.google.com/spreadsheets/d/""&amp;$A626&amp;""/edit#gid=156619080"",D$3)"),"#REF!")</f>
        <v>#REF!</v>
      </c>
      <c r="E626" s="2" t="str">
        <f>IFERROR(__xludf.DUMMYFUNCTION("IMPORTRANGE(""https://docs.google.com/spreadsheets/d/""&amp;$A626&amp;""/edit#gid=156619080"",E$3)"),"#REF!")</f>
        <v>#REF!</v>
      </c>
      <c r="F626" s="2" t="str">
        <f>IFERROR(__xludf.DUMMYFUNCTION("IMPORTRANGE(""https://docs.google.com/spreadsheets/d/""&amp;$A626&amp;""/edit#gid=156619080"",F$3)"),"#REF!")</f>
        <v>#REF!</v>
      </c>
      <c r="G626" s="2" t="str">
        <f>IFERROR(__xludf.DUMMYFUNCTION("IMPORTRANGE(""https://docs.google.com/spreadsheets/d/""&amp;$A626&amp;""/edit#gid=156619080"",G$3)"),"#REF!")</f>
        <v>#REF!</v>
      </c>
      <c r="H626" s="2" t="str">
        <f>IFERROR(__xludf.DUMMYFUNCTION("IMPORTRANGE(""https://docs.google.com/spreadsheets/d/""&amp;$A626&amp;""/edit#gid=156619080"",H$3)"),"#REF!")</f>
        <v>#REF!</v>
      </c>
      <c r="I626" s="2" t="str">
        <f>IFERROR(__xludf.DUMMYFUNCTION("IMPORTRANGE(""https://docs.google.com/spreadsheets/d/""&amp;$A626&amp;""/edit#gid=156619080"",I$3)"),"#REF!")</f>
        <v>#REF!</v>
      </c>
      <c r="J626" s="2" t="str">
        <f>IFERROR(__xludf.DUMMYFUNCTION("IMPORTRANGE(""https://docs.google.com/spreadsheets/d/""&amp;$A626&amp;""/edit#gid=156619080"",J$3)"),"#REF!")</f>
        <v>#REF!</v>
      </c>
      <c r="K626" s="2" t="str">
        <f>IFERROR(__xludf.DUMMYFUNCTION("IMPORTRANGE(""https://docs.google.com/spreadsheets/d/""&amp;$A626&amp;""/edit#gid=156619080"",K$3)"),"#REF!")</f>
        <v>#REF!</v>
      </c>
      <c r="L626" s="2" t="str">
        <f>IFERROR(__xludf.DUMMYFUNCTION("IMPORTRANGE(""https://docs.google.com/spreadsheets/d/""&amp;$A626&amp;""/edit#gid=156619080"",L$3)"),"#REF!")</f>
        <v>#REF!</v>
      </c>
      <c r="M626" s="2" t="str">
        <f>IFERROR(__xludf.DUMMYFUNCTION("IMPORTRANGE(""https://docs.google.com/spreadsheets/d/""&amp;$A626&amp;""/edit#gid=156619080"",M$3)"),"#REF!")</f>
        <v>#REF!</v>
      </c>
      <c r="N626" s="2" t="str">
        <f>IFERROR(__xludf.DUMMYFUNCTION("IMPORTRANGE(""https://docs.google.com/spreadsheets/d/""&amp;$A626&amp;""/edit#gid=156619080"",N$3)"),"#REF!")</f>
        <v>#REF!</v>
      </c>
      <c r="O626" s="2" t="str">
        <f>IFERROR(__xludf.DUMMYFUNCTION("IMPORTRANGE(""https://docs.google.com/spreadsheets/d/""&amp;$A626&amp;""/edit#gid=156619080"",O$3)"),"#REF!")</f>
        <v>#REF!</v>
      </c>
      <c r="P626" s="2" t="str">
        <f>IFERROR(__xludf.DUMMYFUNCTION("IMPORTRANGE(""https://docs.google.com/spreadsheets/d/""&amp;$A626&amp;""/edit#gid=156619080"",P$3)"),"#REF!")</f>
        <v>#REF!</v>
      </c>
      <c r="Q626" s="2" t="str">
        <f>IFERROR(__xludf.DUMMYFUNCTION("IMPORTRANGE(""https://docs.google.com/spreadsheets/d/""&amp;$A626&amp;""/edit#gid=156619080"",Q$3)"),"#REF!")</f>
        <v>#REF!</v>
      </c>
      <c r="R626" s="2" t="str">
        <f>IFERROR(__xludf.DUMMYFUNCTION("IMPORTRANGE(""https://docs.google.com/spreadsheets/d/""&amp;$A626&amp;""/edit#gid=156619080"",R$3)"),"#REF!")</f>
        <v>#REF!</v>
      </c>
      <c r="S626" s="2" t="str">
        <f>IFERROR(__xludf.DUMMYFUNCTION("IMPORTRANGE(""https://docs.google.com/spreadsheets/d/""&amp;$A626&amp;""/edit#gid=156619080"",S$3)"),"#REF!")</f>
        <v>#REF!</v>
      </c>
      <c r="T626" s="2" t="str">
        <f>IFERROR(__xludf.DUMMYFUNCTION("IMPORTRANGE(""https://docs.google.com/spreadsheets/d/""&amp;$A626&amp;""/edit#gid=156619080"",T$3)"),"#REF!")</f>
        <v>#REF!</v>
      </c>
      <c r="U626" s="2" t="str">
        <f>IFERROR(__xludf.DUMMYFUNCTION("IMPORTRANGE(""https://docs.google.com/spreadsheets/d/""&amp;$A626&amp;""/edit#gid=156619080"",U$3)"),"#REF!")</f>
        <v>#REF!</v>
      </c>
      <c r="V626" s="2" t="str">
        <f>IFERROR(__xludf.DUMMYFUNCTION("IMPORTRANGE(""https://docs.google.com/spreadsheets/d/""&amp;$A626&amp;""/edit#gid=156619080"",V$3)"),"#REF!")</f>
        <v>#REF!</v>
      </c>
      <c r="W626" s="2" t="str">
        <f>IFERROR(__xludf.DUMMYFUNCTION("IMPORTRANGE(""https://docs.google.com/spreadsheets/d/""&amp;$A626&amp;""/edit#gid=156619080"",W$3)"),"#REF!")</f>
        <v>#REF!</v>
      </c>
      <c r="X626" s="2" t="str">
        <f>IFERROR(__xludf.DUMMYFUNCTION("IMPORTRANGE(""https://docs.google.com/spreadsheets/d/""&amp;$A626&amp;""/edit#gid=156619080"",X$3)"),"#REF!")</f>
        <v>#REF!</v>
      </c>
      <c r="Y626" s="2" t="str">
        <f>IFERROR(__xludf.DUMMYFUNCTION("IMPORTRANGE(""https://docs.google.com/spreadsheets/d/""&amp;$A626&amp;""/edit#gid=156619080"",Y$3)"),"#REF!")</f>
        <v>#REF!</v>
      </c>
      <c r="Z626" s="2" t="str">
        <f>IFERROR(__xludf.DUMMYFUNCTION("IMPORTRANGE(""https://docs.google.com/spreadsheets/d/""&amp;$A626&amp;""/edit#gid=156619080"",Z$3)"),"#REF!")</f>
        <v>#REF!</v>
      </c>
      <c r="AA626" s="2" t="str">
        <f>IFERROR(__xludf.DUMMYFUNCTION("IMPORTRANGE(""https://docs.google.com/spreadsheets/d/""&amp;$A626&amp;""/edit#gid=156619080"",AA$3)"),"#REF!")</f>
        <v>#REF!</v>
      </c>
      <c r="AB626" s="2" t="str">
        <f>IFERROR(__xludf.DUMMYFUNCTION("IMPORTRANGE(""https://docs.google.com/spreadsheets/d/""&amp;$A626&amp;""/edit#gid=156619080"",AB$3)"),"#REF!")</f>
        <v>#REF!</v>
      </c>
      <c r="AC626" s="2" t="str">
        <f>IFERROR(__xludf.DUMMYFUNCTION("IMPORTRANGE(""https://docs.google.com/spreadsheets/d/""&amp;$A626&amp;""/edit#gid=156619080"",AC$3)"),"#REF!")</f>
        <v>#REF!</v>
      </c>
      <c r="AD626" s="2" t="str">
        <f>IFERROR(__xludf.DUMMYFUNCTION("IMPORTRANGE(""https://docs.google.com/spreadsheets/d/""&amp;$A626&amp;""/edit#gid=156619080"",AD$3)"),"#REF!")</f>
        <v>#REF!</v>
      </c>
      <c r="AE626" s="2" t="str">
        <f>IFERROR(__xludf.DUMMYFUNCTION("IMPORTRANGE(""https://docs.google.com/spreadsheets/d/""&amp;$A626&amp;""/edit#gid=156619080"",AE$3)"),"#REF!")</f>
        <v>#REF!</v>
      </c>
      <c r="AF626" s="2" t="str">
        <f>IFERROR(__xludf.DUMMYFUNCTION("IMPORTRANGE(""https://docs.google.com/spreadsheets/d/""&amp;$A626&amp;""/edit#gid=156619080"",AF$3)"),"#REF!")</f>
        <v>#REF!</v>
      </c>
      <c r="AG626" s="2" t="str">
        <f>IFERROR(__xludf.DUMMYFUNCTION("IMPORTRANGE(""https://docs.google.com/spreadsheets/d/""&amp;$A626&amp;""/edit#gid=156619080"",AG$3)"),"#REF!")</f>
        <v>#REF!</v>
      </c>
      <c r="AH626" s="2" t="str">
        <f>IFERROR(__xludf.DUMMYFUNCTION("IMPORTRANGE(""https://docs.google.com/spreadsheets/d/""&amp;$A626&amp;""/edit#gid=156619080"",AH$3)"),"#REF!")</f>
        <v>#REF!</v>
      </c>
      <c r="AI626" s="2" t="str">
        <f>IFERROR(__xludf.DUMMYFUNCTION("IMPORTRANGE(""https://docs.google.com/spreadsheets/d/""&amp;$A626&amp;""/edit#gid=156619080"",AI$3)"),"#REF!")</f>
        <v>#REF!</v>
      </c>
      <c r="AJ626" s="2" t="str">
        <f>IFERROR(__xludf.DUMMYFUNCTION("IMPORTRANGE(""https://docs.google.com/spreadsheets/d/""&amp;$A626&amp;""/edit#gid=156619080"",AJ$3)"),"#REF!")</f>
        <v>#REF!</v>
      </c>
      <c r="AK626" s="2" t="str">
        <f>IFERROR(__xludf.DUMMYFUNCTION("IMPORTRANGE(""https://docs.google.com/spreadsheets/d/""&amp;$A626&amp;""/edit#gid=156619080"",AK$3)"),"#REF!")</f>
        <v>#REF!</v>
      </c>
      <c r="AL626" s="2" t="str">
        <f>IFERROR(__xludf.DUMMYFUNCTION("IMPORTRANGE(""https://docs.google.com/spreadsheets/d/""&amp;$A626&amp;""/edit#gid=156619080"",AL$3)"),"#REF!")</f>
        <v>#REF!</v>
      </c>
      <c r="AM626" s="2" t="str">
        <f>IFERROR(__xludf.DUMMYFUNCTION("IMPORTRANGE(""https://docs.google.com/spreadsheets/d/""&amp;$A626&amp;""/edit#gid=156619080"",AM$3)"),"#REF!")</f>
        <v>#REF!</v>
      </c>
      <c r="AN626" s="2" t="str">
        <f>IFERROR(__xludf.DUMMYFUNCTION("IMPORTRANGE(""https://docs.google.com/spreadsheets/d/""&amp;$A626&amp;""/edit#gid=156619080"",AN$3)"),"#REF!")</f>
        <v>#REF!</v>
      </c>
      <c r="AO626" s="2" t="str">
        <f>IFERROR(__xludf.DUMMYFUNCTION("IMPORTRANGE(""https://docs.google.com/spreadsheets/d/""&amp;$A626&amp;""/edit#gid=156619080"",AO$3)"),"#REF!")</f>
        <v>#REF!</v>
      </c>
      <c r="AP626" s="2" t="str">
        <f>IFERROR(__xludf.DUMMYFUNCTION("IMPORTRANGE(""https://docs.google.com/spreadsheets/d/""&amp;$A626&amp;""/edit#gid=156619080"",AP$3)"),"#REF!")</f>
        <v>#REF!</v>
      </c>
      <c r="AQ626" s="2" t="str">
        <f>IFERROR(__xludf.DUMMYFUNCTION("IMPORTRANGE(""https://docs.google.com/spreadsheets/d/""&amp;$A626&amp;""/edit#gid=156619080"",AQ$3)"),"#REF!")</f>
        <v>#REF!</v>
      </c>
      <c r="AR626" s="2" t="str">
        <f>IFERROR(__xludf.DUMMYFUNCTION("IMPORTRANGE(""https://docs.google.com/spreadsheets/d/""&amp;$A626&amp;""/edit#gid=156619080"",AR$3)"),"#REF!")</f>
        <v>#REF!</v>
      </c>
      <c r="AS626" s="19" t="str">
        <f>IFERROR(__xludf.DUMMYFUNCTION("IMPORTRANGE(""https://docs.google.com/spreadsheets/d/""&amp;$A626&amp;""/edit#gid=156619080"",AS$3)"),"#REF!")</f>
        <v>#REF!</v>
      </c>
      <c r="AT626" s="2" t="str">
        <f>IFERROR(__xludf.DUMMYFUNCTION("IMPORTRANGE(""https://docs.google.com/spreadsheets/d/""&amp;$A626&amp;""/edit#gid=156619080"",AT$3)"),"#REF!")</f>
        <v>#REF!</v>
      </c>
      <c r="AU626" s="3" t="str">
        <f>IFERROR(__xludf.DUMMYFUNCTION("IMPORTRANGE(""https://docs.google.com/spreadsheets/d/""&amp;$A626&amp;""/edit#gid=156619080"",AU$3)"),"#REF!")</f>
        <v>#REF!</v>
      </c>
      <c r="AV626" s="2" t="str">
        <f>IFERROR(__xludf.DUMMYFUNCTION("IMPORTRANGE(""https://docs.google.com/spreadsheets/d/""&amp;$A626&amp;""/edit#gid=156619080"",AV$3)"),"#REF!")</f>
        <v>#REF!</v>
      </c>
      <c r="AW626" s="19" t="str">
        <f>IFERROR(__xludf.DUMMYFUNCTION("IMPORTRANGE(""https://docs.google.com/spreadsheets/d/""&amp;$A626&amp;""/edit#gid=156619080"",AW$3)"),"#REF!")</f>
        <v>#REF!</v>
      </c>
      <c r="AX626" s="2" t="str">
        <f>IFERROR(__xludf.DUMMYFUNCTION("IMPORTRANGE(""https://docs.google.com/spreadsheets/d/""&amp;$A626&amp;""/edit#gid=156619080"",AX$3)"),"#REF!")</f>
        <v>#REF!</v>
      </c>
      <c r="AY626" s="2" t="str">
        <f>IFERROR(__xludf.DUMMYFUNCTION("IMPORTRANGE(""https://docs.google.com/spreadsheets/d/""&amp;$A626&amp;""/edit#gid=156619080"",AY$3)"),"#REF!")</f>
        <v>#REF!</v>
      </c>
      <c r="AZ626" s="2" t="str">
        <f>IFERROR(__xludf.DUMMYFUNCTION("IMPORTRANGE(""https://docs.google.com/spreadsheets/d/""&amp;$A626&amp;""/edit#gid=156619080"",AZ$3)"),"#REF!")</f>
        <v>#REF!</v>
      </c>
      <c r="BA626" s="2" t="str">
        <f>IFERROR(__xludf.DUMMYFUNCTION("IMPORTRANGE(""https://docs.google.com/spreadsheets/d/""&amp;$A626&amp;""/edit#gid=156619080"",BA$3)"),"#REF!")</f>
        <v>#REF!</v>
      </c>
      <c r="BB626" s="2" t="str">
        <f>IFERROR(__xludf.DUMMYFUNCTION("IMPORTRANGE(""https://docs.google.com/spreadsheets/d/""&amp;$A626&amp;""/edit#gid=156619080"",BB$3)"),"#REF!")</f>
        <v>#REF!</v>
      </c>
      <c r="BC626" s="2" t="str">
        <f>IFERROR(__xludf.DUMMYFUNCTION("IMPORTRANGE(""https://docs.google.com/spreadsheets/d/""&amp;$A626&amp;""/edit#gid=156619080"",BC$3)"),"#REF!")</f>
        <v>#REF!</v>
      </c>
    </row>
    <row r="627" ht="51.0" customHeight="1">
      <c r="A627" s="7" t="str">
        <f t="shared" si="5"/>
        <v/>
      </c>
      <c r="C627" s="2" t="str">
        <f>IFERROR(__xludf.DUMMYFUNCTION("IMPORTRANGE(""https://docs.google.com/spreadsheets/d/""&amp;$A627&amp;""/edit#gid=156619080"",C$3)"),"#REF!")</f>
        <v>#REF!</v>
      </c>
      <c r="D627" s="2" t="str">
        <f>IFERROR(__xludf.DUMMYFUNCTION("IMPORTRANGE(""https://docs.google.com/spreadsheets/d/""&amp;$A627&amp;""/edit#gid=156619080"",D$3)"),"#REF!")</f>
        <v>#REF!</v>
      </c>
      <c r="E627" s="2" t="str">
        <f>IFERROR(__xludf.DUMMYFUNCTION("IMPORTRANGE(""https://docs.google.com/spreadsheets/d/""&amp;$A627&amp;""/edit#gid=156619080"",E$3)"),"#REF!")</f>
        <v>#REF!</v>
      </c>
      <c r="F627" s="2" t="str">
        <f>IFERROR(__xludf.DUMMYFUNCTION("IMPORTRANGE(""https://docs.google.com/spreadsheets/d/""&amp;$A627&amp;""/edit#gid=156619080"",F$3)"),"#REF!")</f>
        <v>#REF!</v>
      </c>
      <c r="G627" s="2" t="str">
        <f>IFERROR(__xludf.DUMMYFUNCTION("IMPORTRANGE(""https://docs.google.com/spreadsheets/d/""&amp;$A627&amp;""/edit#gid=156619080"",G$3)"),"#REF!")</f>
        <v>#REF!</v>
      </c>
      <c r="H627" s="2" t="str">
        <f>IFERROR(__xludf.DUMMYFUNCTION("IMPORTRANGE(""https://docs.google.com/spreadsheets/d/""&amp;$A627&amp;""/edit#gid=156619080"",H$3)"),"#REF!")</f>
        <v>#REF!</v>
      </c>
      <c r="I627" s="2" t="str">
        <f>IFERROR(__xludf.DUMMYFUNCTION("IMPORTRANGE(""https://docs.google.com/spreadsheets/d/""&amp;$A627&amp;""/edit#gid=156619080"",I$3)"),"#REF!")</f>
        <v>#REF!</v>
      </c>
      <c r="J627" s="2" t="str">
        <f>IFERROR(__xludf.DUMMYFUNCTION("IMPORTRANGE(""https://docs.google.com/spreadsheets/d/""&amp;$A627&amp;""/edit#gid=156619080"",J$3)"),"#REF!")</f>
        <v>#REF!</v>
      </c>
      <c r="K627" s="2" t="str">
        <f>IFERROR(__xludf.DUMMYFUNCTION("IMPORTRANGE(""https://docs.google.com/spreadsheets/d/""&amp;$A627&amp;""/edit#gid=156619080"",K$3)"),"#REF!")</f>
        <v>#REF!</v>
      </c>
      <c r="L627" s="2" t="str">
        <f>IFERROR(__xludf.DUMMYFUNCTION("IMPORTRANGE(""https://docs.google.com/spreadsheets/d/""&amp;$A627&amp;""/edit#gid=156619080"",L$3)"),"#REF!")</f>
        <v>#REF!</v>
      </c>
      <c r="M627" s="2" t="str">
        <f>IFERROR(__xludf.DUMMYFUNCTION("IMPORTRANGE(""https://docs.google.com/spreadsheets/d/""&amp;$A627&amp;""/edit#gid=156619080"",M$3)"),"#REF!")</f>
        <v>#REF!</v>
      </c>
      <c r="N627" s="2" t="str">
        <f>IFERROR(__xludf.DUMMYFUNCTION("IMPORTRANGE(""https://docs.google.com/spreadsheets/d/""&amp;$A627&amp;""/edit#gid=156619080"",N$3)"),"#REF!")</f>
        <v>#REF!</v>
      </c>
      <c r="O627" s="2" t="str">
        <f>IFERROR(__xludf.DUMMYFUNCTION("IMPORTRANGE(""https://docs.google.com/spreadsheets/d/""&amp;$A627&amp;""/edit#gid=156619080"",O$3)"),"#REF!")</f>
        <v>#REF!</v>
      </c>
      <c r="P627" s="2" t="str">
        <f>IFERROR(__xludf.DUMMYFUNCTION("IMPORTRANGE(""https://docs.google.com/spreadsheets/d/""&amp;$A627&amp;""/edit#gid=156619080"",P$3)"),"#REF!")</f>
        <v>#REF!</v>
      </c>
      <c r="Q627" s="2" t="str">
        <f>IFERROR(__xludf.DUMMYFUNCTION("IMPORTRANGE(""https://docs.google.com/spreadsheets/d/""&amp;$A627&amp;""/edit#gid=156619080"",Q$3)"),"#REF!")</f>
        <v>#REF!</v>
      </c>
      <c r="R627" s="2" t="str">
        <f>IFERROR(__xludf.DUMMYFUNCTION("IMPORTRANGE(""https://docs.google.com/spreadsheets/d/""&amp;$A627&amp;""/edit#gid=156619080"",R$3)"),"#REF!")</f>
        <v>#REF!</v>
      </c>
      <c r="S627" s="2" t="str">
        <f>IFERROR(__xludf.DUMMYFUNCTION("IMPORTRANGE(""https://docs.google.com/spreadsheets/d/""&amp;$A627&amp;""/edit#gid=156619080"",S$3)"),"#REF!")</f>
        <v>#REF!</v>
      </c>
      <c r="T627" s="2" t="str">
        <f>IFERROR(__xludf.DUMMYFUNCTION("IMPORTRANGE(""https://docs.google.com/spreadsheets/d/""&amp;$A627&amp;""/edit#gid=156619080"",T$3)"),"#REF!")</f>
        <v>#REF!</v>
      </c>
      <c r="U627" s="2" t="str">
        <f>IFERROR(__xludf.DUMMYFUNCTION("IMPORTRANGE(""https://docs.google.com/spreadsheets/d/""&amp;$A627&amp;""/edit#gid=156619080"",U$3)"),"#REF!")</f>
        <v>#REF!</v>
      </c>
      <c r="V627" s="2" t="str">
        <f>IFERROR(__xludf.DUMMYFUNCTION("IMPORTRANGE(""https://docs.google.com/spreadsheets/d/""&amp;$A627&amp;""/edit#gid=156619080"",V$3)"),"#REF!")</f>
        <v>#REF!</v>
      </c>
      <c r="W627" s="2" t="str">
        <f>IFERROR(__xludf.DUMMYFUNCTION("IMPORTRANGE(""https://docs.google.com/spreadsheets/d/""&amp;$A627&amp;""/edit#gid=156619080"",W$3)"),"#REF!")</f>
        <v>#REF!</v>
      </c>
      <c r="X627" s="2" t="str">
        <f>IFERROR(__xludf.DUMMYFUNCTION("IMPORTRANGE(""https://docs.google.com/spreadsheets/d/""&amp;$A627&amp;""/edit#gid=156619080"",X$3)"),"#REF!")</f>
        <v>#REF!</v>
      </c>
      <c r="Y627" s="2" t="str">
        <f>IFERROR(__xludf.DUMMYFUNCTION("IMPORTRANGE(""https://docs.google.com/spreadsheets/d/""&amp;$A627&amp;""/edit#gid=156619080"",Y$3)"),"#REF!")</f>
        <v>#REF!</v>
      </c>
      <c r="Z627" s="2" t="str">
        <f>IFERROR(__xludf.DUMMYFUNCTION("IMPORTRANGE(""https://docs.google.com/spreadsheets/d/""&amp;$A627&amp;""/edit#gid=156619080"",Z$3)"),"#REF!")</f>
        <v>#REF!</v>
      </c>
      <c r="AA627" s="2" t="str">
        <f>IFERROR(__xludf.DUMMYFUNCTION("IMPORTRANGE(""https://docs.google.com/spreadsheets/d/""&amp;$A627&amp;""/edit#gid=156619080"",AA$3)"),"#REF!")</f>
        <v>#REF!</v>
      </c>
      <c r="AB627" s="2" t="str">
        <f>IFERROR(__xludf.DUMMYFUNCTION("IMPORTRANGE(""https://docs.google.com/spreadsheets/d/""&amp;$A627&amp;""/edit#gid=156619080"",AB$3)"),"#REF!")</f>
        <v>#REF!</v>
      </c>
      <c r="AC627" s="2" t="str">
        <f>IFERROR(__xludf.DUMMYFUNCTION("IMPORTRANGE(""https://docs.google.com/spreadsheets/d/""&amp;$A627&amp;""/edit#gid=156619080"",AC$3)"),"#REF!")</f>
        <v>#REF!</v>
      </c>
      <c r="AD627" s="2" t="str">
        <f>IFERROR(__xludf.DUMMYFUNCTION("IMPORTRANGE(""https://docs.google.com/spreadsheets/d/""&amp;$A627&amp;""/edit#gid=156619080"",AD$3)"),"#REF!")</f>
        <v>#REF!</v>
      </c>
      <c r="AE627" s="2" t="str">
        <f>IFERROR(__xludf.DUMMYFUNCTION("IMPORTRANGE(""https://docs.google.com/spreadsheets/d/""&amp;$A627&amp;""/edit#gid=156619080"",AE$3)"),"#REF!")</f>
        <v>#REF!</v>
      </c>
      <c r="AF627" s="2" t="str">
        <f>IFERROR(__xludf.DUMMYFUNCTION("IMPORTRANGE(""https://docs.google.com/spreadsheets/d/""&amp;$A627&amp;""/edit#gid=156619080"",AF$3)"),"#REF!")</f>
        <v>#REF!</v>
      </c>
      <c r="AG627" s="2" t="str">
        <f>IFERROR(__xludf.DUMMYFUNCTION("IMPORTRANGE(""https://docs.google.com/spreadsheets/d/""&amp;$A627&amp;""/edit#gid=156619080"",AG$3)"),"#REF!")</f>
        <v>#REF!</v>
      </c>
      <c r="AH627" s="2" t="str">
        <f>IFERROR(__xludf.DUMMYFUNCTION("IMPORTRANGE(""https://docs.google.com/spreadsheets/d/""&amp;$A627&amp;""/edit#gid=156619080"",AH$3)"),"#REF!")</f>
        <v>#REF!</v>
      </c>
      <c r="AI627" s="2" t="str">
        <f>IFERROR(__xludf.DUMMYFUNCTION("IMPORTRANGE(""https://docs.google.com/spreadsheets/d/""&amp;$A627&amp;""/edit#gid=156619080"",AI$3)"),"#REF!")</f>
        <v>#REF!</v>
      </c>
      <c r="AJ627" s="2" t="str">
        <f>IFERROR(__xludf.DUMMYFUNCTION("IMPORTRANGE(""https://docs.google.com/spreadsheets/d/""&amp;$A627&amp;""/edit#gid=156619080"",AJ$3)"),"#REF!")</f>
        <v>#REF!</v>
      </c>
      <c r="AK627" s="2" t="str">
        <f>IFERROR(__xludf.DUMMYFUNCTION("IMPORTRANGE(""https://docs.google.com/spreadsheets/d/""&amp;$A627&amp;""/edit#gid=156619080"",AK$3)"),"#REF!")</f>
        <v>#REF!</v>
      </c>
      <c r="AL627" s="2" t="str">
        <f>IFERROR(__xludf.DUMMYFUNCTION("IMPORTRANGE(""https://docs.google.com/spreadsheets/d/""&amp;$A627&amp;""/edit#gid=156619080"",AL$3)"),"#REF!")</f>
        <v>#REF!</v>
      </c>
      <c r="AM627" s="2" t="str">
        <f>IFERROR(__xludf.DUMMYFUNCTION("IMPORTRANGE(""https://docs.google.com/spreadsheets/d/""&amp;$A627&amp;""/edit#gid=156619080"",AM$3)"),"#REF!")</f>
        <v>#REF!</v>
      </c>
      <c r="AN627" s="2" t="str">
        <f>IFERROR(__xludf.DUMMYFUNCTION("IMPORTRANGE(""https://docs.google.com/spreadsheets/d/""&amp;$A627&amp;""/edit#gid=156619080"",AN$3)"),"#REF!")</f>
        <v>#REF!</v>
      </c>
      <c r="AO627" s="2" t="str">
        <f>IFERROR(__xludf.DUMMYFUNCTION("IMPORTRANGE(""https://docs.google.com/spreadsheets/d/""&amp;$A627&amp;""/edit#gid=156619080"",AO$3)"),"#REF!")</f>
        <v>#REF!</v>
      </c>
      <c r="AP627" s="2" t="str">
        <f>IFERROR(__xludf.DUMMYFUNCTION("IMPORTRANGE(""https://docs.google.com/spreadsheets/d/""&amp;$A627&amp;""/edit#gid=156619080"",AP$3)"),"#REF!")</f>
        <v>#REF!</v>
      </c>
      <c r="AQ627" s="2" t="str">
        <f>IFERROR(__xludf.DUMMYFUNCTION("IMPORTRANGE(""https://docs.google.com/spreadsheets/d/""&amp;$A627&amp;""/edit#gid=156619080"",AQ$3)"),"#REF!")</f>
        <v>#REF!</v>
      </c>
      <c r="AR627" s="2" t="str">
        <f>IFERROR(__xludf.DUMMYFUNCTION("IMPORTRANGE(""https://docs.google.com/spreadsheets/d/""&amp;$A627&amp;""/edit#gid=156619080"",AR$3)"),"#REF!")</f>
        <v>#REF!</v>
      </c>
      <c r="AS627" s="19" t="str">
        <f>IFERROR(__xludf.DUMMYFUNCTION("IMPORTRANGE(""https://docs.google.com/spreadsheets/d/""&amp;$A627&amp;""/edit#gid=156619080"",AS$3)"),"#REF!")</f>
        <v>#REF!</v>
      </c>
      <c r="AT627" s="2" t="str">
        <f>IFERROR(__xludf.DUMMYFUNCTION("IMPORTRANGE(""https://docs.google.com/spreadsheets/d/""&amp;$A627&amp;""/edit#gid=156619080"",AT$3)"),"#REF!")</f>
        <v>#REF!</v>
      </c>
      <c r="AU627" s="3" t="str">
        <f>IFERROR(__xludf.DUMMYFUNCTION("IMPORTRANGE(""https://docs.google.com/spreadsheets/d/""&amp;$A627&amp;""/edit#gid=156619080"",AU$3)"),"#REF!")</f>
        <v>#REF!</v>
      </c>
      <c r="AV627" s="2" t="str">
        <f>IFERROR(__xludf.DUMMYFUNCTION("IMPORTRANGE(""https://docs.google.com/spreadsheets/d/""&amp;$A627&amp;""/edit#gid=156619080"",AV$3)"),"#REF!")</f>
        <v>#REF!</v>
      </c>
      <c r="AW627" s="19" t="str">
        <f>IFERROR(__xludf.DUMMYFUNCTION("IMPORTRANGE(""https://docs.google.com/spreadsheets/d/""&amp;$A627&amp;""/edit#gid=156619080"",AW$3)"),"#REF!")</f>
        <v>#REF!</v>
      </c>
      <c r="AX627" s="2" t="str">
        <f>IFERROR(__xludf.DUMMYFUNCTION("IMPORTRANGE(""https://docs.google.com/spreadsheets/d/""&amp;$A627&amp;""/edit#gid=156619080"",AX$3)"),"#REF!")</f>
        <v>#REF!</v>
      </c>
      <c r="AY627" s="2" t="str">
        <f>IFERROR(__xludf.DUMMYFUNCTION("IMPORTRANGE(""https://docs.google.com/spreadsheets/d/""&amp;$A627&amp;""/edit#gid=156619080"",AY$3)"),"#REF!")</f>
        <v>#REF!</v>
      </c>
      <c r="AZ627" s="2" t="str">
        <f>IFERROR(__xludf.DUMMYFUNCTION("IMPORTRANGE(""https://docs.google.com/spreadsheets/d/""&amp;$A627&amp;""/edit#gid=156619080"",AZ$3)"),"#REF!")</f>
        <v>#REF!</v>
      </c>
      <c r="BA627" s="2" t="str">
        <f>IFERROR(__xludf.DUMMYFUNCTION("IMPORTRANGE(""https://docs.google.com/spreadsheets/d/""&amp;$A627&amp;""/edit#gid=156619080"",BA$3)"),"#REF!")</f>
        <v>#REF!</v>
      </c>
      <c r="BB627" s="2" t="str">
        <f>IFERROR(__xludf.DUMMYFUNCTION("IMPORTRANGE(""https://docs.google.com/spreadsheets/d/""&amp;$A627&amp;""/edit#gid=156619080"",BB$3)"),"#REF!")</f>
        <v>#REF!</v>
      </c>
      <c r="BC627" s="2" t="str">
        <f>IFERROR(__xludf.DUMMYFUNCTION("IMPORTRANGE(""https://docs.google.com/spreadsheets/d/""&amp;$A627&amp;""/edit#gid=156619080"",BC$3)"),"#REF!")</f>
        <v>#REF!</v>
      </c>
    </row>
    <row r="628" ht="51.0" customHeight="1">
      <c r="A628" s="7" t="str">
        <f t="shared" si="5"/>
        <v/>
      </c>
      <c r="C628" s="2" t="str">
        <f>IFERROR(__xludf.DUMMYFUNCTION("IMPORTRANGE(""https://docs.google.com/spreadsheets/d/""&amp;$A628&amp;""/edit#gid=156619080"",C$3)"),"#REF!")</f>
        <v>#REF!</v>
      </c>
      <c r="D628" s="2" t="str">
        <f>IFERROR(__xludf.DUMMYFUNCTION("IMPORTRANGE(""https://docs.google.com/spreadsheets/d/""&amp;$A628&amp;""/edit#gid=156619080"",D$3)"),"#REF!")</f>
        <v>#REF!</v>
      </c>
      <c r="E628" s="2" t="str">
        <f>IFERROR(__xludf.DUMMYFUNCTION("IMPORTRANGE(""https://docs.google.com/spreadsheets/d/""&amp;$A628&amp;""/edit#gid=156619080"",E$3)"),"#REF!")</f>
        <v>#REF!</v>
      </c>
      <c r="F628" s="2" t="str">
        <f>IFERROR(__xludf.DUMMYFUNCTION("IMPORTRANGE(""https://docs.google.com/spreadsheets/d/""&amp;$A628&amp;""/edit#gid=156619080"",F$3)"),"#REF!")</f>
        <v>#REF!</v>
      </c>
      <c r="G628" s="2" t="str">
        <f>IFERROR(__xludf.DUMMYFUNCTION("IMPORTRANGE(""https://docs.google.com/spreadsheets/d/""&amp;$A628&amp;""/edit#gid=156619080"",G$3)"),"#REF!")</f>
        <v>#REF!</v>
      </c>
      <c r="H628" s="2" t="str">
        <f>IFERROR(__xludf.DUMMYFUNCTION("IMPORTRANGE(""https://docs.google.com/spreadsheets/d/""&amp;$A628&amp;""/edit#gid=156619080"",H$3)"),"#REF!")</f>
        <v>#REF!</v>
      </c>
      <c r="I628" s="2" t="str">
        <f>IFERROR(__xludf.DUMMYFUNCTION("IMPORTRANGE(""https://docs.google.com/spreadsheets/d/""&amp;$A628&amp;""/edit#gid=156619080"",I$3)"),"#REF!")</f>
        <v>#REF!</v>
      </c>
      <c r="J628" s="2" t="str">
        <f>IFERROR(__xludf.DUMMYFUNCTION("IMPORTRANGE(""https://docs.google.com/spreadsheets/d/""&amp;$A628&amp;""/edit#gid=156619080"",J$3)"),"#REF!")</f>
        <v>#REF!</v>
      </c>
      <c r="K628" s="2" t="str">
        <f>IFERROR(__xludf.DUMMYFUNCTION("IMPORTRANGE(""https://docs.google.com/spreadsheets/d/""&amp;$A628&amp;""/edit#gid=156619080"",K$3)"),"#REF!")</f>
        <v>#REF!</v>
      </c>
      <c r="L628" s="2" t="str">
        <f>IFERROR(__xludf.DUMMYFUNCTION("IMPORTRANGE(""https://docs.google.com/spreadsheets/d/""&amp;$A628&amp;""/edit#gid=156619080"",L$3)"),"#REF!")</f>
        <v>#REF!</v>
      </c>
      <c r="M628" s="2" t="str">
        <f>IFERROR(__xludf.DUMMYFUNCTION("IMPORTRANGE(""https://docs.google.com/spreadsheets/d/""&amp;$A628&amp;""/edit#gid=156619080"",M$3)"),"#REF!")</f>
        <v>#REF!</v>
      </c>
      <c r="N628" s="2" t="str">
        <f>IFERROR(__xludf.DUMMYFUNCTION("IMPORTRANGE(""https://docs.google.com/spreadsheets/d/""&amp;$A628&amp;""/edit#gid=156619080"",N$3)"),"#REF!")</f>
        <v>#REF!</v>
      </c>
      <c r="O628" s="2" t="str">
        <f>IFERROR(__xludf.DUMMYFUNCTION("IMPORTRANGE(""https://docs.google.com/spreadsheets/d/""&amp;$A628&amp;""/edit#gid=156619080"",O$3)"),"#REF!")</f>
        <v>#REF!</v>
      </c>
      <c r="P628" s="2" t="str">
        <f>IFERROR(__xludf.DUMMYFUNCTION("IMPORTRANGE(""https://docs.google.com/spreadsheets/d/""&amp;$A628&amp;""/edit#gid=156619080"",P$3)"),"#REF!")</f>
        <v>#REF!</v>
      </c>
      <c r="Q628" s="2" t="str">
        <f>IFERROR(__xludf.DUMMYFUNCTION("IMPORTRANGE(""https://docs.google.com/spreadsheets/d/""&amp;$A628&amp;""/edit#gid=156619080"",Q$3)"),"#REF!")</f>
        <v>#REF!</v>
      </c>
      <c r="R628" s="2" t="str">
        <f>IFERROR(__xludf.DUMMYFUNCTION("IMPORTRANGE(""https://docs.google.com/spreadsheets/d/""&amp;$A628&amp;""/edit#gid=156619080"",R$3)"),"#REF!")</f>
        <v>#REF!</v>
      </c>
      <c r="S628" s="2" t="str">
        <f>IFERROR(__xludf.DUMMYFUNCTION("IMPORTRANGE(""https://docs.google.com/spreadsheets/d/""&amp;$A628&amp;""/edit#gid=156619080"",S$3)"),"#REF!")</f>
        <v>#REF!</v>
      </c>
      <c r="T628" s="2" t="str">
        <f>IFERROR(__xludf.DUMMYFUNCTION("IMPORTRANGE(""https://docs.google.com/spreadsheets/d/""&amp;$A628&amp;""/edit#gid=156619080"",T$3)"),"#REF!")</f>
        <v>#REF!</v>
      </c>
      <c r="U628" s="2" t="str">
        <f>IFERROR(__xludf.DUMMYFUNCTION("IMPORTRANGE(""https://docs.google.com/spreadsheets/d/""&amp;$A628&amp;""/edit#gid=156619080"",U$3)"),"#REF!")</f>
        <v>#REF!</v>
      </c>
      <c r="V628" s="2" t="str">
        <f>IFERROR(__xludf.DUMMYFUNCTION("IMPORTRANGE(""https://docs.google.com/spreadsheets/d/""&amp;$A628&amp;""/edit#gid=156619080"",V$3)"),"#REF!")</f>
        <v>#REF!</v>
      </c>
      <c r="W628" s="2" t="str">
        <f>IFERROR(__xludf.DUMMYFUNCTION("IMPORTRANGE(""https://docs.google.com/spreadsheets/d/""&amp;$A628&amp;""/edit#gid=156619080"",W$3)"),"#REF!")</f>
        <v>#REF!</v>
      </c>
      <c r="X628" s="2" t="str">
        <f>IFERROR(__xludf.DUMMYFUNCTION("IMPORTRANGE(""https://docs.google.com/spreadsheets/d/""&amp;$A628&amp;""/edit#gid=156619080"",X$3)"),"#REF!")</f>
        <v>#REF!</v>
      </c>
      <c r="Y628" s="2" t="str">
        <f>IFERROR(__xludf.DUMMYFUNCTION("IMPORTRANGE(""https://docs.google.com/spreadsheets/d/""&amp;$A628&amp;""/edit#gid=156619080"",Y$3)"),"#REF!")</f>
        <v>#REF!</v>
      </c>
      <c r="Z628" s="2" t="str">
        <f>IFERROR(__xludf.DUMMYFUNCTION("IMPORTRANGE(""https://docs.google.com/spreadsheets/d/""&amp;$A628&amp;""/edit#gid=156619080"",Z$3)"),"#REF!")</f>
        <v>#REF!</v>
      </c>
      <c r="AA628" s="2" t="str">
        <f>IFERROR(__xludf.DUMMYFUNCTION("IMPORTRANGE(""https://docs.google.com/spreadsheets/d/""&amp;$A628&amp;""/edit#gid=156619080"",AA$3)"),"#REF!")</f>
        <v>#REF!</v>
      </c>
      <c r="AB628" s="2" t="str">
        <f>IFERROR(__xludf.DUMMYFUNCTION("IMPORTRANGE(""https://docs.google.com/spreadsheets/d/""&amp;$A628&amp;""/edit#gid=156619080"",AB$3)"),"#REF!")</f>
        <v>#REF!</v>
      </c>
      <c r="AC628" s="2" t="str">
        <f>IFERROR(__xludf.DUMMYFUNCTION("IMPORTRANGE(""https://docs.google.com/spreadsheets/d/""&amp;$A628&amp;""/edit#gid=156619080"",AC$3)"),"#REF!")</f>
        <v>#REF!</v>
      </c>
      <c r="AD628" s="2" t="str">
        <f>IFERROR(__xludf.DUMMYFUNCTION("IMPORTRANGE(""https://docs.google.com/spreadsheets/d/""&amp;$A628&amp;""/edit#gid=156619080"",AD$3)"),"#REF!")</f>
        <v>#REF!</v>
      </c>
      <c r="AE628" s="2" t="str">
        <f>IFERROR(__xludf.DUMMYFUNCTION("IMPORTRANGE(""https://docs.google.com/spreadsheets/d/""&amp;$A628&amp;""/edit#gid=156619080"",AE$3)"),"#REF!")</f>
        <v>#REF!</v>
      </c>
      <c r="AF628" s="2" t="str">
        <f>IFERROR(__xludf.DUMMYFUNCTION("IMPORTRANGE(""https://docs.google.com/spreadsheets/d/""&amp;$A628&amp;""/edit#gid=156619080"",AF$3)"),"#REF!")</f>
        <v>#REF!</v>
      </c>
      <c r="AG628" s="2" t="str">
        <f>IFERROR(__xludf.DUMMYFUNCTION("IMPORTRANGE(""https://docs.google.com/spreadsheets/d/""&amp;$A628&amp;""/edit#gid=156619080"",AG$3)"),"#REF!")</f>
        <v>#REF!</v>
      </c>
      <c r="AH628" s="2" t="str">
        <f>IFERROR(__xludf.DUMMYFUNCTION("IMPORTRANGE(""https://docs.google.com/spreadsheets/d/""&amp;$A628&amp;""/edit#gid=156619080"",AH$3)"),"#REF!")</f>
        <v>#REF!</v>
      </c>
      <c r="AI628" s="2" t="str">
        <f>IFERROR(__xludf.DUMMYFUNCTION("IMPORTRANGE(""https://docs.google.com/spreadsheets/d/""&amp;$A628&amp;""/edit#gid=156619080"",AI$3)"),"#REF!")</f>
        <v>#REF!</v>
      </c>
      <c r="AJ628" s="2" t="str">
        <f>IFERROR(__xludf.DUMMYFUNCTION("IMPORTRANGE(""https://docs.google.com/spreadsheets/d/""&amp;$A628&amp;""/edit#gid=156619080"",AJ$3)"),"#REF!")</f>
        <v>#REF!</v>
      </c>
      <c r="AK628" s="2" t="str">
        <f>IFERROR(__xludf.DUMMYFUNCTION("IMPORTRANGE(""https://docs.google.com/spreadsheets/d/""&amp;$A628&amp;""/edit#gid=156619080"",AK$3)"),"#REF!")</f>
        <v>#REF!</v>
      </c>
      <c r="AL628" s="2" t="str">
        <f>IFERROR(__xludf.DUMMYFUNCTION("IMPORTRANGE(""https://docs.google.com/spreadsheets/d/""&amp;$A628&amp;""/edit#gid=156619080"",AL$3)"),"#REF!")</f>
        <v>#REF!</v>
      </c>
      <c r="AM628" s="2" t="str">
        <f>IFERROR(__xludf.DUMMYFUNCTION("IMPORTRANGE(""https://docs.google.com/spreadsheets/d/""&amp;$A628&amp;""/edit#gid=156619080"",AM$3)"),"#REF!")</f>
        <v>#REF!</v>
      </c>
      <c r="AN628" s="2" t="str">
        <f>IFERROR(__xludf.DUMMYFUNCTION("IMPORTRANGE(""https://docs.google.com/spreadsheets/d/""&amp;$A628&amp;""/edit#gid=156619080"",AN$3)"),"#REF!")</f>
        <v>#REF!</v>
      </c>
      <c r="AO628" s="2" t="str">
        <f>IFERROR(__xludf.DUMMYFUNCTION("IMPORTRANGE(""https://docs.google.com/spreadsheets/d/""&amp;$A628&amp;""/edit#gid=156619080"",AO$3)"),"#REF!")</f>
        <v>#REF!</v>
      </c>
      <c r="AP628" s="2" t="str">
        <f>IFERROR(__xludf.DUMMYFUNCTION("IMPORTRANGE(""https://docs.google.com/spreadsheets/d/""&amp;$A628&amp;""/edit#gid=156619080"",AP$3)"),"#REF!")</f>
        <v>#REF!</v>
      </c>
      <c r="AQ628" s="2" t="str">
        <f>IFERROR(__xludf.DUMMYFUNCTION("IMPORTRANGE(""https://docs.google.com/spreadsheets/d/""&amp;$A628&amp;""/edit#gid=156619080"",AQ$3)"),"#REF!")</f>
        <v>#REF!</v>
      </c>
      <c r="AR628" s="2" t="str">
        <f>IFERROR(__xludf.DUMMYFUNCTION("IMPORTRANGE(""https://docs.google.com/spreadsheets/d/""&amp;$A628&amp;""/edit#gid=156619080"",AR$3)"),"#REF!")</f>
        <v>#REF!</v>
      </c>
      <c r="AS628" s="19" t="str">
        <f>IFERROR(__xludf.DUMMYFUNCTION("IMPORTRANGE(""https://docs.google.com/spreadsheets/d/""&amp;$A628&amp;""/edit#gid=156619080"",AS$3)"),"#REF!")</f>
        <v>#REF!</v>
      </c>
      <c r="AT628" s="2" t="str">
        <f>IFERROR(__xludf.DUMMYFUNCTION("IMPORTRANGE(""https://docs.google.com/spreadsheets/d/""&amp;$A628&amp;""/edit#gid=156619080"",AT$3)"),"#REF!")</f>
        <v>#REF!</v>
      </c>
      <c r="AU628" s="3" t="str">
        <f>IFERROR(__xludf.DUMMYFUNCTION("IMPORTRANGE(""https://docs.google.com/spreadsheets/d/""&amp;$A628&amp;""/edit#gid=156619080"",AU$3)"),"#REF!")</f>
        <v>#REF!</v>
      </c>
      <c r="AV628" s="2" t="str">
        <f>IFERROR(__xludf.DUMMYFUNCTION("IMPORTRANGE(""https://docs.google.com/spreadsheets/d/""&amp;$A628&amp;""/edit#gid=156619080"",AV$3)"),"#REF!")</f>
        <v>#REF!</v>
      </c>
      <c r="AW628" s="19" t="str">
        <f>IFERROR(__xludf.DUMMYFUNCTION("IMPORTRANGE(""https://docs.google.com/spreadsheets/d/""&amp;$A628&amp;""/edit#gid=156619080"",AW$3)"),"#REF!")</f>
        <v>#REF!</v>
      </c>
      <c r="AX628" s="2" t="str">
        <f>IFERROR(__xludf.DUMMYFUNCTION("IMPORTRANGE(""https://docs.google.com/spreadsheets/d/""&amp;$A628&amp;""/edit#gid=156619080"",AX$3)"),"#REF!")</f>
        <v>#REF!</v>
      </c>
      <c r="AY628" s="2" t="str">
        <f>IFERROR(__xludf.DUMMYFUNCTION("IMPORTRANGE(""https://docs.google.com/spreadsheets/d/""&amp;$A628&amp;""/edit#gid=156619080"",AY$3)"),"#REF!")</f>
        <v>#REF!</v>
      </c>
      <c r="AZ628" s="2" t="str">
        <f>IFERROR(__xludf.DUMMYFUNCTION("IMPORTRANGE(""https://docs.google.com/spreadsheets/d/""&amp;$A628&amp;""/edit#gid=156619080"",AZ$3)"),"#REF!")</f>
        <v>#REF!</v>
      </c>
      <c r="BA628" s="2" t="str">
        <f>IFERROR(__xludf.DUMMYFUNCTION("IMPORTRANGE(""https://docs.google.com/spreadsheets/d/""&amp;$A628&amp;""/edit#gid=156619080"",BA$3)"),"#REF!")</f>
        <v>#REF!</v>
      </c>
      <c r="BB628" s="2" t="str">
        <f>IFERROR(__xludf.DUMMYFUNCTION("IMPORTRANGE(""https://docs.google.com/spreadsheets/d/""&amp;$A628&amp;""/edit#gid=156619080"",BB$3)"),"#REF!")</f>
        <v>#REF!</v>
      </c>
      <c r="BC628" s="2" t="str">
        <f>IFERROR(__xludf.DUMMYFUNCTION("IMPORTRANGE(""https://docs.google.com/spreadsheets/d/""&amp;$A628&amp;""/edit#gid=156619080"",BC$3)"),"#REF!")</f>
        <v>#REF!</v>
      </c>
    </row>
    <row r="629" ht="51.0" customHeight="1">
      <c r="A629" s="7" t="str">
        <f t="shared" si="5"/>
        <v/>
      </c>
      <c r="C629" s="2" t="str">
        <f>IFERROR(__xludf.DUMMYFUNCTION("IMPORTRANGE(""https://docs.google.com/spreadsheets/d/""&amp;$A629&amp;""/edit#gid=156619080"",C$3)"),"#REF!")</f>
        <v>#REF!</v>
      </c>
      <c r="D629" s="2" t="str">
        <f>IFERROR(__xludf.DUMMYFUNCTION("IMPORTRANGE(""https://docs.google.com/spreadsheets/d/""&amp;$A629&amp;""/edit#gid=156619080"",D$3)"),"#REF!")</f>
        <v>#REF!</v>
      </c>
      <c r="E629" s="2" t="str">
        <f>IFERROR(__xludf.DUMMYFUNCTION("IMPORTRANGE(""https://docs.google.com/spreadsheets/d/""&amp;$A629&amp;""/edit#gid=156619080"",E$3)"),"#REF!")</f>
        <v>#REF!</v>
      </c>
      <c r="F629" s="2" t="str">
        <f>IFERROR(__xludf.DUMMYFUNCTION("IMPORTRANGE(""https://docs.google.com/spreadsheets/d/""&amp;$A629&amp;""/edit#gid=156619080"",F$3)"),"#REF!")</f>
        <v>#REF!</v>
      </c>
      <c r="G629" s="2" t="str">
        <f>IFERROR(__xludf.DUMMYFUNCTION("IMPORTRANGE(""https://docs.google.com/spreadsheets/d/""&amp;$A629&amp;""/edit#gid=156619080"",G$3)"),"#REF!")</f>
        <v>#REF!</v>
      </c>
      <c r="H629" s="2" t="str">
        <f>IFERROR(__xludf.DUMMYFUNCTION("IMPORTRANGE(""https://docs.google.com/spreadsheets/d/""&amp;$A629&amp;""/edit#gid=156619080"",H$3)"),"#REF!")</f>
        <v>#REF!</v>
      </c>
      <c r="I629" s="2" t="str">
        <f>IFERROR(__xludf.DUMMYFUNCTION("IMPORTRANGE(""https://docs.google.com/spreadsheets/d/""&amp;$A629&amp;""/edit#gid=156619080"",I$3)"),"#REF!")</f>
        <v>#REF!</v>
      </c>
      <c r="J629" s="2" t="str">
        <f>IFERROR(__xludf.DUMMYFUNCTION("IMPORTRANGE(""https://docs.google.com/spreadsheets/d/""&amp;$A629&amp;""/edit#gid=156619080"",J$3)"),"#REF!")</f>
        <v>#REF!</v>
      </c>
      <c r="K629" s="2" t="str">
        <f>IFERROR(__xludf.DUMMYFUNCTION("IMPORTRANGE(""https://docs.google.com/spreadsheets/d/""&amp;$A629&amp;""/edit#gid=156619080"",K$3)"),"#REF!")</f>
        <v>#REF!</v>
      </c>
      <c r="L629" s="2" t="str">
        <f>IFERROR(__xludf.DUMMYFUNCTION("IMPORTRANGE(""https://docs.google.com/spreadsheets/d/""&amp;$A629&amp;""/edit#gid=156619080"",L$3)"),"#REF!")</f>
        <v>#REF!</v>
      </c>
      <c r="M629" s="2" t="str">
        <f>IFERROR(__xludf.DUMMYFUNCTION("IMPORTRANGE(""https://docs.google.com/spreadsheets/d/""&amp;$A629&amp;""/edit#gid=156619080"",M$3)"),"#REF!")</f>
        <v>#REF!</v>
      </c>
      <c r="N629" s="2" t="str">
        <f>IFERROR(__xludf.DUMMYFUNCTION("IMPORTRANGE(""https://docs.google.com/spreadsheets/d/""&amp;$A629&amp;""/edit#gid=156619080"",N$3)"),"#REF!")</f>
        <v>#REF!</v>
      </c>
      <c r="O629" s="2" t="str">
        <f>IFERROR(__xludf.DUMMYFUNCTION("IMPORTRANGE(""https://docs.google.com/spreadsheets/d/""&amp;$A629&amp;""/edit#gid=156619080"",O$3)"),"#REF!")</f>
        <v>#REF!</v>
      </c>
      <c r="P629" s="2" t="str">
        <f>IFERROR(__xludf.DUMMYFUNCTION("IMPORTRANGE(""https://docs.google.com/spreadsheets/d/""&amp;$A629&amp;""/edit#gid=156619080"",P$3)"),"#REF!")</f>
        <v>#REF!</v>
      </c>
      <c r="Q629" s="2" t="str">
        <f>IFERROR(__xludf.DUMMYFUNCTION("IMPORTRANGE(""https://docs.google.com/spreadsheets/d/""&amp;$A629&amp;""/edit#gid=156619080"",Q$3)"),"#REF!")</f>
        <v>#REF!</v>
      </c>
      <c r="R629" s="2" t="str">
        <f>IFERROR(__xludf.DUMMYFUNCTION("IMPORTRANGE(""https://docs.google.com/spreadsheets/d/""&amp;$A629&amp;""/edit#gid=156619080"",R$3)"),"#REF!")</f>
        <v>#REF!</v>
      </c>
      <c r="S629" s="2" t="str">
        <f>IFERROR(__xludf.DUMMYFUNCTION("IMPORTRANGE(""https://docs.google.com/spreadsheets/d/""&amp;$A629&amp;""/edit#gid=156619080"",S$3)"),"#REF!")</f>
        <v>#REF!</v>
      </c>
      <c r="T629" s="2" t="str">
        <f>IFERROR(__xludf.DUMMYFUNCTION("IMPORTRANGE(""https://docs.google.com/spreadsheets/d/""&amp;$A629&amp;""/edit#gid=156619080"",T$3)"),"#REF!")</f>
        <v>#REF!</v>
      </c>
      <c r="U629" s="2" t="str">
        <f>IFERROR(__xludf.DUMMYFUNCTION("IMPORTRANGE(""https://docs.google.com/spreadsheets/d/""&amp;$A629&amp;""/edit#gid=156619080"",U$3)"),"#REF!")</f>
        <v>#REF!</v>
      </c>
      <c r="V629" s="2" t="str">
        <f>IFERROR(__xludf.DUMMYFUNCTION("IMPORTRANGE(""https://docs.google.com/spreadsheets/d/""&amp;$A629&amp;""/edit#gid=156619080"",V$3)"),"#REF!")</f>
        <v>#REF!</v>
      </c>
      <c r="W629" s="2" t="str">
        <f>IFERROR(__xludf.DUMMYFUNCTION("IMPORTRANGE(""https://docs.google.com/spreadsheets/d/""&amp;$A629&amp;""/edit#gid=156619080"",W$3)"),"#REF!")</f>
        <v>#REF!</v>
      </c>
      <c r="X629" s="2" t="str">
        <f>IFERROR(__xludf.DUMMYFUNCTION("IMPORTRANGE(""https://docs.google.com/spreadsheets/d/""&amp;$A629&amp;""/edit#gid=156619080"",X$3)"),"#REF!")</f>
        <v>#REF!</v>
      </c>
      <c r="Y629" s="2" t="str">
        <f>IFERROR(__xludf.DUMMYFUNCTION("IMPORTRANGE(""https://docs.google.com/spreadsheets/d/""&amp;$A629&amp;""/edit#gid=156619080"",Y$3)"),"#REF!")</f>
        <v>#REF!</v>
      </c>
      <c r="Z629" s="2" t="str">
        <f>IFERROR(__xludf.DUMMYFUNCTION("IMPORTRANGE(""https://docs.google.com/spreadsheets/d/""&amp;$A629&amp;""/edit#gid=156619080"",Z$3)"),"#REF!")</f>
        <v>#REF!</v>
      </c>
      <c r="AA629" s="2" t="str">
        <f>IFERROR(__xludf.DUMMYFUNCTION("IMPORTRANGE(""https://docs.google.com/spreadsheets/d/""&amp;$A629&amp;""/edit#gid=156619080"",AA$3)"),"#REF!")</f>
        <v>#REF!</v>
      </c>
      <c r="AB629" s="2" t="str">
        <f>IFERROR(__xludf.DUMMYFUNCTION("IMPORTRANGE(""https://docs.google.com/spreadsheets/d/""&amp;$A629&amp;""/edit#gid=156619080"",AB$3)"),"#REF!")</f>
        <v>#REF!</v>
      </c>
      <c r="AC629" s="2" t="str">
        <f>IFERROR(__xludf.DUMMYFUNCTION("IMPORTRANGE(""https://docs.google.com/spreadsheets/d/""&amp;$A629&amp;""/edit#gid=156619080"",AC$3)"),"#REF!")</f>
        <v>#REF!</v>
      </c>
      <c r="AD629" s="2" t="str">
        <f>IFERROR(__xludf.DUMMYFUNCTION("IMPORTRANGE(""https://docs.google.com/spreadsheets/d/""&amp;$A629&amp;""/edit#gid=156619080"",AD$3)"),"#REF!")</f>
        <v>#REF!</v>
      </c>
      <c r="AE629" s="2" t="str">
        <f>IFERROR(__xludf.DUMMYFUNCTION("IMPORTRANGE(""https://docs.google.com/spreadsheets/d/""&amp;$A629&amp;""/edit#gid=156619080"",AE$3)"),"#REF!")</f>
        <v>#REF!</v>
      </c>
      <c r="AF629" s="2" t="str">
        <f>IFERROR(__xludf.DUMMYFUNCTION("IMPORTRANGE(""https://docs.google.com/spreadsheets/d/""&amp;$A629&amp;""/edit#gid=156619080"",AF$3)"),"#REF!")</f>
        <v>#REF!</v>
      </c>
      <c r="AG629" s="2" t="str">
        <f>IFERROR(__xludf.DUMMYFUNCTION("IMPORTRANGE(""https://docs.google.com/spreadsheets/d/""&amp;$A629&amp;""/edit#gid=156619080"",AG$3)"),"#REF!")</f>
        <v>#REF!</v>
      </c>
      <c r="AH629" s="2" t="str">
        <f>IFERROR(__xludf.DUMMYFUNCTION("IMPORTRANGE(""https://docs.google.com/spreadsheets/d/""&amp;$A629&amp;""/edit#gid=156619080"",AH$3)"),"#REF!")</f>
        <v>#REF!</v>
      </c>
      <c r="AI629" s="2" t="str">
        <f>IFERROR(__xludf.DUMMYFUNCTION("IMPORTRANGE(""https://docs.google.com/spreadsheets/d/""&amp;$A629&amp;""/edit#gid=156619080"",AI$3)"),"#REF!")</f>
        <v>#REF!</v>
      </c>
      <c r="AJ629" s="2" t="str">
        <f>IFERROR(__xludf.DUMMYFUNCTION("IMPORTRANGE(""https://docs.google.com/spreadsheets/d/""&amp;$A629&amp;""/edit#gid=156619080"",AJ$3)"),"#REF!")</f>
        <v>#REF!</v>
      </c>
      <c r="AK629" s="2" t="str">
        <f>IFERROR(__xludf.DUMMYFUNCTION("IMPORTRANGE(""https://docs.google.com/spreadsheets/d/""&amp;$A629&amp;""/edit#gid=156619080"",AK$3)"),"#REF!")</f>
        <v>#REF!</v>
      </c>
      <c r="AL629" s="2" t="str">
        <f>IFERROR(__xludf.DUMMYFUNCTION("IMPORTRANGE(""https://docs.google.com/spreadsheets/d/""&amp;$A629&amp;""/edit#gid=156619080"",AL$3)"),"#REF!")</f>
        <v>#REF!</v>
      </c>
      <c r="AM629" s="2" t="str">
        <f>IFERROR(__xludf.DUMMYFUNCTION("IMPORTRANGE(""https://docs.google.com/spreadsheets/d/""&amp;$A629&amp;""/edit#gid=156619080"",AM$3)"),"#REF!")</f>
        <v>#REF!</v>
      </c>
      <c r="AN629" s="2" t="str">
        <f>IFERROR(__xludf.DUMMYFUNCTION("IMPORTRANGE(""https://docs.google.com/spreadsheets/d/""&amp;$A629&amp;""/edit#gid=156619080"",AN$3)"),"#REF!")</f>
        <v>#REF!</v>
      </c>
      <c r="AO629" s="2" t="str">
        <f>IFERROR(__xludf.DUMMYFUNCTION("IMPORTRANGE(""https://docs.google.com/spreadsheets/d/""&amp;$A629&amp;""/edit#gid=156619080"",AO$3)"),"#REF!")</f>
        <v>#REF!</v>
      </c>
      <c r="AP629" s="2" t="str">
        <f>IFERROR(__xludf.DUMMYFUNCTION("IMPORTRANGE(""https://docs.google.com/spreadsheets/d/""&amp;$A629&amp;""/edit#gid=156619080"",AP$3)"),"#REF!")</f>
        <v>#REF!</v>
      </c>
      <c r="AQ629" s="2" t="str">
        <f>IFERROR(__xludf.DUMMYFUNCTION("IMPORTRANGE(""https://docs.google.com/spreadsheets/d/""&amp;$A629&amp;""/edit#gid=156619080"",AQ$3)"),"#REF!")</f>
        <v>#REF!</v>
      </c>
      <c r="AR629" s="2" t="str">
        <f>IFERROR(__xludf.DUMMYFUNCTION("IMPORTRANGE(""https://docs.google.com/spreadsheets/d/""&amp;$A629&amp;""/edit#gid=156619080"",AR$3)"),"#REF!")</f>
        <v>#REF!</v>
      </c>
      <c r="AS629" s="19" t="str">
        <f>IFERROR(__xludf.DUMMYFUNCTION("IMPORTRANGE(""https://docs.google.com/spreadsheets/d/""&amp;$A629&amp;""/edit#gid=156619080"",AS$3)"),"#REF!")</f>
        <v>#REF!</v>
      </c>
      <c r="AT629" s="2" t="str">
        <f>IFERROR(__xludf.DUMMYFUNCTION("IMPORTRANGE(""https://docs.google.com/spreadsheets/d/""&amp;$A629&amp;""/edit#gid=156619080"",AT$3)"),"#REF!")</f>
        <v>#REF!</v>
      </c>
      <c r="AU629" s="3" t="str">
        <f>IFERROR(__xludf.DUMMYFUNCTION("IMPORTRANGE(""https://docs.google.com/spreadsheets/d/""&amp;$A629&amp;""/edit#gid=156619080"",AU$3)"),"#REF!")</f>
        <v>#REF!</v>
      </c>
      <c r="AV629" s="2" t="str">
        <f>IFERROR(__xludf.DUMMYFUNCTION("IMPORTRANGE(""https://docs.google.com/spreadsheets/d/""&amp;$A629&amp;""/edit#gid=156619080"",AV$3)"),"#REF!")</f>
        <v>#REF!</v>
      </c>
      <c r="AW629" s="19" t="str">
        <f>IFERROR(__xludf.DUMMYFUNCTION("IMPORTRANGE(""https://docs.google.com/spreadsheets/d/""&amp;$A629&amp;""/edit#gid=156619080"",AW$3)"),"#REF!")</f>
        <v>#REF!</v>
      </c>
      <c r="AX629" s="2" t="str">
        <f>IFERROR(__xludf.DUMMYFUNCTION("IMPORTRANGE(""https://docs.google.com/spreadsheets/d/""&amp;$A629&amp;""/edit#gid=156619080"",AX$3)"),"#REF!")</f>
        <v>#REF!</v>
      </c>
      <c r="AY629" s="2" t="str">
        <f>IFERROR(__xludf.DUMMYFUNCTION("IMPORTRANGE(""https://docs.google.com/spreadsheets/d/""&amp;$A629&amp;""/edit#gid=156619080"",AY$3)"),"#REF!")</f>
        <v>#REF!</v>
      </c>
      <c r="AZ629" s="2" t="str">
        <f>IFERROR(__xludf.DUMMYFUNCTION("IMPORTRANGE(""https://docs.google.com/spreadsheets/d/""&amp;$A629&amp;""/edit#gid=156619080"",AZ$3)"),"#REF!")</f>
        <v>#REF!</v>
      </c>
      <c r="BA629" s="2" t="str">
        <f>IFERROR(__xludf.DUMMYFUNCTION("IMPORTRANGE(""https://docs.google.com/spreadsheets/d/""&amp;$A629&amp;""/edit#gid=156619080"",BA$3)"),"#REF!")</f>
        <v>#REF!</v>
      </c>
      <c r="BB629" s="2" t="str">
        <f>IFERROR(__xludf.DUMMYFUNCTION("IMPORTRANGE(""https://docs.google.com/spreadsheets/d/""&amp;$A629&amp;""/edit#gid=156619080"",BB$3)"),"#REF!")</f>
        <v>#REF!</v>
      </c>
      <c r="BC629" s="2" t="str">
        <f>IFERROR(__xludf.DUMMYFUNCTION("IMPORTRANGE(""https://docs.google.com/spreadsheets/d/""&amp;$A629&amp;""/edit#gid=156619080"",BC$3)"),"#REF!")</f>
        <v>#REF!</v>
      </c>
    </row>
    <row r="630" ht="51.0" customHeight="1">
      <c r="A630" s="7" t="str">
        <f t="shared" si="5"/>
        <v/>
      </c>
      <c r="C630" s="2" t="str">
        <f>IFERROR(__xludf.DUMMYFUNCTION("IMPORTRANGE(""https://docs.google.com/spreadsheets/d/""&amp;$A630&amp;""/edit#gid=156619080"",C$3)"),"#REF!")</f>
        <v>#REF!</v>
      </c>
      <c r="D630" s="2" t="str">
        <f>IFERROR(__xludf.DUMMYFUNCTION("IMPORTRANGE(""https://docs.google.com/spreadsheets/d/""&amp;$A630&amp;""/edit#gid=156619080"",D$3)"),"#REF!")</f>
        <v>#REF!</v>
      </c>
      <c r="E630" s="2" t="str">
        <f>IFERROR(__xludf.DUMMYFUNCTION("IMPORTRANGE(""https://docs.google.com/spreadsheets/d/""&amp;$A630&amp;""/edit#gid=156619080"",E$3)"),"#REF!")</f>
        <v>#REF!</v>
      </c>
      <c r="F630" s="2" t="str">
        <f>IFERROR(__xludf.DUMMYFUNCTION("IMPORTRANGE(""https://docs.google.com/spreadsheets/d/""&amp;$A630&amp;""/edit#gid=156619080"",F$3)"),"#REF!")</f>
        <v>#REF!</v>
      </c>
      <c r="G630" s="2" t="str">
        <f>IFERROR(__xludf.DUMMYFUNCTION("IMPORTRANGE(""https://docs.google.com/spreadsheets/d/""&amp;$A630&amp;""/edit#gid=156619080"",G$3)"),"#REF!")</f>
        <v>#REF!</v>
      </c>
      <c r="H630" s="2" t="str">
        <f>IFERROR(__xludf.DUMMYFUNCTION("IMPORTRANGE(""https://docs.google.com/spreadsheets/d/""&amp;$A630&amp;""/edit#gid=156619080"",H$3)"),"#REF!")</f>
        <v>#REF!</v>
      </c>
      <c r="I630" s="2" t="str">
        <f>IFERROR(__xludf.DUMMYFUNCTION("IMPORTRANGE(""https://docs.google.com/spreadsheets/d/""&amp;$A630&amp;""/edit#gid=156619080"",I$3)"),"#REF!")</f>
        <v>#REF!</v>
      </c>
      <c r="J630" s="2" t="str">
        <f>IFERROR(__xludf.DUMMYFUNCTION("IMPORTRANGE(""https://docs.google.com/spreadsheets/d/""&amp;$A630&amp;""/edit#gid=156619080"",J$3)"),"#REF!")</f>
        <v>#REF!</v>
      </c>
      <c r="K630" s="2" t="str">
        <f>IFERROR(__xludf.DUMMYFUNCTION("IMPORTRANGE(""https://docs.google.com/spreadsheets/d/""&amp;$A630&amp;""/edit#gid=156619080"",K$3)"),"#REF!")</f>
        <v>#REF!</v>
      </c>
      <c r="L630" s="2" t="str">
        <f>IFERROR(__xludf.DUMMYFUNCTION("IMPORTRANGE(""https://docs.google.com/spreadsheets/d/""&amp;$A630&amp;""/edit#gid=156619080"",L$3)"),"#REF!")</f>
        <v>#REF!</v>
      </c>
      <c r="M630" s="2" t="str">
        <f>IFERROR(__xludf.DUMMYFUNCTION("IMPORTRANGE(""https://docs.google.com/spreadsheets/d/""&amp;$A630&amp;""/edit#gid=156619080"",M$3)"),"#REF!")</f>
        <v>#REF!</v>
      </c>
      <c r="N630" s="2" t="str">
        <f>IFERROR(__xludf.DUMMYFUNCTION("IMPORTRANGE(""https://docs.google.com/spreadsheets/d/""&amp;$A630&amp;""/edit#gid=156619080"",N$3)"),"#REF!")</f>
        <v>#REF!</v>
      </c>
      <c r="O630" s="2" t="str">
        <f>IFERROR(__xludf.DUMMYFUNCTION("IMPORTRANGE(""https://docs.google.com/spreadsheets/d/""&amp;$A630&amp;""/edit#gid=156619080"",O$3)"),"#REF!")</f>
        <v>#REF!</v>
      </c>
      <c r="P630" s="2" t="str">
        <f>IFERROR(__xludf.DUMMYFUNCTION("IMPORTRANGE(""https://docs.google.com/spreadsheets/d/""&amp;$A630&amp;""/edit#gid=156619080"",P$3)"),"#REF!")</f>
        <v>#REF!</v>
      </c>
      <c r="Q630" s="2" t="str">
        <f>IFERROR(__xludf.DUMMYFUNCTION("IMPORTRANGE(""https://docs.google.com/spreadsheets/d/""&amp;$A630&amp;""/edit#gid=156619080"",Q$3)"),"#REF!")</f>
        <v>#REF!</v>
      </c>
      <c r="R630" s="2" t="str">
        <f>IFERROR(__xludf.DUMMYFUNCTION("IMPORTRANGE(""https://docs.google.com/spreadsheets/d/""&amp;$A630&amp;""/edit#gid=156619080"",R$3)"),"#REF!")</f>
        <v>#REF!</v>
      </c>
      <c r="S630" s="2" t="str">
        <f>IFERROR(__xludf.DUMMYFUNCTION("IMPORTRANGE(""https://docs.google.com/spreadsheets/d/""&amp;$A630&amp;""/edit#gid=156619080"",S$3)"),"#REF!")</f>
        <v>#REF!</v>
      </c>
      <c r="T630" s="2" t="str">
        <f>IFERROR(__xludf.DUMMYFUNCTION("IMPORTRANGE(""https://docs.google.com/spreadsheets/d/""&amp;$A630&amp;""/edit#gid=156619080"",T$3)"),"#REF!")</f>
        <v>#REF!</v>
      </c>
      <c r="U630" s="2" t="str">
        <f>IFERROR(__xludf.DUMMYFUNCTION("IMPORTRANGE(""https://docs.google.com/spreadsheets/d/""&amp;$A630&amp;""/edit#gid=156619080"",U$3)"),"#REF!")</f>
        <v>#REF!</v>
      </c>
      <c r="V630" s="2" t="str">
        <f>IFERROR(__xludf.DUMMYFUNCTION("IMPORTRANGE(""https://docs.google.com/spreadsheets/d/""&amp;$A630&amp;""/edit#gid=156619080"",V$3)"),"#REF!")</f>
        <v>#REF!</v>
      </c>
      <c r="W630" s="2" t="str">
        <f>IFERROR(__xludf.DUMMYFUNCTION("IMPORTRANGE(""https://docs.google.com/spreadsheets/d/""&amp;$A630&amp;""/edit#gid=156619080"",W$3)"),"#REF!")</f>
        <v>#REF!</v>
      </c>
      <c r="X630" s="2" t="str">
        <f>IFERROR(__xludf.DUMMYFUNCTION("IMPORTRANGE(""https://docs.google.com/spreadsheets/d/""&amp;$A630&amp;""/edit#gid=156619080"",X$3)"),"#REF!")</f>
        <v>#REF!</v>
      </c>
      <c r="Y630" s="2" t="str">
        <f>IFERROR(__xludf.DUMMYFUNCTION("IMPORTRANGE(""https://docs.google.com/spreadsheets/d/""&amp;$A630&amp;""/edit#gid=156619080"",Y$3)"),"#REF!")</f>
        <v>#REF!</v>
      </c>
      <c r="Z630" s="2" t="str">
        <f>IFERROR(__xludf.DUMMYFUNCTION("IMPORTRANGE(""https://docs.google.com/spreadsheets/d/""&amp;$A630&amp;""/edit#gid=156619080"",Z$3)"),"#REF!")</f>
        <v>#REF!</v>
      </c>
      <c r="AA630" s="2" t="str">
        <f>IFERROR(__xludf.DUMMYFUNCTION("IMPORTRANGE(""https://docs.google.com/spreadsheets/d/""&amp;$A630&amp;""/edit#gid=156619080"",AA$3)"),"#REF!")</f>
        <v>#REF!</v>
      </c>
      <c r="AB630" s="2" t="str">
        <f>IFERROR(__xludf.DUMMYFUNCTION("IMPORTRANGE(""https://docs.google.com/spreadsheets/d/""&amp;$A630&amp;""/edit#gid=156619080"",AB$3)"),"#REF!")</f>
        <v>#REF!</v>
      </c>
      <c r="AC630" s="2" t="str">
        <f>IFERROR(__xludf.DUMMYFUNCTION("IMPORTRANGE(""https://docs.google.com/spreadsheets/d/""&amp;$A630&amp;""/edit#gid=156619080"",AC$3)"),"#REF!")</f>
        <v>#REF!</v>
      </c>
      <c r="AD630" s="2" t="str">
        <f>IFERROR(__xludf.DUMMYFUNCTION("IMPORTRANGE(""https://docs.google.com/spreadsheets/d/""&amp;$A630&amp;""/edit#gid=156619080"",AD$3)"),"#REF!")</f>
        <v>#REF!</v>
      </c>
      <c r="AE630" s="2" t="str">
        <f>IFERROR(__xludf.DUMMYFUNCTION("IMPORTRANGE(""https://docs.google.com/spreadsheets/d/""&amp;$A630&amp;""/edit#gid=156619080"",AE$3)"),"#REF!")</f>
        <v>#REF!</v>
      </c>
      <c r="AF630" s="2" t="str">
        <f>IFERROR(__xludf.DUMMYFUNCTION("IMPORTRANGE(""https://docs.google.com/spreadsheets/d/""&amp;$A630&amp;""/edit#gid=156619080"",AF$3)"),"#REF!")</f>
        <v>#REF!</v>
      </c>
      <c r="AG630" s="2" t="str">
        <f>IFERROR(__xludf.DUMMYFUNCTION("IMPORTRANGE(""https://docs.google.com/spreadsheets/d/""&amp;$A630&amp;""/edit#gid=156619080"",AG$3)"),"#REF!")</f>
        <v>#REF!</v>
      </c>
      <c r="AH630" s="2" t="str">
        <f>IFERROR(__xludf.DUMMYFUNCTION("IMPORTRANGE(""https://docs.google.com/spreadsheets/d/""&amp;$A630&amp;""/edit#gid=156619080"",AH$3)"),"#REF!")</f>
        <v>#REF!</v>
      </c>
      <c r="AI630" s="2" t="str">
        <f>IFERROR(__xludf.DUMMYFUNCTION("IMPORTRANGE(""https://docs.google.com/spreadsheets/d/""&amp;$A630&amp;""/edit#gid=156619080"",AI$3)"),"#REF!")</f>
        <v>#REF!</v>
      </c>
      <c r="AJ630" s="2" t="str">
        <f>IFERROR(__xludf.DUMMYFUNCTION("IMPORTRANGE(""https://docs.google.com/spreadsheets/d/""&amp;$A630&amp;""/edit#gid=156619080"",AJ$3)"),"#REF!")</f>
        <v>#REF!</v>
      </c>
      <c r="AK630" s="2" t="str">
        <f>IFERROR(__xludf.DUMMYFUNCTION("IMPORTRANGE(""https://docs.google.com/spreadsheets/d/""&amp;$A630&amp;""/edit#gid=156619080"",AK$3)"),"#REF!")</f>
        <v>#REF!</v>
      </c>
      <c r="AL630" s="2" t="str">
        <f>IFERROR(__xludf.DUMMYFUNCTION("IMPORTRANGE(""https://docs.google.com/spreadsheets/d/""&amp;$A630&amp;""/edit#gid=156619080"",AL$3)"),"#REF!")</f>
        <v>#REF!</v>
      </c>
      <c r="AM630" s="2" t="str">
        <f>IFERROR(__xludf.DUMMYFUNCTION("IMPORTRANGE(""https://docs.google.com/spreadsheets/d/""&amp;$A630&amp;""/edit#gid=156619080"",AM$3)"),"#REF!")</f>
        <v>#REF!</v>
      </c>
      <c r="AN630" s="2" t="str">
        <f>IFERROR(__xludf.DUMMYFUNCTION("IMPORTRANGE(""https://docs.google.com/spreadsheets/d/""&amp;$A630&amp;""/edit#gid=156619080"",AN$3)"),"#REF!")</f>
        <v>#REF!</v>
      </c>
      <c r="AO630" s="2" t="str">
        <f>IFERROR(__xludf.DUMMYFUNCTION("IMPORTRANGE(""https://docs.google.com/spreadsheets/d/""&amp;$A630&amp;""/edit#gid=156619080"",AO$3)"),"#REF!")</f>
        <v>#REF!</v>
      </c>
      <c r="AP630" s="2" t="str">
        <f>IFERROR(__xludf.DUMMYFUNCTION("IMPORTRANGE(""https://docs.google.com/spreadsheets/d/""&amp;$A630&amp;""/edit#gid=156619080"",AP$3)"),"#REF!")</f>
        <v>#REF!</v>
      </c>
      <c r="AQ630" s="2" t="str">
        <f>IFERROR(__xludf.DUMMYFUNCTION("IMPORTRANGE(""https://docs.google.com/spreadsheets/d/""&amp;$A630&amp;""/edit#gid=156619080"",AQ$3)"),"#REF!")</f>
        <v>#REF!</v>
      </c>
      <c r="AR630" s="2" t="str">
        <f>IFERROR(__xludf.DUMMYFUNCTION("IMPORTRANGE(""https://docs.google.com/spreadsheets/d/""&amp;$A630&amp;""/edit#gid=156619080"",AR$3)"),"#REF!")</f>
        <v>#REF!</v>
      </c>
      <c r="AS630" s="19" t="str">
        <f>IFERROR(__xludf.DUMMYFUNCTION("IMPORTRANGE(""https://docs.google.com/spreadsheets/d/""&amp;$A630&amp;""/edit#gid=156619080"",AS$3)"),"#REF!")</f>
        <v>#REF!</v>
      </c>
      <c r="AT630" s="2" t="str">
        <f>IFERROR(__xludf.DUMMYFUNCTION("IMPORTRANGE(""https://docs.google.com/spreadsheets/d/""&amp;$A630&amp;""/edit#gid=156619080"",AT$3)"),"#REF!")</f>
        <v>#REF!</v>
      </c>
      <c r="AU630" s="3" t="str">
        <f>IFERROR(__xludf.DUMMYFUNCTION("IMPORTRANGE(""https://docs.google.com/spreadsheets/d/""&amp;$A630&amp;""/edit#gid=156619080"",AU$3)"),"#REF!")</f>
        <v>#REF!</v>
      </c>
      <c r="AV630" s="2" t="str">
        <f>IFERROR(__xludf.DUMMYFUNCTION("IMPORTRANGE(""https://docs.google.com/spreadsheets/d/""&amp;$A630&amp;""/edit#gid=156619080"",AV$3)"),"#REF!")</f>
        <v>#REF!</v>
      </c>
      <c r="AW630" s="19" t="str">
        <f>IFERROR(__xludf.DUMMYFUNCTION("IMPORTRANGE(""https://docs.google.com/spreadsheets/d/""&amp;$A630&amp;""/edit#gid=156619080"",AW$3)"),"#REF!")</f>
        <v>#REF!</v>
      </c>
      <c r="AX630" s="2" t="str">
        <f>IFERROR(__xludf.DUMMYFUNCTION("IMPORTRANGE(""https://docs.google.com/spreadsheets/d/""&amp;$A630&amp;""/edit#gid=156619080"",AX$3)"),"#REF!")</f>
        <v>#REF!</v>
      </c>
      <c r="AY630" s="2" t="str">
        <f>IFERROR(__xludf.DUMMYFUNCTION("IMPORTRANGE(""https://docs.google.com/spreadsheets/d/""&amp;$A630&amp;""/edit#gid=156619080"",AY$3)"),"#REF!")</f>
        <v>#REF!</v>
      </c>
      <c r="AZ630" s="2" t="str">
        <f>IFERROR(__xludf.DUMMYFUNCTION("IMPORTRANGE(""https://docs.google.com/spreadsheets/d/""&amp;$A630&amp;""/edit#gid=156619080"",AZ$3)"),"#REF!")</f>
        <v>#REF!</v>
      </c>
      <c r="BA630" s="2" t="str">
        <f>IFERROR(__xludf.DUMMYFUNCTION("IMPORTRANGE(""https://docs.google.com/spreadsheets/d/""&amp;$A630&amp;""/edit#gid=156619080"",BA$3)"),"#REF!")</f>
        <v>#REF!</v>
      </c>
      <c r="BB630" s="2" t="str">
        <f>IFERROR(__xludf.DUMMYFUNCTION("IMPORTRANGE(""https://docs.google.com/spreadsheets/d/""&amp;$A630&amp;""/edit#gid=156619080"",BB$3)"),"#REF!")</f>
        <v>#REF!</v>
      </c>
      <c r="BC630" s="2" t="str">
        <f>IFERROR(__xludf.DUMMYFUNCTION("IMPORTRANGE(""https://docs.google.com/spreadsheets/d/""&amp;$A630&amp;""/edit#gid=156619080"",BC$3)"),"#REF!")</f>
        <v>#REF!</v>
      </c>
    </row>
    <row r="631" ht="51.0" customHeight="1">
      <c r="A631" s="7" t="str">
        <f t="shared" si="5"/>
        <v/>
      </c>
      <c r="C631" s="2" t="str">
        <f>IFERROR(__xludf.DUMMYFUNCTION("IMPORTRANGE(""https://docs.google.com/spreadsheets/d/""&amp;$A631&amp;""/edit#gid=156619080"",C$3)"),"#REF!")</f>
        <v>#REF!</v>
      </c>
      <c r="D631" s="2" t="str">
        <f>IFERROR(__xludf.DUMMYFUNCTION("IMPORTRANGE(""https://docs.google.com/spreadsheets/d/""&amp;$A631&amp;""/edit#gid=156619080"",D$3)"),"#REF!")</f>
        <v>#REF!</v>
      </c>
      <c r="E631" s="2" t="str">
        <f>IFERROR(__xludf.DUMMYFUNCTION("IMPORTRANGE(""https://docs.google.com/spreadsheets/d/""&amp;$A631&amp;""/edit#gid=156619080"",E$3)"),"#REF!")</f>
        <v>#REF!</v>
      </c>
      <c r="F631" s="2" t="str">
        <f>IFERROR(__xludf.DUMMYFUNCTION("IMPORTRANGE(""https://docs.google.com/spreadsheets/d/""&amp;$A631&amp;""/edit#gid=156619080"",F$3)"),"#REF!")</f>
        <v>#REF!</v>
      </c>
      <c r="G631" s="2" t="str">
        <f>IFERROR(__xludf.DUMMYFUNCTION("IMPORTRANGE(""https://docs.google.com/spreadsheets/d/""&amp;$A631&amp;""/edit#gid=156619080"",G$3)"),"#REF!")</f>
        <v>#REF!</v>
      </c>
      <c r="H631" s="2" t="str">
        <f>IFERROR(__xludf.DUMMYFUNCTION("IMPORTRANGE(""https://docs.google.com/spreadsheets/d/""&amp;$A631&amp;""/edit#gid=156619080"",H$3)"),"#REF!")</f>
        <v>#REF!</v>
      </c>
      <c r="I631" s="2" t="str">
        <f>IFERROR(__xludf.DUMMYFUNCTION("IMPORTRANGE(""https://docs.google.com/spreadsheets/d/""&amp;$A631&amp;""/edit#gid=156619080"",I$3)"),"#REF!")</f>
        <v>#REF!</v>
      </c>
      <c r="J631" s="2" t="str">
        <f>IFERROR(__xludf.DUMMYFUNCTION("IMPORTRANGE(""https://docs.google.com/spreadsheets/d/""&amp;$A631&amp;""/edit#gid=156619080"",J$3)"),"#REF!")</f>
        <v>#REF!</v>
      </c>
      <c r="K631" s="2" t="str">
        <f>IFERROR(__xludf.DUMMYFUNCTION("IMPORTRANGE(""https://docs.google.com/spreadsheets/d/""&amp;$A631&amp;""/edit#gid=156619080"",K$3)"),"#REF!")</f>
        <v>#REF!</v>
      </c>
      <c r="L631" s="2" t="str">
        <f>IFERROR(__xludf.DUMMYFUNCTION("IMPORTRANGE(""https://docs.google.com/spreadsheets/d/""&amp;$A631&amp;""/edit#gid=156619080"",L$3)"),"#REF!")</f>
        <v>#REF!</v>
      </c>
      <c r="M631" s="2" t="str">
        <f>IFERROR(__xludf.DUMMYFUNCTION("IMPORTRANGE(""https://docs.google.com/spreadsheets/d/""&amp;$A631&amp;""/edit#gid=156619080"",M$3)"),"#REF!")</f>
        <v>#REF!</v>
      </c>
      <c r="N631" s="2" t="str">
        <f>IFERROR(__xludf.DUMMYFUNCTION("IMPORTRANGE(""https://docs.google.com/spreadsheets/d/""&amp;$A631&amp;""/edit#gid=156619080"",N$3)"),"#REF!")</f>
        <v>#REF!</v>
      </c>
      <c r="O631" s="2" t="str">
        <f>IFERROR(__xludf.DUMMYFUNCTION("IMPORTRANGE(""https://docs.google.com/spreadsheets/d/""&amp;$A631&amp;""/edit#gid=156619080"",O$3)"),"#REF!")</f>
        <v>#REF!</v>
      </c>
      <c r="P631" s="2" t="str">
        <f>IFERROR(__xludf.DUMMYFUNCTION("IMPORTRANGE(""https://docs.google.com/spreadsheets/d/""&amp;$A631&amp;""/edit#gid=156619080"",P$3)"),"#REF!")</f>
        <v>#REF!</v>
      </c>
      <c r="Q631" s="2" t="str">
        <f>IFERROR(__xludf.DUMMYFUNCTION("IMPORTRANGE(""https://docs.google.com/spreadsheets/d/""&amp;$A631&amp;""/edit#gid=156619080"",Q$3)"),"#REF!")</f>
        <v>#REF!</v>
      </c>
      <c r="R631" s="2" t="str">
        <f>IFERROR(__xludf.DUMMYFUNCTION("IMPORTRANGE(""https://docs.google.com/spreadsheets/d/""&amp;$A631&amp;""/edit#gid=156619080"",R$3)"),"#REF!")</f>
        <v>#REF!</v>
      </c>
      <c r="S631" s="2" t="str">
        <f>IFERROR(__xludf.DUMMYFUNCTION("IMPORTRANGE(""https://docs.google.com/spreadsheets/d/""&amp;$A631&amp;""/edit#gid=156619080"",S$3)"),"#REF!")</f>
        <v>#REF!</v>
      </c>
      <c r="T631" s="2" t="str">
        <f>IFERROR(__xludf.DUMMYFUNCTION("IMPORTRANGE(""https://docs.google.com/spreadsheets/d/""&amp;$A631&amp;""/edit#gid=156619080"",T$3)"),"#REF!")</f>
        <v>#REF!</v>
      </c>
      <c r="U631" s="2" t="str">
        <f>IFERROR(__xludf.DUMMYFUNCTION("IMPORTRANGE(""https://docs.google.com/spreadsheets/d/""&amp;$A631&amp;""/edit#gid=156619080"",U$3)"),"#REF!")</f>
        <v>#REF!</v>
      </c>
      <c r="V631" s="2" t="str">
        <f>IFERROR(__xludf.DUMMYFUNCTION("IMPORTRANGE(""https://docs.google.com/spreadsheets/d/""&amp;$A631&amp;""/edit#gid=156619080"",V$3)"),"#REF!")</f>
        <v>#REF!</v>
      </c>
      <c r="W631" s="2" t="str">
        <f>IFERROR(__xludf.DUMMYFUNCTION("IMPORTRANGE(""https://docs.google.com/spreadsheets/d/""&amp;$A631&amp;""/edit#gid=156619080"",W$3)"),"#REF!")</f>
        <v>#REF!</v>
      </c>
      <c r="X631" s="2" t="str">
        <f>IFERROR(__xludf.DUMMYFUNCTION("IMPORTRANGE(""https://docs.google.com/spreadsheets/d/""&amp;$A631&amp;""/edit#gid=156619080"",X$3)"),"#REF!")</f>
        <v>#REF!</v>
      </c>
      <c r="Y631" s="2" t="str">
        <f>IFERROR(__xludf.DUMMYFUNCTION("IMPORTRANGE(""https://docs.google.com/spreadsheets/d/""&amp;$A631&amp;""/edit#gid=156619080"",Y$3)"),"#REF!")</f>
        <v>#REF!</v>
      </c>
      <c r="Z631" s="2" t="str">
        <f>IFERROR(__xludf.DUMMYFUNCTION("IMPORTRANGE(""https://docs.google.com/spreadsheets/d/""&amp;$A631&amp;""/edit#gid=156619080"",Z$3)"),"#REF!")</f>
        <v>#REF!</v>
      </c>
      <c r="AA631" s="2" t="str">
        <f>IFERROR(__xludf.DUMMYFUNCTION("IMPORTRANGE(""https://docs.google.com/spreadsheets/d/""&amp;$A631&amp;""/edit#gid=156619080"",AA$3)"),"#REF!")</f>
        <v>#REF!</v>
      </c>
      <c r="AB631" s="2" t="str">
        <f>IFERROR(__xludf.DUMMYFUNCTION("IMPORTRANGE(""https://docs.google.com/spreadsheets/d/""&amp;$A631&amp;""/edit#gid=156619080"",AB$3)"),"#REF!")</f>
        <v>#REF!</v>
      </c>
      <c r="AC631" s="2" t="str">
        <f>IFERROR(__xludf.DUMMYFUNCTION("IMPORTRANGE(""https://docs.google.com/spreadsheets/d/""&amp;$A631&amp;""/edit#gid=156619080"",AC$3)"),"#REF!")</f>
        <v>#REF!</v>
      </c>
      <c r="AD631" s="2" t="str">
        <f>IFERROR(__xludf.DUMMYFUNCTION("IMPORTRANGE(""https://docs.google.com/spreadsheets/d/""&amp;$A631&amp;""/edit#gid=156619080"",AD$3)"),"#REF!")</f>
        <v>#REF!</v>
      </c>
      <c r="AE631" s="2" t="str">
        <f>IFERROR(__xludf.DUMMYFUNCTION("IMPORTRANGE(""https://docs.google.com/spreadsheets/d/""&amp;$A631&amp;""/edit#gid=156619080"",AE$3)"),"#REF!")</f>
        <v>#REF!</v>
      </c>
      <c r="AF631" s="2" t="str">
        <f>IFERROR(__xludf.DUMMYFUNCTION("IMPORTRANGE(""https://docs.google.com/spreadsheets/d/""&amp;$A631&amp;""/edit#gid=156619080"",AF$3)"),"#REF!")</f>
        <v>#REF!</v>
      </c>
      <c r="AG631" s="2" t="str">
        <f>IFERROR(__xludf.DUMMYFUNCTION("IMPORTRANGE(""https://docs.google.com/spreadsheets/d/""&amp;$A631&amp;""/edit#gid=156619080"",AG$3)"),"#REF!")</f>
        <v>#REF!</v>
      </c>
      <c r="AH631" s="2" t="str">
        <f>IFERROR(__xludf.DUMMYFUNCTION("IMPORTRANGE(""https://docs.google.com/spreadsheets/d/""&amp;$A631&amp;""/edit#gid=156619080"",AH$3)"),"#REF!")</f>
        <v>#REF!</v>
      </c>
      <c r="AI631" s="2" t="str">
        <f>IFERROR(__xludf.DUMMYFUNCTION("IMPORTRANGE(""https://docs.google.com/spreadsheets/d/""&amp;$A631&amp;""/edit#gid=156619080"",AI$3)"),"#REF!")</f>
        <v>#REF!</v>
      </c>
      <c r="AJ631" s="2" t="str">
        <f>IFERROR(__xludf.DUMMYFUNCTION("IMPORTRANGE(""https://docs.google.com/spreadsheets/d/""&amp;$A631&amp;""/edit#gid=156619080"",AJ$3)"),"#REF!")</f>
        <v>#REF!</v>
      </c>
      <c r="AK631" s="2" t="str">
        <f>IFERROR(__xludf.DUMMYFUNCTION("IMPORTRANGE(""https://docs.google.com/spreadsheets/d/""&amp;$A631&amp;""/edit#gid=156619080"",AK$3)"),"#REF!")</f>
        <v>#REF!</v>
      </c>
      <c r="AL631" s="2" t="str">
        <f>IFERROR(__xludf.DUMMYFUNCTION("IMPORTRANGE(""https://docs.google.com/spreadsheets/d/""&amp;$A631&amp;""/edit#gid=156619080"",AL$3)"),"#REF!")</f>
        <v>#REF!</v>
      </c>
      <c r="AM631" s="2" t="str">
        <f>IFERROR(__xludf.DUMMYFUNCTION("IMPORTRANGE(""https://docs.google.com/spreadsheets/d/""&amp;$A631&amp;""/edit#gid=156619080"",AM$3)"),"#REF!")</f>
        <v>#REF!</v>
      </c>
      <c r="AN631" s="2" t="str">
        <f>IFERROR(__xludf.DUMMYFUNCTION("IMPORTRANGE(""https://docs.google.com/spreadsheets/d/""&amp;$A631&amp;""/edit#gid=156619080"",AN$3)"),"#REF!")</f>
        <v>#REF!</v>
      </c>
      <c r="AO631" s="2" t="str">
        <f>IFERROR(__xludf.DUMMYFUNCTION("IMPORTRANGE(""https://docs.google.com/spreadsheets/d/""&amp;$A631&amp;""/edit#gid=156619080"",AO$3)"),"#REF!")</f>
        <v>#REF!</v>
      </c>
      <c r="AP631" s="2" t="str">
        <f>IFERROR(__xludf.DUMMYFUNCTION("IMPORTRANGE(""https://docs.google.com/spreadsheets/d/""&amp;$A631&amp;""/edit#gid=156619080"",AP$3)"),"#REF!")</f>
        <v>#REF!</v>
      </c>
      <c r="AQ631" s="2" t="str">
        <f>IFERROR(__xludf.DUMMYFUNCTION("IMPORTRANGE(""https://docs.google.com/spreadsheets/d/""&amp;$A631&amp;""/edit#gid=156619080"",AQ$3)"),"#REF!")</f>
        <v>#REF!</v>
      </c>
      <c r="AR631" s="2" t="str">
        <f>IFERROR(__xludf.DUMMYFUNCTION("IMPORTRANGE(""https://docs.google.com/spreadsheets/d/""&amp;$A631&amp;""/edit#gid=156619080"",AR$3)"),"#REF!")</f>
        <v>#REF!</v>
      </c>
      <c r="AS631" s="19" t="str">
        <f>IFERROR(__xludf.DUMMYFUNCTION("IMPORTRANGE(""https://docs.google.com/spreadsheets/d/""&amp;$A631&amp;""/edit#gid=156619080"",AS$3)"),"#REF!")</f>
        <v>#REF!</v>
      </c>
      <c r="AT631" s="2" t="str">
        <f>IFERROR(__xludf.DUMMYFUNCTION("IMPORTRANGE(""https://docs.google.com/spreadsheets/d/""&amp;$A631&amp;""/edit#gid=156619080"",AT$3)"),"#REF!")</f>
        <v>#REF!</v>
      </c>
      <c r="AU631" s="3" t="str">
        <f>IFERROR(__xludf.DUMMYFUNCTION("IMPORTRANGE(""https://docs.google.com/spreadsheets/d/""&amp;$A631&amp;""/edit#gid=156619080"",AU$3)"),"#REF!")</f>
        <v>#REF!</v>
      </c>
      <c r="AV631" s="2" t="str">
        <f>IFERROR(__xludf.DUMMYFUNCTION("IMPORTRANGE(""https://docs.google.com/spreadsheets/d/""&amp;$A631&amp;""/edit#gid=156619080"",AV$3)"),"#REF!")</f>
        <v>#REF!</v>
      </c>
      <c r="AW631" s="19" t="str">
        <f>IFERROR(__xludf.DUMMYFUNCTION("IMPORTRANGE(""https://docs.google.com/spreadsheets/d/""&amp;$A631&amp;""/edit#gid=156619080"",AW$3)"),"#REF!")</f>
        <v>#REF!</v>
      </c>
      <c r="AX631" s="2" t="str">
        <f>IFERROR(__xludf.DUMMYFUNCTION("IMPORTRANGE(""https://docs.google.com/spreadsheets/d/""&amp;$A631&amp;""/edit#gid=156619080"",AX$3)"),"#REF!")</f>
        <v>#REF!</v>
      </c>
      <c r="AY631" s="2" t="str">
        <f>IFERROR(__xludf.DUMMYFUNCTION("IMPORTRANGE(""https://docs.google.com/spreadsheets/d/""&amp;$A631&amp;""/edit#gid=156619080"",AY$3)"),"#REF!")</f>
        <v>#REF!</v>
      </c>
      <c r="AZ631" s="2" t="str">
        <f>IFERROR(__xludf.DUMMYFUNCTION("IMPORTRANGE(""https://docs.google.com/spreadsheets/d/""&amp;$A631&amp;""/edit#gid=156619080"",AZ$3)"),"#REF!")</f>
        <v>#REF!</v>
      </c>
      <c r="BA631" s="2" t="str">
        <f>IFERROR(__xludf.DUMMYFUNCTION("IMPORTRANGE(""https://docs.google.com/spreadsheets/d/""&amp;$A631&amp;""/edit#gid=156619080"",BA$3)"),"#REF!")</f>
        <v>#REF!</v>
      </c>
      <c r="BB631" s="2" t="str">
        <f>IFERROR(__xludf.DUMMYFUNCTION("IMPORTRANGE(""https://docs.google.com/spreadsheets/d/""&amp;$A631&amp;""/edit#gid=156619080"",BB$3)"),"#REF!")</f>
        <v>#REF!</v>
      </c>
      <c r="BC631" s="2" t="str">
        <f>IFERROR(__xludf.DUMMYFUNCTION("IMPORTRANGE(""https://docs.google.com/spreadsheets/d/""&amp;$A631&amp;""/edit#gid=156619080"",BC$3)"),"#REF!")</f>
        <v>#REF!</v>
      </c>
    </row>
    <row r="632" ht="51.0" customHeight="1">
      <c r="A632" s="7" t="str">
        <f t="shared" si="5"/>
        <v/>
      </c>
      <c r="C632" s="2" t="str">
        <f>IFERROR(__xludf.DUMMYFUNCTION("IMPORTRANGE(""https://docs.google.com/spreadsheets/d/""&amp;$A632&amp;""/edit#gid=156619080"",C$3)"),"#REF!")</f>
        <v>#REF!</v>
      </c>
      <c r="D632" s="2" t="str">
        <f>IFERROR(__xludf.DUMMYFUNCTION("IMPORTRANGE(""https://docs.google.com/spreadsheets/d/""&amp;$A632&amp;""/edit#gid=156619080"",D$3)"),"#REF!")</f>
        <v>#REF!</v>
      </c>
      <c r="E632" s="2" t="str">
        <f>IFERROR(__xludf.DUMMYFUNCTION("IMPORTRANGE(""https://docs.google.com/spreadsheets/d/""&amp;$A632&amp;""/edit#gid=156619080"",E$3)"),"#REF!")</f>
        <v>#REF!</v>
      </c>
      <c r="F632" s="2" t="str">
        <f>IFERROR(__xludf.DUMMYFUNCTION("IMPORTRANGE(""https://docs.google.com/spreadsheets/d/""&amp;$A632&amp;""/edit#gid=156619080"",F$3)"),"#REF!")</f>
        <v>#REF!</v>
      </c>
      <c r="G632" s="2" t="str">
        <f>IFERROR(__xludf.DUMMYFUNCTION("IMPORTRANGE(""https://docs.google.com/spreadsheets/d/""&amp;$A632&amp;""/edit#gid=156619080"",G$3)"),"#REF!")</f>
        <v>#REF!</v>
      </c>
      <c r="H632" s="2" t="str">
        <f>IFERROR(__xludf.DUMMYFUNCTION("IMPORTRANGE(""https://docs.google.com/spreadsheets/d/""&amp;$A632&amp;""/edit#gid=156619080"",H$3)"),"#REF!")</f>
        <v>#REF!</v>
      </c>
      <c r="I632" s="2" t="str">
        <f>IFERROR(__xludf.DUMMYFUNCTION("IMPORTRANGE(""https://docs.google.com/spreadsheets/d/""&amp;$A632&amp;""/edit#gid=156619080"",I$3)"),"#REF!")</f>
        <v>#REF!</v>
      </c>
      <c r="J632" s="2" t="str">
        <f>IFERROR(__xludf.DUMMYFUNCTION("IMPORTRANGE(""https://docs.google.com/spreadsheets/d/""&amp;$A632&amp;""/edit#gid=156619080"",J$3)"),"#REF!")</f>
        <v>#REF!</v>
      </c>
      <c r="K632" s="2" t="str">
        <f>IFERROR(__xludf.DUMMYFUNCTION("IMPORTRANGE(""https://docs.google.com/spreadsheets/d/""&amp;$A632&amp;""/edit#gid=156619080"",K$3)"),"#REF!")</f>
        <v>#REF!</v>
      </c>
      <c r="L632" s="2" t="str">
        <f>IFERROR(__xludf.DUMMYFUNCTION("IMPORTRANGE(""https://docs.google.com/spreadsheets/d/""&amp;$A632&amp;""/edit#gid=156619080"",L$3)"),"#REF!")</f>
        <v>#REF!</v>
      </c>
      <c r="M632" s="2" t="str">
        <f>IFERROR(__xludf.DUMMYFUNCTION("IMPORTRANGE(""https://docs.google.com/spreadsheets/d/""&amp;$A632&amp;""/edit#gid=156619080"",M$3)"),"#REF!")</f>
        <v>#REF!</v>
      </c>
      <c r="N632" s="2" t="str">
        <f>IFERROR(__xludf.DUMMYFUNCTION("IMPORTRANGE(""https://docs.google.com/spreadsheets/d/""&amp;$A632&amp;""/edit#gid=156619080"",N$3)"),"#REF!")</f>
        <v>#REF!</v>
      </c>
      <c r="O632" s="2" t="str">
        <f>IFERROR(__xludf.DUMMYFUNCTION("IMPORTRANGE(""https://docs.google.com/spreadsheets/d/""&amp;$A632&amp;""/edit#gid=156619080"",O$3)"),"#REF!")</f>
        <v>#REF!</v>
      </c>
      <c r="P632" s="2" t="str">
        <f>IFERROR(__xludf.DUMMYFUNCTION("IMPORTRANGE(""https://docs.google.com/spreadsheets/d/""&amp;$A632&amp;""/edit#gid=156619080"",P$3)"),"#REF!")</f>
        <v>#REF!</v>
      </c>
      <c r="Q632" s="2" t="str">
        <f>IFERROR(__xludf.DUMMYFUNCTION("IMPORTRANGE(""https://docs.google.com/spreadsheets/d/""&amp;$A632&amp;""/edit#gid=156619080"",Q$3)"),"#REF!")</f>
        <v>#REF!</v>
      </c>
      <c r="R632" s="2" t="str">
        <f>IFERROR(__xludf.DUMMYFUNCTION("IMPORTRANGE(""https://docs.google.com/spreadsheets/d/""&amp;$A632&amp;""/edit#gid=156619080"",R$3)"),"#REF!")</f>
        <v>#REF!</v>
      </c>
      <c r="S632" s="2" t="str">
        <f>IFERROR(__xludf.DUMMYFUNCTION("IMPORTRANGE(""https://docs.google.com/spreadsheets/d/""&amp;$A632&amp;""/edit#gid=156619080"",S$3)"),"#REF!")</f>
        <v>#REF!</v>
      </c>
      <c r="T632" s="2" t="str">
        <f>IFERROR(__xludf.DUMMYFUNCTION("IMPORTRANGE(""https://docs.google.com/spreadsheets/d/""&amp;$A632&amp;""/edit#gid=156619080"",T$3)"),"#REF!")</f>
        <v>#REF!</v>
      </c>
      <c r="U632" s="2" t="str">
        <f>IFERROR(__xludf.DUMMYFUNCTION("IMPORTRANGE(""https://docs.google.com/spreadsheets/d/""&amp;$A632&amp;""/edit#gid=156619080"",U$3)"),"#REF!")</f>
        <v>#REF!</v>
      </c>
      <c r="V632" s="2" t="str">
        <f>IFERROR(__xludf.DUMMYFUNCTION("IMPORTRANGE(""https://docs.google.com/spreadsheets/d/""&amp;$A632&amp;""/edit#gid=156619080"",V$3)"),"#REF!")</f>
        <v>#REF!</v>
      </c>
      <c r="W632" s="2" t="str">
        <f>IFERROR(__xludf.DUMMYFUNCTION("IMPORTRANGE(""https://docs.google.com/spreadsheets/d/""&amp;$A632&amp;""/edit#gid=156619080"",W$3)"),"#REF!")</f>
        <v>#REF!</v>
      </c>
      <c r="X632" s="2" t="str">
        <f>IFERROR(__xludf.DUMMYFUNCTION("IMPORTRANGE(""https://docs.google.com/spreadsheets/d/""&amp;$A632&amp;""/edit#gid=156619080"",X$3)"),"#REF!")</f>
        <v>#REF!</v>
      </c>
      <c r="Y632" s="2" t="str">
        <f>IFERROR(__xludf.DUMMYFUNCTION("IMPORTRANGE(""https://docs.google.com/spreadsheets/d/""&amp;$A632&amp;""/edit#gid=156619080"",Y$3)"),"#REF!")</f>
        <v>#REF!</v>
      </c>
      <c r="Z632" s="2" t="str">
        <f>IFERROR(__xludf.DUMMYFUNCTION("IMPORTRANGE(""https://docs.google.com/spreadsheets/d/""&amp;$A632&amp;""/edit#gid=156619080"",Z$3)"),"#REF!")</f>
        <v>#REF!</v>
      </c>
      <c r="AA632" s="2" t="str">
        <f>IFERROR(__xludf.DUMMYFUNCTION("IMPORTRANGE(""https://docs.google.com/spreadsheets/d/""&amp;$A632&amp;""/edit#gid=156619080"",AA$3)"),"#REF!")</f>
        <v>#REF!</v>
      </c>
      <c r="AB632" s="2" t="str">
        <f>IFERROR(__xludf.DUMMYFUNCTION("IMPORTRANGE(""https://docs.google.com/spreadsheets/d/""&amp;$A632&amp;""/edit#gid=156619080"",AB$3)"),"#REF!")</f>
        <v>#REF!</v>
      </c>
      <c r="AC632" s="2" t="str">
        <f>IFERROR(__xludf.DUMMYFUNCTION("IMPORTRANGE(""https://docs.google.com/spreadsheets/d/""&amp;$A632&amp;""/edit#gid=156619080"",AC$3)"),"#REF!")</f>
        <v>#REF!</v>
      </c>
      <c r="AD632" s="2" t="str">
        <f>IFERROR(__xludf.DUMMYFUNCTION("IMPORTRANGE(""https://docs.google.com/spreadsheets/d/""&amp;$A632&amp;""/edit#gid=156619080"",AD$3)"),"#REF!")</f>
        <v>#REF!</v>
      </c>
      <c r="AE632" s="2" t="str">
        <f>IFERROR(__xludf.DUMMYFUNCTION("IMPORTRANGE(""https://docs.google.com/spreadsheets/d/""&amp;$A632&amp;""/edit#gid=156619080"",AE$3)"),"#REF!")</f>
        <v>#REF!</v>
      </c>
      <c r="AF632" s="2" t="str">
        <f>IFERROR(__xludf.DUMMYFUNCTION("IMPORTRANGE(""https://docs.google.com/spreadsheets/d/""&amp;$A632&amp;""/edit#gid=156619080"",AF$3)"),"#REF!")</f>
        <v>#REF!</v>
      </c>
      <c r="AG632" s="2" t="str">
        <f>IFERROR(__xludf.DUMMYFUNCTION("IMPORTRANGE(""https://docs.google.com/spreadsheets/d/""&amp;$A632&amp;""/edit#gid=156619080"",AG$3)"),"#REF!")</f>
        <v>#REF!</v>
      </c>
      <c r="AH632" s="2" t="str">
        <f>IFERROR(__xludf.DUMMYFUNCTION("IMPORTRANGE(""https://docs.google.com/spreadsheets/d/""&amp;$A632&amp;""/edit#gid=156619080"",AH$3)"),"#REF!")</f>
        <v>#REF!</v>
      </c>
      <c r="AI632" s="2" t="str">
        <f>IFERROR(__xludf.DUMMYFUNCTION("IMPORTRANGE(""https://docs.google.com/spreadsheets/d/""&amp;$A632&amp;""/edit#gid=156619080"",AI$3)"),"#REF!")</f>
        <v>#REF!</v>
      </c>
      <c r="AJ632" s="2" t="str">
        <f>IFERROR(__xludf.DUMMYFUNCTION("IMPORTRANGE(""https://docs.google.com/spreadsheets/d/""&amp;$A632&amp;""/edit#gid=156619080"",AJ$3)"),"#REF!")</f>
        <v>#REF!</v>
      </c>
      <c r="AK632" s="2" t="str">
        <f>IFERROR(__xludf.DUMMYFUNCTION("IMPORTRANGE(""https://docs.google.com/spreadsheets/d/""&amp;$A632&amp;""/edit#gid=156619080"",AK$3)"),"#REF!")</f>
        <v>#REF!</v>
      </c>
      <c r="AL632" s="2" t="str">
        <f>IFERROR(__xludf.DUMMYFUNCTION("IMPORTRANGE(""https://docs.google.com/spreadsheets/d/""&amp;$A632&amp;""/edit#gid=156619080"",AL$3)"),"#REF!")</f>
        <v>#REF!</v>
      </c>
      <c r="AM632" s="2" t="str">
        <f>IFERROR(__xludf.DUMMYFUNCTION("IMPORTRANGE(""https://docs.google.com/spreadsheets/d/""&amp;$A632&amp;""/edit#gid=156619080"",AM$3)"),"#REF!")</f>
        <v>#REF!</v>
      </c>
      <c r="AN632" s="2" t="str">
        <f>IFERROR(__xludf.DUMMYFUNCTION("IMPORTRANGE(""https://docs.google.com/spreadsheets/d/""&amp;$A632&amp;""/edit#gid=156619080"",AN$3)"),"#REF!")</f>
        <v>#REF!</v>
      </c>
      <c r="AO632" s="2" t="str">
        <f>IFERROR(__xludf.DUMMYFUNCTION("IMPORTRANGE(""https://docs.google.com/spreadsheets/d/""&amp;$A632&amp;""/edit#gid=156619080"",AO$3)"),"#REF!")</f>
        <v>#REF!</v>
      </c>
      <c r="AP632" s="2" t="str">
        <f>IFERROR(__xludf.DUMMYFUNCTION("IMPORTRANGE(""https://docs.google.com/spreadsheets/d/""&amp;$A632&amp;""/edit#gid=156619080"",AP$3)"),"#REF!")</f>
        <v>#REF!</v>
      </c>
      <c r="AQ632" s="2" t="str">
        <f>IFERROR(__xludf.DUMMYFUNCTION("IMPORTRANGE(""https://docs.google.com/spreadsheets/d/""&amp;$A632&amp;""/edit#gid=156619080"",AQ$3)"),"#REF!")</f>
        <v>#REF!</v>
      </c>
      <c r="AR632" s="2" t="str">
        <f>IFERROR(__xludf.DUMMYFUNCTION("IMPORTRANGE(""https://docs.google.com/spreadsheets/d/""&amp;$A632&amp;""/edit#gid=156619080"",AR$3)"),"#REF!")</f>
        <v>#REF!</v>
      </c>
      <c r="AS632" s="19" t="str">
        <f>IFERROR(__xludf.DUMMYFUNCTION("IMPORTRANGE(""https://docs.google.com/spreadsheets/d/""&amp;$A632&amp;""/edit#gid=156619080"",AS$3)"),"#REF!")</f>
        <v>#REF!</v>
      </c>
      <c r="AT632" s="2" t="str">
        <f>IFERROR(__xludf.DUMMYFUNCTION("IMPORTRANGE(""https://docs.google.com/spreadsheets/d/""&amp;$A632&amp;""/edit#gid=156619080"",AT$3)"),"#REF!")</f>
        <v>#REF!</v>
      </c>
      <c r="AU632" s="3" t="str">
        <f>IFERROR(__xludf.DUMMYFUNCTION("IMPORTRANGE(""https://docs.google.com/spreadsheets/d/""&amp;$A632&amp;""/edit#gid=156619080"",AU$3)"),"#REF!")</f>
        <v>#REF!</v>
      </c>
      <c r="AV632" s="2" t="str">
        <f>IFERROR(__xludf.DUMMYFUNCTION("IMPORTRANGE(""https://docs.google.com/spreadsheets/d/""&amp;$A632&amp;""/edit#gid=156619080"",AV$3)"),"#REF!")</f>
        <v>#REF!</v>
      </c>
      <c r="AW632" s="19" t="str">
        <f>IFERROR(__xludf.DUMMYFUNCTION("IMPORTRANGE(""https://docs.google.com/spreadsheets/d/""&amp;$A632&amp;""/edit#gid=156619080"",AW$3)"),"#REF!")</f>
        <v>#REF!</v>
      </c>
      <c r="AX632" s="2" t="str">
        <f>IFERROR(__xludf.DUMMYFUNCTION("IMPORTRANGE(""https://docs.google.com/spreadsheets/d/""&amp;$A632&amp;""/edit#gid=156619080"",AX$3)"),"#REF!")</f>
        <v>#REF!</v>
      </c>
      <c r="AY632" s="2" t="str">
        <f>IFERROR(__xludf.DUMMYFUNCTION("IMPORTRANGE(""https://docs.google.com/spreadsheets/d/""&amp;$A632&amp;""/edit#gid=156619080"",AY$3)"),"#REF!")</f>
        <v>#REF!</v>
      </c>
      <c r="AZ632" s="2" t="str">
        <f>IFERROR(__xludf.DUMMYFUNCTION("IMPORTRANGE(""https://docs.google.com/spreadsheets/d/""&amp;$A632&amp;""/edit#gid=156619080"",AZ$3)"),"#REF!")</f>
        <v>#REF!</v>
      </c>
      <c r="BA632" s="2" t="str">
        <f>IFERROR(__xludf.DUMMYFUNCTION("IMPORTRANGE(""https://docs.google.com/spreadsheets/d/""&amp;$A632&amp;""/edit#gid=156619080"",BA$3)"),"#REF!")</f>
        <v>#REF!</v>
      </c>
      <c r="BB632" s="2" t="str">
        <f>IFERROR(__xludf.DUMMYFUNCTION("IMPORTRANGE(""https://docs.google.com/spreadsheets/d/""&amp;$A632&amp;""/edit#gid=156619080"",BB$3)"),"#REF!")</f>
        <v>#REF!</v>
      </c>
      <c r="BC632" s="2" t="str">
        <f>IFERROR(__xludf.DUMMYFUNCTION("IMPORTRANGE(""https://docs.google.com/spreadsheets/d/""&amp;$A632&amp;""/edit#gid=156619080"",BC$3)"),"#REF!")</f>
        <v>#REF!</v>
      </c>
    </row>
    <row r="633" ht="51.0" customHeight="1">
      <c r="A633" s="7" t="str">
        <f t="shared" si="5"/>
        <v/>
      </c>
      <c r="C633" s="2" t="str">
        <f>IFERROR(__xludf.DUMMYFUNCTION("IMPORTRANGE(""https://docs.google.com/spreadsheets/d/""&amp;$A633&amp;""/edit#gid=156619080"",C$3)"),"#REF!")</f>
        <v>#REF!</v>
      </c>
      <c r="D633" s="2" t="str">
        <f>IFERROR(__xludf.DUMMYFUNCTION("IMPORTRANGE(""https://docs.google.com/spreadsheets/d/""&amp;$A633&amp;""/edit#gid=156619080"",D$3)"),"#REF!")</f>
        <v>#REF!</v>
      </c>
      <c r="E633" s="2" t="str">
        <f>IFERROR(__xludf.DUMMYFUNCTION("IMPORTRANGE(""https://docs.google.com/spreadsheets/d/""&amp;$A633&amp;""/edit#gid=156619080"",E$3)"),"#REF!")</f>
        <v>#REF!</v>
      </c>
      <c r="F633" s="2" t="str">
        <f>IFERROR(__xludf.DUMMYFUNCTION("IMPORTRANGE(""https://docs.google.com/spreadsheets/d/""&amp;$A633&amp;""/edit#gid=156619080"",F$3)"),"#REF!")</f>
        <v>#REF!</v>
      </c>
      <c r="G633" s="2" t="str">
        <f>IFERROR(__xludf.DUMMYFUNCTION("IMPORTRANGE(""https://docs.google.com/spreadsheets/d/""&amp;$A633&amp;""/edit#gid=156619080"",G$3)"),"#REF!")</f>
        <v>#REF!</v>
      </c>
      <c r="H633" s="2" t="str">
        <f>IFERROR(__xludf.DUMMYFUNCTION("IMPORTRANGE(""https://docs.google.com/spreadsheets/d/""&amp;$A633&amp;""/edit#gid=156619080"",H$3)"),"#REF!")</f>
        <v>#REF!</v>
      </c>
      <c r="I633" s="2" t="str">
        <f>IFERROR(__xludf.DUMMYFUNCTION("IMPORTRANGE(""https://docs.google.com/spreadsheets/d/""&amp;$A633&amp;""/edit#gid=156619080"",I$3)"),"#REF!")</f>
        <v>#REF!</v>
      </c>
      <c r="J633" s="2" t="str">
        <f>IFERROR(__xludf.DUMMYFUNCTION("IMPORTRANGE(""https://docs.google.com/spreadsheets/d/""&amp;$A633&amp;""/edit#gid=156619080"",J$3)"),"#REF!")</f>
        <v>#REF!</v>
      </c>
      <c r="K633" s="2" t="str">
        <f>IFERROR(__xludf.DUMMYFUNCTION("IMPORTRANGE(""https://docs.google.com/spreadsheets/d/""&amp;$A633&amp;""/edit#gid=156619080"",K$3)"),"#REF!")</f>
        <v>#REF!</v>
      </c>
      <c r="L633" s="2" t="str">
        <f>IFERROR(__xludf.DUMMYFUNCTION("IMPORTRANGE(""https://docs.google.com/spreadsheets/d/""&amp;$A633&amp;""/edit#gid=156619080"",L$3)"),"#REF!")</f>
        <v>#REF!</v>
      </c>
      <c r="M633" s="2" t="str">
        <f>IFERROR(__xludf.DUMMYFUNCTION("IMPORTRANGE(""https://docs.google.com/spreadsheets/d/""&amp;$A633&amp;""/edit#gid=156619080"",M$3)"),"#REF!")</f>
        <v>#REF!</v>
      </c>
      <c r="N633" s="2" t="str">
        <f>IFERROR(__xludf.DUMMYFUNCTION("IMPORTRANGE(""https://docs.google.com/spreadsheets/d/""&amp;$A633&amp;""/edit#gid=156619080"",N$3)"),"#REF!")</f>
        <v>#REF!</v>
      </c>
      <c r="O633" s="2" t="str">
        <f>IFERROR(__xludf.DUMMYFUNCTION("IMPORTRANGE(""https://docs.google.com/spreadsheets/d/""&amp;$A633&amp;""/edit#gid=156619080"",O$3)"),"#REF!")</f>
        <v>#REF!</v>
      </c>
      <c r="P633" s="2" t="str">
        <f>IFERROR(__xludf.DUMMYFUNCTION("IMPORTRANGE(""https://docs.google.com/spreadsheets/d/""&amp;$A633&amp;""/edit#gid=156619080"",P$3)"),"#REF!")</f>
        <v>#REF!</v>
      </c>
      <c r="Q633" s="2" t="str">
        <f>IFERROR(__xludf.DUMMYFUNCTION("IMPORTRANGE(""https://docs.google.com/spreadsheets/d/""&amp;$A633&amp;""/edit#gid=156619080"",Q$3)"),"#REF!")</f>
        <v>#REF!</v>
      </c>
      <c r="R633" s="2" t="str">
        <f>IFERROR(__xludf.DUMMYFUNCTION("IMPORTRANGE(""https://docs.google.com/spreadsheets/d/""&amp;$A633&amp;""/edit#gid=156619080"",R$3)"),"#REF!")</f>
        <v>#REF!</v>
      </c>
      <c r="S633" s="2" t="str">
        <f>IFERROR(__xludf.DUMMYFUNCTION("IMPORTRANGE(""https://docs.google.com/spreadsheets/d/""&amp;$A633&amp;""/edit#gid=156619080"",S$3)"),"#REF!")</f>
        <v>#REF!</v>
      </c>
      <c r="T633" s="2" t="str">
        <f>IFERROR(__xludf.DUMMYFUNCTION("IMPORTRANGE(""https://docs.google.com/spreadsheets/d/""&amp;$A633&amp;""/edit#gid=156619080"",T$3)"),"#REF!")</f>
        <v>#REF!</v>
      </c>
      <c r="U633" s="2" t="str">
        <f>IFERROR(__xludf.DUMMYFUNCTION("IMPORTRANGE(""https://docs.google.com/spreadsheets/d/""&amp;$A633&amp;""/edit#gid=156619080"",U$3)"),"#REF!")</f>
        <v>#REF!</v>
      </c>
      <c r="V633" s="2" t="str">
        <f>IFERROR(__xludf.DUMMYFUNCTION("IMPORTRANGE(""https://docs.google.com/spreadsheets/d/""&amp;$A633&amp;""/edit#gid=156619080"",V$3)"),"#REF!")</f>
        <v>#REF!</v>
      </c>
      <c r="W633" s="2" t="str">
        <f>IFERROR(__xludf.DUMMYFUNCTION("IMPORTRANGE(""https://docs.google.com/spreadsheets/d/""&amp;$A633&amp;""/edit#gid=156619080"",W$3)"),"#REF!")</f>
        <v>#REF!</v>
      </c>
      <c r="X633" s="2" t="str">
        <f>IFERROR(__xludf.DUMMYFUNCTION("IMPORTRANGE(""https://docs.google.com/spreadsheets/d/""&amp;$A633&amp;""/edit#gid=156619080"",X$3)"),"#REF!")</f>
        <v>#REF!</v>
      </c>
      <c r="Y633" s="2" t="str">
        <f>IFERROR(__xludf.DUMMYFUNCTION("IMPORTRANGE(""https://docs.google.com/spreadsheets/d/""&amp;$A633&amp;""/edit#gid=156619080"",Y$3)"),"#REF!")</f>
        <v>#REF!</v>
      </c>
      <c r="Z633" s="2" t="str">
        <f>IFERROR(__xludf.DUMMYFUNCTION("IMPORTRANGE(""https://docs.google.com/spreadsheets/d/""&amp;$A633&amp;""/edit#gid=156619080"",Z$3)"),"#REF!")</f>
        <v>#REF!</v>
      </c>
      <c r="AA633" s="2" t="str">
        <f>IFERROR(__xludf.DUMMYFUNCTION("IMPORTRANGE(""https://docs.google.com/spreadsheets/d/""&amp;$A633&amp;""/edit#gid=156619080"",AA$3)"),"#REF!")</f>
        <v>#REF!</v>
      </c>
      <c r="AB633" s="2" t="str">
        <f>IFERROR(__xludf.DUMMYFUNCTION("IMPORTRANGE(""https://docs.google.com/spreadsheets/d/""&amp;$A633&amp;""/edit#gid=156619080"",AB$3)"),"#REF!")</f>
        <v>#REF!</v>
      </c>
      <c r="AC633" s="2" t="str">
        <f>IFERROR(__xludf.DUMMYFUNCTION("IMPORTRANGE(""https://docs.google.com/spreadsheets/d/""&amp;$A633&amp;""/edit#gid=156619080"",AC$3)"),"#REF!")</f>
        <v>#REF!</v>
      </c>
      <c r="AD633" s="2" t="str">
        <f>IFERROR(__xludf.DUMMYFUNCTION("IMPORTRANGE(""https://docs.google.com/spreadsheets/d/""&amp;$A633&amp;""/edit#gid=156619080"",AD$3)"),"#REF!")</f>
        <v>#REF!</v>
      </c>
      <c r="AE633" s="2" t="str">
        <f>IFERROR(__xludf.DUMMYFUNCTION("IMPORTRANGE(""https://docs.google.com/spreadsheets/d/""&amp;$A633&amp;""/edit#gid=156619080"",AE$3)"),"#REF!")</f>
        <v>#REF!</v>
      </c>
      <c r="AF633" s="2" t="str">
        <f>IFERROR(__xludf.DUMMYFUNCTION("IMPORTRANGE(""https://docs.google.com/spreadsheets/d/""&amp;$A633&amp;""/edit#gid=156619080"",AF$3)"),"#REF!")</f>
        <v>#REF!</v>
      </c>
      <c r="AG633" s="2" t="str">
        <f>IFERROR(__xludf.DUMMYFUNCTION("IMPORTRANGE(""https://docs.google.com/spreadsheets/d/""&amp;$A633&amp;""/edit#gid=156619080"",AG$3)"),"#REF!")</f>
        <v>#REF!</v>
      </c>
      <c r="AH633" s="2" t="str">
        <f>IFERROR(__xludf.DUMMYFUNCTION("IMPORTRANGE(""https://docs.google.com/spreadsheets/d/""&amp;$A633&amp;""/edit#gid=156619080"",AH$3)"),"#REF!")</f>
        <v>#REF!</v>
      </c>
      <c r="AI633" s="2" t="str">
        <f>IFERROR(__xludf.DUMMYFUNCTION("IMPORTRANGE(""https://docs.google.com/spreadsheets/d/""&amp;$A633&amp;""/edit#gid=156619080"",AI$3)"),"#REF!")</f>
        <v>#REF!</v>
      </c>
      <c r="AJ633" s="2" t="str">
        <f>IFERROR(__xludf.DUMMYFUNCTION("IMPORTRANGE(""https://docs.google.com/spreadsheets/d/""&amp;$A633&amp;""/edit#gid=156619080"",AJ$3)"),"#REF!")</f>
        <v>#REF!</v>
      </c>
      <c r="AK633" s="2" t="str">
        <f>IFERROR(__xludf.DUMMYFUNCTION("IMPORTRANGE(""https://docs.google.com/spreadsheets/d/""&amp;$A633&amp;""/edit#gid=156619080"",AK$3)"),"#REF!")</f>
        <v>#REF!</v>
      </c>
      <c r="AL633" s="2" t="str">
        <f>IFERROR(__xludf.DUMMYFUNCTION("IMPORTRANGE(""https://docs.google.com/spreadsheets/d/""&amp;$A633&amp;""/edit#gid=156619080"",AL$3)"),"#REF!")</f>
        <v>#REF!</v>
      </c>
      <c r="AM633" s="2" t="str">
        <f>IFERROR(__xludf.DUMMYFUNCTION("IMPORTRANGE(""https://docs.google.com/spreadsheets/d/""&amp;$A633&amp;""/edit#gid=156619080"",AM$3)"),"#REF!")</f>
        <v>#REF!</v>
      </c>
      <c r="AN633" s="2" t="str">
        <f>IFERROR(__xludf.DUMMYFUNCTION("IMPORTRANGE(""https://docs.google.com/spreadsheets/d/""&amp;$A633&amp;""/edit#gid=156619080"",AN$3)"),"#REF!")</f>
        <v>#REF!</v>
      </c>
      <c r="AO633" s="2" t="str">
        <f>IFERROR(__xludf.DUMMYFUNCTION("IMPORTRANGE(""https://docs.google.com/spreadsheets/d/""&amp;$A633&amp;""/edit#gid=156619080"",AO$3)"),"#REF!")</f>
        <v>#REF!</v>
      </c>
      <c r="AP633" s="2" t="str">
        <f>IFERROR(__xludf.DUMMYFUNCTION("IMPORTRANGE(""https://docs.google.com/spreadsheets/d/""&amp;$A633&amp;""/edit#gid=156619080"",AP$3)"),"#REF!")</f>
        <v>#REF!</v>
      </c>
      <c r="AQ633" s="2" t="str">
        <f>IFERROR(__xludf.DUMMYFUNCTION("IMPORTRANGE(""https://docs.google.com/spreadsheets/d/""&amp;$A633&amp;""/edit#gid=156619080"",AQ$3)"),"#REF!")</f>
        <v>#REF!</v>
      </c>
      <c r="AR633" s="2" t="str">
        <f>IFERROR(__xludf.DUMMYFUNCTION("IMPORTRANGE(""https://docs.google.com/spreadsheets/d/""&amp;$A633&amp;""/edit#gid=156619080"",AR$3)"),"#REF!")</f>
        <v>#REF!</v>
      </c>
      <c r="AS633" s="19" t="str">
        <f>IFERROR(__xludf.DUMMYFUNCTION("IMPORTRANGE(""https://docs.google.com/spreadsheets/d/""&amp;$A633&amp;""/edit#gid=156619080"",AS$3)"),"#REF!")</f>
        <v>#REF!</v>
      </c>
      <c r="AT633" s="2" t="str">
        <f>IFERROR(__xludf.DUMMYFUNCTION("IMPORTRANGE(""https://docs.google.com/spreadsheets/d/""&amp;$A633&amp;""/edit#gid=156619080"",AT$3)"),"#REF!")</f>
        <v>#REF!</v>
      </c>
      <c r="AU633" s="3" t="str">
        <f>IFERROR(__xludf.DUMMYFUNCTION("IMPORTRANGE(""https://docs.google.com/spreadsheets/d/""&amp;$A633&amp;""/edit#gid=156619080"",AU$3)"),"#REF!")</f>
        <v>#REF!</v>
      </c>
      <c r="AV633" s="2" t="str">
        <f>IFERROR(__xludf.DUMMYFUNCTION("IMPORTRANGE(""https://docs.google.com/spreadsheets/d/""&amp;$A633&amp;""/edit#gid=156619080"",AV$3)"),"#REF!")</f>
        <v>#REF!</v>
      </c>
      <c r="AW633" s="19" t="str">
        <f>IFERROR(__xludf.DUMMYFUNCTION("IMPORTRANGE(""https://docs.google.com/spreadsheets/d/""&amp;$A633&amp;""/edit#gid=156619080"",AW$3)"),"#REF!")</f>
        <v>#REF!</v>
      </c>
      <c r="AX633" s="2" t="str">
        <f>IFERROR(__xludf.DUMMYFUNCTION("IMPORTRANGE(""https://docs.google.com/spreadsheets/d/""&amp;$A633&amp;""/edit#gid=156619080"",AX$3)"),"#REF!")</f>
        <v>#REF!</v>
      </c>
      <c r="AY633" s="2" t="str">
        <f>IFERROR(__xludf.DUMMYFUNCTION("IMPORTRANGE(""https://docs.google.com/spreadsheets/d/""&amp;$A633&amp;""/edit#gid=156619080"",AY$3)"),"#REF!")</f>
        <v>#REF!</v>
      </c>
      <c r="AZ633" s="2" t="str">
        <f>IFERROR(__xludf.DUMMYFUNCTION("IMPORTRANGE(""https://docs.google.com/spreadsheets/d/""&amp;$A633&amp;""/edit#gid=156619080"",AZ$3)"),"#REF!")</f>
        <v>#REF!</v>
      </c>
      <c r="BA633" s="2" t="str">
        <f>IFERROR(__xludf.DUMMYFUNCTION("IMPORTRANGE(""https://docs.google.com/spreadsheets/d/""&amp;$A633&amp;""/edit#gid=156619080"",BA$3)"),"#REF!")</f>
        <v>#REF!</v>
      </c>
      <c r="BB633" s="2" t="str">
        <f>IFERROR(__xludf.DUMMYFUNCTION("IMPORTRANGE(""https://docs.google.com/spreadsheets/d/""&amp;$A633&amp;""/edit#gid=156619080"",BB$3)"),"#REF!")</f>
        <v>#REF!</v>
      </c>
      <c r="BC633" s="2" t="str">
        <f>IFERROR(__xludf.DUMMYFUNCTION("IMPORTRANGE(""https://docs.google.com/spreadsheets/d/""&amp;$A633&amp;""/edit#gid=156619080"",BC$3)"),"#REF!")</f>
        <v>#REF!</v>
      </c>
    </row>
    <row r="634" ht="51.0" customHeight="1">
      <c r="A634" s="7" t="str">
        <f t="shared" si="5"/>
        <v/>
      </c>
      <c r="C634" s="2" t="str">
        <f>IFERROR(__xludf.DUMMYFUNCTION("IMPORTRANGE(""https://docs.google.com/spreadsheets/d/""&amp;$A634&amp;""/edit#gid=156619080"",C$3)"),"#REF!")</f>
        <v>#REF!</v>
      </c>
      <c r="D634" s="2" t="str">
        <f>IFERROR(__xludf.DUMMYFUNCTION("IMPORTRANGE(""https://docs.google.com/spreadsheets/d/""&amp;$A634&amp;""/edit#gid=156619080"",D$3)"),"#REF!")</f>
        <v>#REF!</v>
      </c>
      <c r="E634" s="2" t="str">
        <f>IFERROR(__xludf.DUMMYFUNCTION("IMPORTRANGE(""https://docs.google.com/spreadsheets/d/""&amp;$A634&amp;""/edit#gid=156619080"",E$3)"),"#REF!")</f>
        <v>#REF!</v>
      </c>
      <c r="F634" s="2" t="str">
        <f>IFERROR(__xludf.DUMMYFUNCTION("IMPORTRANGE(""https://docs.google.com/spreadsheets/d/""&amp;$A634&amp;""/edit#gid=156619080"",F$3)"),"#REF!")</f>
        <v>#REF!</v>
      </c>
      <c r="G634" s="2" t="str">
        <f>IFERROR(__xludf.DUMMYFUNCTION("IMPORTRANGE(""https://docs.google.com/spreadsheets/d/""&amp;$A634&amp;""/edit#gid=156619080"",G$3)"),"#REF!")</f>
        <v>#REF!</v>
      </c>
      <c r="H634" s="2" t="str">
        <f>IFERROR(__xludf.DUMMYFUNCTION("IMPORTRANGE(""https://docs.google.com/spreadsheets/d/""&amp;$A634&amp;""/edit#gid=156619080"",H$3)"),"#REF!")</f>
        <v>#REF!</v>
      </c>
      <c r="I634" s="2" t="str">
        <f>IFERROR(__xludf.DUMMYFUNCTION("IMPORTRANGE(""https://docs.google.com/spreadsheets/d/""&amp;$A634&amp;""/edit#gid=156619080"",I$3)"),"#REF!")</f>
        <v>#REF!</v>
      </c>
      <c r="J634" s="2" t="str">
        <f>IFERROR(__xludf.DUMMYFUNCTION("IMPORTRANGE(""https://docs.google.com/spreadsheets/d/""&amp;$A634&amp;""/edit#gid=156619080"",J$3)"),"#REF!")</f>
        <v>#REF!</v>
      </c>
      <c r="K634" s="2" t="str">
        <f>IFERROR(__xludf.DUMMYFUNCTION("IMPORTRANGE(""https://docs.google.com/spreadsheets/d/""&amp;$A634&amp;""/edit#gid=156619080"",K$3)"),"#REF!")</f>
        <v>#REF!</v>
      </c>
      <c r="L634" s="2" t="str">
        <f>IFERROR(__xludf.DUMMYFUNCTION("IMPORTRANGE(""https://docs.google.com/spreadsheets/d/""&amp;$A634&amp;""/edit#gid=156619080"",L$3)"),"#REF!")</f>
        <v>#REF!</v>
      </c>
      <c r="M634" s="2" t="str">
        <f>IFERROR(__xludf.DUMMYFUNCTION("IMPORTRANGE(""https://docs.google.com/spreadsheets/d/""&amp;$A634&amp;""/edit#gid=156619080"",M$3)"),"#REF!")</f>
        <v>#REF!</v>
      </c>
      <c r="N634" s="2" t="str">
        <f>IFERROR(__xludf.DUMMYFUNCTION("IMPORTRANGE(""https://docs.google.com/spreadsheets/d/""&amp;$A634&amp;""/edit#gid=156619080"",N$3)"),"#REF!")</f>
        <v>#REF!</v>
      </c>
      <c r="O634" s="2" t="str">
        <f>IFERROR(__xludf.DUMMYFUNCTION("IMPORTRANGE(""https://docs.google.com/spreadsheets/d/""&amp;$A634&amp;""/edit#gid=156619080"",O$3)"),"#REF!")</f>
        <v>#REF!</v>
      </c>
      <c r="P634" s="2" t="str">
        <f>IFERROR(__xludf.DUMMYFUNCTION("IMPORTRANGE(""https://docs.google.com/spreadsheets/d/""&amp;$A634&amp;""/edit#gid=156619080"",P$3)"),"#REF!")</f>
        <v>#REF!</v>
      </c>
      <c r="Q634" s="2" t="str">
        <f>IFERROR(__xludf.DUMMYFUNCTION("IMPORTRANGE(""https://docs.google.com/spreadsheets/d/""&amp;$A634&amp;""/edit#gid=156619080"",Q$3)"),"#REF!")</f>
        <v>#REF!</v>
      </c>
      <c r="R634" s="2" t="str">
        <f>IFERROR(__xludf.DUMMYFUNCTION("IMPORTRANGE(""https://docs.google.com/spreadsheets/d/""&amp;$A634&amp;""/edit#gid=156619080"",R$3)"),"#REF!")</f>
        <v>#REF!</v>
      </c>
      <c r="S634" s="2" t="str">
        <f>IFERROR(__xludf.DUMMYFUNCTION("IMPORTRANGE(""https://docs.google.com/spreadsheets/d/""&amp;$A634&amp;""/edit#gid=156619080"",S$3)"),"#REF!")</f>
        <v>#REF!</v>
      </c>
      <c r="T634" s="2" t="str">
        <f>IFERROR(__xludf.DUMMYFUNCTION("IMPORTRANGE(""https://docs.google.com/spreadsheets/d/""&amp;$A634&amp;""/edit#gid=156619080"",T$3)"),"#REF!")</f>
        <v>#REF!</v>
      </c>
      <c r="U634" s="2" t="str">
        <f>IFERROR(__xludf.DUMMYFUNCTION("IMPORTRANGE(""https://docs.google.com/spreadsheets/d/""&amp;$A634&amp;""/edit#gid=156619080"",U$3)"),"#REF!")</f>
        <v>#REF!</v>
      </c>
      <c r="V634" s="2" t="str">
        <f>IFERROR(__xludf.DUMMYFUNCTION("IMPORTRANGE(""https://docs.google.com/spreadsheets/d/""&amp;$A634&amp;""/edit#gid=156619080"",V$3)"),"#REF!")</f>
        <v>#REF!</v>
      </c>
      <c r="W634" s="2" t="str">
        <f>IFERROR(__xludf.DUMMYFUNCTION("IMPORTRANGE(""https://docs.google.com/spreadsheets/d/""&amp;$A634&amp;""/edit#gid=156619080"",W$3)"),"#REF!")</f>
        <v>#REF!</v>
      </c>
      <c r="X634" s="2" t="str">
        <f>IFERROR(__xludf.DUMMYFUNCTION("IMPORTRANGE(""https://docs.google.com/spreadsheets/d/""&amp;$A634&amp;""/edit#gid=156619080"",X$3)"),"#REF!")</f>
        <v>#REF!</v>
      </c>
      <c r="Y634" s="2" t="str">
        <f>IFERROR(__xludf.DUMMYFUNCTION("IMPORTRANGE(""https://docs.google.com/spreadsheets/d/""&amp;$A634&amp;""/edit#gid=156619080"",Y$3)"),"#REF!")</f>
        <v>#REF!</v>
      </c>
      <c r="Z634" s="2" t="str">
        <f>IFERROR(__xludf.DUMMYFUNCTION("IMPORTRANGE(""https://docs.google.com/spreadsheets/d/""&amp;$A634&amp;""/edit#gid=156619080"",Z$3)"),"#REF!")</f>
        <v>#REF!</v>
      </c>
      <c r="AA634" s="2" t="str">
        <f>IFERROR(__xludf.DUMMYFUNCTION("IMPORTRANGE(""https://docs.google.com/spreadsheets/d/""&amp;$A634&amp;""/edit#gid=156619080"",AA$3)"),"#REF!")</f>
        <v>#REF!</v>
      </c>
      <c r="AB634" s="2" t="str">
        <f>IFERROR(__xludf.DUMMYFUNCTION("IMPORTRANGE(""https://docs.google.com/spreadsheets/d/""&amp;$A634&amp;""/edit#gid=156619080"",AB$3)"),"#REF!")</f>
        <v>#REF!</v>
      </c>
      <c r="AC634" s="2" t="str">
        <f>IFERROR(__xludf.DUMMYFUNCTION("IMPORTRANGE(""https://docs.google.com/spreadsheets/d/""&amp;$A634&amp;""/edit#gid=156619080"",AC$3)"),"#REF!")</f>
        <v>#REF!</v>
      </c>
      <c r="AD634" s="2" t="str">
        <f>IFERROR(__xludf.DUMMYFUNCTION("IMPORTRANGE(""https://docs.google.com/spreadsheets/d/""&amp;$A634&amp;""/edit#gid=156619080"",AD$3)"),"#REF!")</f>
        <v>#REF!</v>
      </c>
      <c r="AE634" s="2" t="str">
        <f>IFERROR(__xludf.DUMMYFUNCTION("IMPORTRANGE(""https://docs.google.com/spreadsheets/d/""&amp;$A634&amp;""/edit#gid=156619080"",AE$3)"),"#REF!")</f>
        <v>#REF!</v>
      </c>
      <c r="AF634" s="2" t="str">
        <f>IFERROR(__xludf.DUMMYFUNCTION("IMPORTRANGE(""https://docs.google.com/spreadsheets/d/""&amp;$A634&amp;""/edit#gid=156619080"",AF$3)"),"#REF!")</f>
        <v>#REF!</v>
      </c>
      <c r="AG634" s="2" t="str">
        <f>IFERROR(__xludf.DUMMYFUNCTION("IMPORTRANGE(""https://docs.google.com/spreadsheets/d/""&amp;$A634&amp;""/edit#gid=156619080"",AG$3)"),"#REF!")</f>
        <v>#REF!</v>
      </c>
      <c r="AH634" s="2" t="str">
        <f>IFERROR(__xludf.DUMMYFUNCTION("IMPORTRANGE(""https://docs.google.com/spreadsheets/d/""&amp;$A634&amp;""/edit#gid=156619080"",AH$3)"),"#REF!")</f>
        <v>#REF!</v>
      </c>
      <c r="AI634" s="2" t="str">
        <f>IFERROR(__xludf.DUMMYFUNCTION("IMPORTRANGE(""https://docs.google.com/spreadsheets/d/""&amp;$A634&amp;""/edit#gid=156619080"",AI$3)"),"#REF!")</f>
        <v>#REF!</v>
      </c>
      <c r="AJ634" s="2" t="str">
        <f>IFERROR(__xludf.DUMMYFUNCTION("IMPORTRANGE(""https://docs.google.com/spreadsheets/d/""&amp;$A634&amp;""/edit#gid=156619080"",AJ$3)"),"#REF!")</f>
        <v>#REF!</v>
      </c>
      <c r="AK634" s="2" t="str">
        <f>IFERROR(__xludf.DUMMYFUNCTION("IMPORTRANGE(""https://docs.google.com/spreadsheets/d/""&amp;$A634&amp;""/edit#gid=156619080"",AK$3)"),"#REF!")</f>
        <v>#REF!</v>
      </c>
      <c r="AL634" s="2" t="str">
        <f>IFERROR(__xludf.DUMMYFUNCTION("IMPORTRANGE(""https://docs.google.com/spreadsheets/d/""&amp;$A634&amp;""/edit#gid=156619080"",AL$3)"),"#REF!")</f>
        <v>#REF!</v>
      </c>
      <c r="AM634" s="2" t="str">
        <f>IFERROR(__xludf.DUMMYFUNCTION("IMPORTRANGE(""https://docs.google.com/spreadsheets/d/""&amp;$A634&amp;""/edit#gid=156619080"",AM$3)"),"#REF!")</f>
        <v>#REF!</v>
      </c>
      <c r="AN634" s="2" t="str">
        <f>IFERROR(__xludf.DUMMYFUNCTION("IMPORTRANGE(""https://docs.google.com/spreadsheets/d/""&amp;$A634&amp;""/edit#gid=156619080"",AN$3)"),"#REF!")</f>
        <v>#REF!</v>
      </c>
      <c r="AO634" s="2" t="str">
        <f>IFERROR(__xludf.DUMMYFUNCTION("IMPORTRANGE(""https://docs.google.com/spreadsheets/d/""&amp;$A634&amp;""/edit#gid=156619080"",AO$3)"),"#REF!")</f>
        <v>#REF!</v>
      </c>
      <c r="AP634" s="2" t="str">
        <f>IFERROR(__xludf.DUMMYFUNCTION("IMPORTRANGE(""https://docs.google.com/spreadsheets/d/""&amp;$A634&amp;""/edit#gid=156619080"",AP$3)"),"#REF!")</f>
        <v>#REF!</v>
      </c>
      <c r="AQ634" s="2" t="str">
        <f>IFERROR(__xludf.DUMMYFUNCTION("IMPORTRANGE(""https://docs.google.com/spreadsheets/d/""&amp;$A634&amp;""/edit#gid=156619080"",AQ$3)"),"#REF!")</f>
        <v>#REF!</v>
      </c>
      <c r="AR634" s="2" t="str">
        <f>IFERROR(__xludf.DUMMYFUNCTION("IMPORTRANGE(""https://docs.google.com/spreadsheets/d/""&amp;$A634&amp;""/edit#gid=156619080"",AR$3)"),"#REF!")</f>
        <v>#REF!</v>
      </c>
      <c r="AS634" s="19" t="str">
        <f>IFERROR(__xludf.DUMMYFUNCTION("IMPORTRANGE(""https://docs.google.com/spreadsheets/d/""&amp;$A634&amp;""/edit#gid=156619080"",AS$3)"),"#REF!")</f>
        <v>#REF!</v>
      </c>
      <c r="AT634" s="2" t="str">
        <f>IFERROR(__xludf.DUMMYFUNCTION("IMPORTRANGE(""https://docs.google.com/spreadsheets/d/""&amp;$A634&amp;""/edit#gid=156619080"",AT$3)"),"#REF!")</f>
        <v>#REF!</v>
      </c>
      <c r="AU634" s="3" t="str">
        <f>IFERROR(__xludf.DUMMYFUNCTION("IMPORTRANGE(""https://docs.google.com/spreadsheets/d/""&amp;$A634&amp;""/edit#gid=156619080"",AU$3)"),"#REF!")</f>
        <v>#REF!</v>
      </c>
      <c r="AV634" s="2" t="str">
        <f>IFERROR(__xludf.DUMMYFUNCTION("IMPORTRANGE(""https://docs.google.com/spreadsheets/d/""&amp;$A634&amp;""/edit#gid=156619080"",AV$3)"),"#REF!")</f>
        <v>#REF!</v>
      </c>
      <c r="AW634" s="19" t="str">
        <f>IFERROR(__xludf.DUMMYFUNCTION("IMPORTRANGE(""https://docs.google.com/spreadsheets/d/""&amp;$A634&amp;""/edit#gid=156619080"",AW$3)"),"#REF!")</f>
        <v>#REF!</v>
      </c>
      <c r="AX634" s="2" t="str">
        <f>IFERROR(__xludf.DUMMYFUNCTION("IMPORTRANGE(""https://docs.google.com/spreadsheets/d/""&amp;$A634&amp;""/edit#gid=156619080"",AX$3)"),"#REF!")</f>
        <v>#REF!</v>
      </c>
      <c r="AY634" s="2" t="str">
        <f>IFERROR(__xludf.DUMMYFUNCTION("IMPORTRANGE(""https://docs.google.com/spreadsheets/d/""&amp;$A634&amp;""/edit#gid=156619080"",AY$3)"),"#REF!")</f>
        <v>#REF!</v>
      </c>
      <c r="AZ634" s="2" t="str">
        <f>IFERROR(__xludf.DUMMYFUNCTION("IMPORTRANGE(""https://docs.google.com/spreadsheets/d/""&amp;$A634&amp;""/edit#gid=156619080"",AZ$3)"),"#REF!")</f>
        <v>#REF!</v>
      </c>
      <c r="BA634" s="2" t="str">
        <f>IFERROR(__xludf.DUMMYFUNCTION("IMPORTRANGE(""https://docs.google.com/spreadsheets/d/""&amp;$A634&amp;""/edit#gid=156619080"",BA$3)"),"#REF!")</f>
        <v>#REF!</v>
      </c>
      <c r="BB634" s="2" t="str">
        <f>IFERROR(__xludf.DUMMYFUNCTION("IMPORTRANGE(""https://docs.google.com/spreadsheets/d/""&amp;$A634&amp;""/edit#gid=156619080"",BB$3)"),"#REF!")</f>
        <v>#REF!</v>
      </c>
      <c r="BC634" s="2" t="str">
        <f>IFERROR(__xludf.DUMMYFUNCTION("IMPORTRANGE(""https://docs.google.com/spreadsheets/d/""&amp;$A634&amp;""/edit#gid=156619080"",BC$3)"),"#REF!")</f>
        <v>#REF!</v>
      </c>
    </row>
    <row r="635" ht="51.0" customHeight="1">
      <c r="A635" s="7" t="str">
        <f t="shared" si="5"/>
        <v/>
      </c>
      <c r="C635" s="2" t="str">
        <f>IFERROR(__xludf.DUMMYFUNCTION("IMPORTRANGE(""https://docs.google.com/spreadsheets/d/""&amp;$A635&amp;""/edit#gid=156619080"",C$3)"),"#REF!")</f>
        <v>#REF!</v>
      </c>
      <c r="D635" s="2" t="str">
        <f>IFERROR(__xludf.DUMMYFUNCTION("IMPORTRANGE(""https://docs.google.com/spreadsheets/d/""&amp;$A635&amp;""/edit#gid=156619080"",D$3)"),"#REF!")</f>
        <v>#REF!</v>
      </c>
      <c r="E635" s="2" t="str">
        <f>IFERROR(__xludf.DUMMYFUNCTION("IMPORTRANGE(""https://docs.google.com/spreadsheets/d/""&amp;$A635&amp;""/edit#gid=156619080"",E$3)"),"#REF!")</f>
        <v>#REF!</v>
      </c>
      <c r="F635" s="2" t="str">
        <f>IFERROR(__xludf.DUMMYFUNCTION("IMPORTRANGE(""https://docs.google.com/spreadsheets/d/""&amp;$A635&amp;""/edit#gid=156619080"",F$3)"),"#REF!")</f>
        <v>#REF!</v>
      </c>
      <c r="G635" s="2" t="str">
        <f>IFERROR(__xludf.DUMMYFUNCTION("IMPORTRANGE(""https://docs.google.com/spreadsheets/d/""&amp;$A635&amp;""/edit#gid=156619080"",G$3)"),"#REF!")</f>
        <v>#REF!</v>
      </c>
      <c r="H635" s="2" t="str">
        <f>IFERROR(__xludf.DUMMYFUNCTION("IMPORTRANGE(""https://docs.google.com/spreadsheets/d/""&amp;$A635&amp;""/edit#gid=156619080"",H$3)"),"#REF!")</f>
        <v>#REF!</v>
      </c>
      <c r="I635" s="2" t="str">
        <f>IFERROR(__xludf.DUMMYFUNCTION("IMPORTRANGE(""https://docs.google.com/spreadsheets/d/""&amp;$A635&amp;""/edit#gid=156619080"",I$3)"),"#REF!")</f>
        <v>#REF!</v>
      </c>
      <c r="J635" s="2" t="str">
        <f>IFERROR(__xludf.DUMMYFUNCTION("IMPORTRANGE(""https://docs.google.com/spreadsheets/d/""&amp;$A635&amp;""/edit#gid=156619080"",J$3)"),"#REF!")</f>
        <v>#REF!</v>
      </c>
      <c r="K635" s="2" t="str">
        <f>IFERROR(__xludf.DUMMYFUNCTION("IMPORTRANGE(""https://docs.google.com/spreadsheets/d/""&amp;$A635&amp;""/edit#gid=156619080"",K$3)"),"#REF!")</f>
        <v>#REF!</v>
      </c>
      <c r="L635" s="2" t="str">
        <f>IFERROR(__xludf.DUMMYFUNCTION("IMPORTRANGE(""https://docs.google.com/spreadsheets/d/""&amp;$A635&amp;""/edit#gid=156619080"",L$3)"),"#REF!")</f>
        <v>#REF!</v>
      </c>
      <c r="M635" s="2" t="str">
        <f>IFERROR(__xludf.DUMMYFUNCTION("IMPORTRANGE(""https://docs.google.com/spreadsheets/d/""&amp;$A635&amp;""/edit#gid=156619080"",M$3)"),"#REF!")</f>
        <v>#REF!</v>
      </c>
      <c r="N635" s="2" t="str">
        <f>IFERROR(__xludf.DUMMYFUNCTION("IMPORTRANGE(""https://docs.google.com/spreadsheets/d/""&amp;$A635&amp;""/edit#gid=156619080"",N$3)"),"#REF!")</f>
        <v>#REF!</v>
      </c>
      <c r="O635" s="2" t="str">
        <f>IFERROR(__xludf.DUMMYFUNCTION("IMPORTRANGE(""https://docs.google.com/spreadsheets/d/""&amp;$A635&amp;""/edit#gid=156619080"",O$3)"),"#REF!")</f>
        <v>#REF!</v>
      </c>
      <c r="P635" s="2" t="str">
        <f>IFERROR(__xludf.DUMMYFUNCTION("IMPORTRANGE(""https://docs.google.com/spreadsheets/d/""&amp;$A635&amp;""/edit#gid=156619080"",P$3)"),"#REF!")</f>
        <v>#REF!</v>
      </c>
      <c r="Q635" s="2" t="str">
        <f>IFERROR(__xludf.DUMMYFUNCTION("IMPORTRANGE(""https://docs.google.com/spreadsheets/d/""&amp;$A635&amp;""/edit#gid=156619080"",Q$3)"),"#REF!")</f>
        <v>#REF!</v>
      </c>
      <c r="R635" s="2" t="str">
        <f>IFERROR(__xludf.DUMMYFUNCTION("IMPORTRANGE(""https://docs.google.com/spreadsheets/d/""&amp;$A635&amp;""/edit#gid=156619080"",R$3)"),"#REF!")</f>
        <v>#REF!</v>
      </c>
      <c r="S635" s="2" t="str">
        <f>IFERROR(__xludf.DUMMYFUNCTION("IMPORTRANGE(""https://docs.google.com/spreadsheets/d/""&amp;$A635&amp;""/edit#gid=156619080"",S$3)"),"#REF!")</f>
        <v>#REF!</v>
      </c>
      <c r="T635" s="2" t="str">
        <f>IFERROR(__xludf.DUMMYFUNCTION("IMPORTRANGE(""https://docs.google.com/spreadsheets/d/""&amp;$A635&amp;""/edit#gid=156619080"",T$3)"),"#REF!")</f>
        <v>#REF!</v>
      </c>
      <c r="U635" s="2" t="str">
        <f>IFERROR(__xludf.DUMMYFUNCTION("IMPORTRANGE(""https://docs.google.com/spreadsheets/d/""&amp;$A635&amp;""/edit#gid=156619080"",U$3)"),"#REF!")</f>
        <v>#REF!</v>
      </c>
      <c r="V635" s="2" t="str">
        <f>IFERROR(__xludf.DUMMYFUNCTION("IMPORTRANGE(""https://docs.google.com/spreadsheets/d/""&amp;$A635&amp;""/edit#gid=156619080"",V$3)"),"#REF!")</f>
        <v>#REF!</v>
      </c>
      <c r="W635" s="2" t="str">
        <f>IFERROR(__xludf.DUMMYFUNCTION("IMPORTRANGE(""https://docs.google.com/spreadsheets/d/""&amp;$A635&amp;""/edit#gid=156619080"",W$3)"),"#REF!")</f>
        <v>#REF!</v>
      </c>
      <c r="X635" s="2" t="str">
        <f>IFERROR(__xludf.DUMMYFUNCTION("IMPORTRANGE(""https://docs.google.com/spreadsheets/d/""&amp;$A635&amp;""/edit#gid=156619080"",X$3)"),"#REF!")</f>
        <v>#REF!</v>
      </c>
      <c r="Y635" s="2" t="str">
        <f>IFERROR(__xludf.DUMMYFUNCTION("IMPORTRANGE(""https://docs.google.com/spreadsheets/d/""&amp;$A635&amp;""/edit#gid=156619080"",Y$3)"),"#REF!")</f>
        <v>#REF!</v>
      </c>
      <c r="Z635" s="2" t="str">
        <f>IFERROR(__xludf.DUMMYFUNCTION("IMPORTRANGE(""https://docs.google.com/spreadsheets/d/""&amp;$A635&amp;""/edit#gid=156619080"",Z$3)"),"#REF!")</f>
        <v>#REF!</v>
      </c>
      <c r="AA635" s="2" t="str">
        <f>IFERROR(__xludf.DUMMYFUNCTION("IMPORTRANGE(""https://docs.google.com/spreadsheets/d/""&amp;$A635&amp;""/edit#gid=156619080"",AA$3)"),"#REF!")</f>
        <v>#REF!</v>
      </c>
      <c r="AB635" s="2" t="str">
        <f>IFERROR(__xludf.DUMMYFUNCTION("IMPORTRANGE(""https://docs.google.com/spreadsheets/d/""&amp;$A635&amp;""/edit#gid=156619080"",AB$3)"),"#REF!")</f>
        <v>#REF!</v>
      </c>
      <c r="AC635" s="2" t="str">
        <f>IFERROR(__xludf.DUMMYFUNCTION("IMPORTRANGE(""https://docs.google.com/spreadsheets/d/""&amp;$A635&amp;""/edit#gid=156619080"",AC$3)"),"#REF!")</f>
        <v>#REF!</v>
      </c>
      <c r="AD635" s="2" t="str">
        <f>IFERROR(__xludf.DUMMYFUNCTION("IMPORTRANGE(""https://docs.google.com/spreadsheets/d/""&amp;$A635&amp;""/edit#gid=156619080"",AD$3)"),"#REF!")</f>
        <v>#REF!</v>
      </c>
      <c r="AE635" s="2" t="str">
        <f>IFERROR(__xludf.DUMMYFUNCTION("IMPORTRANGE(""https://docs.google.com/spreadsheets/d/""&amp;$A635&amp;""/edit#gid=156619080"",AE$3)"),"#REF!")</f>
        <v>#REF!</v>
      </c>
      <c r="AF635" s="2" t="str">
        <f>IFERROR(__xludf.DUMMYFUNCTION("IMPORTRANGE(""https://docs.google.com/spreadsheets/d/""&amp;$A635&amp;""/edit#gid=156619080"",AF$3)"),"#REF!")</f>
        <v>#REF!</v>
      </c>
      <c r="AG635" s="2" t="str">
        <f>IFERROR(__xludf.DUMMYFUNCTION("IMPORTRANGE(""https://docs.google.com/spreadsheets/d/""&amp;$A635&amp;""/edit#gid=156619080"",AG$3)"),"#REF!")</f>
        <v>#REF!</v>
      </c>
      <c r="AH635" s="2" t="str">
        <f>IFERROR(__xludf.DUMMYFUNCTION("IMPORTRANGE(""https://docs.google.com/spreadsheets/d/""&amp;$A635&amp;""/edit#gid=156619080"",AH$3)"),"#REF!")</f>
        <v>#REF!</v>
      </c>
      <c r="AI635" s="2" t="str">
        <f>IFERROR(__xludf.DUMMYFUNCTION("IMPORTRANGE(""https://docs.google.com/spreadsheets/d/""&amp;$A635&amp;""/edit#gid=156619080"",AI$3)"),"#REF!")</f>
        <v>#REF!</v>
      </c>
      <c r="AJ635" s="2" t="str">
        <f>IFERROR(__xludf.DUMMYFUNCTION("IMPORTRANGE(""https://docs.google.com/spreadsheets/d/""&amp;$A635&amp;""/edit#gid=156619080"",AJ$3)"),"#REF!")</f>
        <v>#REF!</v>
      </c>
      <c r="AK635" s="2" t="str">
        <f>IFERROR(__xludf.DUMMYFUNCTION("IMPORTRANGE(""https://docs.google.com/spreadsheets/d/""&amp;$A635&amp;""/edit#gid=156619080"",AK$3)"),"#REF!")</f>
        <v>#REF!</v>
      </c>
      <c r="AL635" s="2" t="str">
        <f>IFERROR(__xludf.DUMMYFUNCTION("IMPORTRANGE(""https://docs.google.com/spreadsheets/d/""&amp;$A635&amp;""/edit#gid=156619080"",AL$3)"),"#REF!")</f>
        <v>#REF!</v>
      </c>
      <c r="AM635" s="2" t="str">
        <f>IFERROR(__xludf.DUMMYFUNCTION("IMPORTRANGE(""https://docs.google.com/spreadsheets/d/""&amp;$A635&amp;""/edit#gid=156619080"",AM$3)"),"#REF!")</f>
        <v>#REF!</v>
      </c>
      <c r="AN635" s="2" t="str">
        <f>IFERROR(__xludf.DUMMYFUNCTION("IMPORTRANGE(""https://docs.google.com/spreadsheets/d/""&amp;$A635&amp;""/edit#gid=156619080"",AN$3)"),"#REF!")</f>
        <v>#REF!</v>
      </c>
      <c r="AO635" s="2" t="str">
        <f>IFERROR(__xludf.DUMMYFUNCTION("IMPORTRANGE(""https://docs.google.com/spreadsheets/d/""&amp;$A635&amp;""/edit#gid=156619080"",AO$3)"),"#REF!")</f>
        <v>#REF!</v>
      </c>
      <c r="AP635" s="2" t="str">
        <f>IFERROR(__xludf.DUMMYFUNCTION("IMPORTRANGE(""https://docs.google.com/spreadsheets/d/""&amp;$A635&amp;""/edit#gid=156619080"",AP$3)"),"#REF!")</f>
        <v>#REF!</v>
      </c>
      <c r="AQ635" s="2" t="str">
        <f>IFERROR(__xludf.DUMMYFUNCTION("IMPORTRANGE(""https://docs.google.com/spreadsheets/d/""&amp;$A635&amp;""/edit#gid=156619080"",AQ$3)"),"#REF!")</f>
        <v>#REF!</v>
      </c>
      <c r="AR635" s="2" t="str">
        <f>IFERROR(__xludf.DUMMYFUNCTION("IMPORTRANGE(""https://docs.google.com/spreadsheets/d/""&amp;$A635&amp;""/edit#gid=156619080"",AR$3)"),"#REF!")</f>
        <v>#REF!</v>
      </c>
      <c r="AS635" s="19" t="str">
        <f>IFERROR(__xludf.DUMMYFUNCTION("IMPORTRANGE(""https://docs.google.com/spreadsheets/d/""&amp;$A635&amp;""/edit#gid=156619080"",AS$3)"),"#REF!")</f>
        <v>#REF!</v>
      </c>
      <c r="AT635" s="2" t="str">
        <f>IFERROR(__xludf.DUMMYFUNCTION("IMPORTRANGE(""https://docs.google.com/spreadsheets/d/""&amp;$A635&amp;""/edit#gid=156619080"",AT$3)"),"#REF!")</f>
        <v>#REF!</v>
      </c>
      <c r="AU635" s="3" t="str">
        <f>IFERROR(__xludf.DUMMYFUNCTION("IMPORTRANGE(""https://docs.google.com/spreadsheets/d/""&amp;$A635&amp;""/edit#gid=156619080"",AU$3)"),"#REF!")</f>
        <v>#REF!</v>
      </c>
      <c r="AV635" s="2" t="str">
        <f>IFERROR(__xludf.DUMMYFUNCTION("IMPORTRANGE(""https://docs.google.com/spreadsheets/d/""&amp;$A635&amp;""/edit#gid=156619080"",AV$3)"),"#REF!")</f>
        <v>#REF!</v>
      </c>
      <c r="AW635" s="19" t="str">
        <f>IFERROR(__xludf.DUMMYFUNCTION("IMPORTRANGE(""https://docs.google.com/spreadsheets/d/""&amp;$A635&amp;""/edit#gid=156619080"",AW$3)"),"#REF!")</f>
        <v>#REF!</v>
      </c>
      <c r="AX635" s="2" t="str">
        <f>IFERROR(__xludf.DUMMYFUNCTION("IMPORTRANGE(""https://docs.google.com/spreadsheets/d/""&amp;$A635&amp;""/edit#gid=156619080"",AX$3)"),"#REF!")</f>
        <v>#REF!</v>
      </c>
      <c r="AY635" s="2" t="str">
        <f>IFERROR(__xludf.DUMMYFUNCTION("IMPORTRANGE(""https://docs.google.com/spreadsheets/d/""&amp;$A635&amp;""/edit#gid=156619080"",AY$3)"),"#REF!")</f>
        <v>#REF!</v>
      </c>
      <c r="AZ635" s="2" t="str">
        <f>IFERROR(__xludf.DUMMYFUNCTION("IMPORTRANGE(""https://docs.google.com/spreadsheets/d/""&amp;$A635&amp;""/edit#gid=156619080"",AZ$3)"),"#REF!")</f>
        <v>#REF!</v>
      </c>
      <c r="BA635" s="2" t="str">
        <f>IFERROR(__xludf.DUMMYFUNCTION("IMPORTRANGE(""https://docs.google.com/spreadsheets/d/""&amp;$A635&amp;""/edit#gid=156619080"",BA$3)"),"#REF!")</f>
        <v>#REF!</v>
      </c>
      <c r="BB635" s="2" t="str">
        <f>IFERROR(__xludf.DUMMYFUNCTION("IMPORTRANGE(""https://docs.google.com/spreadsheets/d/""&amp;$A635&amp;""/edit#gid=156619080"",BB$3)"),"#REF!")</f>
        <v>#REF!</v>
      </c>
      <c r="BC635" s="2" t="str">
        <f>IFERROR(__xludf.DUMMYFUNCTION("IMPORTRANGE(""https://docs.google.com/spreadsheets/d/""&amp;$A635&amp;""/edit#gid=156619080"",BC$3)"),"#REF!")</f>
        <v>#REF!</v>
      </c>
    </row>
    <row r="636" ht="51.0" customHeight="1">
      <c r="A636" s="7" t="str">
        <f t="shared" si="5"/>
        <v/>
      </c>
      <c r="C636" s="2" t="str">
        <f>IFERROR(__xludf.DUMMYFUNCTION("IMPORTRANGE(""https://docs.google.com/spreadsheets/d/""&amp;$A636&amp;""/edit#gid=156619080"",C$3)"),"#REF!")</f>
        <v>#REF!</v>
      </c>
      <c r="D636" s="2" t="str">
        <f>IFERROR(__xludf.DUMMYFUNCTION("IMPORTRANGE(""https://docs.google.com/spreadsheets/d/""&amp;$A636&amp;""/edit#gid=156619080"",D$3)"),"#REF!")</f>
        <v>#REF!</v>
      </c>
      <c r="E636" s="2" t="str">
        <f>IFERROR(__xludf.DUMMYFUNCTION("IMPORTRANGE(""https://docs.google.com/spreadsheets/d/""&amp;$A636&amp;""/edit#gid=156619080"",E$3)"),"#REF!")</f>
        <v>#REF!</v>
      </c>
      <c r="F636" s="2" t="str">
        <f>IFERROR(__xludf.DUMMYFUNCTION("IMPORTRANGE(""https://docs.google.com/spreadsheets/d/""&amp;$A636&amp;""/edit#gid=156619080"",F$3)"),"#REF!")</f>
        <v>#REF!</v>
      </c>
      <c r="G636" s="2" t="str">
        <f>IFERROR(__xludf.DUMMYFUNCTION("IMPORTRANGE(""https://docs.google.com/spreadsheets/d/""&amp;$A636&amp;""/edit#gid=156619080"",G$3)"),"#REF!")</f>
        <v>#REF!</v>
      </c>
      <c r="H636" s="2" t="str">
        <f>IFERROR(__xludf.DUMMYFUNCTION("IMPORTRANGE(""https://docs.google.com/spreadsheets/d/""&amp;$A636&amp;""/edit#gid=156619080"",H$3)"),"#REF!")</f>
        <v>#REF!</v>
      </c>
      <c r="I636" s="2" t="str">
        <f>IFERROR(__xludf.DUMMYFUNCTION("IMPORTRANGE(""https://docs.google.com/spreadsheets/d/""&amp;$A636&amp;""/edit#gid=156619080"",I$3)"),"#REF!")</f>
        <v>#REF!</v>
      </c>
      <c r="J636" s="2" t="str">
        <f>IFERROR(__xludf.DUMMYFUNCTION("IMPORTRANGE(""https://docs.google.com/spreadsheets/d/""&amp;$A636&amp;""/edit#gid=156619080"",J$3)"),"#REF!")</f>
        <v>#REF!</v>
      </c>
      <c r="K636" s="2" t="str">
        <f>IFERROR(__xludf.DUMMYFUNCTION("IMPORTRANGE(""https://docs.google.com/spreadsheets/d/""&amp;$A636&amp;""/edit#gid=156619080"",K$3)"),"#REF!")</f>
        <v>#REF!</v>
      </c>
      <c r="L636" s="2" t="str">
        <f>IFERROR(__xludf.DUMMYFUNCTION("IMPORTRANGE(""https://docs.google.com/spreadsheets/d/""&amp;$A636&amp;""/edit#gid=156619080"",L$3)"),"#REF!")</f>
        <v>#REF!</v>
      </c>
      <c r="M636" s="2" t="str">
        <f>IFERROR(__xludf.DUMMYFUNCTION("IMPORTRANGE(""https://docs.google.com/spreadsheets/d/""&amp;$A636&amp;""/edit#gid=156619080"",M$3)"),"#REF!")</f>
        <v>#REF!</v>
      </c>
      <c r="N636" s="2" t="str">
        <f>IFERROR(__xludf.DUMMYFUNCTION("IMPORTRANGE(""https://docs.google.com/spreadsheets/d/""&amp;$A636&amp;""/edit#gid=156619080"",N$3)"),"#REF!")</f>
        <v>#REF!</v>
      </c>
      <c r="O636" s="2" t="str">
        <f>IFERROR(__xludf.DUMMYFUNCTION("IMPORTRANGE(""https://docs.google.com/spreadsheets/d/""&amp;$A636&amp;""/edit#gid=156619080"",O$3)"),"#REF!")</f>
        <v>#REF!</v>
      </c>
      <c r="P636" s="2" t="str">
        <f>IFERROR(__xludf.DUMMYFUNCTION("IMPORTRANGE(""https://docs.google.com/spreadsheets/d/""&amp;$A636&amp;""/edit#gid=156619080"",P$3)"),"#REF!")</f>
        <v>#REF!</v>
      </c>
      <c r="Q636" s="2" t="str">
        <f>IFERROR(__xludf.DUMMYFUNCTION("IMPORTRANGE(""https://docs.google.com/spreadsheets/d/""&amp;$A636&amp;""/edit#gid=156619080"",Q$3)"),"#REF!")</f>
        <v>#REF!</v>
      </c>
      <c r="R636" s="2" t="str">
        <f>IFERROR(__xludf.DUMMYFUNCTION("IMPORTRANGE(""https://docs.google.com/spreadsheets/d/""&amp;$A636&amp;""/edit#gid=156619080"",R$3)"),"#REF!")</f>
        <v>#REF!</v>
      </c>
      <c r="S636" s="2" t="str">
        <f>IFERROR(__xludf.DUMMYFUNCTION("IMPORTRANGE(""https://docs.google.com/spreadsheets/d/""&amp;$A636&amp;""/edit#gid=156619080"",S$3)"),"#REF!")</f>
        <v>#REF!</v>
      </c>
      <c r="T636" s="2" t="str">
        <f>IFERROR(__xludf.DUMMYFUNCTION("IMPORTRANGE(""https://docs.google.com/spreadsheets/d/""&amp;$A636&amp;""/edit#gid=156619080"",T$3)"),"#REF!")</f>
        <v>#REF!</v>
      </c>
      <c r="U636" s="2" t="str">
        <f>IFERROR(__xludf.DUMMYFUNCTION("IMPORTRANGE(""https://docs.google.com/spreadsheets/d/""&amp;$A636&amp;""/edit#gid=156619080"",U$3)"),"#REF!")</f>
        <v>#REF!</v>
      </c>
      <c r="V636" s="2" t="str">
        <f>IFERROR(__xludf.DUMMYFUNCTION("IMPORTRANGE(""https://docs.google.com/spreadsheets/d/""&amp;$A636&amp;""/edit#gid=156619080"",V$3)"),"#REF!")</f>
        <v>#REF!</v>
      </c>
      <c r="W636" s="2" t="str">
        <f>IFERROR(__xludf.DUMMYFUNCTION("IMPORTRANGE(""https://docs.google.com/spreadsheets/d/""&amp;$A636&amp;""/edit#gid=156619080"",W$3)"),"#REF!")</f>
        <v>#REF!</v>
      </c>
      <c r="X636" s="2" t="str">
        <f>IFERROR(__xludf.DUMMYFUNCTION("IMPORTRANGE(""https://docs.google.com/spreadsheets/d/""&amp;$A636&amp;""/edit#gid=156619080"",X$3)"),"#REF!")</f>
        <v>#REF!</v>
      </c>
      <c r="Y636" s="2" t="str">
        <f>IFERROR(__xludf.DUMMYFUNCTION("IMPORTRANGE(""https://docs.google.com/spreadsheets/d/""&amp;$A636&amp;""/edit#gid=156619080"",Y$3)"),"#REF!")</f>
        <v>#REF!</v>
      </c>
      <c r="Z636" s="2" t="str">
        <f>IFERROR(__xludf.DUMMYFUNCTION("IMPORTRANGE(""https://docs.google.com/spreadsheets/d/""&amp;$A636&amp;""/edit#gid=156619080"",Z$3)"),"#REF!")</f>
        <v>#REF!</v>
      </c>
      <c r="AA636" s="2" t="str">
        <f>IFERROR(__xludf.DUMMYFUNCTION("IMPORTRANGE(""https://docs.google.com/spreadsheets/d/""&amp;$A636&amp;""/edit#gid=156619080"",AA$3)"),"#REF!")</f>
        <v>#REF!</v>
      </c>
      <c r="AB636" s="2" t="str">
        <f>IFERROR(__xludf.DUMMYFUNCTION("IMPORTRANGE(""https://docs.google.com/spreadsheets/d/""&amp;$A636&amp;""/edit#gid=156619080"",AB$3)"),"#REF!")</f>
        <v>#REF!</v>
      </c>
      <c r="AC636" s="2" t="str">
        <f>IFERROR(__xludf.DUMMYFUNCTION("IMPORTRANGE(""https://docs.google.com/spreadsheets/d/""&amp;$A636&amp;""/edit#gid=156619080"",AC$3)"),"#REF!")</f>
        <v>#REF!</v>
      </c>
      <c r="AD636" s="2" t="str">
        <f>IFERROR(__xludf.DUMMYFUNCTION("IMPORTRANGE(""https://docs.google.com/spreadsheets/d/""&amp;$A636&amp;""/edit#gid=156619080"",AD$3)"),"#REF!")</f>
        <v>#REF!</v>
      </c>
      <c r="AE636" s="2" t="str">
        <f>IFERROR(__xludf.DUMMYFUNCTION("IMPORTRANGE(""https://docs.google.com/spreadsheets/d/""&amp;$A636&amp;""/edit#gid=156619080"",AE$3)"),"#REF!")</f>
        <v>#REF!</v>
      </c>
      <c r="AF636" s="2" t="str">
        <f>IFERROR(__xludf.DUMMYFUNCTION("IMPORTRANGE(""https://docs.google.com/spreadsheets/d/""&amp;$A636&amp;""/edit#gid=156619080"",AF$3)"),"#REF!")</f>
        <v>#REF!</v>
      </c>
      <c r="AG636" s="2" t="str">
        <f>IFERROR(__xludf.DUMMYFUNCTION("IMPORTRANGE(""https://docs.google.com/spreadsheets/d/""&amp;$A636&amp;""/edit#gid=156619080"",AG$3)"),"#REF!")</f>
        <v>#REF!</v>
      </c>
      <c r="AH636" s="2" t="str">
        <f>IFERROR(__xludf.DUMMYFUNCTION("IMPORTRANGE(""https://docs.google.com/spreadsheets/d/""&amp;$A636&amp;""/edit#gid=156619080"",AH$3)"),"#REF!")</f>
        <v>#REF!</v>
      </c>
      <c r="AI636" s="2" t="str">
        <f>IFERROR(__xludf.DUMMYFUNCTION("IMPORTRANGE(""https://docs.google.com/spreadsheets/d/""&amp;$A636&amp;""/edit#gid=156619080"",AI$3)"),"#REF!")</f>
        <v>#REF!</v>
      </c>
      <c r="AJ636" s="2" t="str">
        <f>IFERROR(__xludf.DUMMYFUNCTION("IMPORTRANGE(""https://docs.google.com/spreadsheets/d/""&amp;$A636&amp;""/edit#gid=156619080"",AJ$3)"),"#REF!")</f>
        <v>#REF!</v>
      </c>
      <c r="AK636" s="2" t="str">
        <f>IFERROR(__xludf.DUMMYFUNCTION("IMPORTRANGE(""https://docs.google.com/spreadsheets/d/""&amp;$A636&amp;""/edit#gid=156619080"",AK$3)"),"#REF!")</f>
        <v>#REF!</v>
      </c>
      <c r="AL636" s="2" t="str">
        <f>IFERROR(__xludf.DUMMYFUNCTION("IMPORTRANGE(""https://docs.google.com/spreadsheets/d/""&amp;$A636&amp;""/edit#gid=156619080"",AL$3)"),"#REF!")</f>
        <v>#REF!</v>
      </c>
      <c r="AM636" s="2" t="str">
        <f>IFERROR(__xludf.DUMMYFUNCTION("IMPORTRANGE(""https://docs.google.com/spreadsheets/d/""&amp;$A636&amp;""/edit#gid=156619080"",AM$3)"),"#REF!")</f>
        <v>#REF!</v>
      </c>
      <c r="AN636" s="2" t="str">
        <f>IFERROR(__xludf.DUMMYFUNCTION("IMPORTRANGE(""https://docs.google.com/spreadsheets/d/""&amp;$A636&amp;""/edit#gid=156619080"",AN$3)"),"#REF!")</f>
        <v>#REF!</v>
      </c>
      <c r="AO636" s="2" t="str">
        <f>IFERROR(__xludf.DUMMYFUNCTION("IMPORTRANGE(""https://docs.google.com/spreadsheets/d/""&amp;$A636&amp;""/edit#gid=156619080"",AO$3)"),"#REF!")</f>
        <v>#REF!</v>
      </c>
      <c r="AP636" s="2" t="str">
        <f>IFERROR(__xludf.DUMMYFUNCTION("IMPORTRANGE(""https://docs.google.com/spreadsheets/d/""&amp;$A636&amp;""/edit#gid=156619080"",AP$3)"),"#REF!")</f>
        <v>#REF!</v>
      </c>
      <c r="AQ636" s="2" t="str">
        <f>IFERROR(__xludf.DUMMYFUNCTION("IMPORTRANGE(""https://docs.google.com/spreadsheets/d/""&amp;$A636&amp;""/edit#gid=156619080"",AQ$3)"),"#REF!")</f>
        <v>#REF!</v>
      </c>
      <c r="AR636" s="2" t="str">
        <f>IFERROR(__xludf.DUMMYFUNCTION("IMPORTRANGE(""https://docs.google.com/spreadsheets/d/""&amp;$A636&amp;""/edit#gid=156619080"",AR$3)"),"#REF!")</f>
        <v>#REF!</v>
      </c>
      <c r="AS636" s="19" t="str">
        <f>IFERROR(__xludf.DUMMYFUNCTION("IMPORTRANGE(""https://docs.google.com/spreadsheets/d/""&amp;$A636&amp;""/edit#gid=156619080"",AS$3)"),"#REF!")</f>
        <v>#REF!</v>
      </c>
      <c r="AT636" s="2" t="str">
        <f>IFERROR(__xludf.DUMMYFUNCTION("IMPORTRANGE(""https://docs.google.com/spreadsheets/d/""&amp;$A636&amp;""/edit#gid=156619080"",AT$3)"),"#REF!")</f>
        <v>#REF!</v>
      </c>
      <c r="AU636" s="3" t="str">
        <f>IFERROR(__xludf.DUMMYFUNCTION("IMPORTRANGE(""https://docs.google.com/spreadsheets/d/""&amp;$A636&amp;""/edit#gid=156619080"",AU$3)"),"#REF!")</f>
        <v>#REF!</v>
      </c>
      <c r="AV636" s="2" t="str">
        <f>IFERROR(__xludf.DUMMYFUNCTION("IMPORTRANGE(""https://docs.google.com/spreadsheets/d/""&amp;$A636&amp;""/edit#gid=156619080"",AV$3)"),"#REF!")</f>
        <v>#REF!</v>
      </c>
      <c r="AW636" s="19" t="str">
        <f>IFERROR(__xludf.DUMMYFUNCTION("IMPORTRANGE(""https://docs.google.com/spreadsheets/d/""&amp;$A636&amp;""/edit#gid=156619080"",AW$3)"),"#REF!")</f>
        <v>#REF!</v>
      </c>
      <c r="AX636" s="2" t="str">
        <f>IFERROR(__xludf.DUMMYFUNCTION("IMPORTRANGE(""https://docs.google.com/spreadsheets/d/""&amp;$A636&amp;""/edit#gid=156619080"",AX$3)"),"#REF!")</f>
        <v>#REF!</v>
      </c>
      <c r="AY636" s="2" t="str">
        <f>IFERROR(__xludf.DUMMYFUNCTION("IMPORTRANGE(""https://docs.google.com/spreadsheets/d/""&amp;$A636&amp;""/edit#gid=156619080"",AY$3)"),"#REF!")</f>
        <v>#REF!</v>
      </c>
      <c r="AZ636" s="2" t="str">
        <f>IFERROR(__xludf.DUMMYFUNCTION("IMPORTRANGE(""https://docs.google.com/spreadsheets/d/""&amp;$A636&amp;""/edit#gid=156619080"",AZ$3)"),"#REF!")</f>
        <v>#REF!</v>
      </c>
      <c r="BA636" s="2" t="str">
        <f>IFERROR(__xludf.DUMMYFUNCTION("IMPORTRANGE(""https://docs.google.com/spreadsheets/d/""&amp;$A636&amp;""/edit#gid=156619080"",BA$3)"),"#REF!")</f>
        <v>#REF!</v>
      </c>
      <c r="BB636" s="2" t="str">
        <f>IFERROR(__xludf.DUMMYFUNCTION("IMPORTRANGE(""https://docs.google.com/spreadsheets/d/""&amp;$A636&amp;""/edit#gid=156619080"",BB$3)"),"#REF!")</f>
        <v>#REF!</v>
      </c>
      <c r="BC636" s="2" t="str">
        <f>IFERROR(__xludf.DUMMYFUNCTION("IMPORTRANGE(""https://docs.google.com/spreadsheets/d/""&amp;$A636&amp;""/edit#gid=156619080"",BC$3)"),"#REF!")</f>
        <v>#REF!</v>
      </c>
    </row>
    <row r="637" ht="51.0" customHeight="1">
      <c r="A637" s="7" t="str">
        <f t="shared" si="5"/>
        <v/>
      </c>
      <c r="C637" s="2" t="str">
        <f>IFERROR(__xludf.DUMMYFUNCTION("IMPORTRANGE(""https://docs.google.com/spreadsheets/d/""&amp;$A637&amp;""/edit#gid=156619080"",C$3)"),"#REF!")</f>
        <v>#REF!</v>
      </c>
      <c r="D637" s="2" t="str">
        <f>IFERROR(__xludf.DUMMYFUNCTION("IMPORTRANGE(""https://docs.google.com/spreadsheets/d/""&amp;$A637&amp;""/edit#gid=156619080"",D$3)"),"#REF!")</f>
        <v>#REF!</v>
      </c>
      <c r="E637" s="2" t="str">
        <f>IFERROR(__xludf.DUMMYFUNCTION("IMPORTRANGE(""https://docs.google.com/spreadsheets/d/""&amp;$A637&amp;""/edit#gid=156619080"",E$3)"),"#REF!")</f>
        <v>#REF!</v>
      </c>
      <c r="F637" s="2" t="str">
        <f>IFERROR(__xludf.DUMMYFUNCTION("IMPORTRANGE(""https://docs.google.com/spreadsheets/d/""&amp;$A637&amp;""/edit#gid=156619080"",F$3)"),"#REF!")</f>
        <v>#REF!</v>
      </c>
      <c r="G637" s="2" t="str">
        <f>IFERROR(__xludf.DUMMYFUNCTION("IMPORTRANGE(""https://docs.google.com/spreadsheets/d/""&amp;$A637&amp;""/edit#gid=156619080"",G$3)"),"#REF!")</f>
        <v>#REF!</v>
      </c>
      <c r="H637" s="2" t="str">
        <f>IFERROR(__xludf.DUMMYFUNCTION("IMPORTRANGE(""https://docs.google.com/spreadsheets/d/""&amp;$A637&amp;""/edit#gid=156619080"",H$3)"),"#REF!")</f>
        <v>#REF!</v>
      </c>
      <c r="I637" s="2" t="str">
        <f>IFERROR(__xludf.DUMMYFUNCTION("IMPORTRANGE(""https://docs.google.com/spreadsheets/d/""&amp;$A637&amp;""/edit#gid=156619080"",I$3)"),"#REF!")</f>
        <v>#REF!</v>
      </c>
      <c r="J637" s="2" t="str">
        <f>IFERROR(__xludf.DUMMYFUNCTION("IMPORTRANGE(""https://docs.google.com/spreadsheets/d/""&amp;$A637&amp;""/edit#gid=156619080"",J$3)"),"#REF!")</f>
        <v>#REF!</v>
      </c>
      <c r="K637" s="2" t="str">
        <f>IFERROR(__xludf.DUMMYFUNCTION("IMPORTRANGE(""https://docs.google.com/spreadsheets/d/""&amp;$A637&amp;""/edit#gid=156619080"",K$3)"),"#REF!")</f>
        <v>#REF!</v>
      </c>
      <c r="L637" s="2" t="str">
        <f>IFERROR(__xludf.DUMMYFUNCTION("IMPORTRANGE(""https://docs.google.com/spreadsheets/d/""&amp;$A637&amp;""/edit#gid=156619080"",L$3)"),"#REF!")</f>
        <v>#REF!</v>
      </c>
      <c r="M637" s="2" t="str">
        <f>IFERROR(__xludf.DUMMYFUNCTION("IMPORTRANGE(""https://docs.google.com/spreadsheets/d/""&amp;$A637&amp;""/edit#gid=156619080"",M$3)"),"#REF!")</f>
        <v>#REF!</v>
      </c>
      <c r="N637" s="2" t="str">
        <f>IFERROR(__xludf.DUMMYFUNCTION("IMPORTRANGE(""https://docs.google.com/spreadsheets/d/""&amp;$A637&amp;""/edit#gid=156619080"",N$3)"),"#REF!")</f>
        <v>#REF!</v>
      </c>
      <c r="O637" s="2" t="str">
        <f>IFERROR(__xludf.DUMMYFUNCTION("IMPORTRANGE(""https://docs.google.com/spreadsheets/d/""&amp;$A637&amp;""/edit#gid=156619080"",O$3)"),"#REF!")</f>
        <v>#REF!</v>
      </c>
      <c r="P637" s="2" t="str">
        <f>IFERROR(__xludf.DUMMYFUNCTION("IMPORTRANGE(""https://docs.google.com/spreadsheets/d/""&amp;$A637&amp;""/edit#gid=156619080"",P$3)"),"#REF!")</f>
        <v>#REF!</v>
      </c>
      <c r="Q637" s="2" t="str">
        <f>IFERROR(__xludf.DUMMYFUNCTION("IMPORTRANGE(""https://docs.google.com/spreadsheets/d/""&amp;$A637&amp;""/edit#gid=156619080"",Q$3)"),"#REF!")</f>
        <v>#REF!</v>
      </c>
      <c r="R637" s="2" t="str">
        <f>IFERROR(__xludf.DUMMYFUNCTION("IMPORTRANGE(""https://docs.google.com/spreadsheets/d/""&amp;$A637&amp;""/edit#gid=156619080"",R$3)"),"#REF!")</f>
        <v>#REF!</v>
      </c>
      <c r="S637" s="2" t="str">
        <f>IFERROR(__xludf.DUMMYFUNCTION("IMPORTRANGE(""https://docs.google.com/spreadsheets/d/""&amp;$A637&amp;""/edit#gid=156619080"",S$3)"),"#REF!")</f>
        <v>#REF!</v>
      </c>
      <c r="T637" s="2" t="str">
        <f>IFERROR(__xludf.DUMMYFUNCTION("IMPORTRANGE(""https://docs.google.com/spreadsheets/d/""&amp;$A637&amp;""/edit#gid=156619080"",T$3)"),"#REF!")</f>
        <v>#REF!</v>
      </c>
      <c r="U637" s="2" t="str">
        <f>IFERROR(__xludf.DUMMYFUNCTION("IMPORTRANGE(""https://docs.google.com/spreadsheets/d/""&amp;$A637&amp;""/edit#gid=156619080"",U$3)"),"#REF!")</f>
        <v>#REF!</v>
      </c>
      <c r="V637" s="2" t="str">
        <f>IFERROR(__xludf.DUMMYFUNCTION("IMPORTRANGE(""https://docs.google.com/spreadsheets/d/""&amp;$A637&amp;""/edit#gid=156619080"",V$3)"),"#REF!")</f>
        <v>#REF!</v>
      </c>
      <c r="W637" s="2" t="str">
        <f>IFERROR(__xludf.DUMMYFUNCTION("IMPORTRANGE(""https://docs.google.com/spreadsheets/d/""&amp;$A637&amp;""/edit#gid=156619080"",W$3)"),"#REF!")</f>
        <v>#REF!</v>
      </c>
      <c r="X637" s="2" t="str">
        <f>IFERROR(__xludf.DUMMYFUNCTION("IMPORTRANGE(""https://docs.google.com/spreadsheets/d/""&amp;$A637&amp;""/edit#gid=156619080"",X$3)"),"#REF!")</f>
        <v>#REF!</v>
      </c>
      <c r="Y637" s="2" t="str">
        <f>IFERROR(__xludf.DUMMYFUNCTION("IMPORTRANGE(""https://docs.google.com/spreadsheets/d/""&amp;$A637&amp;""/edit#gid=156619080"",Y$3)"),"#REF!")</f>
        <v>#REF!</v>
      </c>
      <c r="Z637" s="2" t="str">
        <f>IFERROR(__xludf.DUMMYFUNCTION("IMPORTRANGE(""https://docs.google.com/spreadsheets/d/""&amp;$A637&amp;""/edit#gid=156619080"",Z$3)"),"#REF!")</f>
        <v>#REF!</v>
      </c>
      <c r="AA637" s="2" t="str">
        <f>IFERROR(__xludf.DUMMYFUNCTION("IMPORTRANGE(""https://docs.google.com/spreadsheets/d/""&amp;$A637&amp;""/edit#gid=156619080"",AA$3)"),"#REF!")</f>
        <v>#REF!</v>
      </c>
      <c r="AB637" s="2" t="str">
        <f>IFERROR(__xludf.DUMMYFUNCTION("IMPORTRANGE(""https://docs.google.com/spreadsheets/d/""&amp;$A637&amp;""/edit#gid=156619080"",AB$3)"),"#REF!")</f>
        <v>#REF!</v>
      </c>
      <c r="AC637" s="2" t="str">
        <f>IFERROR(__xludf.DUMMYFUNCTION("IMPORTRANGE(""https://docs.google.com/spreadsheets/d/""&amp;$A637&amp;""/edit#gid=156619080"",AC$3)"),"#REF!")</f>
        <v>#REF!</v>
      </c>
      <c r="AD637" s="2" t="str">
        <f>IFERROR(__xludf.DUMMYFUNCTION("IMPORTRANGE(""https://docs.google.com/spreadsheets/d/""&amp;$A637&amp;""/edit#gid=156619080"",AD$3)"),"#REF!")</f>
        <v>#REF!</v>
      </c>
      <c r="AE637" s="2" t="str">
        <f>IFERROR(__xludf.DUMMYFUNCTION("IMPORTRANGE(""https://docs.google.com/spreadsheets/d/""&amp;$A637&amp;""/edit#gid=156619080"",AE$3)"),"#REF!")</f>
        <v>#REF!</v>
      </c>
      <c r="AF637" s="2" t="str">
        <f>IFERROR(__xludf.DUMMYFUNCTION("IMPORTRANGE(""https://docs.google.com/spreadsheets/d/""&amp;$A637&amp;""/edit#gid=156619080"",AF$3)"),"#REF!")</f>
        <v>#REF!</v>
      </c>
      <c r="AG637" s="2" t="str">
        <f>IFERROR(__xludf.DUMMYFUNCTION("IMPORTRANGE(""https://docs.google.com/spreadsheets/d/""&amp;$A637&amp;""/edit#gid=156619080"",AG$3)"),"#REF!")</f>
        <v>#REF!</v>
      </c>
      <c r="AH637" s="2" t="str">
        <f>IFERROR(__xludf.DUMMYFUNCTION("IMPORTRANGE(""https://docs.google.com/spreadsheets/d/""&amp;$A637&amp;""/edit#gid=156619080"",AH$3)"),"#REF!")</f>
        <v>#REF!</v>
      </c>
      <c r="AI637" s="2" t="str">
        <f>IFERROR(__xludf.DUMMYFUNCTION("IMPORTRANGE(""https://docs.google.com/spreadsheets/d/""&amp;$A637&amp;""/edit#gid=156619080"",AI$3)"),"#REF!")</f>
        <v>#REF!</v>
      </c>
      <c r="AJ637" s="2" t="str">
        <f>IFERROR(__xludf.DUMMYFUNCTION("IMPORTRANGE(""https://docs.google.com/spreadsheets/d/""&amp;$A637&amp;""/edit#gid=156619080"",AJ$3)"),"#REF!")</f>
        <v>#REF!</v>
      </c>
      <c r="AK637" s="2" t="str">
        <f>IFERROR(__xludf.DUMMYFUNCTION("IMPORTRANGE(""https://docs.google.com/spreadsheets/d/""&amp;$A637&amp;""/edit#gid=156619080"",AK$3)"),"#REF!")</f>
        <v>#REF!</v>
      </c>
      <c r="AL637" s="2" t="str">
        <f>IFERROR(__xludf.DUMMYFUNCTION("IMPORTRANGE(""https://docs.google.com/spreadsheets/d/""&amp;$A637&amp;""/edit#gid=156619080"",AL$3)"),"#REF!")</f>
        <v>#REF!</v>
      </c>
      <c r="AM637" s="2" t="str">
        <f>IFERROR(__xludf.DUMMYFUNCTION("IMPORTRANGE(""https://docs.google.com/spreadsheets/d/""&amp;$A637&amp;""/edit#gid=156619080"",AM$3)"),"#REF!")</f>
        <v>#REF!</v>
      </c>
      <c r="AN637" s="2" t="str">
        <f>IFERROR(__xludf.DUMMYFUNCTION("IMPORTRANGE(""https://docs.google.com/spreadsheets/d/""&amp;$A637&amp;""/edit#gid=156619080"",AN$3)"),"#REF!")</f>
        <v>#REF!</v>
      </c>
      <c r="AO637" s="2" t="str">
        <f>IFERROR(__xludf.DUMMYFUNCTION("IMPORTRANGE(""https://docs.google.com/spreadsheets/d/""&amp;$A637&amp;""/edit#gid=156619080"",AO$3)"),"#REF!")</f>
        <v>#REF!</v>
      </c>
      <c r="AP637" s="2" t="str">
        <f>IFERROR(__xludf.DUMMYFUNCTION("IMPORTRANGE(""https://docs.google.com/spreadsheets/d/""&amp;$A637&amp;""/edit#gid=156619080"",AP$3)"),"#REF!")</f>
        <v>#REF!</v>
      </c>
      <c r="AQ637" s="2" t="str">
        <f>IFERROR(__xludf.DUMMYFUNCTION("IMPORTRANGE(""https://docs.google.com/spreadsheets/d/""&amp;$A637&amp;""/edit#gid=156619080"",AQ$3)"),"#REF!")</f>
        <v>#REF!</v>
      </c>
      <c r="AR637" s="2" t="str">
        <f>IFERROR(__xludf.DUMMYFUNCTION("IMPORTRANGE(""https://docs.google.com/spreadsheets/d/""&amp;$A637&amp;""/edit#gid=156619080"",AR$3)"),"#REF!")</f>
        <v>#REF!</v>
      </c>
      <c r="AS637" s="19" t="str">
        <f>IFERROR(__xludf.DUMMYFUNCTION("IMPORTRANGE(""https://docs.google.com/spreadsheets/d/""&amp;$A637&amp;""/edit#gid=156619080"",AS$3)"),"#REF!")</f>
        <v>#REF!</v>
      </c>
      <c r="AT637" s="2" t="str">
        <f>IFERROR(__xludf.DUMMYFUNCTION("IMPORTRANGE(""https://docs.google.com/spreadsheets/d/""&amp;$A637&amp;""/edit#gid=156619080"",AT$3)"),"#REF!")</f>
        <v>#REF!</v>
      </c>
      <c r="AU637" s="3" t="str">
        <f>IFERROR(__xludf.DUMMYFUNCTION("IMPORTRANGE(""https://docs.google.com/spreadsheets/d/""&amp;$A637&amp;""/edit#gid=156619080"",AU$3)"),"#REF!")</f>
        <v>#REF!</v>
      </c>
      <c r="AV637" s="2" t="str">
        <f>IFERROR(__xludf.DUMMYFUNCTION("IMPORTRANGE(""https://docs.google.com/spreadsheets/d/""&amp;$A637&amp;""/edit#gid=156619080"",AV$3)"),"#REF!")</f>
        <v>#REF!</v>
      </c>
      <c r="AW637" s="19" t="str">
        <f>IFERROR(__xludf.DUMMYFUNCTION("IMPORTRANGE(""https://docs.google.com/spreadsheets/d/""&amp;$A637&amp;""/edit#gid=156619080"",AW$3)"),"#REF!")</f>
        <v>#REF!</v>
      </c>
      <c r="AX637" s="2" t="str">
        <f>IFERROR(__xludf.DUMMYFUNCTION("IMPORTRANGE(""https://docs.google.com/spreadsheets/d/""&amp;$A637&amp;""/edit#gid=156619080"",AX$3)"),"#REF!")</f>
        <v>#REF!</v>
      </c>
      <c r="AY637" s="2" t="str">
        <f>IFERROR(__xludf.DUMMYFUNCTION("IMPORTRANGE(""https://docs.google.com/spreadsheets/d/""&amp;$A637&amp;""/edit#gid=156619080"",AY$3)"),"#REF!")</f>
        <v>#REF!</v>
      </c>
      <c r="AZ637" s="2" t="str">
        <f>IFERROR(__xludf.DUMMYFUNCTION("IMPORTRANGE(""https://docs.google.com/spreadsheets/d/""&amp;$A637&amp;""/edit#gid=156619080"",AZ$3)"),"#REF!")</f>
        <v>#REF!</v>
      </c>
      <c r="BA637" s="2" t="str">
        <f>IFERROR(__xludf.DUMMYFUNCTION("IMPORTRANGE(""https://docs.google.com/spreadsheets/d/""&amp;$A637&amp;""/edit#gid=156619080"",BA$3)"),"#REF!")</f>
        <v>#REF!</v>
      </c>
      <c r="BB637" s="2" t="str">
        <f>IFERROR(__xludf.DUMMYFUNCTION("IMPORTRANGE(""https://docs.google.com/spreadsheets/d/""&amp;$A637&amp;""/edit#gid=156619080"",BB$3)"),"#REF!")</f>
        <v>#REF!</v>
      </c>
      <c r="BC637" s="2" t="str">
        <f>IFERROR(__xludf.DUMMYFUNCTION("IMPORTRANGE(""https://docs.google.com/spreadsheets/d/""&amp;$A637&amp;""/edit#gid=156619080"",BC$3)"),"#REF!")</f>
        <v>#REF!</v>
      </c>
    </row>
    <row r="638" ht="51.0" customHeight="1">
      <c r="A638" s="7" t="str">
        <f t="shared" si="5"/>
        <v/>
      </c>
      <c r="C638" s="2" t="str">
        <f>IFERROR(__xludf.DUMMYFUNCTION("IMPORTRANGE(""https://docs.google.com/spreadsheets/d/""&amp;$A638&amp;""/edit#gid=156619080"",C$3)"),"#REF!")</f>
        <v>#REF!</v>
      </c>
      <c r="D638" s="2" t="str">
        <f>IFERROR(__xludf.DUMMYFUNCTION("IMPORTRANGE(""https://docs.google.com/spreadsheets/d/""&amp;$A638&amp;""/edit#gid=156619080"",D$3)"),"#REF!")</f>
        <v>#REF!</v>
      </c>
      <c r="E638" s="2" t="str">
        <f>IFERROR(__xludf.DUMMYFUNCTION("IMPORTRANGE(""https://docs.google.com/spreadsheets/d/""&amp;$A638&amp;""/edit#gid=156619080"",E$3)"),"#REF!")</f>
        <v>#REF!</v>
      </c>
      <c r="F638" s="2" t="str">
        <f>IFERROR(__xludf.DUMMYFUNCTION("IMPORTRANGE(""https://docs.google.com/spreadsheets/d/""&amp;$A638&amp;""/edit#gid=156619080"",F$3)"),"#REF!")</f>
        <v>#REF!</v>
      </c>
      <c r="G638" s="2" t="str">
        <f>IFERROR(__xludf.DUMMYFUNCTION("IMPORTRANGE(""https://docs.google.com/spreadsheets/d/""&amp;$A638&amp;""/edit#gid=156619080"",G$3)"),"#REF!")</f>
        <v>#REF!</v>
      </c>
      <c r="H638" s="2" t="str">
        <f>IFERROR(__xludf.DUMMYFUNCTION("IMPORTRANGE(""https://docs.google.com/spreadsheets/d/""&amp;$A638&amp;""/edit#gid=156619080"",H$3)"),"#REF!")</f>
        <v>#REF!</v>
      </c>
      <c r="I638" s="2" t="str">
        <f>IFERROR(__xludf.DUMMYFUNCTION("IMPORTRANGE(""https://docs.google.com/spreadsheets/d/""&amp;$A638&amp;""/edit#gid=156619080"",I$3)"),"#REF!")</f>
        <v>#REF!</v>
      </c>
      <c r="J638" s="2" t="str">
        <f>IFERROR(__xludf.DUMMYFUNCTION("IMPORTRANGE(""https://docs.google.com/spreadsheets/d/""&amp;$A638&amp;""/edit#gid=156619080"",J$3)"),"#REF!")</f>
        <v>#REF!</v>
      </c>
      <c r="K638" s="2" t="str">
        <f>IFERROR(__xludf.DUMMYFUNCTION("IMPORTRANGE(""https://docs.google.com/spreadsheets/d/""&amp;$A638&amp;""/edit#gid=156619080"",K$3)"),"#REF!")</f>
        <v>#REF!</v>
      </c>
      <c r="L638" s="2" t="str">
        <f>IFERROR(__xludf.DUMMYFUNCTION("IMPORTRANGE(""https://docs.google.com/spreadsheets/d/""&amp;$A638&amp;""/edit#gid=156619080"",L$3)"),"#REF!")</f>
        <v>#REF!</v>
      </c>
      <c r="M638" s="2" t="str">
        <f>IFERROR(__xludf.DUMMYFUNCTION("IMPORTRANGE(""https://docs.google.com/spreadsheets/d/""&amp;$A638&amp;""/edit#gid=156619080"",M$3)"),"#REF!")</f>
        <v>#REF!</v>
      </c>
      <c r="N638" s="2" t="str">
        <f>IFERROR(__xludf.DUMMYFUNCTION("IMPORTRANGE(""https://docs.google.com/spreadsheets/d/""&amp;$A638&amp;""/edit#gid=156619080"",N$3)"),"#REF!")</f>
        <v>#REF!</v>
      </c>
      <c r="O638" s="2" t="str">
        <f>IFERROR(__xludf.DUMMYFUNCTION("IMPORTRANGE(""https://docs.google.com/spreadsheets/d/""&amp;$A638&amp;""/edit#gid=156619080"",O$3)"),"#REF!")</f>
        <v>#REF!</v>
      </c>
      <c r="P638" s="2" t="str">
        <f>IFERROR(__xludf.DUMMYFUNCTION("IMPORTRANGE(""https://docs.google.com/spreadsheets/d/""&amp;$A638&amp;""/edit#gid=156619080"",P$3)"),"#REF!")</f>
        <v>#REF!</v>
      </c>
      <c r="Q638" s="2" t="str">
        <f>IFERROR(__xludf.DUMMYFUNCTION("IMPORTRANGE(""https://docs.google.com/spreadsheets/d/""&amp;$A638&amp;""/edit#gid=156619080"",Q$3)"),"#REF!")</f>
        <v>#REF!</v>
      </c>
      <c r="R638" s="2" t="str">
        <f>IFERROR(__xludf.DUMMYFUNCTION("IMPORTRANGE(""https://docs.google.com/spreadsheets/d/""&amp;$A638&amp;""/edit#gid=156619080"",R$3)"),"#REF!")</f>
        <v>#REF!</v>
      </c>
      <c r="S638" s="2" t="str">
        <f>IFERROR(__xludf.DUMMYFUNCTION("IMPORTRANGE(""https://docs.google.com/spreadsheets/d/""&amp;$A638&amp;""/edit#gid=156619080"",S$3)"),"#REF!")</f>
        <v>#REF!</v>
      </c>
      <c r="T638" s="2" t="str">
        <f>IFERROR(__xludf.DUMMYFUNCTION("IMPORTRANGE(""https://docs.google.com/spreadsheets/d/""&amp;$A638&amp;""/edit#gid=156619080"",T$3)"),"#REF!")</f>
        <v>#REF!</v>
      </c>
      <c r="U638" s="2" t="str">
        <f>IFERROR(__xludf.DUMMYFUNCTION("IMPORTRANGE(""https://docs.google.com/spreadsheets/d/""&amp;$A638&amp;""/edit#gid=156619080"",U$3)"),"#REF!")</f>
        <v>#REF!</v>
      </c>
      <c r="V638" s="2" t="str">
        <f>IFERROR(__xludf.DUMMYFUNCTION("IMPORTRANGE(""https://docs.google.com/spreadsheets/d/""&amp;$A638&amp;""/edit#gid=156619080"",V$3)"),"#REF!")</f>
        <v>#REF!</v>
      </c>
      <c r="W638" s="2" t="str">
        <f>IFERROR(__xludf.DUMMYFUNCTION("IMPORTRANGE(""https://docs.google.com/spreadsheets/d/""&amp;$A638&amp;""/edit#gid=156619080"",W$3)"),"#REF!")</f>
        <v>#REF!</v>
      </c>
      <c r="X638" s="2" t="str">
        <f>IFERROR(__xludf.DUMMYFUNCTION("IMPORTRANGE(""https://docs.google.com/spreadsheets/d/""&amp;$A638&amp;""/edit#gid=156619080"",X$3)"),"#REF!")</f>
        <v>#REF!</v>
      </c>
      <c r="Y638" s="2" t="str">
        <f>IFERROR(__xludf.DUMMYFUNCTION("IMPORTRANGE(""https://docs.google.com/spreadsheets/d/""&amp;$A638&amp;""/edit#gid=156619080"",Y$3)"),"#REF!")</f>
        <v>#REF!</v>
      </c>
      <c r="Z638" s="2" t="str">
        <f>IFERROR(__xludf.DUMMYFUNCTION("IMPORTRANGE(""https://docs.google.com/spreadsheets/d/""&amp;$A638&amp;""/edit#gid=156619080"",Z$3)"),"#REF!")</f>
        <v>#REF!</v>
      </c>
      <c r="AA638" s="2" t="str">
        <f>IFERROR(__xludf.DUMMYFUNCTION("IMPORTRANGE(""https://docs.google.com/spreadsheets/d/""&amp;$A638&amp;""/edit#gid=156619080"",AA$3)"),"#REF!")</f>
        <v>#REF!</v>
      </c>
      <c r="AB638" s="2" t="str">
        <f>IFERROR(__xludf.DUMMYFUNCTION("IMPORTRANGE(""https://docs.google.com/spreadsheets/d/""&amp;$A638&amp;""/edit#gid=156619080"",AB$3)"),"#REF!")</f>
        <v>#REF!</v>
      </c>
      <c r="AC638" s="2" t="str">
        <f>IFERROR(__xludf.DUMMYFUNCTION("IMPORTRANGE(""https://docs.google.com/spreadsheets/d/""&amp;$A638&amp;""/edit#gid=156619080"",AC$3)"),"#REF!")</f>
        <v>#REF!</v>
      </c>
      <c r="AD638" s="2" t="str">
        <f>IFERROR(__xludf.DUMMYFUNCTION("IMPORTRANGE(""https://docs.google.com/spreadsheets/d/""&amp;$A638&amp;""/edit#gid=156619080"",AD$3)"),"#REF!")</f>
        <v>#REF!</v>
      </c>
      <c r="AE638" s="2" t="str">
        <f>IFERROR(__xludf.DUMMYFUNCTION("IMPORTRANGE(""https://docs.google.com/spreadsheets/d/""&amp;$A638&amp;""/edit#gid=156619080"",AE$3)"),"#REF!")</f>
        <v>#REF!</v>
      </c>
      <c r="AF638" s="2" t="str">
        <f>IFERROR(__xludf.DUMMYFUNCTION("IMPORTRANGE(""https://docs.google.com/spreadsheets/d/""&amp;$A638&amp;""/edit#gid=156619080"",AF$3)"),"#REF!")</f>
        <v>#REF!</v>
      </c>
      <c r="AG638" s="2" t="str">
        <f>IFERROR(__xludf.DUMMYFUNCTION("IMPORTRANGE(""https://docs.google.com/spreadsheets/d/""&amp;$A638&amp;""/edit#gid=156619080"",AG$3)"),"#REF!")</f>
        <v>#REF!</v>
      </c>
      <c r="AH638" s="2" t="str">
        <f>IFERROR(__xludf.DUMMYFUNCTION("IMPORTRANGE(""https://docs.google.com/spreadsheets/d/""&amp;$A638&amp;""/edit#gid=156619080"",AH$3)"),"#REF!")</f>
        <v>#REF!</v>
      </c>
      <c r="AI638" s="2" t="str">
        <f>IFERROR(__xludf.DUMMYFUNCTION("IMPORTRANGE(""https://docs.google.com/spreadsheets/d/""&amp;$A638&amp;""/edit#gid=156619080"",AI$3)"),"#REF!")</f>
        <v>#REF!</v>
      </c>
      <c r="AJ638" s="2" t="str">
        <f>IFERROR(__xludf.DUMMYFUNCTION("IMPORTRANGE(""https://docs.google.com/spreadsheets/d/""&amp;$A638&amp;""/edit#gid=156619080"",AJ$3)"),"#REF!")</f>
        <v>#REF!</v>
      </c>
      <c r="AK638" s="2" t="str">
        <f>IFERROR(__xludf.DUMMYFUNCTION("IMPORTRANGE(""https://docs.google.com/spreadsheets/d/""&amp;$A638&amp;""/edit#gid=156619080"",AK$3)"),"#REF!")</f>
        <v>#REF!</v>
      </c>
      <c r="AL638" s="2" t="str">
        <f>IFERROR(__xludf.DUMMYFUNCTION("IMPORTRANGE(""https://docs.google.com/spreadsheets/d/""&amp;$A638&amp;""/edit#gid=156619080"",AL$3)"),"#REF!")</f>
        <v>#REF!</v>
      </c>
      <c r="AM638" s="2" t="str">
        <f>IFERROR(__xludf.DUMMYFUNCTION("IMPORTRANGE(""https://docs.google.com/spreadsheets/d/""&amp;$A638&amp;""/edit#gid=156619080"",AM$3)"),"#REF!")</f>
        <v>#REF!</v>
      </c>
      <c r="AN638" s="2" t="str">
        <f>IFERROR(__xludf.DUMMYFUNCTION("IMPORTRANGE(""https://docs.google.com/spreadsheets/d/""&amp;$A638&amp;""/edit#gid=156619080"",AN$3)"),"#REF!")</f>
        <v>#REF!</v>
      </c>
      <c r="AO638" s="2" t="str">
        <f>IFERROR(__xludf.DUMMYFUNCTION("IMPORTRANGE(""https://docs.google.com/spreadsheets/d/""&amp;$A638&amp;""/edit#gid=156619080"",AO$3)"),"#REF!")</f>
        <v>#REF!</v>
      </c>
      <c r="AP638" s="2" t="str">
        <f>IFERROR(__xludf.DUMMYFUNCTION("IMPORTRANGE(""https://docs.google.com/spreadsheets/d/""&amp;$A638&amp;""/edit#gid=156619080"",AP$3)"),"#REF!")</f>
        <v>#REF!</v>
      </c>
      <c r="AQ638" s="2" t="str">
        <f>IFERROR(__xludf.DUMMYFUNCTION("IMPORTRANGE(""https://docs.google.com/spreadsheets/d/""&amp;$A638&amp;""/edit#gid=156619080"",AQ$3)"),"#REF!")</f>
        <v>#REF!</v>
      </c>
      <c r="AR638" s="2" t="str">
        <f>IFERROR(__xludf.DUMMYFUNCTION("IMPORTRANGE(""https://docs.google.com/spreadsheets/d/""&amp;$A638&amp;""/edit#gid=156619080"",AR$3)"),"#REF!")</f>
        <v>#REF!</v>
      </c>
      <c r="AS638" s="19" t="str">
        <f>IFERROR(__xludf.DUMMYFUNCTION("IMPORTRANGE(""https://docs.google.com/spreadsheets/d/""&amp;$A638&amp;""/edit#gid=156619080"",AS$3)"),"#REF!")</f>
        <v>#REF!</v>
      </c>
      <c r="AT638" s="2" t="str">
        <f>IFERROR(__xludf.DUMMYFUNCTION("IMPORTRANGE(""https://docs.google.com/spreadsheets/d/""&amp;$A638&amp;""/edit#gid=156619080"",AT$3)"),"#REF!")</f>
        <v>#REF!</v>
      </c>
      <c r="AU638" s="3" t="str">
        <f>IFERROR(__xludf.DUMMYFUNCTION("IMPORTRANGE(""https://docs.google.com/spreadsheets/d/""&amp;$A638&amp;""/edit#gid=156619080"",AU$3)"),"#REF!")</f>
        <v>#REF!</v>
      </c>
      <c r="AV638" s="2" t="str">
        <f>IFERROR(__xludf.DUMMYFUNCTION("IMPORTRANGE(""https://docs.google.com/spreadsheets/d/""&amp;$A638&amp;""/edit#gid=156619080"",AV$3)"),"#REF!")</f>
        <v>#REF!</v>
      </c>
      <c r="AW638" s="19" t="str">
        <f>IFERROR(__xludf.DUMMYFUNCTION("IMPORTRANGE(""https://docs.google.com/spreadsheets/d/""&amp;$A638&amp;""/edit#gid=156619080"",AW$3)"),"#REF!")</f>
        <v>#REF!</v>
      </c>
      <c r="AX638" s="2" t="str">
        <f>IFERROR(__xludf.DUMMYFUNCTION("IMPORTRANGE(""https://docs.google.com/spreadsheets/d/""&amp;$A638&amp;""/edit#gid=156619080"",AX$3)"),"#REF!")</f>
        <v>#REF!</v>
      </c>
      <c r="AY638" s="2" t="str">
        <f>IFERROR(__xludf.DUMMYFUNCTION("IMPORTRANGE(""https://docs.google.com/spreadsheets/d/""&amp;$A638&amp;""/edit#gid=156619080"",AY$3)"),"#REF!")</f>
        <v>#REF!</v>
      </c>
      <c r="AZ638" s="2" t="str">
        <f>IFERROR(__xludf.DUMMYFUNCTION("IMPORTRANGE(""https://docs.google.com/spreadsheets/d/""&amp;$A638&amp;""/edit#gid=156619080"",AZ$3)"),"#REF!")</f>
        <v>#REF!</v>
      </c>
      <c r="BA638" s="2" t="str">
        <f>IFERROR(__xludf.DUMMYFUNCTION("IMPORTRANGE(""https://docs.google.com/spreadsheets/d/""&amp;$A638&amp;""/edit#gid=156619080"",BA$3)"),"#REF!")</f>
        <v>#REF!</v>
      </c>
      <c r="BB638" s="2" t="str">
        <f>IFERROR(__xludf.DUMMYFUNCTION("IMPORTRANGE(""https://docs.google.com/spreadsheets/d/""&amp;$A638&amp;""/edit#gid=156619080"",BB$3)"),"#REF!")</f>
        <v>#REF!</v>
      </c>
      <c r="BC638" s="2" t="str">
        <f>IFERROR(__xludf.DUMMYFUNCTION("IMPORTRANGE(""https://docs.google.com/spreadsheets/d/""&amp;$A638&amp;""/edit#gid=156619080"",BC$3)"),"#REF!")</f>
        <v>#REF!</v>
      </c>
    </row>
    <row r="639" ht="51.0" customHeight="1">
      <c r="A639" s="7" t="str">
        <f t="shared" si="5"/>
        <v/>
      </c>
      <c r="C639" s="2" t="str">
        <f>IFERROR(__xludf.DUMMYFUNCTION("IMPORTRANGE(""https://docs.google.com/spreadsheets/d/""&amp;$A639&amp;""/edit#gid=156619080"",C$3)"),"#REF!")</f>
        <v>#REF!</v>
      </c>
      <c r="D639" s="2" t="str">
        <f>IFERROR(__xludf.DUMMYFUNCTION("IMPORTRANGE(""https://docs.google.com/spreadsheets/d/""&amp;$A639&amp;""/edit#gid=156619080"",D$3)"),"#REF!")</f>
        <v>#REF!</v>
      </c>
      <c r="E639" s="2" t="str">
        <f>IFERROR(__xludf.DUMMYFUNCTION("IMPORTRANGE(""https://docs.google.com/spreadsheets/d/""&amp;$A639&amp;""/edit#gid=156619080"",E$3)"),"#REF!")</f>
        <v>#REF!</v>
      </c>
      <c r="F639" s="2" t="str">
        <f>IFERROR(__xludf.DUMMYFUNCTION("IMPORTRANGE(""https://docs.google.com/spreadsheets/d/""&amp;$A639&amp;""/edit#gid=156619080"",F$3)"),"#REF!")</f>
        <v>#REF!</v>
      </c>
      <c r="G639" s="2" t="str">
        <f>IFERROR(__xludf.DUMMYFUNCTION("IMPORTRANGE(""https://docs.google.com/spreadsheets/d/""&amp;$A639&amp;""/edit#gid=156619080"",G$3)"),"#REF!")</f>
        <v>#REF!</v>
      </c>
      <c r="H639" s="2" t="str">
        <f>IFERROR(__xludf.DUMMYFUNCTION("IMPORTRANGE(""https://docs.google.com/spreadsheets/d/""&amp;$A639&amp;""/edit#gid=156619080"",H$3)"),"#REF!")</f>
        <v>#REF!</v>
      </c>
      <c r="I639" s="2" t="str">
        <f>IFERROR(__xludf.DUMMYFUNCTION("IMPORTRANGE(""https://docs.google.com/spreadsheets/d/""&amp;$A639&amp;""/edit#gid=156619080"",I$3)"),"#REF!")</f>
        <v>#REF!</v>
      </c>
      <c r="J639" s="2" t="str">
        <f>IFERROR(__xludf.DUMMYFUNCTION("IMPORTRANGE(""https://docs.google.com/spreadsheets/d/""&amp;$A639&amp;""/edit#gid=156619080"",J$3)"),"#REF!")</f>
        <v>#REF!</v>
      </c>
      <c r="K639" s="2" t="str">
        <f>IFERROR(__xludf.DUMMYFUNCTION("IMPORTRANGE(""https://docs.google.com/spreadsheets/d/""&amp;$A639&amp;""/edit#gid=156619080"",K$3)"),"#REF!")</f>
        <v>#REF!</v>
      </c>
      <c r="L639" s="2" t="str">
        <f>IFERROR(__xludf.DUMMYFUNCTION("IMPORTRANGE(""https://docs.google.com/spreadsheets/d/""&amp;$A639&amp;""/edit#gid=156619080"",L$3)"),"#REF!")</f>
        <v>#REF!</v>
      </c>
      <c r="M639" s="2" t="str">
        <f>IFERROR(__xludf.DUMMYFUNCTION("IMPORTRANGE(""https://docs.google.com/spreadsheets/d/""&amp;$A639&amp;""/edit#gid=156619080"",M$3)"),"#REF!")</f>
        <v>#REF!</v>
      </c>
      <c r="N639" s="2" t="str">
        <f>IFERROR(__xludf.DUMMYFUNCTION("IMPORTRANGE(""https://docs.google.com/spreadsheets/d/""&amp;$A639&amp;""/edit#gid=156619080"",N$3)"),"#REF!")</f>
        <v>#REF!</v>
      </c>
      <c r="O639" s="2" t="str">
        <f>IFERROR(__xludf.DUMMYFUNCTION("IMPORTRANGE(""https://docs.google.com/spreadsheets/d/""&amp;$A639&amp;""/edit#gid=156619080"",O$3)"),"#REF!")</f>
        <v>#REF!</v>
      </c>
      <c r="P639" s="2" t="str">
        <f>IFERROR(__xludf.DUMMYFUNCTION("IMPORTRANGE(""https://docs.google.com/spreadsheets/d/""&amp;$A639&amp;""/edit#gid=156619080"",P$3)"),"#REF!")</f>
        <v>#REF!</v>
      </c>
      <c r="Q639" s="2" t="str">
        <f>IFERROR(__xludf.DUMMYFUNCTION("IMPORTRANGE(""https://docs.google.com/spreadsheets/d/""&amp;$A639&amp;""/edit#gid=156619080"",Q$3)"),"#REF!")</f>
        <v>#REF!</v>
      </c>
      <c r="R639" s="2" t="str">
        <f>IFERROR(__xludf.DUMMYFUNCTION("IMPORTRANGE(""https://docs.google.com/spreadsheets/d/""&amp;$A639&amp;""/edit#gid=156619080"",R$3)"),"#REF!")</f>
        <v>#REF!</v>
      </c>
      <c r="S639" s="2" t="str">
        <f>IFERROR(__xludf.DUMMYFUNCTION("IMPORTRANGE(""https://docs.google.com/spreadsheets/d/""&amp;$A639&amp;""/edit#gid=156619080"",S$3)"),"#REF!")</f>
        <v>#REF!</v>
      </c>
      <c r="T639" s="2" t="str">
        <f>IFERROR(__xludf.DUMMYFUNCTION("IMPORTRANGE(""https://docs.google.com/spreadsheets/d/""&amp;$A639&amp;""/edit#gid=156619080"",T$3)"),"#REF!")</f>
        <v>#REF!</v>
      </c>
      <c r="U639" s="2" t="str">
        <f>IFERROR(__xludf.DUMMYFUNCTION("IMPORTRANGE(""https://docs.google.com/spreadsheets/d/""&amp;$A639&amp;""/edit#gid=156619080"",U$3)"),"#REF!")</f>
        <v>#REF!</v>
      </c>
      <c r="V639" s="2" t="str">
        <f>IFERROR(__xludf.DUMMYFUNCTION("IMPORTRANGE(""https://docs.google.com/spreadsheets/d/""&amp;$A639&amp;""/edit#gid=156619080"",V$3)"),"#REF!")</f>
        <v>#REF!</v>
      </c>
      <c r="W639" s="2" t="str">
        <f>IFERROR(__xludf.DUMMYFUNCTION("IMPORTRANGE(""https://docs.google.com/spreadsheets/d/""&amp;$A639&amp;""/edit#gid=156619080"",W$3)"),"#REF!")</f>
        <v>#REF!</v>
      </c>
      <c r="X639" s="2" t="str">
        <f>IFERROR(__xludf.DUMMYFUNCTION("IMPORTRANGE(""https://docs.google.com/spreadsheets/d/""&amp;$A639&amp;""/edit#gid=156619080"",X$3)"),"#REF!")</f>
        <v>#REF!</v>
      </c>
      <c r="Y639" s="2" t="str">
        <f>IFERROR(__xludf.DUMMYFUNCTION("IMPORTRANGE(""https://docs.google.com/spreadsheets/d/""&amp;$A639&amp;""/edit#gid=156619080"",Y$3)"),"#REF!")</f>
        <v>#REF!</v>
      </c>
      <c r="Z639" s="2" t="str">
        <f>IFERROR(__xludf.DUMMYFUNCTION("IMPORTRANGE(""https://docs.google.com/spreadsheets/d/""&amp;$A639&amp;""/edit#gid=156619080"",Z$3)"),"#REF!")</f>
        <v>#REF!</v>
      </c>
      <c r="AA639" s="2" t="str">
        <f>IFERROR(__xludf.DUMMYFUNCTION("IMPORTRANGE(""https://docs.google.com/spreadsheets/d/""&amp;$A639&amp;""/edit#gid=156619080"",AA$3)"),"#REF!")</f>
        <v>#REF!</v>
      </c>
      <c r="AB639" s="2" t="str">
        <f>IFERROR(__xludf.DUMMYFUNCTION("IMPORTRANGE(""https://docs.google.com/spreadsheets/d/""&amp;$A639&amp;""/edit#gid=156619080"",AB$3)"),"#REF!")</f>
        <v>#REF!</v>
      </c>
      <c r="AC639" s="2" t="str">
        <f>IFERROR(__xludf.DUMMYFUNCTION("IMPORTRANGE(""https://docs.google.com/spreadsheets/d/""&amp;$A639&amp;""/edit#gid=156619080"",AC$3)"),"#REF!")</f>
        <v>#REF!</v>
      </c>
      <c r="AD639" s="2" t="str">
        <f>IFERROR(__xludf.DUMMYFUNCTION("IMPORTRANGE(""https://docs.google.com/spreadsheets/d/""&amp;$A639&amp;""/edit#gid=156619080"",AD$3)"),"#REF!")</f>
        <v>#REF!</v>
      </c>
      <c r="AE639" s="2" t="str">
        <f>IFERROR(__xludf.DUMMYFUNCTION("IMPORTRANGE(""https://docs.google.com/spreadsheets/d/""&amp;$A639&amp;""/edit#gid=156619080"",AE$3)"),"#REF!")</f>
        <v>#REF!</v>
      </c>
      <c r="AF639" s="2" t="str">
        <f>IFERROR(__xludf.DUMMYFUNCTION("IMPORTRANGE(""https://docs.google.com/spreadsheets/d/""&amp;$A639&amp;""/edit#gid=156619080"",AF$3)"),"#REF!")</f>
        <v>#REF!</v>
      </c>
      <c r="AG639" s="2" t="str">
        <f>IFERROR(__xludf.DUMMYFUNCTION("IMPORTRANGE(""https://docs.google.com/spreadsheets/d/""&amp;$A639&amp;""/edit#gid=156619080"",AG$3)"),"#REF!")</f>
        <v>#REF!</v>
      </c>
      <c r="AH639" s="2" t="str">
        <f>IFERROR(__xludf.DUMMYFUNCTION("IMPORTRANGE(""https://docs.google.com/spreadsheets/d/""&amp;$A639&amp;""/edit#gid=156619080"",AH$3)"),"#REF!")</f>
        <v>#REF!</v>
      </c>
      <c r="AI639" s="2" t="str">
        <f>IFERROR(__xludf.DUMMYFUNCTION("IMPORTRANGE(""https://docs.google.com/spreadsheets/d/""&amp;$A639&amp;""/edit#gid=156619080"",AI$3)"),"#REF!")</f>
        <v>#REF!</v>
      </c>
      <c r="AJ639" s="2" t="str">
        <f>IFERROR(__xludf.DUMMYFUNCTION("IMPORTRANGE(""https://docs.google.com/spreadsheets/d/""&amp;$A639&amp;""/edit#gid=156619080"",AJ$3)"),"#REF!")</f>
        <v>#REF!</v>
      </c>
      <c r="AK639" s="2" t="str">
        <f>IFERROR(__xludf.DUMMYFUNCTION("IMPORTRANGE(""https://docs.google.com/spreadsheets/d/""&amp;$A639&amp;""/edit#gid=156619080"",AK$3)"),"#REF!")</f>
        <v>#REF!</v>
      </c>
      <c r="AL639" s="2" t="str">
        <f>IFERROR(__xludf.DUMMYFUNCTION("IMPORTRANGE(""https://docs.google.com/spreadsheets/d/""&amp;$A639&amp;""/edit#gid=156619080"",AL$3)"),"#REF!")</f>
        <v>#REF!</v>
      </c>
      <c r="AM639" s="2" t="str">
        <f>IFERROR(__xludf.DUMMYFUNCTION("IMPORTRANGE(""https://docs.google.com/spreadsheets/d/""&amp;$A639&amp;""/edit#gid=156619080"",AM$3)"),"#REF!")</f>
        <v>#REF!</v>
      </c>
      <c r="AN639" s="2" t="str">
        <f>IFERROR(__xludf.DUMMYFUNCTION("IMPORTRANGE(""https://docs.google.com/spreadsheets/d/""&amp;$A639&amp;""/edit#gid=156619080"",AN$3)"),"#REF!")</f>
        <v>#REF!</v>
      </c>
      <c r="AO639" s="2" t="str">
        <f>IFERROR(__xludf.DUMMYFUNCTION("IMPORTRANGE(""https://docs.google.com/spreadsheets/d/""&amp;$A639&amp;""/edit#gid=156619080"",AO$3)"),"#REF!")</f>
        <v>#REF!</v>
      </c>
      <c r="AP639" s="2" t="str">
        <f>IFERROR(__xludf.DUMMYFUNCTION("IMPORTRANGE(""https://docs.google.com/spreadsheets/d/""&amp;$A639&amp;""/edit#gid=156619080"",AP$3)"),"#REF!")</f>
        <v>#REF!</v>
      </c>
      <c r="AQ639" s="2" t="str">
        <f>IFERROR(__xludf.DUMMYFUNCTION("IMPORTRANGE(""https://docs.google.com/spreadsheets/d/""&amp;$A639&amp;""/edit#gid=156619080"",AQ$3)"),"#REF!")</f>
        <v>#REF!</v>
      </c>
      <c r="AR639" s="2" t="str">
        <f>IFERROR(__xludf.DUMMYFUNCTION("IMPORTRANGE(""https://docs.google.com/spreadsheets/d/""&amp;$A639&amp;""/edit#gid=156619080"",AR$3)"),"#REF!")</f>
        <v>#REF!</v>
      </c>
      <c r="AS639" s="19" t="str">
        <f>IFERROR(__xludf.DUMMYFUNCTION("IMPORTRANGE(""https://docs.google.com/spreadsheets/d/""&amp;$A639&amp;""/edit#gid=156619080"",AS$3)"),"#REF!")</f>
        <v>#REF!</v>
      </c>
      <c r="AT639" s="2" t="str">
        <f>IFERROR(__xludf.DUMMYFUNCTION("IMPORTRANGE(""https://docs.google.com/spreadsheets/d/""&amp;$A639&amp;""/edit#gid=156619080"",AT$3)"),"#REF!")</f>
        <v>#REF!</v>
      </c>
      <c r="AU639" s="3" t="str">
        <f>IFERROR(__xludf.DUMMYFUNCTION("IMPORTRANGE(""https://docs.google.com/spreadsheets/d/""&amp;$A639&amp;""/edit#gid=156619080"",AU$3)"),"#REF!")</f>
        <v>#REF!</v>
      </c>
      <c r="AV639" s="2" t="str">
        <f>IFERROR(__xludf.DUMMYFUNCTION("IMPORTRANGE(""https://docs.google.com/spreadsheets/d/""&amp;$A639&amp;""/edit#gid=156619080"",AV$3)"),"#REF!")</f>
        <v>#REF!</v>
      </c>
      <c r="AW639" s="19" t="str">
        <f>IFERROR(__xludf.DUMMYFUNCTION("IMPORTRANGE(""https://docs.google.com/spreadsheets/d/""&amp;$A639&amp;""/edit#gid=156619080"",AW$3)"),"#REF!")</f>
        <v>#REF!</v>
      </c>
      <c r="AX639" s="2" t="str">
        <f>IFERROR(__xludf.DUMMYFUNCTION("IMPORTRANGE(""https://docs.google.com/spreadsheets/d/""&amp;$A639&amp;""/edit#gid=156619080"",AX$3)"),"#REF!")</f>
        <v>#REF!</v>
      </c>
      <c r="AY639" s="2" t="str">
        <f>IFERROR(__xludf.DUMMYFUNCTION("IMPORTRANGE(""https://docs.google.com/spreadsheets/d/""&amp;$A639&amp;""/edit#gid=156619080"",AY$3)"),"#REF!")</f>
        <v>#REF!</v>
      </c>
      <c r="AZ639" s="2" t="str">
        <f>IFERROR(__xludf.DUMMYFUNCTION("IMPORTRANGE(""https://docs.google.com/spreadsheets/d/""&amp;$A639&amp;""/edit#gid=156619080"",AZ$3)"),"#REF!")</f>
        <v>#REF!</v>
      </c>
      <c r="BA639" s="2" t="str">
        <f>IFERROR(__xludf.DUMMYFUNCTION("IMPORTRANGE(""https://docs.google.com/spreadsheets/d/""&amp;$A639&amp;""/edit#gid=156619080"",BA$3)"),"#REF!")</f>
        <v>#REF!</v>
      </c>
      <c r="BB639" s="2" t="str">
        <f>IFERROR(__xludf.DUMMYFUNCTION("IMPORTRANGE(""https://docs.google.com/spreadsheets/d/""&amp;$A639&amp;""/edit#gid=156619080"",BB$3)"),"#REF!")</f>
        <v>#REF!</v>
      </c>
      <c r="BC639" s="2" t="str">
        <f>IFERROR(__xludf.DUMMYFUNCTION("IMPORTRANGE(""https://docs.google.com/spreadsheets/d/""&amp;$A639&amp;""/edit#gid=156619080"",BC$3)"),"#REF!")</f>
        <v>#REF!</v>
      </c>
    </row>
    <row r="640" ht="51.0" customHeight="1">
      <c r="A640" s="7" t="str">
        <f t="shared" si="5"/>
        <v/>
      </c>
      <c r="C640" s="2" t="str">
        <f>IFERROR(__xludf.DUMMYFUNCTION("IMPORTRANGE(""https://docs.google.com/spreadsheets/d/""&amp;$A640&amp;""/edit#gid=156619080"",C$3)"),"#REF!")</f>
        <v>#REF!</v>
      </c>
      <c r="D640" s="2" t="str">
        <f>IFERROR(__xludf.DUMMYFUNCTION("IMPORTRANGE(""https://docs.google.com/spreadsheets/d/""&amp;$A640&amp;""/edit#gid=156619080"",D$3)"),"#REF!")</f>
        <v>#REF!</v>
      </c>
      <c r="E640" s="2" t="str">
        <f>IFERROR(__xludf.DUMMYFUNCTION("IMPORTRANGE(""https://docs.google.com/spreadsheets/d/""&amp;$A640&amp;""/edit#gid=156619080"",E$3)"),"#REF!")</f>
        <v>#REF!</v>
      </c>
      <c r="F640" s="2" t="str">
        <f>IFERROR(__xludf.DUMMYFUNCTION("IMPORTRANGE(""https://docs.google.com/spreadsheets/d/""&amp;$A640&amp;""/edit#gid=156619080"",F$3)"),"#REF!")</f>
        <v>#REF!</v>
      </c>
      <c r="G640" s="2" t="str">
        <f>IFERROR(__xludf.DUMMYFUNCTION("IMPORTRANGE(""https://docs.google.com/spreadsheets/d/""&amp;$A640&amp;""/edit#gid=156619080"",G$3)"),"#REF!")</f>
        <v>#REF!</v>
      </c>
      <c r="H640" s="2" t="str">
        <f>IFERROR(__xludf.DUMMYFUNCTION("IMPORTRANGE(""https://docs.google.com/spreadsheets/d/""&amp;$A640&amp;""/edit#gid=156619080"",H$3)"),"#REF!")</f>
        <v>#REF!</v>
      </c>
      <c r="I640" s="2" t="str">
        <f>IFERROR(__xludf.DUMMYFUNCTION("IMPORTRANGE(""https://docs.google.com/spreadsheets/d/""&amp;$A640&amp;""/edit#gid=156619080"",I$3)"),"#REF!")</f>
        <v>#REF!</v>
      </c>
      <c r="J640" s="2" t="str">
        <f>IFERROR(__xludf.DUMMYFUNCTION("IMPORTRANGE(""https://docs.google.com/spreadsheets/d/""&amp;$A640&amp;""/edit#gid=156619080"",J$3)"),"#REF!")</f>
        <v>#REF!</v>
      </c>
      <c r="K640" s="2" t="str">
        <f>IFERROR(__xludf.DUMMYFUNCTION("IMPORTRANGE(""https://docs.google.com/spreadsheets/d/""&amp;$A640&amp;""/edit#gid=156619080"",K$3)"),"#REF!")</f>
        <v>#REF!</v>
      </c>
      <c r="L640" s="2" t="str">
        <f>IFERROR(__xludf.DUMMYFUNCTION("IMPORTRANGE(""https://docs.google.com/spreadsheets/d/""&amp;$A640&amp;""/edit#gid=156619080"",L$3)"),"#REF!")</f>
        <v>#REF!</v>
      </c>
      <c r="M640" s="2" t="str">
        <f>IFERROR(__xludf.DUMMYFUNCTION("IMPORTRANGE(""https://docs.google.com/spreadsheets/d/""&amp;$A640&amp;""/edit#gid=156619080"",M$3)"),"#REF!")</f>
        <v>#REF!</v>
      </c>
      <c r="N640" s="2" t="str">
        <f>IFERROR(__xludf.DUMMYFUNCTION("IMPORTRANGE(""https://docs.google.com/spreadsheets/d/""&amp;$A640&amp;""/edit#gid=156619080"",N$3)"),"#REF!")</f>
        <v>#REF!</v>
      </c>
      <c r="O640" s="2" t="str">
        <f>IFERROR(__xludf.DUMMYFUNCTION("IMPORTRANGE(""https://docs.google.com/spreadsheets/d/""&amp;$A640&amp;""/edit#gid=156619080"",O$3)"),"#REF!")</f>
        <v>#REF!</v>
      </c>
      <c r="P640" s="2" t="str">
        <f>IFERROR(__xludf.DUMMYFUNCTION("IMPORTRANGE(""https://docs.google.com/spreadsheets/d/""&amp;$A640&amp;""/edit#gid=156619080"",P$3)"),"#REF!")</f>
        <v>#REF!</v>
      </c>
      <c r="Q640" s="2" t="str">
        <f>IFERROR(__xludf.DUMMYFUNCTION("IMPORTRANGE(""https://docs.google.com/spreadsheets/d/""&amp;$A640&amp;""/edit#gid=156619080"",Q$3)"),"#REF!")</f>
        <v>#REF!</v>
      </c>
      <c r="R640" s="2" t="str">
        <f>IFERROR(__xludf.DUMMYFUNCTION("IMPORTRANGE(""https://docs.google.com/spreadsheets/d/""&amp;$A640&amp;""/edit#gid=156619080"",R$3)"),"#REF!")</f>
        <v>#REF!</v>
      </c>
      <c r="S640" s="2" t="str">
        <f>IFERROR(__xludf.DUMMYFUNCTION("IMPORTRANGE(""https://docs.google.com/spreadsheets/d/""&amp;$A640&amp;""/edit#gid=156619080"",S$3)"),"#REF!")</f>
        <v>#REF!</v>
      </c>
      <c r="T640" s="2" t="str">
        <f>IFERROR(__xludf.DUMMYFUNCTION("IMPORTRANGE(""https://docs.google.com/spreadsheets/d/""&amp;$A640&amp;""/edit#gid=156619080"",T$3)"),"#REF!")</f>
        <v>#REF!</v>
      </c>
      <c r="U640" s="2" t="str">
        <f>IFERROR(__xludf.DUMMYFUNCTION("IMPORTRANGE(""https://docs.google.com/spreadsheets/d/""&amp;$A640&amp;""/edit#gid=156619080"",U$3)"),"#REF!")</f>
        <v>#REF!</v>
      </c>
      <c r="V640" s="2" t="str">
        <f>IFERROR(__xludf.DUMMYFUNCTION("IMPORTRANGE(""https://docs.google.com/spreadsheets/d/""&amp;$A640&amp;""/edit#gid=156619080"",V$3)"),"#REF!")</f>
        <v>#REF!</v>
      </c>
      <c r="W640" s="2" t="str">
        <f>IFERROR(__xludf.DUMMYFUNCTION("IMPORTRANGE(""https://docs.google.com/spreadsheets/d/""&amp;$A640&amp;""/edit#gid=156619080"",W$3)"),"#REF!")</f>
        <v>#REF!</v>
      </c>
      <c r="X640" s="2" t="str">
        <f>IFERROR(__xludf.DUMMYFUNCTION("IMPORTRANGE(""https://docs.google.com/spreadsheets/d/""&amp;$A640&amp;""/edit#gid=156619080"",X$3)"),"#REF!")</f>
        <v>#REF!</v>
      </c>
      <c r="Y640" s="2" t="str">
        <f>IFERROR(__xludf.DUMMYFUNCTION("IMPORTRANGE(""https://docs.google.com/spreadsheets/d/""&amp;$A640&amp;""/edit#gid=156619080"",Y$3)"),"#REF!")</f>
        <v>#REF!</v>
      </c>
      <c r="Z640" s="2" t="str">
        <f>IFERROR(__xludf.DUMMYFUNCTION("IMPORTRANGE(""https://docs.google.com/spreadsheets/d/""&amp;$A640&amp;""/edit#gid=156619080"",Z$3)"),"#REF!")</f>
        <v>#REF!</v>
      </c>
      <c r="AA640" s="2" t="str">
        <f>IFERROR(__xludf.DUMMYFUNCTION("IMPORTRANGE(""https://docs.google.com/spreadsheets/d/""&amp;$A640&amp;""/edit#gid=156619080"",AA$3)"),"#REF!")</f>
        <v>#REF!</v>
      </c>
      <c r="AB640" s="2" t="str">
        <f>IFERROR(__xludf.DUMMYFUNCTION("IMPORTRANGE(""https://docs.google.com/spreadsheets/d/""&amp;$A640&amp;""/edit#gid=156619080"",AB$3)"),"#REF!")</f>
        <v>#REF!</v>
      </c>
      <c r="AC640" s="2" t="str">
        <f>IFERROR(__xludf.DUMMYFUNCTION("IMPORTRANGE(""https://docs.google.com/spreadsheets/d/""&amp;$A640&amp;""/edit#gid=156619080"",AC$3)"),"#REF!")</f>
        <v>#REF!</v>
      </c>
      <c r="AD640" s="2" t="str">
        <f>IFERROR(__xludf.DUMMYFUNCTION("IMPORTRANGE(""https://docs.google.com/spreadsheets/d/""&amp;$A640&amp;""/edit#gid=156619080"",AD$3)"),"#REF!")</f>
        <v>#REF!</v>
      </c>
      <c r="AE640" s="2" t="str">
        <f>IFERROR(__xludf.DUMMYFUNCTION("IMPORTRANGE(""https://docs.google.com/spreadsheets/d/""&amp;$A640&amp;""/edit#gid=156619080"",AE$3)"),"#REF!")</f>
        <v>#REF!</v>
      </c>
      <c r="AF640" s="2" t="str">
        <f>IFERROR(__xludf.DUMMYFUNCTION("IMPORTRANGE(""https://docs.google.com/spreadsheets/d/""&amp;$A640&amp;""/edit#gid=156619080"",AF$3)"),"#REF!")</f>
        <v>#REF!</v>
      </c>
      <c r="AG640" s="2" t="str">
        <f>IFERROR(__xludf.DUMMYFUNCTION("IMPORTRANGE(""https://docs.google.com/spreadsheets/d/""&amp;$A640&amp;""/edit#gid=156619080"",AG$3)"),"#REF!")</f>
        <v>#REF!</v>
      </c>
      <c r="AH640" s="2" t="str">
        <f>IFERROR(__xludf.DUMMYFUNCTION("IMPORTRANGE(""https://docs.google.com/spreadsheets/d/""&amp;$A640&amp;""/edit#gid=156619080"",AH$3)"),"#REF!")</f>
        <v>#REF!</v>
      </c>
      <c r="AI640" s="2" t="str">
        <f>IFERROR(__xludf.DUMMYFUNCTION("IMPORTRANGE(""https://docs.google.com/spreadsheets/d/""&amp;$A640&amp;""/edit#gid=156619080"",AI$3)"),"#REF!")</f>
        <v>#REF!</v>
      </c>
      <c r="AJ640" s="2" t="str">
        <f>IFERROR(__xludf.DUMMYFUNCTION("IMPORTRANGE(""https://docs.google.com/spreadsheets/d/""&amp;$A640&amp;""/edit#gid=156619080"",AJ$3)"),"#REF!")</f>
        <v>#REF!</v>
      </c>
      <c r="AK640" s="2" t="str">
        <f>IFERROR(__xludf.DUMMYFUNCTION("IMPORTRANGE(""https://docs.google.com/spreadsheets/d/""&amp;$A640&amp;""/edit#gid=156619080"",AK$3)"),"#REF!")</f>
        <v>#REF!</v>
      </c>
      <c r="AL640" s="2" t="str">
        <f>IFERROR(__xludf.DUMMYFUNCTION("IMPORTRANGE(""https://docs.google.com/spreadsheets/d/""&amp;$A640&amp;""/edit#gid=156619080"",AL$3)"),"#REF!")</f>
        <v>#REF!</v>
      </c>
      <c r="AM640" s="2" t="str">
        <f>IFERROR(__xludf.DUMMYFUNCTION("IMPORTRANGE(""https://docs.google.com/spreadsheets/d/""&amp;$A640&amp;""/edit#gid=156619080"",AM$3)"),"#REF!")</f>
        <v>#REF!</v>
      </c>
      <c r="AN640" s="2" t="str">
        <f>IFERROR(__xludf.DUMMYFUNCTION("IMPORTRANGE(""https://docs.google.com/spreadsheets/d/""&amp;$A640&amp;""/edit#gid=156619080"",AN$3)"),"#REF!")</f>
        <v>#REF!</v>
      </c>
      <c r="AO640" s="2" t="str">
        <f>IFERROR(__xludf.DUMMYFUNCTION("IMPORTRANGE(""https://docs.google.com/spreadsheets/d/""&amp;$A640&amp;""/edit#gid=156619080"",AO$3)"),"#REF!")</f>
        <v>#REF!</v>
      </c>
      <c r="AP640" s="2" t="str">
        <f>IFERROR(__xludf.DUMMYFUNCTION("IMPORTRANGE(""https://docs.google.com/spreadsheets/d/""&amp;$A640&amp;""/edit#gid=156619080"",AP$3)"),"#REF!")</f>
        <v>#REF!</v>
      </c>
      <c r="AQ640" s="2" t="str">
        <f>IFERROR(__xludf.DUMMYFUNCTION("IMPORTRANGE(""https://docs.google.com/spreadsheets/d/""&amp;$A640&amp;""/edit#gid=156619080"",AQ$3)"),"#REF!")</f>
        <v>#REF!</v>
      </c>
      <c r="AR640" s="2" t="str">
        <f>IFERROR(__xludf.DUMMYFUNCTION("IMPORTRANGE(""https://docs.google.com/spreadsheets/d/""&amp;$A640&amp;""/edit#gid=156619080"",AR$3)"),"#REF!")</f>
        <v>#REF!</v>
      </c>
      <c r="AS640" s="19" t="str">
        <f>IFERROR(__xludf.DUMMYFUNCTION("IMPORTRANGE(""https://docs.google.com/spreadsheets/d/""&amp;$A640&amp;""/edit#gid=156619080"",AS$3)"),"#REF!")</f>
        <v>#REF!</v>
      </c>
      <c r="AT640" s="2" t="str">
        <f>IFERROR(__xludf.DUMMYFUNCTION("IMPORTRANGE(""https://docs.google.com/spreadsheets/d/""&amp;$A640&amp;""/edit#gid=156619080"",AT$3)"),"#REF!")</f>
        <v>#REF!</v>
      </c>
      <c r="AU640" s="3" t="str">
        <f>IFERROR(__xludf.DUMMYFUNCTION("IMPORTRANGE(""https://docs.google.com/spreadsheets/d/""&amp;$A640&amp;""/edit#gid=156619080"",AU$3)"),"#REF!")</f>
        <v>#REF!</v>
      </c>
      <c r="AV640" s="2" t="str">
        <f>IFERROR(__xludf.DUMMYFUNCTION("IMPORTRANGE(""https://docs.google.com/spreadsheets/d/""&amp;$A640&amp;""/edit#gid=156619080"",AV$3)"),"#REF!")</f>
        <v>#REF!</v>
      </c>
      <c r="AW640" s="19" t="str">
        <f>IFERROR(__xludf.DUMMYFUNCTION("IMPORTRANGE(""https://docs.google.com/spreadsheets/d/""&amp;$A640&amp;""/edit#gid=156619080"",AW$3)"),"#REF!")</f>
        <v>#REF!</v>
      </c>
      <c r="AX640" s="2" t="str">
        <f>IFERROR(__xludf.DUMMYFUNCTION("IMPORTRANGE(""https://docs.google.com/spreadsheets/d/""&amp;$A640&amp;""/edit#gid=156619080"",AX$3)"),"#REF!")</f>
        <v>#REF!</v>
      </c>
      <c r="AY640" s="2" t="str">
        <f>IFERROR(__xludf.DUMMYFUNCTION("IMPORTRANGE(""https://docs.google.com/spreadsheets/d/""&amp;$A640&amp;""/edit#gid=156619080"",AY$3)"),"#REF!")</f>
        <v>#REF!</v>
      </c>
      <c r="AZ640" s="2" t="str">
        <f>IFERROR(__xludf.DUMMYFUNCTION("IMPORTRANGE(""https://docs.google.com/spreadsheets/d/""&amp;$A640&amp;""/edit#gid=156619080"",AZ$3)"),"#REF!")</f>
        <v>#REF!</v>
      </c>
      <c r="BA640" s="2" t="str">
        <f>IFERROR(__xludf.DUMMYFUNCTION("IMPORTRANGE(""https://docs.google.com/spreadsheets/d/""&amp;$A640&amp;""/edit#gid=156619080"",BA$3)"),"#REF!")</f>
        <v>#REF!</v>
      </c>
      <c r="BB640" s="2" t="str">
        <f>IFERROR(__xludf.DUMMYFUNCTION("IMPORTRANGE(""https://docs.google.com/spreadsheets/d/""&amp;$A640&amp;""/edit#gid=156619080"",BB$3)"),"#REF!")</f>
        <v>#REF!</v>
      </c>
      <c r="BC640" s="2" t="str">
        <f>IFERROR(__xludf.DUMMYFUNCTION("IMPORTRANGE(""https://docs.google.com/spreadsheets/d/""&amp;$A640&amp;""/edit#gid=156619080"",BC$3)"),"#REF!")</f>
        <v>#REF!</v>
      </c>
    </row>
    <row r="641" ht="51.0" customHeight="1">
      <c r="A641" s="7" t="str">
        <f t="shared" si="5"/>
        <v/>
      </c>
      <c r="C641" s="2" t="str">
        <f>IFERROR(__xludf.DUMMYFUNCTION("IMPORTRANGE(""https://docs.google.com/spreadsheets/d/""&amp;$A641&amp;""/edit#gid=156619080"",C$3)"),"#REF!")</f>
        <v>#REF!</v>
      </c>
      <c r="D641" s="2" t="str">
        <f>IFERROR(__xludf.DUMMYFUNCTION("IMPORTRANGE(""https://docs.google.com/spreadsheets/d/""&amp;$A641&amp;""/edit#gid=156619080"",D$3)"),"#REF!")</f>
        <v>#REF!</v>
      </c>
      <c r="E641" s="2" t="str">
        <f>IFERROR(__xludf.DUMMYFUNCTION("IMPORTRANGE(""https://docs.google.com/spreadsheets/d/""&amp;$A641&amp;""/edit#gid=156619080"",E$3)"),"#REF!")</f>
        <v>#REF!</v>
      </c>
      <c r="F641" s="2" t="str">
        <f>IFERROR(__xludf.DUMMYFUNCTION("IMPORTRANGE(""https://docs.google.com/spreadsheets/d/""&amp;$A641&amp;""/edit#gid=156619080"",F$3)"),"#REF!")</f>
        <v>#REF!</v>
      </c>
      <c r="G641" s="2" t="str">
        <f>IFERROR(__xludf.DUMMYFUNCTION("IMPORTRANGE(""https://docs.google.com/spreadsheets/d/""&amp;$A641&amp;""/edit#gid=156619080"",G$3)"),"#REF!")</f>
        <v>#REF!</v>
      </c>
      <c r="H641" s="2" t="str">
        <f>IFERROR(__xludf.DUMMYFUNCTION("IMPORTRANGE(""https://docs.google.com/spreadsheets/d/""&amp;$A641&amp;""/edit#gid=156619080"",H$3)"),"#REF!")</f>
        <v>#REF!</v>
      </c>
      <c r="I641" s="2" t="str">
        <f>IFERROR(__xludf.DUMMYFUNCTION("IMPORTRANGE(""https://docs.google.com/spreadsheets/d/""&amp;$A641&amp;""/edit#gid=156619080"",I$3)"),"#REF!")</f>
        <v>#REF!</v>
      </c>
      <c r="J641" s="2" t="str">
        <f>IFERROR(__xludf.DUMMYFUNCTION("IMPORTRANGE(""https://docs.google.com/spreadsheets/d/""&amp;$A641&amp;""/edit#gid=156619080"",J$3)"),"#REF!")</f>
        <v>#REF!</v>
      </c>
      <c r="K641" s="2" t="str">
        <f>IFERROR(__xludf.DUMMYFUNCTION("IMPORTRANGE(""https://docs.google.com/spreadsheets/d/""&amp;$A641&amp;""/edit#gid=156619080"",K$3)"),"#REF!")</f>
        <v>#REF!</v>
      </c>
      <c r="L641" s="2" t="str">
        <f>IFERROR(__xludf.DUMMYFUNCTION("IMPORTRANGE(""https://docs.google.com/spreadsheets/d/""&amp;$A641&amp;""/edit#gid=156619080"",L$3)"),"#REF!")</f>
        <v>#REF!</v>
      </c>
      <c r="M641" s="2" t="str">
        <f>IFERROR(__xludf.DUMMYFUNCTION("IMPORTRANGE(""https://docs.google.com/spreadsheets/d/""&amp;$A641&amp;""/edit#gid=156619080"",M$3)"),"#REF!")</f>
        <v>#REF!</v>
      </c>
      <c r="N641" s="2" t="str">
        <f>IFERROR(__xludf.DUMMYFUNCTION("IMPORTRANGE(""https://docs.google.com/spreadsheets/d/""&amp;$A641&amp;""/edit#gid=156619080"",N$3)"),"#REF!")</f>
        <v>#REF!</v>
      </c>
      <c r="O641" s="2" t="str">
        <f>IFERROR(__xludf.DUMMYFUNCTION("IMPORTRANGE(""https://docs.google.com/spreadsheets/d/""&amp;$A641&amp;""/edit#gid=156619080"",O$3)"),"#REF!")</f>
        <v>#REF!</v>
      </c>
      <c r="P641" s="2" t="str">
        <f>IFERROR(__xludf.DUMMYFUNCTION("IMPORTRANGE(""https://docs.google.com/spreadsheets/d/""&amp;$A641&amp;""/edit#gid=156619080"",P$3)"),"#REF!")</f>
        <v>#REF!</v>
      </c>
      <c r="Q641" s="2" t="str">
        <f>IFERROR(__xludf.DUMMYFUNCTION("IMPORTRANGE(""https://docs.google.com/spreadsheets/d/""&amp;$A641&amp;""/edit#gid=156619080"",Q$3)"),"#REF!")</f>
        <v>#REF!</v>
      </c>
      <c r="R641" s="2" t="str">
        <f>IFERROR(__xludf.DUMMYFUNCTION("IMPORTRANGE(""https://docs.google.com/spreadsheets/d/""&amp;$A641&amp;""/edit#gid=156619080"",R$3)"),"#REF!")</f>
        <v>#REF!</v>
      </c>
      <c r="S641" s="2" t="str">
        <f>IFERROR(__xludf.DUMMYFUNCTION("IMPORTRANGE(""https://docs.google.com/spreadsheets/d/""&amp;$A641&amp;""/edit#gid=156619080"",S$3)"),"#REF!")</f>
        <v>#REF!</v>
      </c>
      <c r="T641" s="2" t="str">
        <f>IFERROR(__xludf.DUMMYFUNCTION("IMPORTRANGE(""https://docs.google.com/spreadsheets/d/""&amp;$A641&amp;""/edit#gid=156619080"",T$3)"),"#REF!")</f>
        <v>#REF!</v>
      </c>
      <c r="U641" s="2" t="str">
        <f>IFERROR(__xludf.DUMMYFUNCTION("IMPORTRANGE(""https://docs.google.com/spreadsheets/d/""&amp;$A641&amp;""/edit#gid=156619080"",U$3)"),"#REF!")</f>
        <v>#REF!</v>
      </c>
      <c r="V641" s="2" t="str">
        <f>IFERROR(__xludf.DUMMYFUNCTION("IMPORTRANGE(""https://docs.google.com/spreadsheets/d/""&amp;$A641&amp;""/edit#gid=156619080"",V$3)"),"#REF!")</f>
        <v>#REF!</v>
      </c>
      <c r="W641" s="2" t="str">
        <f>IFERROR(__xludf.DUMMYFUNCTION("IMPORTRANGE(""https://docs.google.com/spreadsheets/d/""&amp;$A641&amp;""/edit#gid=156619080"",W$3)"),"#REF!")</f>
        <v>#REF!</v>
      </c>
      <c r="X641" s="2" t="str">
        <f>IFERROR(__xludf.DUMMYFUNCTION("IMPORTRANGE(""https://docs.google.com/spreadsheets/d/""&amp;$A641&amp;""/edit#gid=156619080"",X$3)"),"#REF!")</f>
        <v>#REF!</v>
      </c>
      <c r="Y641" s="2" t="str">
        <f>IFERROR(__xludf.DUMMYFUNCTION("IMPORTRANGE(""https://docs.google.com/spreadsheets/d/""&amp;$A641&amp;""/edit#gid=156619080"",Y$3)"),"#REF!")</f>
        <v>#REF!</v>
      </c>
      <c r="Z641" s="2" t="str">
        <f>IFERROR(__xludf.DUMMYFUNCTION("IMPORTRANGE(""https://docs.google.com/spreadsheets/d/""&amp;$A641&amp;""/edit#gid=156619080"",Z$3)"),"#REF!")</f>
        <v>#REF!</v>
      </c>
      <c r="AA641" s="2" t="str">
        <f>IFERROR(__xludf.DUMMYFUNCTION("IMPORTRANGE(""https://docs.google.com/spreadsheets/d/""&amp;$A641&amp;""/edit#gid=156619080"",AA$3)"),"#REF!")</f>
        <v>#REF!</v>
      </c>
      <c r="AB641" s="2" t="str">
        <f>IFERROR(__xludf.DUMMYFUNCTION("IMPORTRANGE(""https://docs.google.com/spreadsheets/d/""&amp;$A641&amp;""/edit#gid=156619080"",AB$3)"),"#REF!")</f>
        <v>#REF!</v>
      </c>
      <c r="AC641" s="2" t="str">
        <f>IFERROR(__xludf.DUMMYFUNCTION("IMPORTRANGE(""https://docs.google.com/spreadsheets/d/""&amp;$A641&amp;""/edit#gid=156619080"",AC$3)"),"#REF!")</f>
        <v>#REF!</v>
      </c>
      <c r="AD641" s="2" t="str">
        <f>IFERROR(__xludf.DUMMYFUNCTION("IMPORTRANGE(""https://docs.google.com/spreadsheets/d/""&amp;$A641&amp;""/edit#gid=156619080"",AD$3)"),"#REF!")</f>
        <v>#REF!</v>
      </c>
      <c r="AE641" s="2" t="str">
        <f>IFERROR(__xludf.DUMMYFUNCTION("IMPORTRANGE(""https://docs.google.com/spreadsheets/d/""&amp;$A641&amp;""/edit#gid=156619080"",AE$3)"),"#REF!")</f>
        <v>#REF!</v>
      </c>
      <c r="AF641" s="2" t="str">
        <f>IFERROR(__xludf.DUMMYFUNCTION("IMPORTRANGE(""https://docs.google.com/spreadsheets/d/""&amp;$A641&amp;""/edit#gid=156619080"",AF$3)"),"#REF!")</f>
        <v>#REF!</v>
      </c>
      <c r="AG641" s="2" t="str">
        <f>IFERROR(__xludf.DUMMYFUNCTION("IMPORTRANGE(""https://docs.google.com/spreadsheets/d/""&amp;$A641&amp;""/edit#gid=156619080"",AG$3)"),"#REF!")</f>
        <v>#REF!</v>
      </c>
      <c r="AH641" s="2" t="str">
        <f>IFERROR(__xludf.DUMMYFUNCTION("IMPORTRANGE(""https://docs.google.com/spreadsheets/d/""&amp;$A641&amp;""/edit#gid=156619080"",AH$3)"),"#REF!")</f>
        <v>#REF!</v>
      </c>
      <c r="AI641" s="2" t="str">
        <f>IFERROR(__xludf.DUMMYFUNCTION("IMPORTRANGE(""https://docs.google.com/spreadsheets/d/""&amp;$A641&amp;""/edit#gid=156619080"",AI$3)"),"#REF!")</f>
        <v>#REF!</v>
      </c>
      <c r="AJ641" s="2" t="str">
        <f>IFERROR(__xludf.DUMMYFUNCTION("IMPORTRANGE(""https://docs.google.com/spreadsheets/d/""&amp;$A641&amp;""/edit#gid=156619080"",AJ$3)"),"#REF!")</f>
        <v>#REF!</v>
      </c>
      <c r="AK641" s="2" t="str">
        <f>IFERROR(__xludf.DUMMYFUNCTION("IMPORTRANGE(""https://docs.google.com/spreadsheets/d/""&amp;$A641&amp;""/edit#gid=156619080"",AK$3)"),"#REF!")</f>
        <v>#REF!</v>
      </c>
      <c r="AL641" s="2" t="str">
        <f>IFERROR(__xludf.DUMMYFUNCTION("IMPORTRANGE(""https://docs.google.com/spreadsheets/d/""&amp;$A641&amp;""/edit#gid=156619080"",AL$3)"),"#REF!")</f>
        <v>#REF!</v>
      </c>
      <c r="AM641" s="2" t="str">
        <f>IFERROR(__xludf.DUMMYFUNCTION("IMPORTRANGE(""https://docs.google.com/spreadsheets/d/""&amp;$A641&amp;""/edit#gid=156619080"",AM$3)"),"#REF!")</f>
        <v>#REF!</v>
      </c>
      <c r="AN641" s="2" t="str">
        <f>IFERROR(__xludf.DUMMYFUNCTION("IMPORTRANGE(""https://docs.google.com/spreadsheets/d/""&amp;$A641&amp;""/edit#gid=156619080"",AN$3)"),"#REF!")</f>
        <v>#REF!</v>
      </c>
      <c r="AO641" s="2" t="str">
        <f>IFERROR(__xludf.DUMMYFUNCTION("IMPORTRANGE(""https://docs.google.com/spreadsheets/d/""&amp;$A641&amp;""/edit#gid=156619080"",AO$3)"),"#REF!")</f>
        <v>#REF!</v>
      </c>
      <c r="AP641" s="2" t="str">
        <f>IFERROR(__xludf.DUMMYFUNCTION("IMPORTRANGE(""https://docs.google.com/spreadsheets/d/""&amp;$A641&amp;""/edit#gid=156619080"",AP$3)"),"#REF!")</f>
        <v>#REF!</v>
      </c>
      <c r="AQ641" s="2" t="str">
        <f>IFERROR(__xludf.DUMMYFUNCTION("IMPORTRANGE(""https://docs.google.com/spreadsheets/d/""&amp;$A641&amp;""/edit#gid=156619080"",AQ$3)"),"#REF!")</f>
        <v>#REF!</v>
      </c>
      <c r="AR641" s="2" t="str">
        <f>IFERROR(__xludf.DUMMYFUNCTION("IMPORTRANGE(""https://docs.google.com/spreadsheets/d/""&amp;$A641&amp;""/edit#gid=156619080"",AR$3)"),"#REF!")</f>
        <v>#REF!</v>
      </c>
      <c r="AS641" s="19" t="str">
        <f>IFERROR(__xludf.DUMMYFUNCTION("IMPORTRANGE(""https://docs.google.com/spreadsheets/d/""&amp;$A641&amp;""/edit#gid=156619080"",AS$3)"),"#REF!")</f>
        <v>#REF!</v>
      </c>
      <c r="AT641" s="2" t="str">
        <f>IFERROR(__xludf.DUMMYFUNCTION("IMPORTRANGE(""https://docs.google.com/spreadsheets/d/""&amp;$A641&amp;""/edit#gid=156619080"",AT$3)"),"#REF!")</f>
        <v>#REF!</v>
      </c>
      <c r="AU641" s="3" t="str">
        <f>IFERROR(__xludf.DUMMYFUNCTION("IMPORTRANGE(""https://docs.google.com/spreadsheets/d/""&amp;$A641&amp;""/edit#gid=156619080"",AU$3)"),"#REF!")</f>
        <v>#REF!</v>
      </c>
      <c r="AV641" s="2" t="str">
        <f>IFERROR(__xludf.DUMMYFUNCTION("IMPORTRANGE(""https://docs.google.com/spreadsheets/d/""&amp;$A641&amp;""/edit#gid=156619080"",AV$3)"),"#REF!")</f>
        <v>#REF!</v>
      </c>
      <c r="AW641" s="19" t="str">
        <f>IFERROR(__xludf.DUMMYFUNCTION("IMPORTRANGE(""https://docs.google.com/spreadsheets/d/""&amp;$A641&amp;""/edit#gid=156619080"",AW$3)"),"#REF!")</f>
        <v>#REF!</v>
      </c>
      <c r="AX641" s="2" t="str">
        <f>IFERROR(__xludf.DUMMYFUNCTION("IMPORTRANGE(""https://docs.google.com/spreadsheets/d/""&amp;$A641&amp;""/edit#gid=156619080"",AX$3)"),"#REF!")</f>
        <v>#REF!</v>
      </c>
      <c r="AY641" s="2" t="str">
        <f>IFERROR(__xludf.DUMMYFUNCTION("IMPORTRANGE(""https://docs.google.com/spreadsheets/d/""&amp;$A641&amp;""/edit#gid=156619080"",AY$3)"),"#REF!")</f>
        <v>#REF!</v>
      </c>
      <c r="AZ641" s="2" t="str">
        <f>IFERROR(__xludf.DUMMYFUNCTION("IMPORTRANGE(""https://docs.google.com/spreadsheets/d/""&amp;$A641&amp;""/edit#gid=156619080"",AZ$3)"),"#REF!")</f>
        <v>#REF!</v>
      </c>
      <c r="BA641" s="2" t="str">
        <f>IFERROR(__xludf.DUMMYFUNCTION("IMPORTRANGE(""https://docs.google.com/spreadsheets/d/""&amp;$A641&amp;""/edit#gid=156619080"",BA$3)"),"#REF!")</f>
        <v>#REF!</v>
      </c>
      <c r="BB641" s="2" t="str">
        <f>IFERROR(__xludf.DUMMYFUNCTION("IMPORTRANGE(""https://docs.google.com/spreadsheets/d/""&amp;$A641&amp;""/edit#gid=156619080"",BB$3)"),"#REF!")</f>
        <v>#REF!</v>
      </c>
      <c r="BC641" s="2" t="str">
        <f>IFERROR(__xludf.DUMMYFUNCTION("IMPORTRANGE(""https://docs.google.com/spreadsheets/d/""&amp;$A641&amp;""/edit#gid=156619080"",BC$3)"),"#REF!")</f>
        <v>#REF!</v>
      </c>
    </row>
    <row r="642" ht="51.0" customHeight="1">
      <c r="A642" s="7" t="str">
        <f t="shared" si="5"/>
        <v/>
      </c>
      <c r="C642" s="2" t="str">
        <f>IFERROR(__xludf.DUMMYFUNCTION("IMPORTRANGE(""https://docs.google.com/spreadsheets/d/""&amp;$A642&amp;""/edit#gid=156619080"",C$3)"),"#REF!")</f>
        <v>#REF!</v>
      </c>
      <c r="D642" s="2" t="str">
        <f>IFERROR(__xludf.DUMMYFUNCTION("IMPORTRANGE(""https://docs.google.com/spreadsheets/d/""&amp;$A642&amp;""/edit#gid=156619080"",D$3)"),"#REF!")</f>
        <v>#REF!</v>
      </c>
      <c r="E642" s="2" t="str">
        <f>IFERROR(__xludf.DUMMYFUNCTION("IMPORTRANGE(""https://docs.google.com/spreadsheets/d/""&amp;$A642&amp;""/edit#gid=156619080"",E$3)"),"#REF!")</f>
        <v>#REF!</v>
      </c>
      <c r="F642" s="2" t="str">
        <f>IFERROR(__xludf.DUMMYFUNCTION("IMPORTRANGE(""https://docs.google.com/spreadsheets/d/""&amp;$A642&amp;""/edit#gid=156619080"",F$3)"),"#REF!")</f>
        <v>#REF!</v>
      </c>
      <c r="G642" s="2" t="str">
        <f>IFERROR(__xludf.DUMMYFUNCTION("IMPORTRANGE(""https://docs.google.com/spreadsheets/d/""&amp;$A642&amp;""/edit#gid=156619080"",G$3)"),"#REF!")</f>
        <v>#REF!</v>
      </c>
      <c r="H642" s="2" t="str">
        <f>IFERROR(__xludf.DUMMYFUNCTION("IMPORTRANGE(""https://docs.google.com/spreadsheets/d/""&amp;$A642&amp;""/edit#gid=156619080"",H$3)"),"#REF!")</f>
        <v>#REF!</v>
      </c>
      <c r="I642" s="2" t="str">
        <f>IFERROR(__xludf.DUMMYFUNCTION("IMPORTRANGE(""https://docs.google.com/spreadsheets/d/""&amp;$A642&amp;""/edit#gid=156619080"",I$3)"),"#REF!")</f>
        <v>#REF!</v>
      </c>
      <c r="J642" s="2" t="str">
        <f>IFERROR(__xludf.DUMMYFUNCTION("IMPORTRANGE(""https://docs.google.com/spreadsheets/d/""&amp;$A642&amp;""/edit#gid=156619080"",J$3)"),"#REF!")</f>
        <v>#REF!</v>
      </c>
      <c r="K642" s="2" t="str">
        <f>IFERROR(__xludf.DUMMYFUNCTION("IMPORTRANGE(""https://docs.google.com/spreadsheets/d/""&amp;$A642&amp;""/edit#gid=156619080"",K$3)"),"#REF!")</f>
        <v>#REF!</v>
      </c>
      <c r="L642" s="2" t="str">
        <f>IFERROR(__xludf.DUMMYFUNCTION("IMPORTRANGE(""https://docs.google.com/spreadsheets/d/""&amp;$A642&amp;""/edit#gid=156619080"",L$3)"),"#REF!")</f>
        <v>#REF!</v>
      </c>
      <c r="M642" s="2" t="str">
        <f>IFERROR(__xludf.DUMMYFUNCTION("IMPORTRANGE(""https://docs.google.com/spreadsheets/d/""&amp;$A642&amp;""/edit#gid=156619080"",M$3)"),"#REF!")</f>
        <v>#REF!</v>
      </c>
      <c r="N642" s="2" t="str">
        <f>IFERROR(__xludf.DUMMYFUNCTION("IMPORTRANGE(""https://docs.google.com/spreadsheets/d/""&amp;$A642&amp;""/edit#gid=156619080"",N$3)"),"#REF!")</f>
        <v>#REF!</v>
      </c>
      <c r="O642" s="2" t="str">
        <f>IFERROR(__xludf.DUMMYFUNCTION("IMPORTRANGE(""https://docs.google.com/spreadsheets/d/""&amp;$A642&amp;""/edit#gid=156619080"",O$3)"),"#REF!")</f>
        <v>#REF!</v>
      </c>
      <c r="P642" s="2" t="str">
        <f>IFERROR(__xludf.DUMMYFUNCTION("IMPORTRANGE(""https://docs.google.com/spreadsheets/d/""&amp;$A642&amp;""/edit#gid=156619080"",P$3)"),"#REF!")</f>
        <v>#REF!</v>
      </c>
      <c r="Q642" s="2" t="str">
        <f>IFERROR(__xludf.DUMMYFUNCTION("IMPORTRANGE(""https://docs.google.com/spreadsheets/d/""&amp;$A642&amp;""/edit#gid=156619080"",Q$3)"),"#REF!")</f>
        <v>#REF!</v>
      </c>
      <c r="R642" s="2" t="str">
        <f>IFERROR(__xludf.DUMMYFUNCTION("IMPORTRANGE(""https://docs.google.com/spreadsheets/d/""&amp;$A642&amp;""/edit#gid=156619080"",R$3)"),"#REF!")</f>
        <v>#REF!</v>
      </c>
      <c r="S642" s="2" t="str">
        <f>IFERROR(__xludf.DUMMYFUNCTION("IMPORTRANGE(""https://docs.google.com/spreadsheets/d/""&amp;$A642&amp;""/edit#gid=156619080"",S$3)"),"#REF!")</f>
        <v>#REF!</v>
      </c>
      <c r="T642" s="2" t="str">
        <f>IFERROR(__xludf.DUMMYFUNCTION("IMPORTRANGE(""https://docs.google.com/spreadsheets/d/""&amp;$A642&amp;""/edit#gid=156619080"",T$3)"),"#REF!")</f>
        <v>#REF!</v>
      </c>
      <c r="U642" s="2" t="str">
        <f>IFERROR(__xludf.DUMMYFUNCTION("IMPORTRANGE(""https://docs.google.com/spreadsheets/d/""&amp;$A642&amp;""/edit#gid=156619080"",U$3)"),"#REF!")</f>
        <v>#REF!</v>
      </c>
      <c r="V642" s="2" t="str">
        <f>IFERROR(__xludf.DUMMYFUNCTION("IMPORTRANGE(""https://docs.google.com/spreadsheets/d/""&amp;$A642&amp;""/edit#gid=156619080"",V$3)"),"#REF!")</f>
        <v>#REF!</v>
      </c>
      <c r="W642" s="2" t="str">
        <f>IFERROR(__xludf.DUMMYFUNCTION("IMPORTRANGE(""https://docs.google.com/spreadsheets/d/""&amp;$A642&amp;""/edit#gid=156619080"",W$3)"),"#REF!")</f>
        <v>#REF!</v>
      </c>
      <c r="X642" s="2" t="str">
        <f>IFERROR(__xludf.DUMMYFUNCTION("IMPORTRANGE(""https://docs.google.com/spreadsheets/d/""&amp;$A642&amp;""/edit#gid=156619080"",X$3)"),"#REF!")</f>
        <v>#REF!</v>
      </c>
      <c r="Y642" s="2" t="str">
        <f>IFERROR(__xludf.DUMMYFUNCTION("IMPORTRANGE(""https://docs.google.com/spreadsheets/d/""&amp;$A642&amp;""/edit#gid=156619080"",Y$3)"),"#REF!")</f>
        <v>#REF!</v>
      </c>
      <c r="Z642" s="2" t="str">
        <f>IFERROR(__xludf.DUMMYFUNCTION("IMPORTRANGE(""https://docs.google.com/spreadsheets/d/""&amp;$A642&amp;""/edit#gid=156619080"",Z$3)"),"#REF!")</f>
        <v>#REF!</v>
      </c>
      <c r="AA642" s="2" t="str">
        <f>IFERROR(__xludf.DUMMYFUNCTION("IMPORTRANGE(""https://docs.google.com/spreadsheets/d/""&amp;$A642&amp;""/edit#gid=156619080"",AA$3)"),"#REF!")</f>
        <v>#REF!</v>
      </c>
      <c r="AB642" s="2" t="str">
        <f>IFERROR(__xludf.DUMMYFUNCTION("IMPORTRANGE(""https://docs.google.com/spreadsheets/d/""&amp;$A642&amp;""/edit#gid=156619080"",AB$3)"),"#REF!")</f>
        <v>#REF!</v>
      </c>
      <c r="AC642" s="2" t="str">
        <f>IFERROR(__xludf.DUMMYFUNCTION("IMPORTRANGE(""https://docs.google.com/spreadsheets/d/""&amp;$A642&amp;""/edit#gid=156619080"",AC$3)"),"#REF!")</f>
        <v>#REF!</v>
      </c>
      <c r="AD642" s="2" t="str">
        <f>IFERROR(__xludf.DUMMYFUNCTION("IMPORTRANGE(""https://docs.google.com/spreadsheets/d/""&amp;$A642&amp;""/edit#gid=156619080"",AD$3)"),"#REF!")</f>
        <v>#REF!</v>
      </c>
      <c r="AE642" s="2" t="str">
        <f>IFERROR(__xludf.DUMMYFUNCTION("IMPORTRANGE(""https://docs.google.com/spreadsheets/d/""&amp;$A642&amp;""/edit#gid=156619080"",AE$3)"),"#REF!")</f>
        <v>#REF!</v>
      </c>
      <c r="AF642" s="2" t="str">
        <f>IFERROR(__xludf.DUMMYFUNCTION("IMPORTRANGE(""https://docs.google.com/spreadsheets/d/""&amp;$A642&amp;""/edit#gid=156619080"",AF$3)"),"#REF!")</f>
        <v>#REF!</v>
      </c>
      <c r="AG642" s="2" t="str">
        <f>IFERROR(__xludf.DUMMYFUNCTION("IMPORTRANGE(""https://docs.google.com/spreadsheets/d/""&amp;$A642&amp;""/edit#gid=156619080"",AG$3)"),"#REF!")</f>
        <v>#REF!</v>
      </c>
      <c r="AH642" s="2" t="str">
        <f>IFERROR(__xludf.DUMMYFUNCTION("IMPORTRANGE(""https://docs.google.com/spreadsheets/d/""&amp;$A642&amp;""/edit#gid=156619080"",AH$3)"),"#REF!")</f>
        <v>#REF!</v>
      </c>
      <c r="AI642" s="2" t="str">
        <f>IFERROR(__xludf.DUMMYFUNCTION("IMPORTRANGE(""https://docs.google.com/spreadsheets/d/""&amp;$A642&amp;""/edit#gid=156619080"",AI$3)"),"#REF!")</f>
        <v>#REF!</v>
      </c>
      <c r="AJ642" s="2" t="str">
        <f>IFERROR(__xludf.DUMMYFUNCTION("IMPORTRANGE(""https://docs.google.com/spreadsheets/d/""&amp;$A642&amp;""/edit#gid=156619080"",AJ$3)"),"#REF!")</f>
        <v>#REF!</v>
      </c>
      <c r="AK642" s="2" t="str">
        <f>IFERROR(__xludf.DUMMYFUNCTION("IMPORTRANGE(""https://docs.google.com/spreadsheets/d/""&amp;$A642&amp;""/edit#gid=156619080"",AK$3)"),"#REF!")</f>
        <v>#REF!</v>
      </c>
      <c r="AL642" s="2" t="str">
        <f>IFERROR(__xludf.DUMMYFUNCTION("IMPORTRANGE(""https://docs.google.com/spreadsheets/d/""&amp;$A642&amp;""/edit#gid=156619080"",AL$3)"),"#REF!")</f>
        <v>#REF!</v>
      </c>
      <c r="AM642" s="2" t="str">
        <f>IFERROR(__xludf.DUMMYFUNCTION("IMPORTRANGE(""https://docs.google.com/spreadsheets/d/""&amp;$A642&amp;""/edit#gid=156619080"",AM$3)"),"#REF!")</f>
        <v>#REF!</v>
      </c>
      <c r="AN642" s="2" t="str">
        <f>IFERROR(__xludf.DUMMYFUNCTION("IMPORTRANGE(""https://docs.google.com/spreadsheets/d/""&amp;$A642&amp;""/edit#gid=156619080"",AN$3)"),"#REF!")</f>
        <v>#REF!</v>
      </c>
      <c r="AO642" s="2" t="str">
        <f>IFERROR(__xludf.DUMMYFUNCTION("IMPORTRANGE(""https://docs.google.com/spreadsheets/d/""&amp;$A642&amp;""/edit#gid=156619080"",AO$3)"),"#REF!")</f>
        <v>#REF!</v>
      </c>
      <c r="AP642" s="2" t="str">
        <f>IFERROR(__xludf.DUMMYFUNCTION("IMPORTRANGE(""https://docs.google.com/spreadsheets/d/""&amp;$A642&amp;""/edit#gid=156619080"",AP$3)"),"#REF!")</f>
        <v>#REF!</v>
      </c>
      <c r="AQ642" s="2" t="str">
        <f>IFERROR(__xludf.DUMMYFUNCTION("IMPORTRANGE(""https://docs.google.com/spreadsheets/d/""&amp;$A642&amp;""/edit#gid=156619080"",AQ$3)"),"#REF!")</f>
        <v>#REF!</v>
      </c>
      <c r="AR642" s="2" t="str">
        <f>IFERROR(__xludf.DUMMYFUNCTION("IMPORTRANGE(""https://docs.google.com/spreadsheets/d/""&amp;$A642&amp;""/edit#gid=156619080"",AR$3)"),"#REF!")</f>
        <v>#REF!</v>
      </c>
      <c r="AS642" s="19" t="str">
        <f>IFERROR(__xludf.DUMMYFUNCTION("IMPORTRANGE(""https://docs.google.com/spreadsheets/d/""&amp;$A642&amp;""/edit#gid=156619080"",AS$3)"),"#REF!")</f>
        <v>#REF!</v>
      </c>
      <c r="AT642" s="2" t="str">
        <f>IFERROR(__xludf.DUMMYFUNCTION("IMPORTRANGE(""https://docs.google.com/spreadsheets/d/""&amp;$A642&amp;""/edit#gid=156619080"",AT$3)"),"#REF!")</f>
        <v>#REF!</v>
      </c>
      <c r="AU642" s="3" t="str">
        <f>IFERROR(__xludf.DUMMYFUNCTION("IMPORTRANGE(""https://docs.google.com/spreadsheets/d/""&amp;$A642&amp;""/edit#gid=156619080"",AU$3)"),"#REF!")</f>
        <v>#REF!</v>
      </c>
      <c r="AV642" s="2" t="str">
        <f>IFERROR(__xludf.DUMMYFUNCTION("IMPORTRANGE(""https://docs.google.com/spreadsheets/d/""&amp;$A642&amp;""/edit#gid=156619080"",AV$3)"),"#REF!")</f>
        <v>#REF!</v>
      </c>
      <c r="AW642" s="19" t="str">
        <f>IFERROR(__xludf.DUMMYFUNCTION("IMPORTRANGE(""https://docs.google.com/spreadsheets/d/""&amp;$A642&amp;""/edit#gid=156619080"",AW$3)"),"#REF!")</f>
        <v>#REF!</v>
      </c>
      <c r="AX642" s="2" t="str">
        <f>IFERROR(__xludf.DUMMYFUNCTION("IMPORTRANGE(""https://docs.google.com/spreadsheets/d/""&amp;$A642&amp;""/edit#gid=156619080"",AX$3)"),"#REF!")</f>
        <v>#REF!</v>
      </c>
      <c r="AY642" s="2" t="str">
        <f>IFERROR(__xludf.DUMMYFUNCTION("IMPORTRANGE(""https://docs.google.com/spreadsheets/d/""&amp;$A642&amp;""/edit#gid=156619080"",AY$3)"),"#REF!")</f>
        <v>#REF!</v>
      </c>
      <c r="AZ642" s="2" t="str">
        <f>IFERROR(__xludf.DUMMYFUNCTION("IMPORTRANGE(""https://docs.google.com/spreadsheets/d/""&amp;$A642&amp;""/edit#gid=156619080"",AZ$3)"),"#REF!")</f>
        <v>#REF!</v>
      </c>
      <c r="BA642" s="2" t="str">
        <f>IFERROR(__xludf.DUMMYFUNCTION("IMPORTRANGE(""https://docs.google.com/spreadsheets/d/""&amp;$A642&amp;""/edit#gid=156619080"",BA$3)"),"#REF!")</f>
        <v>#REF!</v>
      </c>
      <c r="BB642" s="2" t="str">
        <f>IFERROR(__xludf.DUMMYFUNCTION("IMPORTRANGE(""https://docs.google.com/spreadsheets/d/""&amp;$A642&amp;""/edit#gid=156619080"",BB$3)"),"#REF!")</f>
        <v>#REF!</v>
      </c>
      <c r="BC642" s="2" t="str">
        <f>IFERROR(__xludf.DUMMYFUNCTION("IMPORTRANGE(""https://docs.google.com/spreadsheets/d/""&amp;$A642&amp;""/edit#gid=156619080"",BC$3)"),"#REF!")</f>
        <v>#REF!</v>
      </c>
    </row>
    <row r="643" ht="51.0" customHeight="1">
      <c r="A643" s="7" t="str">
        <f t="shared" si="5"/>
        <v/>
      </c>
      <c r="C643" s="2" t="str">
        <f>IFERROR(__xludf.DUMMYFUNCTION("IMPORTRANGE(""https://docs.google.com/spreadsheets/d/""&amp;$A643&amp;""/edit#gid=156619080"",C$3)"),"#REF!")</f>
        <v>#REF!</v>
      </c>
      <c r="D643" s="2" t="str">
        <f>IFERROR(__xludf.DUMMYFUNCTION("IMPORTRANGE(""https://docs.google.com/spreadsheets/d/""&amp;$A643&amp;""/edit#gid=156619080"",D$3)"),"#REF!")</f>
        <v>#REF!</v>
      </c>
      <c r="E643" s="2" t="str">
        <f>IFERROR(__xludf.DUMMYFUNCTION("IMPORTRANGE(""https://docs.google.com/spreadsheets/d/""&amp;$A643&amp;""/edit#gid=156619080"",E$3)"),"#REF!")</f>
        <v>#REF!</v>
      </c>
      <c r="F643" s="2" t="str">
        <f>IFERROR(__xludf.DUMMYFUNCTION("IMPORTRANGE(""https://docs.google.com/spreadsheets/d/""&amp;$A643&amp;""/edit#gid=156619080"",F$3)"),"#REF!")</f>
        <v>#REF!</v>
      </c>
      <c r="G643" s="2" t="str">
        <f>IFERROR(__xludf.DUMMYFUNCTION("IMPORTRANGE(""https://docs.google.com/spreadsheets/d/""&amp;$A643&amp;""/edit#gid=156619080"",G$3)"),"#REF!")</f>
        <v>#REF!</v>
      </c>
      <c r="H643" s="2" t="str">
        <f>IFERROR(__xludf.DUMMYFUNCTION("IMPORTRANGE(""https://docs.google.com/spreadsheets/d/""&amp;$A643&amp;""/edit#gid=156619080"",H$3)"),"#REF!")</f>
        <v>#REF!</v>
      </c>
      <c r="I643" s="2" t="str">
        <f>IFERROR(__xludf.DUMMYFUNCTION("IMPORTRANGE(""https://docs.google.com/spreadsheets/d/""&amp;$A643&amp;""/edit#gid=156619080"",I$3)"),"#REF!")</f>
        <v>#REF!</v>
      </c>
      <c r="J643" s="2" t="str">
        <f>IFERROR(__xludf.DUMMYFUNCTION("IMPORTRANGE(""https://docs.google.com/spreadsheets/d/""&amp;$A643&amp;""/edit#gid=156619080"",J$3)"),"#REF!")</f>
        <v>#REF!</v>
      </c>
      <c r="K643" s="2" t="str">
        <f>IFERROR(__xludf.DUMMYFUNCTION("IMPORTRANGE(""https://docs.google.com/spreadsheets/d/""&amp;$A643&amp;""/edit#gid=156619080"",K$3)"),"#REF!")</f>
        <v>#REF!</v>
      </c>
      <c r="L643" s="2" t="str">
        <f>IFERROR(__xludf.DUMMYFUNCTION("IMPORTRANGE(""https://docs.google.com/spreadsheets/d/""&amp;$A643&amp;""/edit#gid=156619080"",L$3)"),"#REF!")</f>
        <v>#REF!</v>
      </c>
      <c r="M643" s="2" t="str">
        <f>IFERROR(__xludf.DUMMYFUNCTION("IMPORTRANGE(""https://docs.google.com/spreadsheets/d/""&amp;$A643&amp;""/edit#gid=156619080"",M$3)"),"#REF!")</f>
        <v>#REF!</v>
      </c>
      <c r="N643" s="2" t="str">
        <f>IFERROR(__xludf.DUMMYFUNCTION("IMPORTRANGE(""https://docs.google.com/spreadsheets/d/""&amp;$A643&amp;""/edit#gid=156619080"",N$3)"),"#REF!")</f>
        <v>#REF!</v>
      </c>
      <c r="O643" s="2" t="str">
        <f>IFERROR(__xludf.DUMMYFUNCTION("IMPORTRANGE(""https://docs.google.com/spreadsheets/d/""&amp;$A643&amp;""/edit#gid=156619080"",O$3)"),"#REF!")</f>
        <v>#REF!</v>
      </c>
      <c r="P643" s="2" t="str">
        <f>IFERROR(__xludf.DUMMYFUNCTION("IMPORTRANGE(""https://docs.google.com/spreadsheets/d/""&amp;$A643&amp;""/edit#gid=156619080"",P$3)"),"#REF!")</f>
        <v>#REF!</v>
      </c>
      <c r="Q643" s="2" t="str">
        <f>IFERROR(__xludf.DUMMYFUNCTION("IMPORTRANGE(""https://docs.google.com/spreadsheets/d/""&amp;$A643&amp;""/edit#gid=156619080"",Q$3)"),"#REF!")</f>
        <v>#REF!</v>
      </c>
      <c r="R643" s="2" t="str">
        <f>IFERROR(__xludf.DUMMYFUNCTION("IMPORTRANGE(""https://docs.google.com/spreadsheets/d/""&amp;$A643&amp;""/edit#gid=156619080"",R$3)"),"#REF!")</f>
        <v>#REF!</v>
      </c>
      <c r="S643" s="2" t="str">
        <f>IFERROR(__xludf.DUMMYFUNCTION("IMPORTRANGE(""https://docs.google.com/spreadsheets/d/""&amp;$A643&amp;""/edit#gid=156619080"",S$3)"),"#REF!")</f>
        <v>#REF!</v>
      </c>
      <c r="T643" s="2" t="str">
        <f>IFERROR(__xludf.DUMMYFUNCTION("IMPORTRANGE(""https://docs.google.com/spreadsheets/d/""&amp;$A643&amp;""/edit#gid=156619080"",T$3)"),"#REF!")</f>
        <v>#REF!</v>
      </c>
      <c r="U643" s="2" t="str">
        <f>IFERROR(__xludf.DUMMYFUNCTION("IMPORTRANGE(""https://docs.google.com/spreadsheets/d/""&amp;$A643&amp;""/edit#gid=156619080"",U$3)"),"#REF!")</f>
        <v>#REF!</v>
      </c>
      <c r="V643" s="2" t="str">
        <f>IFERROR(__xludf.DUMMYFUNCTION("IMPORTRANGE(""https://docs.google.com/spreadsheets/d/""&amp;$A643&amp;""/edit#gid=156619080"",V$3)"),"#REF!")</f>
        <v>#REF!</v>
      </c>
      <c r="W643" s="2" t="str">
        <f>IFERROR(__xludf.DUMMYFUNCTION("IMPORTRANGE(""https://docs.google.com/spreadsheets/d/""&amp;$A643&amp;""/edit#gid=156619080"",W$3)"),"#REF!")</f>
        <v>#REF!</v>
      </c>
      <c r="X643" s="2" t="str">
        <f>IFERROR(__xludf.DUMMYFUNCTION("IMPORTRANGE(""https://docs.google.com/spreadsheets/d/""&amp;$A643&amp;""/edit#gid=156619080"",X$3)"),"#REF!")</f>
        <v>#REF!</v>
      </c>
      <c r="Y643" s="2" t="str">
        <f>IFERROR(__xludf.DUMMYFUNCTION("IMPORTRANGE(""https://docs.google.com/spreadsheets/d/""&amp;$A643&amp;""/edit#gid=156619080"",Y$3)"),"#REF!")</f>
        <v>#REF!</v>
      </c>
      <c r="Z643" s="2" t="str">
        <f>IFERROR(__xludf.DUMMYFUNCTION("IMPORTRANGE(""https://docs.google.com/spreadsheets/d/""&amp;$A643&amp;""/edit#gid=156619080"",Z$3)"),"#REF!")</f>
        <v>#REF!</v>
      </c>
      <c r="AA643" s="2" t="str">
        <f>IFERROR(__xludf.DUMMYFUNCTION("IMPORTRANGE(""https://docs.google.com/spreadsheets/d/""&amp;$A643&amp;""/edit#gid=156619080"",AA$3)"),"#REF!")</f>
        <v>#REF!</v>
      </c>
      <c r="AB643" s="2" t="str">
        <f>IFERROR(__xludf.DUMMYFUNCTION("IMPORTRANGE(""https://docs.google.com/spreadsheets/d/""&amp;$A643&amp;""/edit#gid=156619080"",AB$3)"),"#REF!")</f>
        <v>#REF!</v>
      </c>
      <c r="AC643" s="2" t="str">
        <f>IFERROR(__xludf.DUMMYFUNCTION("IMPORTRANGE(""https://docs.google.com/spreadsheets/d/""&amp;$A643&amp;""/edit#gid=156619080"",AC$3)"),"#REF!")</f>
        <v>#REF!</v>
      </c>
      <c r="AD643" s="2" t="str">
        <f>IFERROR(__xludf.DUMMYFUNCTION("IMPORTRANGE(""https://docs.google.com/spreadsheets/d/""&amp;$A643&amp;""/edit#gid=156619080"",AD$3)"),"#REF!")</f>
        <v>#REF!</v>
      </c>
      <c r="AE643" s="2" t="str">
        <f>IFERROR(__xludf.DUMMYFUNCTION("IMPORTRANGE(""https://docs.google.com/spreadsheets/d/""&amp;$A643&amp;""/edit#gid=156619080"",AE$3)"),"#REF!")</f>
        <v>#REF!</v>
      </c>
      <c r="AF643" s="2" t="str">
        <f>IFERROR(__xludf.DUMMYFUNCTION("IMPORTRANGE(""https://docs.google.com/spreadsheets/d/""&amp;$A643&amp;""/edit#gid=156619080"",AF$3)"),"#REF!")</f>
        <v>#REF!</v>
      </c>
      <c r="AG643" s="2" t="str">
        <f>IFERROR(__xludf.DUMMYFUNCTION("IMPORTRANGE(""https://docs.google.com/spreadsheets/d/""&amp;$A643&amp;""/edit#gid=156619080"",AG$3)"),"#REF!")</f>
        <v>#REF!</v>
      </c>
      <c r="AH643" s="2" t="str">
        <f>IFERROR(__xludf.DUMMYFUNCTION("IMPORTRANGE(""https://docs.google.com/spreadsheets/d/""&amp;$A643&amp;""/edit#gid=156619080"",AH$3)"),"#REF!")</f>
        <v>#REF!</v>
      </c>
      <c r="AI643" s="2" t="str">
        <f>IFERROR(__xludf.DUMMYFUNCTION("IMPORTRANGE(""https://docs.google.com/spreadsheets/d/""&amp;$A643&amp;""/edit#gid=156619080"",AI$3)"),"#REF!")</f>
        <v>#REF!</v>
      </c>
      <c r="AJ643" s="2" t="str">
        <f>IFERROR(__xludf.DUMMYFUNCTION("IMPORTRANGE(""https://docs.google.com/spreadsheets/d/""&amp;$A643&amp;""/edit#gid=156619080"",AJ$3)"),"#REF!")</f>
        <v>#REF!</v>
      </c>
      <c r="AK643" s="2" t="str">
        <f>IFERROR(__xludf.DUMMYFUNCTION("IMPORTRANGE(""https://docs.google.com/spreadsheets/d/""&amp;$A643&amp;""/edit#gid=156619080"",AK$3)"),"#REF!")</f>
        <v>#REF!</v>
      </c>
      <c r="AL643" s="2" t="str">
        <f>IFERROR(__xludf.DUMMYFUNCTION("IMPORTRANGE(""https://docs.google.com/spreadsheets/d/""&amp;$A643&amp;""/edit#gid=156619080"",AL$3)"),"#REF!")</f>
        <v>#REF!</v>
      </c>
      <c r="AM643" s="2" t="str">
        <f>IFERROR(__xludf.DUMMYFUNCTION("IMPORTRANGE(""https://docs.google.com/spreadsheets/d/""&amp;$A643&amp;""/edit#gid=156619080"",AM$3)"),"#REF!")</f>
        <v>#REF!</v>
      </c>
      <c r="AN643" s="2" t="str">
        <f>IFERROR(__xludf.DUMMYFUNCTION("IMPORTRANGE(""https://docs.google.com/spreadsheets/d/""&amp;$A643&amp;""/edit#gid=156619080"",AN$3)"),"#REF!")</f>
        <v>#REF!</v>
      </c>
      <c r="AO643" s="2" t="str">
        <f>IFERROR(__xludf.DUMMYFUNCTION("IMPORTRANGE(""https://docs.google.com/spreadsheets/d/""&amp;$A643&amp;""/edit#gid=156619080"",AO$3)"),"#REF!")</f>
        <v>#REF!</v>
      </c>
      <c r="AP643" s="2" t="str">
        <f>IFERROR(__xludf.DUMMYFUNCTION("IMPORTRANGE(""https://docs.google.com/spreadsheets/d/""&amp;$A643&amp;""/edit#gid=156619080"",AP$3)"),"#REF!")</f>
        <v>#REF!</v>
      </c>
      <c r="AQ643" s="2" t="str">
        <f>IFERROR(__xludf.DUMMYFUNCTION("IMPORTRANGE(""https://docs.google.com/spreadsheets/d/""&amp;$A643&amp;""/edit#gid=156619080"",AQ$3)"),"#REF!")</f>
        <v>#REF!</v>
      </c>
      <c r="AR643" s="2" t="str">
        <f>IFERROR(__xludf.DUMMYFUNCTION("IMPORTRANGE(""https://docs.google.com/spreadsheets/d/""&amp;$A643&amp;""/edit#gid=156619080"",AR$3)"),"#REF!")</f>
        <v>#REF!</v>
      </c>
      <c r="AS643" s="19" t="str">
        <f>IFERROR(__xludf.DUMMYFUNCTION("IMPORTRANGE(""https://docs.google.com/spreadsheets/d/""&amp;$A643&amp;""/edit#gid=156619080"",AS$3)"),"#REF!")</f>
        <v>#REF!</v>
      </c>
      <c r="AT643" s="2" t="str">
        <f>IFERROR(__xludf.DUMMYFUNCTION("IMPORTRANGE(""https://docs.google.com/spreadsheets/d/""&amp;$A643&amp;""/edit#gid=156619080"",AT$3)"),"#REF!")</f>
        <v>#REF!</v>
      </c>
      <c r="AU643" s="3" t="str">
        <f>IFERROR(__xludf.DUMMYFUNCTION("IMPORTRANGE(""https://docs.google.com/spreadsheets/d/""&amp;$A643&amp;""/edit#gid=156619080"",AU$3)"),"#REF!")</f>
        <v>#REF!</v>
      </c>
      <c r="AV643" s="2" t="str">
        <f>IFERROR(__xludf.DUMMYFUNCTION("IMPORTRANGE(""https://docs.google.com/spreadsheets/d/""&amp;$A643&amp;""/edit#gid=156619080"",AV$3)"),"#REF!")</f>
        <v>#REF!</v>
      </c>
      <c r="AW643" s="19" t="str">
        <f>IFERROR(__xludf.DUMMYFUNCTION("IMPORTRANGE(""https://docs.google.com/spreadsheets/d/""&amp;$A643&amp;""/edit#gid=156619080"",AW$3)"),"#REF!")</f>
        <v>#REF!</v>
      </c>
      <c r="AX643" s="2" t="str">
        <f>IFERROR(__xludf.DUMMYFUNCTION("IMPORTRANGE(""https://docs.google.com/spreadsheets/d/""&amp;$A643&amp;""/edit#gid=156619080"",AX$3)"),"#REF!")</f>
        <v>#REF!</v>
      </c>
      <c r="AY643" s="2" t="str">
        <f>IFERROR(__xludf.DUMMYFUNCTION("IMPORTRANGE(""https://docs.google.com/spreadsheets/d/""&amp;$A643&amp;""/edit#gid=156619080"",AY$3)"),"#REF!")</f>
        <v>#REF!</v>
      </c>
      <c r="AZ643" s="2" t="str">
        <f>IFERROR(__xludf.DUMMYFUNCTION("IMPORTRANGE(""https://docs.google.com/spreadsheets/d/""&amp;$A643&amp;""/edit#gid=156619080"",AZ$3)"),"#REF!")</f>
        <v>#REF!</v>
      </c>
      <c r="BA643" s="2" t="str">
        <f>IFERROR(__xludf.DUMMYFUNCTION("IMPORTRANGE(""https://docs.google.com/spreadsheets/d/""&amp;$A643&amp;""/edit#gid=156619080"",BA$3)"),"#REF!")</f>
        <v>#REF!</v>
      </c>
      <c r="BB643" s="2" t="str">
        <f>IFERROR(__xludf.DUMMYFUNCTION("IMPORTRANGE(""https://docs.google.com/spreadsheets/d/""&amp;$A643&amp;""/edit#gid=156619080"",BB$3)"),"#REF!")</f>
        <v>#REF!</v>
      </c>
      <c r="BC643" s="2" t="str">
        <f>IFERROR(__xludf.DUMMYFUNCTION("IMPORTRANGE(""https://docs.google.com/spreadsheets/d/""&amp;$A643&amp;""/edit#gid=156619080"",BC$3)"),"#REF!")</f>
        <v>#REF!</v>
      </c>
    </row>
    <row r="644" ht="51.0" customHeight="1">
      <c r="A644" s="7" t="str">
        <f t="shared" si="5"/>
        <v/>
      </c>
      <c r="C644" s="2" t="str">
        <f>IFERROR(__xludf.DUMMYFUNCTION("IMPORTRANGE(""https://docs.google.com/spreadsheets/d/""&amp;$A644&amp;""/edit#gid=156619080"",C$3)"),"#REF!")</f>
        <v>#REF!</v>
      </c>
      <c r="D644" s="2" t="str">
        <f>IFERROR(__xludf.DUMMYFUNCTION("IMPORTRANGE(""https://docs.google.com/spreadsheets/d/""&amp;$A644&amp;""/edit#gid=156619080"",D$3)"),"#REF!")</f>
        <v>#REF!</v>
      </c>
      <c r="E644" s="2" t="str">
        <f>IFERROR(__xludf.DUMMYFUNCTION("IMPORTRANGE(""https://docs.google.com/spreadsheets/d/""&amp;$A644&amp;""/edit#gid=156619080"",E$3)"),"#REF!")</f>
        <v>#REF!</v>
      </c>
      <c r="F644" s="2" t="str">
        <f>IFERROR(__xludf.DUMMYFUNCTION("IMPORTRANGE(""https://docs.google.com/spreadsheets/d/""&amp;$A644&amp;""/edit#gid=156619080"",F$3)"),"#REF!")</f>
        <v>#REF!</v>
      </c>
      <c r="G644" s="2" t="str">
        <f>IFERROR(__xludf.DUMMYFUNCTION("IMPORTRANGE(""https://docs.google.com/spreadsheets/d/""&amp;$A644&amp;""/edit#gid=156619080"",G$3)"),"#REF!")</f>
        <v>#REF!</v>
      </c>
      <c r="H644" s="2" t="str">
        <f>IFERROR(__xludf.DUMMYFUNCTION("IMPORTRANGE(""https://docs.google.com/spreadsheets/d/""&amp;$A644&amp;""/edit#gid=156619080"",H$3)"),"#REF!")</f>
        <v>#REF!</v>
      </c>
      <c r="I644" s="2" t="str">
        <f>IFERROR(__xludf.DUMMYFUNCTION("IMPORTRANGE(""https://docs.google.com/spreadsheets/d/""&amp;$A644&amp;""/edit#gid=156619080"",I$3)"),"#REF!")</f>
        <v>#REF!</v>
      </c>
      <c r="J644" s="2" t="str">
        <f>IFERROR(__xludf.DUMMYFUNCTION("IMPORTRANGE(""https://docs.google.com/spreadsheets/d/""&amp;$A644&amp;""/edit#gid=156619080"",J$3)"),"#REF!")</f>
        <v>#REF!</v>
      </c>
      <c r="K644" s="2" t="str">
        <f>IFERROR(__xludf.DUMMYFUNCTION("IMPORTRANGE(""https://docs.google.com/spreadsheets/d/""&amp;$A644&amp;""/edit#gid=156619080"",K$3)"),"#REF!")</f>
        <v>#REF!</v>
      </c>
      <c r="L644" s="2" t="str">
        <f>IFERROR(__xludf.DUMMYFUNCTION("IMPORTRANGE(""https://docs.google.com/spreadsheets/d/""&amp;$A644&amp;""/edit#gid=156619080"",L$3)"),"#REF!")</f>
        <v>#REF!</v>
      </c>
      <c r="M644" s="2" t="str">
        <f>IFERROR(__xludf.DUMMYFUNCTION("IMPORTRANGE(""https://docs.google.com/spreadsheets/d/""&amp;$A644&amp;""/edit#gid=156619080"",M$3)"),"#REF!")</f>
        <v>#REF!</v>
      </c>
      <c r="N644" s="2" t="str">
        <f>IFERROR(__xludf.DUMMYFUNCTION("IMPORTRANGE(""https://docs.google.com/spreadsheets/d/""&amp;$A644&amp;""/edit#gid=156619080"",N$3)"),"#REF!")</f>
        <v>#REF!</v>
      </c>
      <c r="O644" s="2" t="str">
        <f>IFERROR(__xludf.DUMMYFUNCTION("IMPORTRANGE(""https://docs.google.com/spreadsheets/d/""&amp;$A644&amp;""/edit#gid=156619080"",O$3)"),"#REF!")</f>
        <v>#REF!</v>
      </c>
      <c r="P644" s="2" t="str">
        <f>IFERROR(__xludf.DUMMYFUNCTION("IMPORTRANGE(""https://docs.google.com/spreadsheets/d/""&amp;$A644&amp;""/edit#gid=156619080"",P$3)"),"#REF!")</f>
        <v>#REF!</v>
      </c>
      <c r="Q644" s="2" t="str">
        <f>IFERROR(__xludf.DUMMYFUNCTION("IMPORTRANGE(""https://docs.google.com/spreadsheets/d/""&amp;$A644&amp;""/edit#gid=156619080"",Q$3)"),"#REF!")</f>
        <v>#REF!</v>
      </c>
      <c r="R644" s="2" t="str">
        <f>IFERROR(__xludf.DUMMYFUNCTION("IMPORTRANGE(""https://docs.google.com/spreadsheets/d/""&amp;$A644&amp;""/edit#gid=156619080"",R$3)"),"#REF!")</f>
        <v>#REF!</v>
      </c>
      <c r="S644" s="2" t="str">
        <f>IFERROR(__xludf.DUMMYFUNCTION("IMPORTRANGE(""https://docs.google.com/spreadsheets/d/""&amp;$A644&amp;""/edit#gid=156619080"",S$3)"),"#REF!")</f>
        <v>#REF!</v>
      </c>
      <c r="T644" s="2" t="str">
        <f>IFERROR(__xludf.DUMMYFUNCTION("IMPORTRANGE(""https://docs.google.com/spreadsheets/d/""&amp;$A644&amp;""/edit#gid=156619080"",T$3)"),"#REF!")</f>
        <v>#REF!</v>
      </c>
      <c r="U644" s="2" t="str">
        <f>IFERROR(__xludf.DUMMYFUNCTION("IMPORTRANGE(""https://docs.google.com/spreadsheets/d/""&amp;$A644&amp;""/edit#gid=156619080"",U$3)"),"#REF!")</f>
        <v>#REF!</v>
      </c>
      <c r="V644" s="2" t="str">
        <f>IFERROR(__xludf.DUMMYFUNCTION("IMPORTRANGE(""https://docs.google.com/spreadsheets/d/""&amp;$A644&amp;""/edit#gid=156619080"",V$3)"),"#REF!")</f>
        <v>#REF!</v>
      </c>
      <c r="W644" s="2" t="str">
        <f>IFERROR(__xludf.DUMMYFUNCTION("IMPORTRANGE(""https://docs.google.com/spreadsheets/d/""&amp;$A644&amp;""/edit#gid=156619080"",W$3)"),"#REF!")</f>
        <v>#REF!</v>
      </c>
      <c r="X644" s="2" t="str">
        <f>IFERROR(__xludf.DUMMYFUNCTION("IMPORTRANGE(""https://docs.google.com/spreadsheets/d/""&amp;$A644&amp;""/edit#gid=156619080"",X$3)"),"#REF!")</f>
        <v>#REF!</v>
      </c>
      <c r="Y644" s="2" t="str">
        <f>IFERROR(__xludf.DUMMYFUNCTION("IMPORTRANGE(""https://docs.google.com/spreadsheets/d/""&amp;$A644&amp;""/edit#gid=156619080"",Y$3)"),"#REF!")</f>
        <v>#REF!</v>
      </c>
      <c r="Z644" s="2" t="str">
        <f>IFERROR(__xludf.DUMMYFUNCTION("IMPORTRANGE(""https://docs.google.com/spreadsheets/d/""&amp;$A644&amp;""/edit#gid=156619080"",Z$3)"),"#REF!")</f>
        <v>#REF!</v>
      </c>
      <c r="AA644" s="2" t="str">
        <f>IFERROR(__xludf.DUMMYFUNCTION("IMPORTRANGE(""https://docs.google.com/spreadsheets/d/""&amp;$A644&amp;""/edit#gid=156619080"",AA$3)"),"#REF!")</f>
        <v>#REF!</v>
      </c>
      <c r="AB644" s="2" t="str">
        <f>IFERROR(__xludf.DUMMYFUNCTION("IMPORTRANGE(""https://docs.google.com/spreadsheets/d/""&amp;$A644&amp;""/edit#gid=156619080"",AB$3)"),"#REF!")</f>
        <v>#REF!</v>
      </c>
      <c r="AC644" s="2" t="str">
        <f>IFERROR(__xludf.DUMMYFUNCTION("IMPORTRANGE(""https://docs.google.com/spreadsheets/d/""&amp;$A644&amp;""/edit#gid=156619080"",AC$3)"),"#REF!")</f>
        <v>#REF!</v>
      </c>
      <c r="AD644" s="2" t="str">
        <f>IFERROR(__xludf.DUMMYFUNCTION("IMPORTRANGE(""https://docs.google.com/spreadsheets/d/""&amp;$A644&amp;""/edit#gid=156619080"",AD$3)"),"#REF!")</f>
        <v>#REF!</v>
      </c>
      <c r="AE644" s="2" t="str">
        <f>IFERROR(__xludf.DUMMYFUNCTION("IMPORTRANGE(""https://docs.google.com/spreadsheets/d/""&amp;$A644&amp;""/edit#gid=156619080"",AE$3)"),"#REF!")</f>
        <v>#REF!</v>
      </c>
      <c r="AF644" s="2" t="str">
        <f>IFERROR(__xludf.DUMMYFUNCTION("IMPORTRANGE(""https://docs.google.com/spreadsheets/d/""&amp;$A644&amp;""/edit#gid=156619080"",AF$3)"),"#REF!")</f>
        <v>#REF!</v>
      </c>
      <c r="AG644" s="2" t="str">
        <f>IFERROR(__xludf.DUMMYFUNCTION("IMPORTRANGE(""https://docs.google.com/spreadsheets/d/""&amp;$A644&amp;""/edit#gid=156619080"",AG$3)"),"#REF!")</f>
        <v>#REF!</v>
      </c>
      <c r="AH644" s="2" t="str">
        <f>IFERROR(__xludf.DUMMYFUNCTION("IMPORTRANGE(""https://docs.google.com/spreadsheets/d/""&amp;$A644&amp;""/edit#gid=156619080"",AH$3)"),"#REF!")</f>
        <v>#REF!</v>
      </c>
      <c r="AI644" s="2" t="str">
        <f>IFERROR(__xludf.DUMMYFUNCTION("IMPORTRANGE(""https://docs.google.com/spreadsheets/d/""&amp;$A644&amp;""/edit#gid=156619080"",AI$3)"),"#REF!")</f>
        <v>#REF!</v>
      </c>
      <c r="AJ644" s="2" t="str">
        <f>IFERROR(__xludf.DUMMYFUNCTION("IMPORTRANGE(""https://docs.google.com/spreadsheets/d/""&amp;$A644&amp;""/edit#gid=156619080"",AJ$3)"),"#REF!")</f>
        <v>#REF!</v>
      </c>
      <c r="AK644" s="2" t="str">
        <f>IFERROR(__xludf.DUMMYFUNCTION("IMPORTRANGE(""https://docs.google.com/spreadsheets/d/""&amp;$A644&amp;""/edit#gid=156619080"",AK$3)"),"#REF!")</f>
        <v>#REF!</v>
      </c>
      <c r="AL644" s="2" t="str">
        <f>IFERROR(__xludf.DUMMYFUNCTION("IMPORTRANGE(""https://docs.google.com/spreadsheets/d/""&amp;$A644&amp;""/edit#gid=156619080"",AL$3)"),"#REF!")</f>
        <v>#REF!</v>
      </c>
      <c r="AM644" s="2" t="str">
        <f>IFERROR(__xludf.DUMMYFUNCTION("IMPORTRANGE(""https://docs.google.com/spreadsheets/d/""&amp;$A644&amp;""/edit#gid=156619080"",AM$3)"),"#REF!")</f>
        <v>#REF!</v>
      </c>
      <c r="AN644" s="2" t="str">
        <f>IFERROR(__xludf.DUMMYFUNCTION("IMPORTRANGE(""https://docs.google.com/spreadsheets/d/""&amp;$A644&amp;""/edit#gid=156619080"",AN$3)"),"#REF!")</f>
        <v>#REF!</v>
      </c>
      <c r="AO644" s="2" t="str">
        <f>IFERROR(__xludf.DUMMYFUNCTION("IMPORTRANGE(""https://docs.google.com/spreadsheets/d/""&amp;$A644&amp;""/edit#gid=156619080"",AO$3)"),"#REF!")</f>
        <v>#REF!</v>
      </c>
      <c r="AP644" s="2" t="str">
        <f>IFERROR(__xludf.DUMMYFUNCTION("IMPORTRANGE(""https://docs.google.com/spreadsheets/d/""&amp;$A644&amp;""/edit#gid=156619080"",AP$3)"),"#REF!")</f>
        <v>#REF!</v>
      </c>
      <c r="AQ644" s="2" t="str">
        <f>IFERROR(__xludf.DUMMYFUNCTION("IMPORTRANGE(""https://docs.google.com/spreadsheets/d/""&amp;$A644&amp;""/edit#gid=156619080"",AQ$3)"),"#REF!")</f>
        <v>#REF!</v>
      </c>
      <c r="AR644" s="2" t="str">
        <f>IFERROR(__xludf.DUMMYFUNCTION("IMPORTRANGE(""https://docs.google.com/spreadsheets/d/""&amp;$A644&amp;""/edit#gid=156619080"",AR$3)"),"#REF!")</f>
        <v>#REF!</v>
      </c>
      <c r="AS644" s="19" t="str">
        <f>IFERROR(__xludf.DUMMYFUNCTION("IMPORTRANGE(""https://docs.google.com/spreadsheets/d/""&amp;$A644&amp;""/edit#gid=156619080"",AS$3)"),"#REF!")</f>
        <v>#REF!</v>
      </c>
      <c r="AT644" s="2" t="str">
        <f>IFERROR(__xludf.DUMMYFUNCTION("IMPORTRANGE(""https://docs.google.com/spreadsheets/d/""&amp;$A644&amp;""/edit#gid=156619080"",AT$3)"),"#REF!")</f>
        <v>#REF!</v>
      </c>
      <c r="AU644" s="3" t="str">
        <f>IFERROR(__xludf.DUMMYFUNCTION("IMPORTRANGE(""https://docs.google.com/spreadsheets/d/""&amp;$A644&amp;""/edit#gid=156619080"",AU$3)"),"#REF!")</f>
        <v>#REF!</v>
      </c>
      <c r="AV644" s="2" t="str">
        <f>IFERROR(__xludf.DUMMYFUNCTION("IMPORTRANGE(""https://docs.google.com/spreadsheets/d/""&amp;$A644&amp;""/edit#gid=156619080"",AV$3)"),"#REF!")</f>
        <v>#REF!</v>
      </c>
      <c r="AW644" s="19" t="str">
        <f>IFERROR(__xludf.DUMMYFUNCTION("IMPORTRANGE(""https://docs.google.com/spreadsheets/d/""&amp;$A644&amp;""/edit#gid=156619080"",AW$3)"),"#REF!")</f>
        <v>#REF!</v>
      </c>
      <c r="AX644" s="2" t="str">
        <f>IFERROR(__xludf.DUMMYFUNCTION("IMPORTRANGE(""https://docs.google.com/spreadsheets/d/""&amp;$A644&amp;""/edit#gid=156619080"",AX$3)"),"#REF!")</f>
        <v>#REF!</v>
      </c>
      <c r="AY644" s="2" t="str">
        <f>IFERROR(__xludf.DUMMYFUNCTION("IMPORTRANGE(""https://docs.google.com/spreadsheets/d/""&amp;$A644&amp;""/edit#gid=156619080"",AY$3)"),"#REF!")</f>
        <v>#REF!</v>
      </c>
      <c r="AZ644" s="2" t="str">
        <f>IFERROR(__xludf.DUMMYFUNCTION("IMPORTRANGE(""https://docs.google.com/spreadsheets/d/""&amp;$A644&amp;""/edit#gid=156619080"",AZ$3)"),"#REF!")</f>
        <v>#REF!</v>
      </c>
      <c r="BA644" s="2" t="str">
        <f>IFERROR(__xludf.DUMMYFUNCTION("IMPORTRANGE(""https://docs.google.com/spreadsheets/d/""&amp;$A644&amp;""/edit#gid=156619080"",BA$3)"),"#REF!")</f>
        <v>#REF!</v>
      </c>
      <c r="BB644" s="2" t="str">
        <f>IFERROR(__xludf.DUMMYFUNCTION("IMPORTRANGE(""https://docs.google.com/spreadsheets/d/""&amp;$A644&amp;""/edit#gid=156619080"",BB$3)"),"#REF!")</f>
        <v>#REF!</v>
      </c>
      <c r="BC644" s="2" t="str">
        <f>IFERROR(__xludf.DUMMYFUNCTION("IMPORTRANGE(""https://docs.google.com/spreadsheets/d/""&amp;$A644&amp;""/edit#gid=156619080"",BC$3)"),"#REF!")</f>
        <v>#REF!</v>
      </c>
    </row>
    <row r="645" ht="51.0" customHeight="1">
      <c r="A645" s="7" t="str">
        <f t="shared" si="5"/>
        <v/>
      </c>
      <c r="C645" s="2" t="str">
        <f>IFERROR(__xludf.DUMMYFUNCTION("IMPORTRANGE(""https://docs.google.com/spreadsheets/d/""&amp;$A645&amp;""/edit#gid=156619080"",C$3)"),"#REF!")</f>
        <v>#REF!</v>
      </c>
      <c r="D645" s="2" t="str">
        <f>IFERROR(__xludf.DUMMYFUNCTION("IMPORTRANGE(""https://docs.google.com/spreadsheets/d/""&amp;$A645&amp;""/edit#gid=156619080"",D$3)"),"#REF!")</f>
        <v>#REF!</v>
      </c>
      <c r="E645" s="2" t="str">
        <f>IFERROR(__xludf.DUMMYFUNCTION("IMPORTRANGE(""https://docs.google.com/spreadsheets/d/""&amp;$A645&amp;""/edit#gid=156619080"",E$3)"),"#REF!")</f>
        <v>#REF!</v>
      </c>
      <c r="F645" s="2" t="str">
        <f>IFERROR(__xludf.DUMMYFUNCTION("IMPORTRANGE(""https://docs.google.com/spreadsheets/d/""&amp;$A645&amp;""/edit#gid=156619080"",F$3)"),"#REF!")</f>
        <v>#REF!</v>
      </c>
      <c r="G645" s="2" t="str">
        <f>IFERROR(__xludf.DUMMYFUNCTION("IMPORTRANGE(""https://docs.google.com/spreadsheets/d/""&amp;$A645&amp;""/edit#gid=156619080"",G$3)"),"#REF!")</f>
        <v>#REF!</v>
      </c>
      <c r="H645" s="2" t="str">
        <f>IFERROR(__xludf.DUMMYFUNCTION("IMPORTRANGE(""https://docs.google.com/spreadsheets/d/""&amp;$A645&amp;""/edit#gid=156619080"",H$3)"),"#REF!")</f>
        <v>#REF!</v>
      </c>
      <c r="I645" s="2" t="str">
        <f>IFERROR(__xludf.DUMMYFUNCTION("IMPORTRANGE(""https://docs.google.com/spreadsheets/d/""&amp;$A645&amp;""/edit#gid=156619080"",I$3)"),"#REF!")</f>
        <v>#REF!</v>
      </c>
      <c r="J645" s="2" t="str">
        <f>IFERROR(__xludf.DUMMYFUNCTION("IMPORTRANGE(""https://docs.google.com/spreadsheets/d/""&amp;$A645&amp;""/edit#gid=156619080"",J$3)"),"#REF!")</f>
        <v>#REF!</v>
      </c>
      <c r="K645" s="2" t="str">
        <f>IFERROR(__xludf.DUMMYFUNCTION("IMPORTRANGE(""https://docs.google.com/spreadsheets/d/""&amp;$A645&amp;""/edit#gid=156619080"",K$3)"),"#REF!")</f>
        <v>#REF!</v>
      </c>
      <c r="L645" s="2" t="str">
        <f>IFERROR(__xludf.DUMMYFUNCTION("IMPORTRANGE(""https://docs.google.com/spreadsheets/d/""&amp;$A645&amp;""/edit#gid=156619080"",L$3)"),"#REF!")</f>
        <v>#REF!</v>
      </c>
      <c r="M645" s="2" t="str">
        <f>IFERROR(__xludf.DUMMYFUNCTION("IMPORTRANGE(""https://docs.google.com/spreadsheets/d/""&amp;$A645&amp;""/edit#gid=156619080"",M$3)"),"#REF!")</f>
        <v>#REF!</v>
      </c>
      <c r="N645" s="2" t="str">
        <f>IFERROR(__xludf.DUMMYFUNCTION("IMPORTRANGE(""https://docs.google.com/spreadsheets/d/""&amp;$A645&amp;""/edit#gid=156619080"",N$3)"),"#REF!")</f>
        <v>#REF!</v>
      </c>
      <c r="O645" s="2" t="str">
        <f>IFERROR(__xludf.DUMMYFUNCTION("IMPORTRANGE(""https://docs.google.com/spreadsheets/d/""&amp;$A645&amp;""/edit#gid=156619080"",O$3)"),"#REF!")</f>
        <v>#REF!</v>
      </c>
      <c r="P645" s="2" t="str">
        <f>IFERROR(__xludf.DUMMYFUNCTION("IMPORTRANGE(""https://docs.google.com/spreadsheets/d/""&amp;$A645&amp;""/edit#gid=156619080"",P$3)"),"#REF!")</f>
        <v>#REF!</v>
      </c>
      <c r="Q645" s="2" t="str">
        <f>IFERROR(__xludf.DUMMYFUNCTION("IMPORTRANGE(""https://docs.google.com/spreadsheets/d/""&amp;$A645&amp;""/edit#gid=156619080"",Q$3)"),"#REF!")</f>
        <v>#REF!</v>
      </c>
      <c r="R645" s="2" t="str">
        <f>IFERROR(__xludf.DUMMYFUNCTION("IMPORTRANGE(""https://docs.google.com/spreadsheets/d/""&amp;$A645&amp;""/edit#gid=156619080"",R$3)"),"#REF!")</f>
        <v>#REF!</v>
      </c>
      <c r="S645" s="2" t="str">
        <f>IFERROR(__xludf.DUMMYFUNCTION("IMPORTRANGE(""https://docs.google.com/spreadsheets/d/""&amp;$A645&amp;""/edit#gid=156619080"",S$3)"),"#REF!")</f>
        <v>#REF!</v>
      </c>
      <c r="T645" s="2" t="str">
        <f>IFERROR(__xludf.DUMMYFUNCTION("IMPORTRANGE(""https://docs.google.com/spreadsheets/d/""&amp;$A645&amp;""/edit#gid=156619080"",T$3)"),"#REF!")</f>
        <v>#REF!</v>
      </c>
      <c r="U645" s="2" t="str">
        <f>IFERROR(__xludf.DUMMYFUNCTION("IMPORTRANGE(""https://docs.google.com/spreadsheets/d/""&amp;$A645&amp;""/edit#gid=156619080"",U$3)"),"#REF!")</f>
        <v>#REF!</v>
      </c>
      <c r="V645" s="2" t="str">
        <f>IFERROR(__xludf.DUMMYFUNCTION("IMPORTRANGE(""https://docs.google.com/spreadsheets/d/""&amp;$A645&amp;""/edit#gid=156619080"",V$3)"),"#REF!")</f>
        <v>#REF!</v>
      </c>
      <c r="W645" s="2" t="str">
        <f>IFERROR(__xludf.DUMMYFUNCTION("IMPORTRANGE(""https://docs.google.com/spreadsheets/d/""&amp;$A645&amp;""/edit#gid=156619080"",W$3)"),"#REF!")</f>
        <v>#REF!</v>
      </c>
      <c r="X645" s="2" t="str">
        <f>IFERROR(__xludf.DUMMYFUNCTION("IMPORTRANGE(""https://docs.google.com/spreadsheets/d/""&amp;$A645&amp;""/edit#gid=156619080"",X$3)"),"#REF!")</f>
        <v>#REF!</v>
      </c>
      <c r="Y645" s="2" t="str">
        <f>IFERROR(__xludf.DUMMYFUNCTION("IMPORTRANGE(""https://docs.google.com/spreadsheets/d/""&amp;$A645&amp;""/edit#gid=156619080"",Y$3)"),"#REF!")</f>
        <v>#REF!</v>
      </c>
      <c r="Z645" s="2" t="str">
        <f>IFERROR(__xludf.DUMMYFUNCTION("IMPORTRANGE(""https://docs.google.com/spreadsheets/d/""&amp;$A645&amp;""/edit#gid=156619080"",Z$3)"),"#REF!")</f>
        <v>#REF!</v>
      </c>
      <c r="AA645" s="2" t="str">
        <f>IFERROR(__xludf.DUMMYFUNCTION("IMPORTRANGE(""https://docs.google.com/spreadsheets/d/""&amp;$A645&amp;""/edit#gid=156619080"",AA$3)"),"#REF!")</f>
        <v>#REF!</v>
      </c>
      <c r="AB645" s="2" t="str">
        <f>IFERROR(__xludf.DUMMYFUNCTION("IMPORTRANGE(""https://docs.google.com/spreadsheets/d/""&amp;$A645&amp;""/edit#gid=156619080"",AB$3)"),"#REF!")</f>
        <v>#REF!</v>
      </c>
      <c r="AC645" s="2" t="str">
        <f>IFERROR(__xludf.DUMMYFUNCTION("IMPORTRANGE(""https://docs.google.com/spreadsheets/d/""&amp;$A645&amp;""/edit#gid=156619080"",AC$3)"),"#REF!")</f>
        <v>#REF!</v>
      </c>
      <c r="AD645" s="2" t="str">
        <f>IFERROR(__xludf.DUMMYFUNCTION("IMPORTRANGE(""https://docs.google.com/spreadsheets/d/""&amp;$A645&amp;""/edit#gid=156619080"",AD$3)"),"#REF!")</f>
        <v>#REF!</v>
      </c>
      <c r="AE645" s="2" t="str">
        <f>IFERROR(__xludf.DUMMYFUNCTION("IMPORTRANGE(""https://docs.google.com/spreadsheets/d/""&amp;$A645&amp;""/edit#gid=156619080"",AE$3)"),"#REF!")</f>
        <v>#REF!</v>
      </c>
      <c r="AF645" s="2" t="str">
        <f>IFERROR(__xludf.DUMMYFUNCTION("IMPORTRANGE(""https://docs.google.com/spreadsheets/d/""&amp;$A645&amp;""/edit#gid=156619080"",AF$3)"),"#REF!")</f>
        <v>#REF!</v>
      </c>
      <c r="AG645" s="2" t="str">
        <f>IFERROR(__xludf.DUMMYFUNCTION("IMPORTRANGE(""https://docs.google.com/spreadsheets/d/""&amp;$A645&amp;""/edit#gid=156619080"",AG$3)"),"#REF!")</f>
        <v>#REF!</v>
      </c>
      <c r="AH645" s="2" t="str">
        <f>IFERROR(__xludf.DUMMYFUNCTION("IMPORTRANGE(""https://docs.google.com/spreadsheets/d/""&amp;$A645&amp;""/edit#gid=156619080"",AH$3)"),"#REF!")</f>
        <v>#REF!</v>
      </c>
      <c r="AI645" s="2" t="str">
        <f>IFERROR(__xludf.DUMMYFUNCTION("IMPORTRANGE(""https://docs.google.com/spreadsheets/d/""&amp;$A645&amp;""/edit#gid=156619080"",AI$3)"),"#REF!")</f>
        <v>#REF!</v>
      </c>
      <c r="AJ645" s="2" t="str">
        <f>IFERROR(__xludf.DUMMYFUNCTION("IMPORTRANGE(""https://docs.google.com/spreadsheets/d/""&amp;$A645&amp;""/edit#gid=156619080"",AJ$3)"),"#REF!")</f>
        <v>#REF!</v>
      </c>
      <c r="AK645" s="2" t="str">
        <f>IFERROR(__xludf.DUMMYFUNCTION("IMPORTRANGE(""https://docs.google.com/spreadsheets/d/""&amp;$A645&amp;""/edit#gid=156619080"",AK$3)"),"#REF!")</f>
        <v>#REF!</v>
      </c>
      <c r="AL645" s="2" t="str">
        <f>IFERROR(__xludf.DUMMYFUNCTION("IMPORTRANGE(""https://docs.google.com/spreadsheets/d/""&amp;$A645&amp;""/edit#gid=156619080"",AL$3)"),"#REF!")</f>
        <v>#REF!</v>
      </c>
      <c r="AM645" s="2" t="str">
        <f>IFERROR(__xludf.DUMMYFUNCTION("IMPORTRANGE(""https://docs.google.com/spreadsheets/d/""&amp;$A645&amp;""/edit#gid=156619080"",AM$3)"),"#REF!")</f>
        <v>#REF!</v>
      </c>
      <c r="AN645" s="2" t="str">
        <f>IFERROR(__xludf.DUMMYFUNCTION("IMPORTRANGE(""https://docs.google.com/spreadsheets/d/""&amp;$A645&amp;""/edit#gid=156619080"",AN$3)"),"#REF!")</f>
        <v>#REF!</v>
      </c>
      <c r="AO645" s="2" t="str">
        <f>IFERROR(__xludf.DUMMYFUNCTION("IMPORTRANGE(""https://docs.google.com/spreadsheets/d/""&amp;$A645&amp;""/edit#gid=156619080"",AO$3)"),"#REF!")</f>
        <v>#REF!</v>
      </c>
      <c r="AP645" s="2" t="str">
        <f>IFERROR(__xludf.DUMMYFUNCTION("IMPORTRANGE(""https://docs.google.com/spreadsheets/d/""&amp;$A645&amp;""/edit#gid=156619080"",AP$3)"),"#REF!")</f>
        <v>#REF!</v>
      </c>
      <c r="AQ645" s="2" t="str">
        <f>IFERROR(__xludf.DUMMYFUNCTION("IMPORTRANGE(""https://docs.google.com/spreadsheets/d/""&amp;$A645&amp;""/edit#gid=156619080"",AQ$3)"),"#REF!")</f>
        <v>#REF!</v>
      </c>
      <c r="AR645" s="2" t="str">
        <f>IFERROR(__xludf.DUMMYFUNCTION("IMPORTRANGE(""https://docs.google.com/spreadsheets/d/""&amp;$A645&amp;""/edit#gid=156619080"",AR$3)"),"#REF!")</f>
        <v>#REF!</v>
      </c>
      <c r="AS645" s="19" t="str">
        <f>IFERROR(__xludf.DUMMYFUNCTION("IMPORTRANGE(""https://docs.google.com/spreadsheets/d/""&amp;$A645&amp;""/edit#gid=156619080"",AS$3)"),"#REF!")</f>
        <v>#REF!</v>
      </c>
      <c r="AT645" s="2" t="str">
        <f>IFERROR(__xludf.DUMMYFUNCTION("IMPORTRANGE(""https://docs.google.com/spreadsheets/d/""&amp;$A645&amp;""/edit#gid=156619080"",AT$3)"),"#REF!")</f>
        <v>#REF!</v>
      </c>
      <c r="AU645" s="3" t="str">
        <f>IFERROR(__xludf.DUMMYFUNCTION("IMPORTRANGE(""https://docs.google.com/spreadsheets/d/""&amp;$A645&amp;""/edit#gid=156619080"",AU$3)"),"#REF!")</f>
        <v>#REF!</v>
      </c>
      <c r="AV645" s="2" t="str">
        <f>IFERROR(__xludf.DUMMYFUNCTION("IMPORTRANGE(""https://docs.google.com/spreadsheets/d/""&amp;$A645&amp;""/edit#gid=156619080"",AV$3)"),"#REF!")</f>
        <v>#REF!</v>
      </c>
      <c r="AW645" s="19" t="str">
        <f>IFERROR(__xludf.DUMMYFUNCTION("IMPORTRANGE(""https://docs.google.com/spreadsheets/d/""&amp;$A645&amp;""/edit#gid=156619080"",AW$3)"),"#REF!")</f>
        <v>#REF!</v>
      </c>
      <c r="AX645" s="2" t="str">
        <f>IFERROR(__xludf.DUMMYFUNCTION("IMPORTRANGE(""https://docs.google.com/spreadsheets/d/""&amp;$A645&amp;""/edit#gid=156619080"",AX$3)"),"#REF!")</f>
        <v>#REF!</v>
      </c>
      <c r="AY645" s="2" t="str">
        <f>IFERROR(__xludf.DUMMYFUNCTION("IMPORTRANGE(""https://docs.google.com/spreadsheets/d/""&amp;$A645&amp;""/edit#gid=156619080"",AY$3)"),"#REF!")</f>
        <v>#REF!</v>
      </c>
      <c r="AZ645" s="2" t="str">
        <f>IFERROR(__xludf.DUMMYFUNCTION("IMPORTRANGE(""https://docs.google.com/spreadsheets/d/""&amp;$A645&amp;""/edit#gid=156619080"",AZ$3)"),"#REF!")</f>
        <v>#REF!</v>
      </c>
      <c r="BA645" s="2" t="str">
        <f>IFERROR(__xludf.DUMMYFUNCTION("IMPORTRANGE(""https://docs.google.com/spreadsheets/d/""&amp;$A645&amp;""/edit#gid=156619080"",BA$3)"),"#REF!")</f>
        <v>#REF!</v>
      </c>
      <c r="BB645" s="2" t="str">
        <f>IFERROR(__xludf.DUMMYFUNCTION("IMPORTRANGE(""https://docs.google.com/spreadsheets/d/""&amp;$A645&amp;""/edit#gid=156619080"",BB$3)"),"#REF!")</f>
        <v>#REF!</v>
      </c>
      <c r="BC645" s="2" t="str">
        <f>IFERROR(__xludf.DUMMYFUNCTION("IMPORTRANGE(""https://docs.google.com/spreadsheets/d/""&amp;$A645&amp;""/edit#gid=156619080"",BC$3)"),"#REF!")</f>
        <v>#REF!</v>
      </c>
    </row>
    <row r="646" ht="51.0" customHeight="1">
      <c r="A646" s="7" t="str">
        <f t="shared" si="5"/>
        <v/>
      </c>
      <c r="C646" s="2" t="str">
        <f>IFERROR(__xludf.DUMMYFUNCTION("IMPORTRANGE(""https://docs.google.com/spreadsheets/d/""&amp;$A646&amp;""/edit#gid=156619080"",C$3)"),"#REF!")</f>
        <v>#REF!</v>
      </c>
      <c r="D646" s="2" t="str">
        <f>IFERROR(__xludf.DUMMYFUNCTION("IMPORTRANGE(""https://docs.google.com/spreadsheets/d/""&amp;$A646&amp;""/edit#gid=156619080"",D$3)"),"#REF!")</f>
        <v>#REF!</v>
      </c>
      <c r="E646" s="2" t="str">
        <f>IFERROR(__xludf.DUMMYFUNCTION("IMPORTRANGE(""https://docs.google.com/spreadsheets/d/""&amp;$A646&amp;""/edit#gid=156619080"",E$3)"),"#REF!")</f>
        <v>#REF!</v>
      </c>
      <c r="F646" s="2" t="str">
        <f>IFERROR(__xludf.DUMMYFUNCTION("IMPORTRANGE(""https://docs.google.com/spreadsheets/d/""&amp;$A646&amp;""/edit#gid=156619080"",F$3)"),"#REF!")</f>
        <v>#REF!</v>
      </c>
      <c r="G646" s="2" t="str">
        <f>IFERROR(__xludf.DUMMYFUNCTION("IMPORTRANGE(""https://docs.google.com/spreadsheets/d/""&amp;$A646&amp;""/edit#gid=156619080"",G$3)"),"#REF!")</f>
        <v>#REF!</v>
      </c>
      <c r="H646" s="2" t="str">
        <f>IFERROR(__xludf.DUMMYFUNCTION("IMPORTRANGE(""https://docs.google.com/spreadsheets/d/""&amp;$A646&amp;""/edit#gid=156619080"",H$3)"),"#REF!")</f>
        <v>#REF!</v>
      </c>
      <c r="I646" s="2" t="str">
        <f>IFERROR(__xludf.DUMMYFUNCTION("IMPORTRANGE(""https://docs.google.com/spreadsheets/d/""&amp;$A646&amp;""/edit#gid=156619080"",I$3)"),"#REF!")</f>
        <v>#REF!</v>
      </c>
      <c r="J646" s="2" t="str">
        <f>IFERROR(__xludf.DUMMYFUNCTION("IMPORTRANGE(""https://docs.google.com/spreadsheets/d/""&amp;$A646&amp;""/edit#gid=156619080"",J$3)"),"#REF!")</f>
        <v>#REF!</v>
      </c>
      <c r="K646" s="2" t="str">
        <f>IFERROR(__xludf.DUMMYFUNCTION("IMPORTRANGE(""https://docs.google.com/spreadsheets/d/""&amp;$A646&amp;""/edit#gid=156619080"",K$3)"),"#REF!")</f>
        <v>#REF!</v>
      </c>
      <c r="L646" s="2" t="str">
        <f>IFERROR(__xludf.DUMMYFUNCTION("IMPORTRANGE(""https://docs.google.com/spreadsheets/d/""&amp;$A646&amp;""/edit#gid=156619080"",L$3)"),"#REF!")</f>
        <v>#REF!</v>
      </c>
      <c r="M646" s="2" t="str">
        <f>IFERROR(__xludf.DUMMYFUNCTION("IMPORTRANGE(""https://docs.google.com/spreadsheets/d/""&amp;$A646&amp;""/edit#gid=156619080"",M$3)"),"#REF!")</f>
        <v>#REF!</v>
      </c>
      <c r="N646" s="2" t="str">
        <f>IFERROR(__xludf.DUMMYFUNCTION("IMPORTRANGE(""https://docs.google.com/spreadsheets/d/""&amp;$A646&amp;""/edit#gid=156619080"",N$3)"),"#REF!")</f>
        <v>#REF!</v>
      </c>
      <c r="O646" s="2" t="str">
        <f>IFERROR(__xludf.DUMMYFUNCTION("IMPORTRANGE(""https://docs.google.com/spreadsheets/d/""&amp;$A646&amp;""/edit#gid=156619080"",O$3)"),"#REF!")</f>
        <v>#REF!</v>
      </c>
      <c r="P646" s="2" t="str">
        <f>IFERROR(__xludf.DUMMYFUNCTION("IMPORTRANGE(""https://docs.google.com/spreadsheets/d/""&amp;$A646&amp;""/edit#gid=156619080"",P$3)"),"#REF!")</f>
        <v>#REF!</v>
      </c>
      <c r="Q646" s="2" t="str">
        <f>IFERROR(__xludf.DUMMYFUNCTION("IMPORTRANGE(""https://docs.google.com/spreadsheets/d/""&amp;$A646&amp;""/edit#gid=156619080"",Q$3)"),"#REF!")</f>
        <v>#REF!</v>
      </c>
      <c r="R646" s="2" t="str">
        <f>IFERROR(__xludf.DUMMYFUNCTION("IMPORTRANGE(""https://docs.google.com/spreadsheets/d/""&amp;$A646&amp;""/edit#gid=156619080"",R$3)"),"#REF!")</f>
        <v>#REF!</v>
      </c>
      <c r="S646" s="2" t="str">
        <f>IFERROR(__xludf.DUMMYFUNCTION("IMPORTRANGE(""https://docs.google.com/spreadsheets/d/""&amp;$A646&amp;""/edit#gid=156619080"",S$3)"),"#REF!")</f>
        <v>#REF!</v>
      </c>
      <c r="T646" s="2" t="str">
        <f>IFERROR(__xludf.DUMMYFUNCTION("IMPORTRANGE(""https://docs.google.com/spreadsheets/d/""&amp;$A646&amp;""/edit#gid=156619080"",T$3)"),"#REF!")</f>
        <v>#REF!</v>
      </c>
      <c r="U646" s="2" t="str">
        <f>IFERROR(__xludf.DUMMYFUNCTION("IMPORTRANGE(""https://docs.google.com/spreadsheets/d/""&amp;$A646&amp;""/edit#gid=156619080"",U$3)"),"#REF!")</f>
        <v>#REF!</v>
      </c>
      <c r="V646" s="2" t="str">
        <f>IFERROR(__xludf.DUMMYFUNCTION("IMPORTRANGE(""https://docs.google.com/spreadsheets/d/""&amp;$A646&amp;""/edit#gid=156619080"",V$3)"),"#REF!")</f>
        <v>#REF!</v>
      </c>
      <c r="W646" s="2" t="str">
        <f>IFERROR(__xludf.DUMMYFUNCTION("IMPORTRANGE(""https://docs.google.com/spreadsheets/d/""&amp;$A646&amp;""/edit#gid=156619080"",W$3)"),"#REF!")</f>
        <v>#REF!</v>
      </c>
      <c r="X646" s="2" t="str">
        <f>IFERROR(__xludf.DUMMYFUNCTION("IMPORTRANGE(""https://docs.google.com/spreadsheets/d/""&amp;$A646&amp;""/edit#gid=156619080"",X$3)"),"#REF!")</f>
        <v>#REF!</v>
      </c>
      <c r="Y646" s="2" t="str">
        <f>IFERROR(__xludf.DUMMYFUNCTION("IMPORTRANGE(""https://docs.google.com/spreadsheets/d/""&amp;$A646&amp;""/edit#gid=156619080"",Y$3)"),"#REF!")</f>
        <v>#REF!</v>
      </c>
      <c r="Z646" s="2" t="str">
        <f>IFERROR(__xludf.DUMMYFUNCTION("IMPORTRANGE(""https://docs.google.com/spreadsheets/d/""&amp;$A646&amp;""/edit#gid=156619080"",Z$3)"),"#REF!")</f>
        <v>#REF!</v>
      </c>
      <c r="AA646" s="2" t="str">
        <f>IFERROR(__xludf.DUMMYFUNCTION("IMPORTRANGE(""https://docs.google.com/spreadsheets/d/""&amp;$A646&amp;""/edit#gid=156619080"",AA$3)"),"#REF!")</f>
        <v>#REF!</v>
      </c>
      <c r="AB646" s="2" t="str">
        <f>IFERROR(__xludf.DUMMYFUNCTION("IMPORTRANGE(""https://docs.google.com/spreadsheets/d/""&amp;$A646&amp;""/edit#gid=156619080"",AB$3)"),"#REF!")</f>
        <v>#REF!</v>
      </c>
      <c r="AC646" s="2" t="str">
        <f>IFERROR(__xludf.DUMMYFUNCTION("IMPORTRANGE(""https://docs.google.com/spreadsheets/d/""&amp;$A646&amp;""/edit#gid=156619080"",AC$3)"),"#REF!")</f>
        <v>#REF!</v>
      </c>
      <c r="AD646" s="2" t="str">
        <f>IFERROR(__xludf.DUMMYFUNCTION("IMPORTRANGE(""https://docs.google.com/spreadsheets/d/""&amp;$A646&amp;""/edit#gid=156619080"",AD$3)"),"#REF!")</f>
        <v>#REF!</v>
      </c>
      <c r="AE646" s="2" t="str">
        <f>IFERROR(__xludf.DUMMYFUNCTION("IMPORTRANGE(""https://docs.google.com/spreadsheets/d/""&amp;$A646&amp;""/edit#gid=156619080"",AE$3)"),"#REF!")</f>
        <v>#REF!</v>
      </c>
      <c r="AF646" s="2" t="str">
        <f>IFERROR(__xludf.DUMMYFUNCTION("IMPORTRANGE(""https://docs.google.com/spreadsheets/d/""&amp;$A646&amp;""/edit#gid=156619080"",AF$3)"),"#REF!")</f>
        <v>#REF!</v>
      </c>
      <c r="AG646" s="2" t="str">
        <f>IFERROR(__xludf.DUMMYFUNCTION("IMPORTRANGE(""https://docs.google.com/spreadsheets/d/""&amp;$A646&amp;""/edit#gid=156619080"",AG$3)"),"#REF!")</f>
        <v>#REF!</v>
      </c>
      <c r="AH646" s="2" t="str">
        <f>IFERROR(__xludf.DUMMYFUNCTION("IMPORTRANGE(""https://docs.google.com/spreadsheets/d/""&amp;$A646&amp;""/edit#gid=156619080"",AH$3)"),"#REF!")</f>
        <v>#REF!</v>
      </c>
      <c r="AI646" s="2" t="str">
        <f>IFERROR(__xludf.DUMMYFUNCTION("IMPORTRANGE(""https://docs.google.com/spreadsheets/d/""&amp;$A646&amp;""/edit#gid=156619080"",AI$3)"),"#REF!")</f>
        <v>#REF!</v>
      </c>
      <c r="AJ646" s="2" t="str">
        <f>IFERROR(__xludf.DUMMYFUNCTION("IMPORTRANGE(""https://docs.google.com/spreadsheets/d/""&amp;$A646&amp;""/edit#gid=156619080"",AJ$3)"),"#REF!")</f>
        <v>#REF!</v>
      </c>
      <c r="AK646" s="2" t="str">
        <f>IFERROR(__xludf.DUMMYFUNCTION("IMPORTRANGE(""https://docs.google.com/spreadsheets/d/""&amp;$A646&amp;""/edit#gid=156619080"",AK$3)"),"#REF!")</f>
        <v>#REF!</v>
      </c>
      <c r="AL646" s="2" t="str">
        <f>IFERROR(__xludf.DUMMYFUNCTION("IMPORTRANGE(""https://docs.google.com/spreadsheets/d/""&amp;$A646&amp;""/edit#gid=156619080"",AL$3)"),"#REF!")</f>
        <v>#REF!</v>
      </c>
      <c r="AM646" s="2" t="str">
        <f>IFERROR(__xludf.DUMMYFUNCTION("IMPORTRANGE(""https://docs.google.com/spreadsheets/d/""&amp;$A646&amp;""/edit#gid=156619080"",AM$3)"),"#REF!")</f>
        <v>#REF!</v>
      </c>
      <c r="AN646" s="2" t="str">
        <f>IFERROR(__xludf.DUMMYFUNCTION("IMPORTRANGE(""https://docs.google.com/spreadsheets/d/""&amp;$A646&amp;""/edit#gid=156619080"",AN$3)"),"#REF!")</f>
        <v>#REF!</v>
      </c>
      <c r="AO646" s="2" t="str">
        <f>IFERROR(__xludf.DUMMYFUNCTION("IMPORTRANGE(""https://docs.google.com/spreadsheets/d/""&amp;$A646&amp;""/edit#gid=156619080"",AO$3)"),"#REF!")</f>
        <v>#REF!</v>
      </c>
      <c r="AP646" s="2" t="str">
        <f>IFERROR(__xludf.DUMMYFUNCTION("IMPORTRANGE(""https://docs.google.com/spreadsheets/d/""&amp;$A646&amp;""/edit#gid=156619080"",AP$3)"),"#REF!")</f>
        <v>#REF!</v>
      </c>
      <c r="AQ646" s="2" t="str">
        <f>IFERROR(__xludf.DUMMYFUNCTION("IMPORTRANGE(""https://docs.google.com/spreadsheets/d/""&amp;$A646&amp;""/edit#gid=156619080"",AQ$3)"),"#REF!")</f>
        <v>#REF!</v>
      </c>
      <c r="AR646" s="2" t="str">
        <f>IFERROR(__xludf.DUMMYFUNCTION("IMPORTRANGE(""https://docs.google.com/spreadsheets/d/""&amp;$A646&amp;""/edit#gid=156619080"",AR$3)"),"#REF!")</f>
        <v>#REF!</v>
      </c>
      <c r="AS646" s="19" t="str">
        <f>IFERROR(__xludf.DUMMYFUNCTION("IMPORTRANGE(""https://docs.google.com/spreadsheets/d/""&amp;$A646&amp;""/edit#gid=156619080"",AS$3)"),"#REF!")</f>
        <v>#REF!</v>
      </c>
      <c r="AT646" s="2" t="str">
        <f>IFERROR(__xludf.DUMMYFUNCTION("IMPORTRANGE(""https://docs.google.com/spreadsheets/d/""&amp;$A646&amp;""/edit#gid=156619080"",AT$3)"),"#REF!")</f>
        <v>#REF!</v>
      </c>
      <c r="AU646" s="3" t="str">
        <f>IFERROR(__xludf.DUMMYFUNCTION("IMPORTRANGE(""https://docs.google.com/spreadsheets/d/""&amp;$A646&amp;""/edit#gid=156619080"",AU$3)"),"#REF!")</f>
        <v>#REF!</v>
      </c>
      <c r="AV646" s="2" t="str">
        <f>IFERROR(__xludf.DUMMYFUNCTION("IMPORTRANGE(""https://docs.google.com/spreadsheets/d/""&amp;$A646&amp;""/edit#gid=156619080"",AV$3)"),"#REF!")</f>
        <v>#REF!</v>
      </c>
      <c r="AW646" s="19" t="str">
        <f>IFERROR(__xludf.DUMMYFUNCTION("IMPORTRANGE(""https://docs.google.com/spreadsheets/d/""&amp;$A646&amp;""/edit#gid=156619080"",AW$3)"),"#REF!")</f>
        <v>#REF!</v>
      </c>
      <c r="AX646" s="2" t="str">
        <f>IFERROR(__xludf.DUMMYFUNCTION("IMPORTRANGE(""https://docs.google.com/spreadsheets/d/""&amp;$A646&amp;""/edit#gid=156619080"",AX$3)"),"#REF!")</f>
        <v>#REF!</v>
      </c>
      <c r="AY646" s="2" t="str">
        <f>IFERROR(__xludf.DUMMYFUNCTION("IMPORTRANGE(""https://docs.google.com/spreadsheets/d/""&amp;$A646&amp;""/edit#gid=156619080"",AY$3)"),"#REF!")</f>
        <v>#REF!</v>
      </c>
      <c r="AZ646" s="2" t="str">
        <f>IFERROR(__xludf.DUMMYFUNCTION("IMPORTRANGE(""https://docs.google.com/spreadsheets/d/""&amp;$A646&amp;""/edit#gid=156619080"",AZ$3)"),"#REF!")</f>
        <v>#REF!</v>
      </c>
      <c r="BA646" s="2" t="str">
        <f>IFERROR(__xludf.DUMMYFUNCTION("IMPORTRANGE(""https://docs.google.com/spreadsheets/d/""&amp;$A646&amp;""/edit#gid=156619080"",BA$3)"),"#REF!")</f>
        <v>#REF!</v>
      </c>
      <c r="BB646" s="2" t="str">
        <f>IFERROR(__xludf.DUMMYFUNCTION("IMPORTRANGE(""https://docs.google.com/spreadsheets/d/""&amp;$A646&amp;""/edit#gid=156619080"",BB$3)"),"#REF!")</f>
        <v>#REF!</v>
      </c>
      <c r="BC646" s="2" t="str">
        <f>IFERROR(__xludf.DUMMYFUNCTION("IMPORTRANGE(""https://docs.google.com/spreadsheets/d/""&amp;$A646&amp;""/edit#gid=156619080"",BC$3)"),"#REF!")</f>
        <v>#REF!</v>
      </c>
    </row>
    <row r="647" ht="51.0" customHeight="1">
      <c r="A647" s="7" t="str">
        <f t="shared" si="5"/>
        <v/>
      </c>
      <c r="C647" s="2" t="str">
        <f>IFERROR(__xludf.DUMMYFUNCTION("IMPORTRANGE(""https://docs.google.com/spreadsheets/d/""&amp;$A647&amp;""/edit#gid=156619080"",C$3)"),"#REF!")</f>
        <v>#REF!</v>
      </c>
      <c r="D647" s="2" t="str">
        <f>IFERROR(__xludf.DUMMYFUNCTION("IMPORTRANGE(""https://docs.google.com/spreadsheets/d/""&amp;$A647&amp;""/edit#gid=156619080"",D$3)"),"#REF!")</f>
        <v>#REF!</v>
      </c>
      <c r="E647" s="2" t="str">
        <f>IFERROR(__xludf.DUMMYFUNCTION("IMPORTRANGE(""https://docs.google.com/spreadsheets/d/""&amp;$A647&amp;""/edit#gid=156619080"",E$3)"),"#REF!")</f>
        <v>#REF!</v>
      </c>
      <c r="F647" s="2" t="str">
        <f>IFERROR(__xludf.DUMMYFUNCTION("IMPORTRANGE(""https://docs.google.com/spreadsheets/d/""&amp;$A647&amp;""/edit#gid=156619080"",F$3)"),"#REF!")</f>
        <v>#REF!</v>
      </c>
      <c r="G647" s="2" t="str">
        <f>IFERROR(__xludf.DUMMYFUNCTION("IMPORTRANGE(""https://docs.google.com/spreadsheets/d/""&amp;$A647&amp;""/edit#gid=156619080"",G$3)"),"#REF!")</f>
        <v>#REF!</v>
      </c>
      <c r="H647" s="2" t="str">
        <f>IFERROR(__xludf.DUMMYFUNCTION("IMPORTRANGE(""https://docs.google.com/spreadsheets/d/""&amp;$A647&amp;""/edit#gid=156619080"",H$3)"),"#REF!")</f>
        <v>#REF!</v>
      </c>
      <c r="I647" s="2" t="str">
        <f>IFERROR(__xludf.DUMMYFUNCTION("IMPORTRANGE(""https://docs.google.com/spreadsheets/d/""&amp;$A647&amp;""/edit#gid=156619080"",I$3)"),"#REF!")</f>
        <v>#REF!</v>
      </c>
      <c r="J647" s="2" t="str">
        <f>IFERROR(__xludf.DUMMYFUNCTION("IMPORTRANGE(""https://docs.google.com/spreadsheets/d/""&amp;$A647&amp;""/edit#gid=156619080"",J$3)"),"#REF!")</f>
        <v>#REF!</v>
      </c>
      <c r="K647" s="2" t="str">
        <f>IFERROR(__xludf.DUMMYFUNCTION("IMPORTRANGE(""https://docs.google.com/spreadsheets/d/""&amp;$A647&amp;""/edit#gid=156619080"",K$3)"),"#REF!")</f>
        <v>#REF!</v>
      </c>
      <c r="L647" s="2" t="str">
        <f>IFERROR(__xludf.DUMMYFUNCTION("IMPORTRANGE(""https://docs.google.com/spreadsheets/d/""&amp;$A647&amp;""/edit#gid=156619080"",L$3)"),"#REF!")</f>
        <v>#REF!</v>
      </c>
      <c r="M647" s="2" t="str">
        <f>IFERROR(__xludf.DUMMYFUNCTION("IMPORTRANGE(""https://docs.google.com/spreadsheets/d/""&amp;$A647&amp;""/edit#gid=156619080"",M$3)"),"#REF!")</f>
        <v>#REF!</v>
      </c>
      <c r="N647" s="2" t="str">
        <f>IFERROR(__xludf.DUMMYFUNCTION("IMPORTRANGE(""https://docs.google.com/spreadsheets/d/""&amp;$A647&amp;""/edit#gid=156619080"",N$3)"),"#REF!")</f>
        <v>#REF!</v>
      </c>
      <c r="O647" s="2" t="str">
        <f>IFERROR(__xludf.DUMMYFUNCTION("IMPORTRANGE(""https://docs.google.com/spreadsheets/d/""&amp;$A647&amp;""/edit#gid=156619080"",O$3)"),"#REF!")</f>
        <v>#REF!</v>
      </c>
      <c r="P647" s="2" t="str">
        <f>IFERROR(__xludf.DUMMYFUNCTION("IMPORTRANGE(""https://docs.google.com/spreadsheets/d/""&amp;$A647&amp;""/edit#gid=156619080"",P$3)"),"#REF!")</f>
        <v>#REF!</v>
      </c>
      <c r="Q647" s="2" t="str">
        <f>IFERROR(__xludf.DUMMYFUNCTION("IMPORTRANGE(""https://docs.google.com/spreadsheets/d/""&amp;$A647&amp;""/edit#gid=156619080"",Q$3)"),"#REF!")</f>
        <v>#REF!</v>
      </c>
      <c r="R647" s="2" t="str">
        <f>IFERROR(__xludf.DUMMYFUNCTION("IMPORTRANGE(""https://docs.google.com/spreadsheets/d/""&amp;$A647&amp;""/edit#gid=156619080"",R$3)"),"#REF!")</f>
        <v>#REF!</v>
      </c>
      <c r="S647" s="2" t="str">
        <f>IFERROR(__xludf.DUMMYFUNCTION("IMPORTRANGE(""https://docs.google.com/spreadsheets/d/""&amp;$A647&amp;""/edit#gid=156619080"",S$3)"),"#REF!")</f>
        <v>#REF!</v>
      </c>
      <c r="T647" s="2" t="str">
        <f>IFERROR(__xludf.DUMMYFUNCTION("IMPORTRANGE(""https://docs.google.com/spreadsheets/d/""&amp;$A647&amp;""/edit#gid=156619080"",T$3)"),"#REF!")</f>
        <v>#REF!</v>
      </c>
      <c r="U647" s="2" t="str">
        <f>IFERROR(__xludf.DUMMYFUNCTION("IMPORTRANGE(""https://docs.google.com/spreadsheets/d/""&amp;$A647&amp;""/edit#gid=156619080"",U$3)"),"#REF!")</f>
        <v>#REF!</v>
      </c>
      <c r="V647" s="2" t="str">
        <f>IFERROR(__xludf.DUMMYFUNCTION("IMPORTRANGE(""https://docs.google.com/spreadsheets/d/""&amp;$A647&amp;""/edit#gid=156619080"",V$3)"),"#REF!")</f>
        <v>#REF!</v>
      </c>
      <c r="W647" s="2" t="str">
        <f>IFERROR(__xludf.DUMMYFUNCTION("IMPORTRANGE(""https://docs.google.com/spreadsheets/d/""&amp;$A647&amp;""/edit#gid=156619080"",W$3)"),"#REF!")</f>
        <v>#REF!</v>
      </c>
      <c r="X647" s="2" t="str">
        <f>IFERROR(__xludf.DUMMYFUNCTION("IMPORTRANGE(""https://docs.google.com/spreadsheets/d/""&amp;$A647&amp;""/edit#gid=156619080"",X$3)"),"#REF!")</f>
        <v>#REF!</v>
      </c>
      <c r="Y647" s="2" t="str">
        <f>IFERROR(__xludf.DUMMYFUNCTION("IMPORTRANGE(""https://docs.google.com/spreadsheets/d/""&amp;$A647&amp;""/edit#gid=156619080"",Y$3)"),"#REF!")</f>
        <v>#REF!</v>
      </c>
      <c r="Z647" s="2" t="str">
        <f>IFERROR(__xludf.DUMMYFUNCTION("IMPORTRANGE(""https://docs.google.com/spreadsheets/d/""&amp;$A647&amp;""/edit#gid=156619080"",Z$3)"),"#REF!")</f>
        <v>#REF!</v>
      </c>
      <c r="AA647" s="2" t="str">
        <f>IFERROR(__xludf.DUMMYFUNCTION("IMPORTRANGE(""https://docs.google.com/spreadsheets/d/""&amp;$A647&amp;""/edit#gid=156619080"",AA$3)"),"#REF!")</f>
        <v>#REF!</v>
      </c>
      <c r="AB647" s="2" t="str">
        <f>IFERROR(__xludf.DUMMYFUNCTION("IMPORTRANGE(""https://docs.google.com/spreadsheets/d/""&amp;$A647&amp;""/edit#gid=156619080"",AB$3)"),"#REF!")</f>
        <v>#REF!</v>
      </c>
      <c r="AC647" s="2" t="str">
        <f>IFERROR(__xludf.DUMMYFUNCTION("IMPORTRANGE(""https://docs.google.com/spreadsheets/d/""&amp;$A647&amp;""/edit#gid=156619080"",AC$3)"),"#REF!")</f>
        <v>#REF!</v>
      </c>
      <c r="AD647" s="2" t="str">
        <f>IFERROR(__xludf.DUMMYFUNCTION("IMPORTRANGE(""https://docs.google.com/spreadsheets/d/""&amp;$A647&amp;""/edit#gid=156619080"",AD$3)"),"#REF!")</f>
        <v>#REF!</v>
      </c>
      <c r="AE647" s="2" t="str">
        <f>IFERROR(__xludf.DUMMYFUNCTION("IMPORTRANGE(""https://docs.google.com/spreadsheets/d/""&amp;$A647&amp;""/edit#gid=156619080"",AE$3)"),"#REF!")</f>
        <v>#REF!</v>
      </c>
      <c r="AF647" s="2" t="str">
        <f>IFERROR(__xludf.DUMMYFUNCTION("IMPORTRANGE(""https://docs.google.com/spreadsheets/d/""&amp;$A647&amp;""/edit#gid=156619080"",AF$3)"),"#REF!")</f>
        <v>#REF!</v>
      </c>
      <c r="AG647" s="2" t="str">
        <f>IFERROR(__xludf.DUMMYFUNCTION("IMPORTRANGE(""https://docs.google.com/spreadsheets/d/""&amp;$A647&amp;""/edit#gid=156619080"",AG$3)"),"#REF!")</f>
        <v>#REF!</v>
      </c>
      <c r="AH647" s="2" t="str">
        <f>IFERROR(__xludf.DUMMYFUNCTION("IMPORTRANGE(""https://docs.google.com/spreadsheets/d/""&amp;$A647&amp;""/edit#gid=156619080"",AH$3)"),"#REF!")</f>
        <v>#REF!</v>
      </c>
      <c r="AI647" s="2" t="str">
        <f>IFERROR(__xludf.DUMMYFUNCTION("IMPORTRANGE(""https://docs.google.com/spreadsheets/d/""&amp;$A647&amp;""/edit#gid=156619080"",AI$3)"),"#REF!")</f>
        <v>#REF!</v>
      </c>
      <c r="AJ647" s="2" t="str">
        <f>IFERROR(__xludf.DUMMYFUNCTION("IMPORTRANGE(""https://docs.google.com/spreadsheets/d/""&amp;$A647&amp;""/edit#gid=156619080"",AJ$3)"),"#REF!")</f>
        <v>#REF!</v>
      </c>
      <c r="AK647" s="2" t="str">
        <f>IFERROR(__xludf.DUMMYFUNCTION("IMPORTRANGE(""https://docs.google.com/spreadsheets/d/""&amp;$A647&amp;""/edit#gid=156619080"",AK$3)"),"#REF!")</f>
        <v>#REF!</v>
      </c>
      <c r="AL647" s="2" t="str">
        <f>IFERROR(__xludf.DUMMYFUNCTION("IMPORTRANGE(""https://docs.google.com/spreadsheets/d/""&amp;$A647&amp;""/edit#gid=156619080"",AL$3)"),"#REF!")</f>
        <v>#REF!</v>
      </c>
      <c r="AM647" s="2" t="str">
        <f>IFERROR(__xludf.DUMMYFUNCTION("IMPORTRANGE(""https://docs.google.com/spreadsheets/d/""&amp;$A647&amp;""/edit#gid=156619080"",AM$3)"),"#REF!")</f>
        <v>#REF!</v>
      </c>
      <c r="AN647" s="2" t="str">
        <f>IFERROR(__xludf.DUMMYFUNCTION("IMPORTRANGE(""https://docs.google.com/spreadsheets/d/""&amp;$A647&amp;""/edit#gid=156619080"",AN$3)"),"#REF!")</f>
        <v>#REF!</v>
      </c>
      <c r="AO647" s="2" t="str">
        <f>IFERROR(__xludf.DUMMYFUNCTION("IMPORTRANGE(""https://docs.google.com/spreadsheets/d/""&amp;$A647&amp;""/edit#gid=156619080"",AO$3)"),"#REF!")</f>
        <v>#REF!</v>
      </c>
      <c r="AP647" s="2" t="str">
        <f>IFERROR(__xludf.DUMMYFUNCTION("IMPORTRANGE(""https://docs.google.com/spreadsheets/d/""&amp;$A647&amp;""/edit#gid=156619080"",AP$3)"),"#REF!")</f>
        <v>#REF!</v>
      </c>
      <c r="AQ647" s="2" t="str">
        <f>IFERROR(__xludf.DUMMYFUNCTION("IMPORTRANGE(""https://docs.google.com/spreadsheets/d/""&amp;$A647&amp;""/edit#gid=156619080"",AQ$3)"),"#REF!")</f>
        <v>#REF!</v>
      </c>
      <c r="AR647" s="2" t="str">
        <f>IFERROR(__xludf.DUMMYFUNCTION("IMPORTRANGE(""https://docs.google.com/spreadsheets/d/""&amp;$A647&amp;""/edit#gid=156619080"",AR$3)"),"#REF!")</f>
        <v>#REF!</v>
      </c>
      <c r="AS647" s="19" t="str">
        <f>IFERROR(__xludf.DUMMYFUNCTION("IMPORTRANGE(""https://docs.google.com/spreadsheets/d/""&amp;$A647&amp;""/edit#gid=156619080"",AS$3)"),"#REF!")</f>
        <v>#REF!</v>
      </c>
      <c r="AT647" s="2" t="str">
        <f>IFERROR(__xludf.DUMMYFUNCTION("IMPORTRANGE(""https://docs.google.com/spreadsheets/d/""&amp;$A647&amp;""/edit#gid=156619080"",AT$3)"),"#REF!")</f>
        <v>#REF!</v>
      </c>
      <c r="AU647" s="3" t="str">
        <f>IFERROR(__xludf.DUMMYFUNCTION("IMPORTRANGE(""https://docs.google.com/spreadsheets/d/""&amp;$A647&amp;""/edit#gid=156619080"",AU$3)"),"#REF!")</f>
        <v>#REF!</v>
      </c>
      <c r="AV647" s="2" t="str">
        <f>IFERROR(__xludf.DUMMYFUNCTION("IMPORTRANGE(""https://docs.google.com/spreadsheets/d/""&amp;$A647&amp;""/edit#gid=156619080"",AV$3)"),"#REF!")</f>
        <v>#REF!</v>
      </c>
      <c r="AW647" s="19" t="str">
        <f>IFERROR(__xludf.DUMMYFUNCTION("IMPORTRANGE(""https://docs.google.com/spreadsheets/d/""&amp;$A647&amp;""/edit#gid=156619080"",AW$3)"),"#REF!")</f>
        <v>#REF!</v>
      </c>
      <c r="AX647" s="2" t="str">
        <f>IFERROR(__xludf.DUMMYFUNCTION("IMPORTRANGE(""https://docs.google.com/spreadsheets/d/""&amp;$A647&amp;""/edit#gid=156619080"",AX$3)"),"#REF!")</f>
        <v>#REF!</v>
      </c>
      <c r="AY647" s="2" t="str">
        <f>IFERROR(__xludf.DUMMYFUNCTION("IMPORTRANGE(""https://docs.google.com/spreadsheets/d/""&amp;$A647&amp;""/edit#gid=156619080"",AY$3)"),"#REF!")</f>
        <v>#REF!</v>
      </c>
      <c r="AZ647" s="2" t="str">
        <f>IFERROR(__xludf.DUMMYFUNCTION("IMPORTRANGE(""https://docs.google.com/spreadsheets/d/""&amp;$A647&amp;""/edit#gid=156619080"",AZ$3)"),"#REF!")</f>
        <v>#REF!</v>
      </c>
      <c r="BA647" s="2" t="str">
        <f>IFERROR(__xludf.DUMMYFUNCTION("IMPORTRANGE(""https://docs.google.com/spreadsheets/d/""&amp;$A647&amp;""/edit#gid=156619080"",BA$3)"),"#REF!")</f>
        <v>#REF!</v>
      </c>
      <c r="BB647" s="2" t="str">
        <f>IFERROR(__xludf.DUMMYFUNCTION("IMPORTRANGE(""https://docs.google.com/spreadsheets/d/""&amp;$A647&amp;""/edit#gid=156619080"",BB$3)"),"#REF!")</f>
        <v>#REF!</v>
      </c>
      <c r="BC647" s="2" t="str">
        <f>IFERROR(__xludf.DUMMYFUNCTION("IMPORTRANGE(""https://docs.google.com/spreadsheets/d/""&amp;$A647&amp;""/edit#gid=156619080"",BC$3)"),"#REF!")</f>
        <v>#REF!</v>
      </c>
    </row>
    <row r="648" ht="51.0" customHeight="1">
      <c r="A648" s="7" t="str">
        <f t="shared" si="5"/>
        <v/>
      </c>
      <c r="C648" s="2" t="str">
        <f>IFERROR(__xludf.DUMMYFUNCTION("IMPORTRANGE(""https://docs.google.com/spreadsheets/d/""&amp;$A648&amp;""/edit#gid=156619080"",C$3)"),"#REF!")</f>
        <v>#REF!</v>
      </c>
      <c r="D648" s="2" t="str">
        <f>IFERROR(__xludf.DUMMYFUNCTION("IMPORTRANGE(""https://docs.google.com/spreadsheets/d/""&amp;$A648&amp;""/edit#gid=156619080"",D$3)"),"#REF!")</f>
        <v>#REF!</v>
      </c>
      <c r="E648" s="2" t="str">
        <f>IFERROR(__xludf.DUMMYFUNCTION("IMPORTRANGE(""https://docs.google.com/spreadsheets/d/""&amp;$A648&amp;""/edit#gid=156619080"",E$3)"),"#REF!")</f>
        <v>#REF!</v>
      </c>
      <c r="F648" s="2" t="str">
        <f>IFERROR(__xludf.DUMMYFUNCTION("IMPORTRANGE(""https://docs.google.com/spreadsheets/d/""&amp;$A648&amp;""/edit#gid=156619080"",F$3)"),"#REF!")</f>
        <v>#REF!</v>
      </c>
      <c r="G648" s="2" t="str">
        <f>IFERROR(__xludf.DUMMYFUNCTION("IMPORTRANGE(""https://docs.google.com/spreadsheets/d/""&amp;$A648&amp;""/edit#gid=156619080"",G$3)"),"#REF!")</f>
        <v>#REF!</v>
      </c>
      <c r="H648" s="2" t="str">
        <f>IFERROR(__xludf.DUMMYFUNCTION("IMPORTRANGE(""https://docs.google.com/spreadsheets/d/""&amp;$A648&amp;""/edit#gid=156619080"",H$3)"),"#REF!")</f>
        <v>#REF!</v>
      </c>
      <c r="I648" s="2" t="str">
        <f>IFERROR(__xludf.DUMMYFUNCTION("IMPORTRANGE(""https://docs.google.com/spreadsheets/d/""&amp;$A648&amp;""/edit#gid=156619080"",I$3)"),"#REF!")</f>
        <v>#REF!</v>
      </c>
      <c r="J648" s="2" t="str">
        <f>IFERROR(__xludf.DUMMYFUNCTION("IMPORTRANGE(""https://docs.google.com/spreadsheets/d/""&amp;$A648&amp;""/edit#gid=156619080"",J$3)"),"#REF!")</f>
        <v>#REF!</v>
      </c>
      <c r="K648" s="2" t="str">
        <f>IFERROR(__xludf.DUMMYFUNCTION("IMPORTRANGE(""https://docs.google.com/spreadsheets/d/""&amp;$A648&amp;""/edit#gid=156619080"",K$3)"),"#REF!")</f>
        <v>#REF!</v>
      </c>
      <c r="L648" s="2" t="str">
        <f>IFERROR(__xludf.DUMMYFUNCTION("IMPORTRANGE(""https://docs.google.com/spreadsheets/d/""&amp;$A648&amp;""/edit#gid=156619080"",L$3)"),"#REF!")</f>
        <v>#REF!</v>
      </c>
      <c r="M648" s="2" t="str">
        <f>IFERROR(__xludf.DUMMYFUNCTION("IMPORTRANGE(""https://docs.google.com/spreadsheets/d/""&amp;$A648&amp;""/edit#gid=156619080"",M$3)"),"#REF!")</f>
        <v>#REF!</v>
      </c>
      <c r="N648" s="2" t="str">
        <f>IFERROR(__xludf.DUMMYFUNCTION("IMPORTRANGE(""https://docs.google.com/spreadsheets/d/""&amp;$A648&amp;""/edit#gid=156619080"",N$3)"),"#REF!")</f>
        <v>#REF!</v>
      </c>
      <c r="O648" s="2" t="str">
        <f>IFERROR(__xludf.DUMMYFUNCTION("IMPORTRANGE(""https://docs.google.com/spreadsheets/d/""&amp;$A648&amp;""/edit#gid=156619080"",O$3)"),"#REF!")</f>
        <v>#REF!</v>
      </c>
      <c r="P648" s="2" t="str">
        <f>IFERROR(__xludf.DUMMYFUNCTION("IMPORTRANGE(""https://docs.google.com/spreadsheets/d/""&amp;$A648&amp;""/edit#gid=156619080"",P$3)"),"#REF!")</f>
        <v>#REF!</v>
      </c>
      <c r="Q648" s="2" t="str">
        <f>IFERROR(__xludf.DUMMYFUNCTION("IMPORTRANGE(""https://docs.google.com/spreadsheets/d/""&amp;$A648&amp;""/edit#gid=156619080"",Q$3)"),"#REF!")</f>
        <v>#REF!</v>
      </c>
      <c r="R648" s="2" t="str">
        <f>IFERROR(__xludf.DUMMYFUNCTION("IMPORTRANGE(""https://docs.google.com/spreadsheets/d/""&amp;$A648&amp;""/edit#gid=156619080"",R$3)"),"#REF!")</f>
        <v>#REF!</v>
      </c>
      <c r="S648" s="2" t="str">
        <f>IFERROR(__xludf.DUMMYFUNCTION("IMPORTRANGE(""https://docs.google.com/spreadsheets/d/""&amp;$A648&amp;""/edit#gid=156619080"",S$3)"),"#REF!")</f>
        <v>#REF!</v>
      </c>
      <c r="T648" s="2" t="str">
        <f>IFERROR(__xludf.DUMMYFUNCTION("IMPORTRANGE(""https://docs.google.com/spreadsheets/d/""&amp;$A648&amp;""/edit#gid=156619080"",T$3)"),"#REF!")</f>
        <v>#REF!</v>
      </c>
      <c r="U648" s="2" t="str">
        <f>IFERROR(__xludf.DUMMYFUNCTION("IMPORTRANGE(""https://docs.google.com/spreadsheets/d/""&amp;$A648&amp;""/edit#gid=156619080"",U$3)"),"#REF!")</f>
        <v>#REF!</v>
      </c>
      <c r="V648" s="2" t="str">
        <f>IFERROR(__xludf.DUMMYFUNCTION("IMPORTRANGE(""https://docs.google.com/spreadsheets/d/""&amp;$A648&amp;""/edit#gid=156619080"",V$3)"),"#REF!")</f>
        <v>#REF!</v>
      </c>
      <c r="W648" s="2" t="str">
        <f>IFERROR(__xludf.DUMMYFUNCTION("IMPORTRANGE(""https://docs.google.com/spreadsheets/d/""&amp;$A648&amp;""/edit#gid=156619080"",W$3)"),"#REF!")</f>
        <v>#REF!</v>
      </c>
      <c r="X648" s="2" t="str">
        <f>IFERROR(__xludf.DUMMYFUNCTION("IMPORTRANGE(""https://docs.google.com/spreadsheets/d/""&amp;$A648&amp;""/edit#gid=156619080"",X$3)"),"#REF!")</f>
        <v>#REF!</v>
      </c>
      <c r="Y648" s="2" t="str">
        <f>IFERROR(__xludf.DUMMYFUNCTION("IMPORTRANGE(""https://docs.google.com/spreadsheets/d/""&amp;$A648&amp;""/edit#gid=156619080"",Y$3)"),"#REF!")</f>
        <v>#REF!</v>
      </c>
      <c r="Z648" s="2" t="str">
        <f>IFERROR(__xludf.DUMMYFUNCTION("IMPORTRANGE(""https://docs.google.com/spreadsheets/d/""&amp;$A648&amp;""/edit#gid=156619080"",Z$3)"),"#REF!")</f>
        <v>#REF!</v>
      </c>
      <c r="AA648" s="2" t="str">
        <f>IFERROR(__xludf.DUMMYFUNCTION("IMPORTRANGE(""https://docs.google.com/spreadsheets/d/""&amp;$A648&amp;""/edit#gid=156619080"",AA$3)"),"#REF!")</f>
        <v>#REF!</v>
      </c>
      <c r="AB648" s="2" t="str">
        <f>IFERROR(__xludf.DUMMYFUNCTION("IMPORTRANGE(""https://docs.google.com/spreadsheets/d/""&amp;$A648&amp;""/edit#gid=156619080"",AB$3)"),"#REF!")</f>
        <v>#REF!</v>
      </c>
      <c r="AC648" s="2" t="str">
        <f>IFERROR(__xludf.DUMMYFUNCTION("IMPORTRANGE(""https://docs.google.com/spreadsheets/d/""&amp;$A648&amp;""/edit#gid=156619080"",AC$3)"),"#REF!")</f>
        <v>#REF!</v>
      </c>
      <c r="AD648" s="2" t="str">
        <f>IFERROR(__xludf.DUMMYFUNCTION("IMPORTRANGE(""https://docs.google.com/spreadsheets/d/""&amp;$A648&amp;""/edit#gid=156619080"",AD$3)"),"#REF!")</f>
        <v>#REF!</v>
      </c>
      <c r="AE648" s="2" t="str">
        <f>IFERROR(__xludf.DUMMYFUNCTION("IMPORTRANGE(""https://docs.google.com/spreadsheets/d/""&amp;$A648&amp;""/edit#gid=156619080"",AE$3)"),"#REF!")</f>
        <v>#REF!</v>
      </c>
      <c r="AF648" s="2" t="str">
        <f>IFERROR(__xludf.DUMMYFUNCTION("IMPORTRANGE(""https://docs.google.com/spreadsheets/d/""&amp;$A648&amp;""/edit#gid=156619080"",AF$3)"),"#REF!")</f>
        <v>#REF!</v>
      </c>
      <c r="AG648" s="2" t="str">
        <f>IFERROR(__xludf.DUMMYFUNCTION("IMPORTRANGE(""https://docs.google.com/spreadsheets/d/""&amp;$A648&amp;""/edit#gid=156619080"",AG$3)"),"#REF!")</f>
        <v>#REF!</v>
      </c>
      <c r="AH648" s="2" t="str">
        <f>IFERROR(__xludf.DUMMYFUNCTION("IMPORTRANGE(""https://docs.google.com/spreadsheets/d/""&amp;$A648&amp;""/edit#gid=156619080"",AH$3)"),"#REF!")</f>
        <v>#REF!</v>
      </c>
      <c r="AI648" s="2" t="str">
        <f>IFERROR(__xludf.DUMMYFUNCTION("IMPORTRANGE(""https://docs.google.com/spreadsheets/d/""&amp;$A648&amp;""/edit#gid=156619080"",AI$3)"),"#REF!")</f>
        <v>#REF!</v>
      </c>
      <c r="AJ648" s="2" t="str">
        <f>IFERROR(__xludf.DUMMYFUNCTION("IMPORTRANGE(""https://docs.google.com/spreadsheets/d/""&amp;$A648&amp;""/edit#gid=156619080"",AJ$3)"),"#REF!")</f>
        <v>#REF!</v>
      </c>
      <c r="AK648" s="2" t="str">
        <f>IFERROR(__xludf.DUMMYFUNCTION("IMPORTRANGE(""https://docs.google.com/spreadsheets/d/""&amp;$A648&amp;""/edit#gid=156619080"",AK$3)"),"#REF!")</f>
        <v>#REF!</v>
      </c>
      <c r="AL648" s="2" t="str">
        <f>IFERROR(__xludf.DUMMYFUNCTION("IMPORTRANGE(""https://docs.google.com/spreadsheets/d/""&amp;$A648&amp;""/edit#gid=156619080"",AL$3)"),"#REF!")</f>
        <v>#REF!</v>
      </c>
      <c r="AM648" s="2" t="str">
        <f>IFERROR(__xludf.DUMMYFUNCTION("IMPORTRANGE(""https://docs.google.com/spreadsheets/d/""&amp;$A648&amp;""/edit#gid=156619080"",AM$3)"),"#REF!")</f>
        <v>#REF!</v>
      </c>
      <c r="AN648" s="2" t="str">
        <f>IFERROR(__xludf.DUMMYFUNCTION("IMPORTRANGE(""https://docs.google.com/spreadsheets/d/""&amp;$A648&amp;""/edit#gid=156619080"",AN$3)"),"#REF!")</f>
        <v>#REF!</v>
      </c>
      <c r="AO648" s="2" t="str">
        <f>IFERROR(__xludf.DUMMYFUNCTION("IMPORTRANGE(""https://docs.google.com/spreadsheets/d/""&amp;$A648&amp;""/edit#gid=156619080"",AO$3)"),"#REF!")</f>
        <v>#REF!</v>
      </c>
      <c r="AP648" s="2" t="str">
        <f>IFERROR(__xludf.DUMMYFUNCTION("IMPORTRANGE(""https://docs.google.com/spreadsheets/d/""&amp;$A648&amp;""/edit#gid=156619080"",AP$3)"),"#REF!")</f>
        <v>#REF!</v>
      </c>
      <c r="AQ648" s="2" t="str">
        <f>IFERROR(__xludf.DUMMYFUNCTION("IMPORTRANGE(""https://docs.google.com/spreadsheets/d/""&amp;$A648&amp;""/edit#gid=156619080"",AQ$3)"),"#REF!")</f>
        <v>#REF!</v>
      </c>
      <c r="AR648" s="2" t="str">
        <f>IFERROR(__xludf.DUMMYFUNCTION("IMPORTRANGE(""https://docs.google.com/spreadsheets/d/""&amp;$A648&amp;""/edit#gid=156619080"",AR$3)"),"#REF!")</f>
        <v>#REF!</v>
      </c>
      <c r="AS648" s="19" t="str">
        <f>IFERROR(__xludf.DUMMYFUNCTION("IMPORTRANGE(""https://docs.google.com/spreadsheets/d/""&amp;$A648&amp;""/edit#gid=156619080"",AS$3)"),"#REF!")</f>
        <v>#REF!</v>
      </c>
      <c r="AT648" s="2" t="str">
        <f>IFERROR(__xludf.DUMMYFUNCTION("IMPORTRANGE(""https://docs.google.com/spreadsheets/d/""&amp;$A648&amp;""/edit#gid=156619080"",AT$3)"),"#REF!")</f>
        <v>#REF!</v>
      </c>
      <c r="AU648" s="3" t="str">
        <f>IFERROR(__xludf.DUMMYFUNCTION("IMPORTRANGE(""https://docs.google.com/spreadsheets/d/""&amp;$A648&amp;""/edit#gid=156619080"",AU$3)"),"#REF!")</f>
        <v>#REF!</v>
      </c>
      <c r="AV648" s="2" t="str">
        <f>IFERROR(__xludf.DUMMYFUNCTION("IMPORTRANGE(""https://docs.google.com/spreadsheets/d/""&amp;$A648&amp;""/edit#gid=156619080"",AV$3)"),"#REF!")</f>
        <v>#REF!</v>
      </c>
      <c r="AW648" s="19" t="str">
        <f>IFERROR(__xludf.DUMMYFUNCTION("IMPORTRANGE(""https://docs.google.com/spreadsheets/d/""&amp;$A648&amp;""/edit#gid=156619080"",AW$3)"),"#REF!")</f>
        <v>#REF!</v>
      </c>
      <c r="AX648" s="2" t="str">
        <f>IFERROR(__xludf.DUMMYFUNCTION("IMPORTRANGE(""https://docs.google.com/spreadsheets/d/""&amp;$A648&amp;""/edit#gid=156619080"",AX$3)"),"#REF!")</f>
        <v>#REF!</v>
      </c>
      <c r="AY648" s="2" t="str">
        <f>IFERROR(__xludf.DUMMYFUNCTION("IMPORTRANGE(""https://docs.google.com/spreadsheets/d/""&amp;$A648&amp;""/edit#gid=156619080"",AY$3)"),"#REF!")</f>
        <v>#REF!</v>
      </c>
      <c r="AZ648" s="2" t="str">
        <f>IFERROR(__xludf.DUMMYFUNCTION("IMPORTRANGE(""https://docs.google.com/spreadsheets/d/""&amp;$A648&amp;""/edit#gid=156619080"",AZ$3)"),"#REF!")</f>
        <v>#REF!</v>
      </c>
      <c r="BA648" s="2" t="str">
        <f>IFERROR(__xludf.DUMMYFUNCTION("IMPORTRANGE(""https://docs.google.com/spreadsheets/d/""&amp;$A648&amp;""/edit#gid=156619080"",BA$3)"),"#REF!")</f>
        <v>#REF!</v>
      </c>
      <c r="BB648" s="2" t="str">
        <f>IFERROR(__xludf.DUMMYFUNCTION("IMPORTRANGE(""https://docs.google.com/spreadsheets/d/""&amp;$A648&amp;""/edit#gid=156619080"",BB$3)"),"#REF!")</f>
        <v>#REF!</v>
      </c>
      <c r="BC648" s="2" t="str">
        <f>IFERROR(__xludf.DUMMYFUNCTION("IMPORTRANGE(""https://docs.google.com/spreadsheets/d/""&amp;$A648&amp;""/edit#gid=156619080"",BC$3)"),"#REF!")</f>
        <v>#REF!</v>
      </c>
    </row>
    <row r="649" ht="51.0" customHeight="1">
      <c r="A649" s="7" t="str">
        <f t="shared" si="5"/>
        <v/>
      </c>
      <c r="C649" s="2" t="str">
        <f>IFERROR(__xludf.DUMMYFUNCTION("IMPORTRANGE(""https://docs.google.com/spreadsheets/d/""&amp;$A649&amp;""/edit#gid=156619080"",C$3)"),"#REF!")</f>
        <v>#REF!</v>
      </c>
      <c r="D649" s="2" t="str">
        <f>IFERROR(__xludf.DUMMYFUNCTION("IMPORTRANGE(""https://docs.google.com/spreadsheets/d/""&amp;$A649&amp;""/edit#gid=156619080"",D$3)"),"#REF!")</f>
        <v>#REF!</v>
      </c>
      <c r="E649" s="2" t="str">
        <f>IFERROR(__xludf.DUMMYFUNCTION("IMPORTRANGE(""https://docs.google.com/spreadsheets/d/""&amp;$A649&amp;""/edit#gid=156619080"",E$3)"),"#REF!")</f>
        <v>#REF!</v>
      </c>
      <c r="F649" s="2" t="str">
        <f>IFERROR(__xludf.DUMMYFUNCTION("IMPORTRANGE(""https://docs.google.com/spreadsheets/d/""&amp;$A649&amp;""/edit#gid=156619080"",F$3)"),"#REF!")</f>
        <v>#REF!</v>
      </c>
      <c r="G649" s="2" t="str">
        <f>IFERROR(__xludf.DUMMYFUNCTION("IMPORTRANGE(""https://docs.google.com/spreadsheets/d/""&amp;$A649&amp;""/edit#gid=156619080"",G$3)"),"#REF!")</f>
        <v>#REF!</v>
      </c>
      <c r="H649" s="2" t="str">
        <f>IFERROR(__xludf.DUMMYFUNCTION("IMPORTRANGE(""https://docs.google.com/spreadsheets/d/""&amp;$A649&amp;""/edit#gid=156619080"",H$3)"),"#REF!")</f>
        <v>#REF!</v>
      </c>
      <c r="I649" s="2" t="str">
        <f>IFERROR(__xludf.DUMMYFUNCTION("IMPORTRANGE(""https://docs.google.com/spreadsheets/d/""&amp;$A649&amp;""/edit#gid=156619080"",I$3)"),"#REF!")</f>
        <v>#REF!</v>
      </c>
      <c r="J649" s="2" t="str">
        <f>IFERROR(__xludf.DUMMYFUNCTION("IMPORTRANGE(""https://docs.google.com/spreadsheets/d/""&amp;$A649&amp;""/edit#gid=156619080"",J$3)"),"#REF!")</f>
        <v>#REF!</v>
      </c>
      <c r="K649" s="2" t="str">
        <f>IFERROR(__xludf.DUMMYFUNCTION("IMPORTRANGE(""https://docs.google.com/spreadsheets/d/""&amp;$A649&amp;""/edit#gid=156619080"",K$3)"),"#REF!")</f>
        <v>#REF!</v>
      </c>
      <c r="L649" s="2" t="str">
        <f>IFERROR(__xludf.DUMMYFUNCTION("IMPORTRANGE(""https://docs.google.com/spreadsheets/d/""&amp;$A649&amp;""/edit#gid=156619080"",L$3)"),"#REF!")</f>
        <v>#REF!</v>
      </c>
      <c r="M649" s="2" t="str">
        <f>IFERROR(__xludf.DUMMYFUNCTION("IMPORTRANGE(""https://docs.google.com/spreadsheets/d/""&amp;$A649&amp;""/edit#gid=156619080"",M$3)"),"#REF!")</f>
        <v>#REF!</v>
      </c>
      <c r="N649" s="2" t="str">
        <f>IFERROR(__xludf.DUMMYFUNCTION("IMPORTRANGE(""https://docs.google.com/spreadsheets/d/""&amp;$A649&amp;""/edit#gid=156619080"",N$3)"),"#REF!")</f>
        <v>#REF!</v>
      </c>
      <c r="O649" s="2" t="str">
        <f>IFERROR(__xludf.DUMMYFUNCTION("IMPORTRANGE(""https://docs.google.com/spreadsheets/d/""&amp;$A649&amp;""/edit#gid=156619080"",O$3)"),"#REF!")</f>
        <v>#REF!</v>
      </c>
      <c r="P649" s="2" t="str">
        <f>IFERROR(__xludf.DUMMYFUNCTION("IMPORTRANGE(""https://docs.google.com/spreadsheets/d/""&amp;$A649&amp;""/edit#gid=156619080"",P$3)"),"#REF!")</f>
        <v>#REF!</v>
      </c>
      <c r="Q649" s="2" t="str">
        <f>IFERROR(__xludf.DUMMYFUNCTION("IMPORTRANGE(""https://docs.google.com/spreadsheets/d/""&amp;$A649&amp;""/edit#gid=156619080"",Q$3)"),"#REF!")</f>
        <v>#REF!</v>
      </c>
      <c r="R649" s="2" t="str">
        <f>IFERROR(__xludf.DUMMYFUNCTION("IMPORTRANGE(""https://docs.google.com/spreadsheets/d/""&amp;$A649&amp;""/edit#gid=156619080"",R$3)"),"#REF!")</f>
        <v>#REF!</v>
      </c>
      <c r="S649" s="2" t="str">
        <f>IFERROR(__xludf.DUMMYFUNCTION("IMPORTRANGE(""https://docs.google.com/spreadsheets/d/""&amp;$A649&amp;""/edit#gid=156619080"",S$3)"),"#REF!")</f>
        <v>#REF!</v>
      </c>
      <c r="T649" s="2" t="str">
        <f>IFERROR(__xludf.DUMMYFUNCTION("IMPORTRANGE(""https://docs.google.com/spreadsheets/d/""&amp;$A649&amp;""/edit#gid=156619080"",T$3)"),"#REF!")</f>
        <v>#REF!</v>
      </c>
      <c r="U649" s="2" t="str">
        <f>IFERROR(__xludf.DUMMYFUNCTION("IMPORTRANGE(""https://docs.google.com/spreadsheets/d/""&amp;$A649&amp;""/edit#gid=156619080"",U$3)"),"#REF!")</f>
        <v>#REF!</v>
      </c>
      <c r="V649" s="2" t="str">
        <f>IFERROR(__xludf.DUMMYFUNCTION("IMPORTRANGE(""https://docs.google.com/spreadsheets/d/""&amp;$A649&amp;""/edit#gid=156619080"",V$3)"),"#REF!")</f>
        <v>#REF!</v>
      </c>
      <c r="W649" s="2" t="str">
        <f>IFERROR(__xludf.DUMMYFUNCTION("IMPORTRANGE(""https://docs.google.com/spreadsheets/d/""&amp;$A649&amp;""/edit#gid=156619080"",W$3)"),"#REF!")</f>
        <v>#REF!</v>
      </c>
      <c r="X649" s="2" t="str">
        <f>IFERROR(__xludf.DUMMYFUNCTION("IMPORTRANGE(""https://docs.google.com/spreadsheets/d/""&amp;$A649&amp;""/edit#gid=156619080"",X$3)"),"#REF!")</f>
        <v>#REF!</v>
      </c>
      <c r="Y649" s="2" t="str">
        <f>IFERROR(__xludf.DUMMYFUNCTION("IMPORTRANGE(""https://docs.google.com/spreadsheets/d/""&amp;$A649&amp;""/edit#gid=156619080"",Y$3)"),"#REF!")</f>
        <v>#REF!</v>
      </c>
      <c r="Z649" s="2" t="str">
        <f>IFERROR(__xludf.DUMMYFUNCTION("IMPORTRANGE(""https://docs.google.com/spreadsheets/d/""&amp;$A649&amp;""/edit#gid=156619080"",Z$3)"),"#REF!")</f>
        <v>#REF!</v>
      </c>
      <c r="AA649" s="2" t="str">
        <f>IFERROR(__xludf.DUMMYFUNCTION("IMPORTRANGE(""https://docs.google.com/spreadsheets/d/""&amp;$A649&amp;""/edit#gid=156619080"",AA$3)"),"#REF!")</f>
        <v>#REF!</v>
      </c>
      <c r="AB649" s="2" t="str">
        <f>IFERROR(__xludf.DUMMYFUNCTION("IMPORTRANGE(""https://docs.google.com/spreadsheets/d/""&amp;$A649&amp;""/edit#gid=156619080"",AB$3)"),"#REF!")</f>
        <v>#REF!</v>
      </c>
      <c r="AC649" s="2" t="str">
        <f>IFERROR(__xludf.DUMMYFUNCTION("IMPORTRANGE(""https://docs.google.com/spreadsheets/d/""&amp;$A649&amp;""/edit#gid=156619080"",AC$3)"),"#REF!")</f>
        <v>#REF!</v>
      </c>
      <c r="AD649" s="2" t="str">
        <f>IFERROR(__xludf.DUMMYFUNCTION("IMPORTRANGE(""https://docs.google.com/spreadsheets/d/""&amp;$A649&amp;""/edit#gid=156619080"",AD$3)"),"#REF!")</f>
        <v>#REF!</v>
      </c>
      <c r="AE649" s="2" t="str">
        <f>IFERROR(__xludf.DUMMYFUNCTION("IMPORTRANGE(""https://docs.google.com/spreadsheets/d/""&amp;$A649&amp;""/edit#gid=156619080"",AE$3)"),"#REF!")</f>
        <v>#REF!</v>
      </c>
      <c r="AF649" s="2" t="str">
        <f>IFERROR(__xludf.DUMMYFUNCTION("IMPORTRANGE(""https://docs.google.com/spreadsheets/d/""&amp;$A649&amp;""/edit#gid=156619080"",AF$3)"),"#REF!")</f>
        <v>#REF!</v>
      </c>
      <c r="AG649" s="2" t="str">
        <f>IFERROR(__xludf.DUMMYFUNCTION("IMPORTRANGE(""https://docs.google.com/spreadsheets/d/""&amp;$A649&amp;""/edit#gid=156619080"",AG$3)"),"#REF!")</f>
        <v>#REF!</v>
      </c>
      <c r="AH649" s="2" t="str">
        <f>IFERROR(__xludf.DUMMYFUNCTION("IMPORTRANGE(""https://docs.google.com/spreadsheets/d/""&amp;$A649&amp;""/edit#gid=156619080"",AH$3)"),"#REF!")</f>
        <v>#REF!</v>
      </c>
      <c r="AI649" s="2" t="str">
        <f>IFERROR(__xludf.DUMMYFUNCTION("IMPORTRANGE(""https://docs.google.com/spreadsheets/d/""&amp;$A649&amp;""/edit#gid=156619080"",AI$3)"),"#REF!")</f>
        <v>#REF!</v>
      </c>
      <c r="AJ649" s="2" t="str">
        <f>IFERROR(__xludf.DUMMYFUNCTION("IMPORTRANGE(""https://docs.google.com/spreadsheets/d/""&amp;$A649&amp;""/edit#gid=156619080"",AJ$3)"),"#REF!")</f>
        <v>#REF!</v>
      </c>
      <c r="AK649" s="2" t="str">
        <f>IFERROR(__xludf.DUMMYFUNCTION("IMPORTRANGE(""https://docs.google.com/spreadsheets/d/""&amp;$A649&amp;""/edit#gid=156619080"",AK$3)"),"#REF!")</f>
        <v>#REF!</v>
      </c>
      <c r="AL649" s="2" t="str">
        <f>IFERROR(__xludf.DUMMYFUNCTION("IMPORTRANGE(""https://docs.google.com/spreadsheets/d/""&amp;$A649&amp;""/edit#gid=156619080"",AL$3)"),"#REF!")</f>
        <v>#REF!</v>
      </c>
      <c r="AM649" s="2" t="str">
        <f>IFERROR(__xludf.DUMMYFUNCTION("IMPORTRANGE(""https://docs.google.com/spreadsheets/d/""&amp;$A649&amp;""/edit#gid=156619080"",AM$3)"),"#REF!")</f>
        <v>#REF!</v>
      </c>
      <c r="AN649" s="2" t="str">
        <f>IFERROR(__xludf.DUMMYFUNCTION("IMPORTRANGE(""https://docs.google.com/spreadsheets/d/""&amp;$A649&amp;""/edit#gid=156619080"",AN$3)"),"#REF!")</f>
        <v>#REF!</v>
      </c>
      <c r="AO649" s="2" t="str">
        <f>IFERROR(__xludf.DUMMYFUNCTION("IMPORTRANGE(""https://docs.google.com/spreadsheets/d/""&amp;$A649&amp;""/edit#gid=156619080"",AO$3)"),"#REF!")</f>
        <v>#REF!</v>
      </c>
      <c r="AP649" s="2" t="str">
        <f>IFERROR(__xludf.DUMMYFUNCTION("IMPORTRANGE(""https://docs.google.com/spreadsheets/d/""&amp;$A649&amp;""/edit#gid=156619080"",AP$3)"),"#REF!")</f>
        <v>#REF!</v>
      </c>
      <c r="AQ649" s="2" t="str">
        <f>IFERROR(__xludf.DUMMYFUNCTION("IMPORTRANGE(""https://docs.google.com/spreadsheets/d/""&amp;$A649&amp;""/edit#gid=156619080"",AQ$3)"),"#REF!")</f>
        <v>#REF!</v>
      </c>
      <c r="AR649" s="2" t="str">
        <f>IFERROR(__xludf.DUMMYFUNCTION("IMPORTRANGE(""https://docs.google.com/spreadsheets/d/""&amp;$A649&amp;""/edit#gid=156619080"",AR$3)"),"#REF!")</f>
        <v>#REF!</v>
      </c>
      <c r="AS649" s="19" t="str">
        <f>IFERROR(__xludf.DUMMYFUNCTION("IMPORTRANGE(""https://docs.google.com/spreadsheets/d/""&amp;$A649&amp;""/edit#gid=156619080"",AS$3)"),"#REF!")</f>
        <v>#REF!</v>
      </c>
      <c r="AT649" s="2" t="str">
        <f>IFERROR(__xludf.DUMMYFUNCTION("IMPORTRANGE(""https://docs.google.com/spreadsheets/d/""&amp;$A649&amp;""/edit#gid=156619080"",AT$3)"),"#REF!")</f>
        <v>#REF!</v>
      </c>
      <c r="AU649" s="3" t="str">
        <f>IFERROR(__xludf.DUMMYFUNCTION("IMPORTRANGE(""https://docs.google.com/spreadsheets/d/""&amp;$A649&amp;""/edit#gid=156619080"",AU$3)"),"#REF!")</f>
        <v>#REF!</v>
      </c>
      <c r="AV649" s="2" t="str">
        <f>IFERROR(__xludf.DUMMYFUNCTION("IMPORTRANGE(""https://docs.google.com/spreadsheets/d/""&amp;$A649&amp;""/edit#gid=156619080"",AV$3)"),"#REF!")</f>
        <v>#REF!</v>
      </c>
      <c r="AW649" s="19" t="str">
        <f>IFERROR(__xludf.DUMMYFUNCTION("IMPORTRANGE(""https://docs.google.com/spreadsheets/d/""&amp;$A649&amp;""/edit#gid=156619080"",AW$3)"),"#REF!")</f>
        <v>#REF!</v>
      </c>
      <c r="AX649" s="2" t="str">
        <f>IFERROR(__xludf.DUMMYFUNCTION("IMPORTRANGE(""https://docs.google.com/spreadsheets/d/""&amp;$A649&amp;""/edit#gid=156619080"",AX$3)"),"#REF!")</f>
        <v>#REF!</v>
      </c>
      <c r="AY649" s="2" t="str">
        <f>IFERROR(__xludf.DUMMYFUNCTION("IMPORTRANGE(""https://docs.google.com/spreadsheets/d/""&amp;$A649&amp;""/edit#gid=156619080"",AY$3)"),"#REF!")</f>
        <v>#REF!</v>
      </c>
      <c r="AZ649" s="2" t="str">
        <f>IFERROR(__xludf.DUMMYFUNCTION("IMPORTRANGE(""https://docs.google.com/spreadsheets/d/""&amp;$A649&amp;""/edit#gid=156619080"",AZ$3)"),"#REF!")</f>
        <v>#REF!</v>
      </c>
      <c r="BA649" s="2" t="str">
        <f>IFERROR(__xludf.DUMMYFUNCTION("IMPORTRANGE(""https://docs.google.com/spreadsheets/d/""&amp;$A649&amp;""/edit#gid=156619080"",BA$3)"),"#REF!")</f>
        <v>#REF!</v>
      </c>
      <c r="BB649" s="2" t="str">
        <f>IFERROR(__xludf.DUMMYFUNCTION("IMPORTRANGE(""https://docs.google.com/spreadsheets/d/""&amp;$A649&amp;""/edit#gid=156619080"",BB$3)"),"#REF!")</f>
        <v>#REF!</v>
      </c>
      <c r="BC649" s="2" t="str">
        <f>IFERROR(__xludf.DUMMYFUNCTION("IMPORTRANGE(""https://docs.google.com/spreadsheets/d/""&amp;$A649&amp;""/edit#gid=156619080"",BC$3)"),"#REF!")</f>
        <v>#REF!</v>
      </c>
    </row>
    <row r="650" ht="51.0" customHeight="1">
      <c r="A650" s="7" t="str">
        <f t="shared" si="5"/>
        <v/>
      </c>
      <c r="C650" s="2" t="str">
        <f>IFERROR(__xludf.DUMMYFUNCTION("IMPORTRANGE(""https://docs.google.com/spreadsheets/d/""&amp;$A650&amp;""/edit#gid=156619080"",C$3)"),"#REF!")</f>
        <v>#REF!</v>
      </c>
      <c r="D650" s="2" t="str">
        <f>IFERROR(__xludf.DUMMYFUNCTION("IMPORTRANGE(""https://docs.google.com/spreadsheets/d/""&amp;$A650&amp;""/edit#gid=156619080"",D$3)"),"#REF!")</f>
        <v>#REF!</v>
      </c>
      <c r="E650" s="2" t="str">
        <f>IFERROR(__xludf.DUMMYFUNCTION("IMPORTRANGE(""https://docs.google.com/spreadsheets/d/""&amp;$A650&amp;""/edit#gid=156619080"",E$3)"),"#REF!")</f>
        <v>#REF!</v>
      </c>
      <c r="F650" s="2" t="str">
        <f>IFERROR(__xludf.DUMMYFUNCTION("IMPORTRANGE(""https://docs.google.com/spreadsheets/d/""&amp;$A650&amp;""/edit#gid=156619080"",F$3)"),"#REF!")</f>
        <v>#REF!</v>
      </c>
      <c r="G650" s="2" t="str">
        <f>IFERROR(__xludf.DUMMYFUNCTION("IMPORTRANGE(""https://docs.google.com/spreadsheets/d/""&amp;$A650&amp;""/edit#gid=156619080"",G$3)"),"#REF!")</f>
        <v>#REF!</v>
      </c>
      <c r="H650" s="2" t="str">
        <f>IFERROR(__xludf.DUMMYFUNCTION("IMPORTRANGE(""https://docs.google.com/spreadsheets/d/""&amp;$A650&amp;""/edit#gid=156619080"",H$3)"),"#REF!")</f>
        <v>#REF!</v>
      </c>
      <c r="I650" s="2" t="str">
        <f>IFERROR(__xludf.DUMMYFUNCTION("IMPORTRANGE(""https://docs.google.com/spreadsheets/d/""&amp;$A650&amp;""/edit#gid=156619080"",I$3)"),"#REF!")</f>
        <v>#REF!</v>
      </c>
      <c r="J650" s="2" t="str">
        <f>IFERROR(__xludf.DUMMYFUNCTION("IMPORTRANGE(""https://docs.google.com/spreadsheets/d/""&amp;$A650&amp;""/edit#gid=156619080"",J$3)"),"#REF!")</f>
        <v>#REF!</v>
      </c>
      <c r="K650" s="2" t="str">
        <f>IFERROR(__xludf.DUMMYFUNCTION("IMPORTRANGE(""https://docs.google.com/spreadsheets/d/""&amp;$A650&amp;""/edit#gid=156619080"",K$3)"),"#REF!")</f>
        <v>#REF!</v>
      </c>
      <c r="L650" s="2" t="str">
        <f>IFERROR(__xludf.DUMMYFUNCTION("IMPORTRANGE(""https://docs.google.com/spreadsheets/d/""&amp;$A650&amp;""/edit#gid=156619080"",L$3)"),"#REF!")</f>
        <v>#REF!</v>
      </c>
      <c r="M650" s="2" t="str">
        <f>IFERROR(__xludf.DUMMYFUNCTION("IMPORTRANGE(""https://docs.google.com/spreadsheets/d/""&amp;$A650&amp;""/edit#gid=156619080"",M$3)"),"#REF!")</f>
        <v>#REF!</v>
      </c>
      <c r="N650" s="2" t="str">
        <f>IFERROR(__xludf.DUMMYFUNCTION("IMPORTRANGE(""https://docs.google.com/spreadsheets/d/""&amp;$A650&amp;""/edit#gid=156619080"",N$3)"),"#REF!")</f>
        <v>#REF!</v>
      </c>
      <c r="O650" s="2" t="str">
        <f>IFERROR(__xludf.DUMMYFUNCTION("IMPORTRANGE(""https://docs.google.com/spreadsheets/d/""&amp;$A650&amp;""/edit#gid=156619080"",O$3)"),"#REF!")</f>
        <v>#REF!</v>
      </c>
      <c r="P650" s="2" t="str">
        <f>IFERROR(__xludf.DUMMYFUNCTION("IMPORTRANGE(""https://docs.google.com/spreadsheets/d/""&amp;$A650&amp;""/edit#gid=156619080"",P$3)"),"#REF!")</f>
        <v>#REF!</v>
      </c>
      <c r="Q650" s="2" t="str">
        <f>IFERROR(__xludf.DUMMYFUNCTION("IMPORTRANGE(""https://docs.google.com/spreadsheets/d/""&amp;$A650&amp;""/edit#gid=156619080"",Q$3)"),"#REF!")</f>
        <v>#REF!</v>
      </c>
      <c r="R650" s="2" t="str">
        <f>IFERROR(__xludf.DUMMYFUNCTION("IMPORTRANGE(""https://docs.google.com/spreadsheets/d/""&amp;$A650&amp;""/edit#gid=156619080"",R$3)"),"#REF!")</f>
        <v>#REF!</v>
      </c>
      <c r="S650" s="2" t="str">
        <f>IFERROR(__xludf.DUMMYFUNCTION("IMPORTRANGE(""https://docs.google.com/spreadsheets/d/""&amp;$A650&amp;""/edit#gid=156619080"",S$3)"),"#REF!")</f>
        <v>#REF!</v>
      </c>
      <c r="T650" s="2" t="str">
        <f>IFERROR(__xludf.DUMMYFUNCTION("IMPORTRANGE(""https://docs.google.com/spreadsheets/d/""&amp;$A650&amp;""/edit#gid=156619080"",T$3)"),"#REF!")</f>
        <v>#REF!</v>
      </c>
      <c r="U650" s="2" t="str">
        <f>IFERROR(__xludf.DUMMYFUNCTION("IMPORTRANGE(""https://docs.google.com/spreadsheets/d/""&amp;$A650&amp;""/edit#gid=156619080"",U$3)"),"#REF!")</f>
        <v>#REF!</v>
      </c>
      <c r="V650" s="2" t="str">
        <f>IFERROR(__xludf.DUMMYFUNCTION("IMPORTRANGE(""https://docs.google.com/spreadsheets/d/""&amp;$A650&amp;""/edit#gid=156619080"",V$3)"),"#REF!")</f>
        <v>#REF!</v>
      </c>
      <c r="W650" s="2" t="str">
        <f>IFERROR(__xludf.DUMMYFUNCTION("IMPORTRANGE(""https://docs.google.com/spreadsheets/d/""&amp;$A650&amp;""/edit#gid=156619080"",W$3)"),"#REF!")</f>
        <v>#REF!</v>
      </c>
      <c r="X650" s="2" t="str">
        <f>IFERROR(__xludf.DUMMYFUNCTION("IMPORTRANGE(""https://docs.google.com/spreadsheets/d/""&amp;$A650&amp;""/edit#gid=156619080"",X$3)"),"#REF!")</f>
        <v>#REF!</v>
      </c>
      <c r="Y650" s="2" t="str">
        <f>IFERROR(__xludf.DUMMYFUNCTION("IMPORTRANGE(""https://docs.google.com/spreadsheets/d/""&amp;$A650&amp;""/edit#gid=156619080"",Y$3)"),"#REF!")</f>
        <v>#REF!</v>
      </c>
      <c r="Z650" s="2" t="str">
        <f>IFERROR(__xludf.DUMMYFUNCTION("IMPORTRANGE(""https://docs.google.com/spreadsheets/d/""&amp;$A650&amp;""/edit#gid=156619080"",Z$3)"),"#REF!")</f>
        <v>#REF!</v>
      </c>
      <c r="AA650" s="2" t="str">
        <f>IFERROR(__xludf.DUMMYFUNCTION("IMPORTRANGE(""https://docs.google.com/spreadsheets/d/""&amp;$A650&amp;""/edit#gid=156619080"",AA$3)"),"#REF!")</f>
        <v>#REF!</v>
      </c>
      <c r="AB650" s="2" t="str">
        <f>IFERROR(__xludf.DUMMYFUNCTION("IMPORTRANGE(""https://docs.google.com/spreadsheets/d/""&amp;$A650&amp;""/edit#gid=156619080"",AB$3)"),"#REF!")</f>
        <v>#REF!</v>
      </c>
      <c r="AC650" s="2" t="str">
        <f>IFERROR(__xludf.DUMMYFUNCTION("IMPORTRANGE(""https://docs.google.com/spreadsheets/d/""&amp;$A650&amp;""/edit#gid=156619080"",AC$3)"),"#REF!")</f>
        <v>#REF!</v>
      </c>
      <c r="AD650" s="2" t="str">
        <f>IFERROR(__xludf.DUMMYFUNCTION("IMPORTRANGE(""https://docs.google.com/spreadsheets/d/""&amp;$A650&amp;""/edit#gid=156619080"",AD$3)"),"#REF!")</f>
        <v>#REF!</v>
      </c>
      <c r="AE650" s="2" t="str">
        <f>IFERROR(__xludf.DUMMYFUNCTION("IMPORTRANGE(""https://docs.google.com/spreadsheets/d/""&amp;$A650&amp;""/edit#gid=156619080"",AE$3)"),"#REF!")</f>
        <v>#REF!</v>
      </c>
      <c r="AF650" s="2" t="str">
        <f>IFERROR(__xludf.DUMMYFUNCTION("IMPORTRANGE(""https://docs.google.com/spreadsheets/d/""&amp;$A650&amp;""/edit#gid=156619080"",AF$3)"),"#REF!")</f>
        <v>#REF!</v>
      </c>
      <c r="AG650" s="2" t="str">
        <f>IFERROR(__xludf.DUMMYFUNCTION("IMPORTRANGE(""https://docs.google.com/spreadsheets/d/""&amp;$A650&amp;""/edit#gid=156619080"",AG$3)"),"#REF!")</f>
        <v>#REF!</v>
      </c>
      <c r="AH650" s="2" t="str">
        <f>IFERROR(__xludf.DUMMYFUNCTION("IMPORTRANGE(""https://docs.google.com/spreadsheets/d/""&amp;$A650&amp;""/edit#gid=156619080"",AH$3)"),"#REF!")</f>
        <v>#REF!</v>
      </c>
      <c r="AI650" s="2" t="str">
        <f>IFERROR(__xludf.DUMMYFUNCTION("IMPORTRANGE(""https://docs.google.com/spreadsheets/d/""&amp;$A650&amp;""/edit#gid=156619080"",AI$3)"),"#REF!")</f>
        <v>#REF!</v>
      </c>
      <c r="AJ650" s="2" t="str">
        <f>IFERROR(__xludf.DUMMYFUNCTION("IMPORTRANGE(""https://docs.google.com/spreadsheets/d/""&amp;$A650&amp;""/edit#gid=156619080"",AJ$3)"),"#REF!")</f>
        <v>#REF!</v>
      </c>
      <c r="AK650" s="2" t="str">
        <f>IFERROR(__xludf.DUMMYFUNCTION("IMPORTRANGE(""https://docs.google.com/spreadsheets/d/""&amp;$A650&amp;""/edit#gid=156619080"",AK$3)"),"#REF!")</f>
        <v>#REF!</v>
      </c>
      <c r="AL650" s="2" t="str">
        <f>IFERROR(__xludf.DUMMYFUNCTION("IMPORTRANGE(""https://docs.google.com/spreadsheets/d/""&amp;$A650&amp;""/edit#gid=156619080"",AL$3)"),"#REF!")</f>
        <v>#REF!</v>
      </c>
      <c r="AM650" s="2" t="str">
        <f>IFERROR(__xludf.DUMMYFUNCTION("IMPORTRANGE(""https://docs.google.com/spreadsheets/d/""&amp;$A650&amp;""/edit#gid=156619080"",AM$3)"),"#REF!")</f>
        <v>#REF!</v>
      </c>
      <c r="AN650" s="2" t="str">
        <f>IFERROR(__xludf.DUMMYFUNCTION("IMPORTRANGE(""https://docs.google.com/spreadsheets/d/""&amp;$A650&amp;""/edit#gid=156619080"",AN$3)"),"#REF!")</f>
        <v>#REF!</v>
      </c>
      <c r="AO650" s="2" t="str">
        <f>IFERROR(__xludf.DUMMYFUNCTION("IMPORTRANGE(""https://docs.google.com/spreadsheets/d/""&amp;$A650&amp;""/edit#gid=156619080"",AO$3)"),"#REF!")</f>
        <v>#REF!</v>
      </c>
      <c r="AP650" s="2" t="str">
        <f>IFERROR(__xludf.DUMMYFUNCTION("IMPORTRANGE(""https://docs.google.com/spreadsheets/d/""&amp;$A650&amp;""/edit#gid=156619080"",AP$3)"),"#REF!")</f>
        <v>#REF!</v>
      </c>
      <c r="AQ650" s="2" t="str">
        <f>IFERROR(__xludf.DUMMYFUNCTION("IMPORTRANGE(""https://docs.google.com/spreadsheets/d/""&amp;$A650&amp;""/edit#gid=156619080"",AQ$3)"),"#REF!")</f>
        <v>#REF!</v>
      </c>
      <c r="AR650" s="2" t="str">
        <f>IFERROR(__xludf.DUMMYFUNCTION("IMPORTRANGE(""https://docs.google.com/spreadsheets/d/""&amp;$A650&amp;""/edit#gid=156619080"",AR$3)"),"#REF!")</f>
        <v>#REF!</v>
      </c>
      <c r="AS650" s="19" t="str">
        <f>IFERROR(__xludf.DUMMYFUNCTION("IMPORTRANGE(""https://docs.google.com/spreadsheets/d/""&amp;$A650&amp;""/edit#gid=156619080"",AS$3)"),"#REF!")</f>
        <v>#REF!</v>
      </c>
      <c r="AT650" s="2" t="str">
        <f>IFERROR(__xludf.DUMMYFUNCTION("IMPORTRANGE(""https://docs.google.com/spreadsheets/d/""&amp;$A650&amp;""/edit#gid=156619080"",AT$3)"),"#REF!")</f>
        <v>#REF!</v>
      </c>
      <c r="AU650" s="3" t="str">
        <f>IFERROR(__xludf.DUMMYFUNCTION("IMPORTRANGE(""https://docs.google.com/spreadsheets/d/""&amp;$A650&amp;""/edit#gid=156619080"",AU$3)"),"#REF!")</f>
        <v>#REF!</v>
      </c>
      <c r="AV650" s="2" t="str">
        <f>IFERROR(__xludf.DUMMYFUNCTION("IMPORTRANGE(""https://docs.google.com/spreadsheets/d/""&amp;$A650&amp;""/edit#gid=156619080"",AV$3)"),"#REF!")</f>
        <v>#REF!</v>
      </c>
      <c r="AW650" s="19" t="str">
        <f>IFERROR(__xludf.DUMMYFUNCTION("IMPORTRANGE(""https://docs.google.com/spreadsheets/d/""&amp;$A650&amp;""/edit#gid=156619080"",AW$3)"),"#REF!")</f>
        <v>#REF!</v>
      </c>
      <c r="AX650" s="2" t="str">
        <f>IFERROR(__xludf.DUMMYFUNCTION("IMPORTRANGE(""https://docs.google.com/spreadsheets/d/""&amp;$A650&amp;""/edit#gid=156619080"",AX$3)"),"#REF!")</f>
        <v>#REF!</v>
      </c>
      <c r="AY650" s="2" t="str">
        <f>IFERROR(__xludf.DUMMYFUNCTION("IMPORTRANGE(""https://docs.google.com/spreadsheets/d/""&amp;$A650&amp;""/edit#gid=156619080"",AY$3)"),"#REF!")</f>
        <v>#REF!</v>
      </c>
      <c r="AZ650" s="2" t="str">
        <f>IFERROR(__xludf.DUMMYFUNCTION("IMPORTRANGE(""https://docs.google.com/spreadsheets/d/""&amp;$A650&amp;""/edit#gid=156619080"",AZ$3)"),"#REF!")</f>
        <v>#REF!</v>
      </c>
      <c r="BA650" s="2" t="str">
        <f>IFERROR(__xludf.DUMMYFUNCTION("IMPORTRANGE(""https://docs.google.com/spreadsheets/d/""&amp;$A650&amp;""/edit#gid=156619080"",BA$3)"),"#REF!")</f>
        <v>#REF!</v>
      </c>
      <c r="BB650" s="2" t="str">
        <f>IFERROR(__xludf.DUMMYFUNCTION("IMPORTRANGE(""https://docs.google.com/spreadsheets/d/""&amp;$A650&amp;""/edit#gid=156619080"",BB$3)"),"#REF!")</f>
        <v>#REF!</v>
      </c>
      <c r="BC650" s="2" t="str">
        <f>IFERROR(__xludf.DUMMYFUNCTION("IMPORTRANGE(""https://docs.google.com/spreadsheets/d/""&amp;$A650&amp;""/edit#gid=156619080"",BC$3)"),"#REF!")</f>
        <v>#REF!</v>
      </c>
    </row>
    <row r="651" ht="51.0" customHeight="1">
      <c r="A651" s="7" t="str">
        <f t="shared" si="5"/>
        <v/>
      </c>
      <c r="C651" s="2" t="str">
        <f>IFERROR(__xludf.DUMMYFUNCTION("IMPORTRANGE(""https://docs.google.com/spreadsheets/d/""&amp;$A651&amp;""/edit#gid=156619080"",C$3)"),"#REF!")</f>
        <v>#REF!</v>
      </c>
      <c r="D651" s="2" t="str">
        <f>IFERROR(__xludf.DUMMYFUNCTION("IMPORTRANGE(""https://docs.google.com/spreadsheets/d/""&amp;$A651&amp;""/edit#gid=156619080"",D$3)"),"#REF!")</f>
        <v>#REF!</v>
      </c>
      <c r="E651" s="2" t="str">
        <f>IFERROR(__xludf.DUMMYFUNCTION("IMPORTRANGE(""https://docs.google.com/spreadsheets/d/""&amp;$A651&amp;""/edit#gid=156619080"",E$3)"),"#REF!")</f>
        <v>#REF!</v>
      </c>
      <c r="F651" s="2" t="str">
        <f>IFERROR(__xludf.DUMMYFUNCTION("IMPORTRANGE(""https://docs.google.com/spreadsheets/d/""&amp;$A651&amp;""/edit#gid=156619080"",F$3)"),"#REF!")</f>
        <v>#REF!</v>
      </c>
      <c r="G651" s="2" t="str">
        <f>IFERROR(__xludf.DUMMYFUNCTION("IMPORTRANGE(""https://docs.google.com/spreadsheets/d/""&amp;$A651&amp;""/edit#gid=156619080"",G$3)"),"#REF!")</f>
        <v>#REF!</v>
      </c>
      <c r="H651" s="2" t="str">
        <f>IFERROR(__xludf.DUMMYFUNCTION("IMPORTRANGE(""https://docs.google.com/spreadsheets/d/""&amp;$A651&amp;""/edit#gid=156619080"",H$3)"),"#REF!")</f>
        <v>#REF!</v>
      </c>
      <c r="I651" s="2" t="str">
        <f>IFERROR(__xludf.DUMMYFUNCTION("IMPORTRANGE(""https://docs.google.com/spreadsheets/d/""&amp;$A651&amp;""/edit#gid=156619080"",I$3)"),"#REF!")</f>
        <v>#REF!</v>
      </c>
      <c r="J651" s="2" t="str">
        <f>IFERROR(__xludf.DUMMYFUNCTION("IMPORTRANGE(""https://docs.google.com/spreadsheets/d/""&amp;$A651&amp;""/edit#gid=156619080"",J$3)"),"#REF!")</f>
        <v>#REF!</v>
      </c>
      <c r="K651" s="2" t="str">
        <f>IFERROR(__xludf.DUMMYFUNCTION("IMPORTRANGE(""https://docs.google.com/spreadsheets/d/""&amp;$A651&amp;""/edit#gid=156619080"",K$3)"),"#REF!")</f>
        <v>#REF!</v>
      </c>
      <c r="L651" s="2" t="str">
        <f>IFERROR(__xludf.DUMMYFUNCTION("IMPORTRANGE(""https://docs.google.com/spreadsheets/d/""&amp;$A651&amp;""/edit#gid=156619080"",L$3)"),"#REF!")</f>
        <v>#REF!</v>
      </c>
      <c r="M651" s="2" t="str">
        <f>IFERROR(__xludf.DUMMYFUNCTION("IMPORTRANGE(""https://docs.google.com/spreadsheets/d/""&amp;$A651&amp;""/edit#gid=156619080"",M$3)"),"#REF!")</f>
        <v>#REF!</v>
      </c>
      <c r="N651" s="2" t="str">
        <f>IFERROR(__xludf.DUMMYFUNCTION("IMPORTRANGE(""https://docs.google.com/spreadsheets/d/""&amp;$A651&amp;""/edit#gid=156619080"",N$3)"),"#REF!")</f>
        <v>#REF!</v>
      </c>
      <c r="O651" s="2" t="str">
        <f>IFERROR(__xludf.DUMMYFUNCTION("IMPORTRANGE(""https://docs.google.com/spreadsheets/d/""&amp;$A651&amp;""/edit#gid=156619080"",O$3)"),"#REF!")</f>
        <v>#REF!</v>
      </c>
      <c r="P651" s="2" t="str">
        <f>IFERROR(__xludf.DUMMYFUNCTION("IMPORTRANGE(""https://docs.google.com/spreadsheets/d/""&amp;$A651&amp;""/edit#gid=156619080"",P$3)"),"#REF!")</f>
        <v>#REF!</v>
      </c>
      <c r="Q651" s="2" t="str">
        <f>IFERROR(__xludf.DUMMYFUNCTION("IMPORTRANGE(""https://docs.google.com/spreadsheets/d/""&amp;$A651&amp;""/edit#gid=156619080"",Q$3)"),"#REF!")</f>
        <v>#REF!</v>
      </c>
      <c r="R651" s="2" t="str">
        <f>IFERROR(__xludf.DUMMYFUNCTION("IMPORTRANGE(""https://docs.google.com/spreadsheets/d/""&amp;$A651&amp;""/edit#gid=156619080"",R$3)"),"#REF!")</f>
        <v>#REF!</v>
      </c>
      <c r="S651" s="2" t="str">
        <f>IFERROR(__xludf.DUMMYFUNCTION("IMPORTRANGE(""https://docs.google.com/spreadsheets/d/""&amp;$A651&amp;""/edit#gid=156619080"",S$3)"),"#REF!")</f>
        <v>#REF!</v>
      </c>
      <c r="T651" s="2" t="str">
        <f>IFERROR(__xludf.DUMMYFUNCTION("IMPORTRANGE(""https://docs.google.com/spreadsheets/d/""&amp;$A651&amp;""/edit#gid=156619080"",T$3)"),"#REF!")</f>
        <v>#REF!</v>
      </c>
      <c r="U651" s="2" t="str">
        <f>IFERROR(__xludf.DUMMYFUNCTION("IMPORTRANGE(""https://docs.google.com/spreadsheets/d/""&amp;$A651&amp;""/edit#gid=156619080"",U$3)"),"#REF!")</f>
        <v>#REF!</v>
      </c>
      <c r="V651" s="2" t="str">
        <f>IFERROR(__xludf.DUMMYFUNCTION("IMPORTRANGE(""https://docs.google.com/spreadsheets/d/""&amp;$A651&amp;""/edit#gid=156619080"",V$3)"),"#REF!")</f>
        <v>#REF!</v>
      </c>
      <c r="W651" s="2" t="str">
        <f>IFERROR(__xludf.DUMMYFUNCTION("IMPORTRANGE(""https://docs.google.com/spreadsheets/d/""&amp;$A651&amp;""/edit#gid=156619080"",W$3)"),"#REF!")</f>
        <v>#REF!</v>
      </c>
      <c r="X651" s="2" t="str">
        <f>IFERROR(__xludf.DUMMYFUNCTION("IMPORTRANGE(""https://docs.google.com/spreadsheets/d/""&amp;$A651&amp;""/edit#gid=156619080"",X$3)"),"#REF!")</f>
        <v>#REF!</v>
      </c>
      <c r="Y651" s="2" t="str">
        <f>IFERROR(__xludf.DUMMYFUNCTION("IMPORTRANGE(""https://docs.google.com/spreadsheets/d/""&amp;$A651&amp;""/edit#gid=156619080"",Y$3)"),"#REF!")</f>
        <v>#REF!</v>
      </c>
      <c r="Z651" s="2" t="str">
        <f>IFERROR(__xludf.DUMMYFUNCTION("IMPORTRANGE(""https://docs.google.com/spreadsheets/d/""&amp;$A651&amp;""/edit#gid=156619080"",Z$3)"),"#REF!")</f>
        <v>#REF!</v>
      </c>
      <c r="AA651" s="2" t="str">
        <f>IFERROR(__xludf.DUMMYFUNCTION("IMPORTRANGE(""https://docs.google.com/spreadsheets/d/""&amp;$A651&amp;""/edit#gid=156619080"",AA$3)"),"#REF!")</f>
        <v>#REF!</v>
      </c>
      <c r="AB651" s="2" t="str">
        <f>IFERROR(__xludf.DUMMYFUNCTION("IMPORTRANGE(""https://docs.google.com/spreadsheets/d/""&amp;$A651&amp;""/edit#gid=156619080"",AB$3)"),"#REF!")</f>
        <v>#REF!</v>
      </c>
      <c r="AC651" s="2" t="str">
        <f>IFERROR(__xludf.DUMMYFUNCTION("IMPORTRANGE(""https://docs.google.com/spreadsheets/d/""&amp;$A651&amp;""/edit#gid=156619080"",AC$3)"),"#REF!")</f>
        <v>#REF!</v>
      </c>
      <c r="AD651" s="2" t="str">
        <f>IFERROR(__xludf.DUMMYFUNCTION("IMPORTRANGE(""https://docs.google.com/spreadsheets/d/""&amp;$A651&amp;""/edit#gid=156619080"",AD$3)"),"#REF!")</f>
        <v>#REF!</v>
      </c>
      <c r="AE651" s="2" t="str">
        <f>IFERROR(__xludf.DUMMYFUNCTION("IMPORTRANGE(""https://docs.google.com/spreadsheets/d/""&amp;$A651&amp;""/edit#gid=156619080"",AE$3)"),"#REF!")</f>
        <v>#REF!</v>
      </c>
      <c r="AF651" s="2" t="str">
        <f>IFERROR(__xludf.DUMMYFUNCTION("IMPORTRANGE(""https://docs.google.com/spreadsheets/d/""&amp;$A651&amp;""/edit#gid=156619080"",AF$3)"),"#REF!")</f>
        <v>#REF!</v>
      </c>
      <c r="AG651" s="2" t="str">
        <f>IFERROR(__xludf.DUMMYFUNCTION("IMPORTRANGE(""https://docs.google.com/spreadsheets/d/""&amp;$A651&amp;""/edit#gid=156619080"",AG$3)"),"#REF!")</f>
        <v>#REF!</v>
      </c>
      <c r="AH651" s="2" t="str">
        <f>IFERROR(__xludf.DUMMYFUNCTION("IMPORTRANGE(""https://docs.google.com/spreadsheets/d/""&amp;$A651&amp;""/edit#gid=156619080"",AH$3)"),"#REF!")</f>
        <v>#REF!</v>
      </c>
      <c r="AI651" s="2" t="str">
        <f>IFERROR(__xludf.DUMMYFUNCTION("IMPORTRANGE(""https://docs.google.com/spreadsheets/d/""&amp;$A651&amp;""/edit#gid=156619080"",AI$3)"),"#REF!")</f>
        <v>#REF!</v>
      </c>
      <c r="AJ651" s="2" t="str">
        <f>IFERROR(__xludf.DUMMYFUNCTION("IMPORTRANGE(""https://docs.google.com/spreadsheets/d/""&amp;$A651&amp;""/edit#gid=156619080"",AJ$3)"),"#REF!")</f>
        <v>#REF!</v>
      </c>
      <c r="AK651" s="2" t="str">
        <f>IFERROR(__xludf.DUMMYFUNCTION("IMPORTRANGE(""https://docs.google.com/spreadsheets/d/""&amp;$A651&amp;""/edit#gid=156619080"",AK$3)"),"#REF!")</f>
        <v>#REF!</v>
      </c>
      <c r="AL651" s="2" t="str">
        <f>IFERROR(__xludf.DUMMYFUNCTION("IMPORTRANGE(""https://docs.google.com/spreadsheets/d/""&amp;$A651&amp;""/edit#gid=156619080"",AL$3)"),"#REF!")</f>
        <v>#REF!</v>
      </c>
      <c r="AM651" s="2" t="str">
        <f>IFERROR(__xludf.DUMMYFUNCTION("IMPORTRANGE(""https://docs.google.com/spreadsheets/d/""&amp;$A651&amp;""/edit#gid=156619080"",AM$3)"),"#REF!")</f>
        <v>#REF!</v>
      </c>
      <c r="AN651" s="2" t="str">
        <f>IFERROR(__xludf.DUMMYFUNCTION("IMPORTRANGE(""https://docs.google.com/spreadsheets/d/""&amp;$A651&amp;""/edit#gid=156619080"",AN$3)"),"#REF!")</f>
        <v>#REF!</v>
      </c>
      <c r="AO651" s="2" t="str">
        <f>IFERROR(__xludf.DUMMYFUNCTION("IMPORTRANGE(""https://docs.google.com/spreadsheets/d/""&amp;$A651&amp;""/edit#gid=156619080"",AO$3)"),"#REF!")</f>
        <v>#REF!</v>
      </c>
      <c r="AP651" s="2" t="str">
        <f>IFERROR(__xludf.DUMMYFUNCTION("IMPORTRANGE(""https://docs.google.com/spreadsheets/d/""&amp;$A651&amp;""/edit#gid=156619080"",AP$3)"),"#REF!")</f>
        <v>#REF!</v>
      </c>
      <c r="AQ651" s="2" t="str">
        <f>IFERROR(__xludf.DUMMYFUNCTION("IMPORTRANGE(""https://docs.google.com/spreadsheets/d/""&amp;$A651&amp;""/edit#gid=156619080"",AQ$3)"),"#REF!")</f>
        <v>#REF!</v>
      </c>
      <c r="AR651" s="2" t="str">
        <f>IFERROR(__xludf.DUMMYFUNCTION("IMPORTRANGE(""https://docs.google.com/spreadsheets/d/""&amp;$A651&amp;""/edit#gid=156619080"",AR$3)"),"#REF!")</f>
        <v>#REF!</v>
      </c>
      <c r="AS651" s="19" t="str">
        <f>IFERROR(__xludf.DUMMYFUNCTION("IMPORTRANGE(""https://docs.google.com/spreadsheets/d/""&amp;$A651&amp;""/edit#gid=156619080"",AS$3)"),"#REF!")</f>
        <v>#REF!</v>
      </c>
      <c r="AT651" s="2" t="str">
        <f>IFERROR(__xludf.DUMMYFUNCTION("IMPORTRANGE(""https://docs.google.com/spreadsheets/d/""&amp;$A651&amp;""/edit#gid=156619080"",AT$3)"),"#REF!")</f>
        <v>#REF!</v>
      </c>
      <c r="AU651" s="3" t="str">
        <f>IFERROR(__xludf.DUMMYFUNCTION("IMPORTRANGE(""https://docs.google.com/spreadsheets/d/""&amp;$A651&amp;""/edit#gid=156619080"",AU$3)"),"#REF!")</f>
        <v>#REF!</v>
      </c>
      <c r="AV651" s="2" t="str">
        <f>IFERROR(__xludf.DUMMYFUNCTION("IMPORTRANGE(""https://docs.google.com/spreadsheets/d/""&amp;$A651&amp;""/edit#gid=156619080"",AV$3)"),"#REF!")</f>
        <v>#REF!</v>
      </c>
      <c r="AW651" s="19" t="str">
        <f>IFERROR(__xludf.DUMMYFUNCTION("IMPORTRANGE(""https://docs.google.com/spreadsheets/d/""&amp;$A651&amp;""/edit#gid=156619080"",AW$3)"),"#REF!")</f>
        <v>#REF!</v>
      </c>
      <c r="AX651" s="2" t="str">
        <f>IFERROR(__xludf.DUMMYFUNCTION("IMPORTRANGE(""https://docs.google.com/spreadsheets/d/""&amp;$A651&amp;""/edit#gid=156619080"",AX$3)"),"#REF!")</f>
        <v>#REF!</v>
      </c>
      <c r="AY651" s="2" t="str">
        <f>IFERROR(__xludf.DUMMYFUNCTION("IMPORTRANGE(""https://docs.google.com/spreadsheets/d/""&amp;$A651&amp;""/edit#gid=156619080"",AY$3)"),"#REF!")</f>
        <v>#REF!</v>
      </c>
      <c r="AZ651" s="2" t="str">
        <f>IFERROR(__xludf.DUMMYFUNCTION("IMPORTRANGE(""https://docs.google.com/spreadsheets/d/""&amp;$A651&amp;""/edit#gid=156619080"",AZ$3)"),"#REF!")</f>
        <v>#REF!</v>
      </c>
      <c r="BA651" s="2" t="str">
        <f>IFERROR(__xludf.DUMMYFUNCTION("IMPORTRANGE(""https://docs.google.com/spreadsheets/d/""&amp;$A651&amp;""/edit#gid=156619080"",BA$3)"),"#REF!")</f>
        <v>#REF!</v>
      </c>
      <c r="BB651" s="2" t="str">
        <f>IFERROR(__xludf.DUMMYFUNCTION("IMPORTRANGE(""https://docs.google.com/spreadsheets/d/""&amp;$A651&amp;""/edit#gid=156619080"",BB$3)"),"#REF!")</f>
        <v>#REF!</v>
      </c>
      <c r="BC651" s="2" t="str">
        <f>IFERROR(__xludf.DUMMYFUNCTION("IMPORTRANGE(""https://docs.google.com/spreadsheets/d/""&amp;$A651&amp;""/edit#gid=156619080"",BC$3)"),"#REF!")</f>
        <v>#REF!</v>
      </c>
    </row>
    <row r="652" ht="51.0" customHeight="1">
      <c r="A652" s="7" t="str">
        <f t="shared" si="5"/>
        <v/>
      </c>
      <c r="C652" s="2" t="str">
        <f>IFERROR(__xludf.DUMMYFUNCTION("IMPORTRANGE(""https://docs.google.com/spreadsheets/d/""&amp;$A652&amp;""/edit#gid=156619080"",C$3)"),"#REF!")</f>
        <v>#REF!</v>
      </c>
      <c r="D652" s="2" t="str">
        <f>IFERROR(__xludf.DUMMYFUNCTION("IMPORTRANGE(""https://docs.google.com/spreadsheets/d/""&amp;$A652&amp;""/edit#gid=156619080"",D$3)"),"#REF!")</f>
        <v>#REF!</v>
      </c>
      <c r="E652" s="2" t="str">
        <f>IFERROR(__xludf.DUMMYFUNCTION("IMPORTRANGE(""https://docs.google.com/spreadsheets/d/""&amp;$A652&amp;""/edit#gid=156619080"",E$3)"),"#REF!")</f>
        <v>#REF!</v>
      </c>
      <c r="F652" s="2" t="str">
        <f>IFERROR(__xludf.DUMMYFUNCTION("IMPORTRANGE(""https://docs.google.com/spreadsheets/d/""&amp;$A652&amp;""/edit#gid=156619080"",F$3)"),"#REF!")</f>
        <v>#REF!</v>
      </c>
      <c r="G652" s="2" t="str">
        <f>IFERROR(__xludf.DUMMYFUNCTION("IMPORTRANGE(""https://docs.google.com/spreadsheets/d/""&amp;$A652&amp;""/edit#gid=156619080"",G$3)"),"#REF!")</f>
        <v>#REF!</v>
      </c>
      <c r="H652" s="2" t="str">
        <f>IFERROR(__xludf.DUMMYFUNCTION("IMPORTRANGE(""https://docs.google.com/spreadsheets/d/""&amp;$A652&amp;""/edit#gid=156619080"",H$3)"),"#REF!")</f>
        <v>#REF!</v>
      </c>
      <c r="I652" s="2" t="str">
        <f>IFERROR(__xludf.DUMMYFUNCTION("IMPORTRANGE(""https://docs.google.com/spreadsheets/d/""&amp;$A652&amp;""/edit#gid=156619080"",I$3)"),"#REF!")</f>
        <v>#REF!</v>
      </c>
      <c r="J652" s="2" t="str">
        <f>IFERROR(__xludf.DUMMYFUNCTION("IMPORTRANGE(""https://docs.google.com/spreadsheets/d/""&amp;$A652&amp;""/edit#gid=156619080"",J$3)"),"#REF!")</f>
        <v>#REF!</v>
      </c>
      <c r="K652" s="2" t="str">
        <f>IFERROR(__xludf.DUMMYFUNCTION("IMPORTRANGE(""https://docs.google.com/spreadsheets/d/""&amp;$A652&amp;""/edit#gid=156619080"",K$3)"),"#REF!")</f>
        <v>#REF!</v>
      </c>
      <c r="L652" s="2" t="str">
        <f>IFERROR(__xludf.DUMMYFUNCTION("IMPORTRANGE(""https://docs.google.com/spreadsheets/d/""&amp;$A652&amp;""/edit#gid=156619080"",L$3)"),"#REF!")</f>
        <v>#REF!</v>
      </c>
      <c r="M652" s="2" t="str">
        <f>IFERROR(__xludf.DUMMYFUNCTION("IMPORTRANGE(""https://docs.google.com/spreadsheets/d/""&amp;$A652&amp;""/edit#gid=156619080"",M$3)"),"#REF!")</f>
        <v>#REF!</v>
      </c>
      <c r="N652" s="2" t="str">
        <f>IFERROR(__xludf.DUMMYFUNCTION("IMPORTRANGE(""https://docs.google.com/spreadsheets/d/""&amp;$A652&amp;""/edit#gid=156619080"",N$3)"),"#REF!")</f>
        <v>#REF!</v>
      </c>
      <c r="O652" s="2" t="str">
        <f>IFERROR(__xludf.DUMMYFUNCTION("IMPORTRANGE(""https://docs.google.com/spreadsheets/d/""&amp;$A652&amp;""/edit#gid=156619080"",O$3)"),"#REF!")</f>
        <v>#REF!</v>
      </c>
      <c r="P652" s="2" t="str">
        <f>IFERROR(__xludf.DUMMYFUNCTION("IMPORTRANGE(""https://docs.google.com/spreadsheets/d/""&amp;$A652&amp;""/edit#gid=156619080"",P$3)"),"#REF!")</f>
        <v>#REF!</v>
      </c>
      <c r="Q652" s="2" t="str">
        <f>IFERROR(__xludf.DUMMYFUNCTION("IMPORTRANGE(""https://docs.google.com/spreadsheets/d/""&amp;$A652&amp;""/edit#gid=156619080"",Q$3)"),"#REF!")</f>
        <v>#REF!</v>
      </c>
      <c r="R652" s="2" t="str">
        <f>IFERROR(__xludf.DUMMYFUNCTION("IMPORTRANGE(""https://docs.google.com/spreadsheets/d/""&amp;$A652&amp;""/edit#gid=156619080"",R$3)"),"#REF!")</f>
        <v>#REF!</v>
      </c>
      <c r="S652" s="2" t="str">
        <f>IFERROR(__xludf.DUMMYFUNCTION("IMPORTRANGE(""https://docs.google.com/spreadsheets/d/""&amp;$A652&amp;""/edit#gid=156619080"",S$3)"),"#REF!")</f>
        <v>#REF!</v>
      </c>
      <c r="T652" s="2" t="str">
        <f>IFERROR(__xludf.DUMMYFUNCTION("IMPORTRANGE(""https://docs.google.com/spreadsheets/d/""&amp;$A652&amp;""/edit#gid=156619080"",T$3)"),"#REF!")</f>
        <v>#REF!</v>
      </c>
      <c r="U652" s="2" t="str">
        <f>IFERROR(__xludf.DUMMYFUNCTION("IMPORTRANGE(""https://docs.google.com/spreadsheets/d/""&amp;$A652&amp;""/edit#gid=156619080"",U$3)"),"#REF!")</f>
        <v>#REF!</v>
      </c>
      <c r="V652" s="2" t="str">
        <f>IFERROR(__xludf.DUMMYFUNCTION("IMPORTRANGE(""https://docs.google.com/spreadsheets/d/""&amp;$A652&amp;""/edit#gid=156619080"",V$3)"),"#REF!")</f>
        <v>#REF!</v>
      </c>
      <c r="W652" s="2" t="str">
        <f>IFERROR(__xludf.DUMMYFUNCTION("IMPORTRANGE(""https://docs.google.com/spreadsheets/d/""&amp;$A652&amp;""/edit#gid=156619080"",W$3)"),"#REF!")</f>
        <v>#REF!</v>
      </c>
      <c r="X652" s="2" t="str">
        <f>IFERROR(__xludf.DUMMYFUNCTION("IMPORTRANGE(""https://docs.google.com/spreadsheets/d/""&amp;$A652&amp;""/edit#gid=156619080"",X$3)"),"#REF!")</f>
        <v>#REF!</v>
      </c>
      <c r="Y652" s="2" t="str">
        <f>IFERROR(__xludf.DUMMYFUNCTION("IMPORTRANGE(""https://docs.google.com/spreadsheets/d/""&amp;$A652&amp;""/edit#gid=156619080"",Y$3)"),"#REF!")</f>
        <v>#REF!</v>
      </c>
      <c r="Z652" s="2" t="str">
        <f>IFERROR(__xludf.DUMMYFUNCTION("IMPORTRANGE(""https://docs.google.com/spreadsheets/d/""&amp;$A652&amp;""/edit#gid=156619080"",Z$3)"),"#REF!")</f>
        <v>#REF!</v>
      </c>
      <c r="AA652" s="2" t="str">
        <f>IFERROR(__xludf.DUMMYFUNCTION("IMPORTRANGE(""https://docs.google.com/spreadsheets/d/""&amp;$A652&amp;""/edit#gid=156619080"",AA$3)"),"#REF!")</f>
        <v>#REF!</v>
      </c>
      <c r="AB652" s="2" t="str">
        <f>IFERROR(__xludf.DUMMYFUNCTION("IMPORTRANGE(""https://docs.google.com/spreadsheets/d/""&amp;$A652&amp;""/edit#gid=156619080"",AB$3)"),"#REF!")</f>
        <v>#REF!</v>
      </c>
      <c r="AC652" s="2" t="str">
        <f>IFERROR(__xludf.DUMMYFUNCTION("IMPORTRANGE(""https://docs.google.com/spreadsheets/d/""&amp;$A652&amp;""/edit#gid=156619080"",AC$3)"),"#REF!")</f>
        <v>#REF!</v>
      </c>
      <c r="AD652" s="2" t="str">
        <f>IFERROR(__xludf.DUMMYFUNCTION("IMPORTRANGE(""https://docs.google.com/spreadsheets/d/""&amp;$A652&amp;""/edit#gid=156619080"",AD$3)"),"#REF!")</f>
        <v>#REF!</v>
      </c>
      <c r="AE652" s="2" t="str">
        <f>IFERROR(__xludf.DUMMYFUNCTION("IMPORTRANGE(""https://docs.google.com/spreadsheets/d/""&amp;$A652&amp;""/edit#gid=156619080"",AE$3)"),"#REF!")</f>
        <v>#REF!</v>
      </c>
      <c r="AF652" s="2" t="str">
        <f>IFERROR(__xludf.DUMMYFUNCTION("IMPORTRANGE(""https://docs.google.com/spreadsheets/d/""&amp;$A652&amp;""/edit#gid=156619080"",AF$3)"),"#REF!")</f>
        <v>#REF!</v>
      </c>
      <c r="AG652" s="2" t="str">
        <f>IFERROR(__xludf.DUMMYFUNCTION("IMPORTRANGE(""https://docs.google.com/spreadsheets/d/""&amp;$A652&amp;""/edit#gid=156619080"",AG$3)"),"#REF!")</f>
        <v>#REF!</v>
      </c>
      <c r="AH652" s="2" t="str">
        <f>IFERROR(__xludf.DUMMYFUNCTION("IMPORTRANGE(""https://docs.google.com/spreadsheets/d/""&amp;$A652&amp;""/edit#gid=156619080"",AH$3)"),"#REF!")</f>
        <v>#REF!</v>
      </c>
      <c r="AI652" s="2" t="str">
        <f>IFERROR(__xludf.DUMMYFUNCTION("IMPORTRANGE(""https://docs.google.com/spreadsheets/d/""&amp;$A652&amp;""/edit#gid=156619080"",AI$3)"),"#REF!")</f>
        <v>#REF!</v>
      </c>
      <c r="AJ652" s="2" t="str">
        <f>IFERROR(__xludf.DUMMYFUNCTION("IMPORTRANGE(""https://docs.google.com/spreadsheets/d/""&amp;$A652&amp;""/edit#gid=156619080"",AJ$3)"),"#REF!")</f>
        <v>#REF!</v>
      </c>
      <c r="AK652" s="2" t="str">
        <f>IFERROR(__xludf.DUMMYFUNCTION("IMPORTRANGE(""https://docs.google.com/spreadsheets/d/""&amp;$A652&amp;""/edit#gid=156619080"",AK$3)"),"#REF!")</f>
        <v>#REF!</v>
      </c>
      <c r="AL652" s="2" t="str">
        <f>IFERROR(__xludf.DUMMYFUNCTION("IMPORTRANGE(""https://docs.google.com/spreadsheets/d/""&amp;$A652&amp;""/edit#gid=156619080"",AL$3)"),"#REF!")</f>
        <v>#REF!</v>
      </c>
      <c r="AM652" s="2" t="str">
        <f>IFERROR(__xludf.DUMMYFUNCTION("IMPORTRANGE(""https://docs.google.com/spreadsheets/d/""&amp;$A652&amp;""/edit#gid=156619080"",AM$3)"),"#REF!")</f>
        <v>#REF!</v>
      </c>
      <c r="AN652" s="2" t="str">
        <f>IFERROR(__xludf.DUMMYFUNCTION("IMPORTRANGE(""https://docs.google.com/spreadsheets/d/""&amp;$A652&amp;""/edit#gid=156619080"",AN$3)"),"#REF!")</f>
        <v>#REF!</v>
      </c>
      <c r="AO652" s="2" t="str">
        <f>IFERROR(__xludf.DUMMYFUNCTION("IMPORTRANGE(""https://docs.google.com/spreadsheets/d/""&amp;$A652&amp;""/edit#gid=156619080"",AO$3)"),"#REF!")</f>
        <v>#REF!</v>
      </c>
      <c r="AP652" s="2" t="str">
        <f>IFERROR(__xludf.DUMMYFUNCTION("IMPORTRANGE(""https://docs.google.com/spreadsheets/d/""&amp;$A652&amp;""/edit#gid=156619080"",AP$3)"),"#REF!")</f>
        <v>#REF!</v>
      </c>
      <c r="AQ652" s="2" t="str">
        <f>IFERROR(__xludf.DUMMYFUNCTION("IMPORTRANGE(""https://docs.google.com/spreadsheets/d/""&amp;$A652&amp;""/edit#gid=156619080"",AQ$3)"),"#REF!")</f>
        <v>#REF!</v>
      </c>
      <c r="AR652" s="2" t="str">
        <f>IFERROR(__xludf.DUMMYFUNCTION("IMPORTRANGE(""https://docs.google.com/spreadsheets/d/""&amp;$A652&amp;""/edit#gid=156619080"",AR$3)"),"#REF!")</f>
        <v>#REF!</v>
      </c>
      <c r="AS652" s="19" t="str">
        <f>IFERROR(__xludf.DUMMYFUNCTION("IMPORTRANGE(""https://docs.google.com/spreadsheets/d/""&amp;$A652&amp;""/edit#gid=156619080"",AS$3)"),"#REF!")</f>
        <v>#REF!</v>
      </c>
      <c r="AT652" s="2" t="str">
        <f>IFERROR(__xludf.DUMMYFUNCTION("IMPORTRANGE(""https://docs.google.com/spreadsheets/d/""&amp;$A652&amp;""/edit#gid=156619080"",AT$3)"),"#REF!")</f>
        <v>#REF!</v>
      </c>
      <c r="AU652" s="3" t="str">
        <f>IFERROR(__xludf.DUMMYFUNCTION("IMPORTRANGE(""https://docs.google.com/spreadsheets/d/""&amp;$A652&amp;""/edit#gid=156619080"",AU$3)"),"#REF!")</f>
        <v>#REF!</v>
      </c>
      <c r="AV652" s="2" t="str">
        <f>IFERROR(__xludf.DUMMYFUNCTION("IMPORTRANGE(""https://docs.google.com/spreadsheets/d/""&amp;$A652&amp;""/edit#gid=156619080"",AV$3)"),"#REF!")</f>
        <v>#REF!</v>
      </c>
      <c r="AW652" s="19" t="str">
        <f>IFERROR(__xludf.DUMMYFUNCTION("IMPORTRANGE(""https://docs.google.com/spreadsheets/d/""&amp;$A652&amp;""/edit#gid=156619080"",AW$3)"),"#REF!")</f>
        <v>#REF!</v>
      </c>
      <c r="AX652" s="2" t="str">
        <f>IFERROR(__xludf.DUMMYFUNCTION("IMPORTRANGE(""https://docs.google.com/spreadsheets/d/""&amp;$A652&amp;""/edit#gid=156619080"",AX$3)"),"#REF!")</f>
        <v>#REF!</v>
      </c>
      <c r="AY652" s="2" t="str">
        <f>IFERROR(__xludf.DUMMYFUNCTION("IMPORTRANGE(""https://docs.google.com/spreadsheets/d/""&amp;$A652&amp;""/edit#gid=156619080"",AY$3)"),"#REF!")</f>
        <v>#REF!</v>
      </c>
      <c r="AZ652" s="2" t="str">
        <f>IFERROR(__xludf.DUMMYFUNCTION("IMPORTRANGE(""https://docs.google.com/spreadsheets/d/""&amp;$A652&amp;""/edit#gid=156619080"",AZ$3)"),"#REF!")</f>
        <v>#REF!</v>
      </c>
      <c r="BA652" s="2" t="str">
        <f>IFERROR(__xludf.DUMMYFUNCTION("IMPORTRANGE(""https://docs.google.com/spreadsheets/d/""&amp;$A652&amp;""/edit#gid=156619080"",BA$3)"),"#REF!")</f>
        <v>#REF!</v>
      </c>
      <c r="BB652" s="2" t="str">
        <f>IFERROR(__xludf.DUMMYFUNCTION("IMPORTRANGE(""https://docs.google.com/spreadsheets/d/""&amp;$A652&amp;""/edit#gid=156619080"",BB$3)"),"#REF!")</f>
        <v>#REF!</v>
      </c>
      <c r="BC652" s="2" t="str">
        <f>IFERROR(__xludf.DUMMYFUNCTION("IMPORTRANGE(""https://docs.google.com/spreadsheets/d/""&amp;$A652&amp;""/edit#gid=156619080"",BC$3)"),"#REF!")</f>
        <v>#REF!</v>
      </c>
    </row>
    <row r="653" ht="51.0" customHeight="1">
      <c r="A653" s="7" t="str">
        <f t="shared" si="5"/>
        <v/>
      </c>
      <c r="C653" s="2" t="str">
        <f>IFERROR(__xludf.DUMMYFUNCTION("IMPORTRANGE(""https://docs.google.com/spreadsheets/d/""&amp;$A653&amp;""/edit#gid=156619080"",C$3)"),"#REF!")</f>
        <v>#REF!</v>
      </c>
      <c r="D653" s="2" t="str">
        <f>IFERROR(__xludf.DUMMYFUNCTION("IMPORTRANGE(""https://docs.google.com/spreadsheets/d/""&amp;$A653&amp;""/edit#gid=156619080"",D$3)"),"#REF!")</f>
        <v>#REF!</v>
      </c>
      <c r="E653" s="2" t="str">
        <f>IFERROR(__xludf.DUMMYFUNCTION("IMPORTRANGE(""https://docs.google.com/spreadsheets/d/""&amp;$A653&amp;""/edit#gid=156619080"",E$3)"),"#REF!")</f>
        <v>#REF!</v>
      </c>
      <c r="F653" s="2" t="str">
        <f>IFERROR(__xludf.DUMMYFUNCTION("IMPORTRANGE(""https://docs.google.com/spreadsheets/d/""&amp;$A653&amp;""/edit#gid=156619080"",F$3)"),"#REF!")</f>
        <v>#REF!</v>
      </c>
      <c r="G653" s="2" t="str">
        <f>IFERROR(__xludf.DUMMYFUNCTION("IMPORTRANGE(""https://docs.google.com/spreadsheets/d/""&amp;$A653&amp;""/edit#gid=156619080"",G$3)"),"#REF!")</f>
        <v>#REF!</v>
      </c>
      <c r="H653" s="2" t="str">
        <f>IFERROR(__xludf.DUMMYFUNCTION("IMPORTRANGE(""https://docs.google.com/spreadsheets/d/""&amp;$A653&amp;""/edit#gid=156619080"",H$3)"),"#REF!")</f>
        <v>#REF!</v>
      </c>
      <c r="I653" s="2" t="str">
        <f>IFERROR(__xludf.DUMMYFUNCTION("IMPORTRANGE(""https://docs.google.com/spreadsheets/d/""&amp;$A653&amp;""/edit#gid=156619080"",I$3)"),"#REF!")</f>
        <v>#REF!</v>
      </c>
      <c r="J653" s="2" t="str">
        <f>IFERROR(__xludf.DUMMYFUNCTION("IMPORTRANGE(""https://docs.google.com/spreadsheets/d/""&amp;$A653&amp;""/edit#gid=156619080"",J$3)"),"#REF!")</f>
        <v>#REF!</v>
      </c>
      <c r="K653" s="2" t="str">
        <f>IFERROR(__xludf.DUMMYFUNCTION("IMPORTRANGE(""https://docs.google.com/spreadsheets/d/""&amp;$A653&amp;""/edit#gid=156619080"",K$3)"),"#REF!")</f>
        <v>#REF!</v>
      </c>
      <c r="L653" s="2" t="str">
        <f>IFERROR(__xludf.DUMMYFUNCTION("IMPORTRANGE(""https://docs.google.com/spreadsheets/d/""&amp;$A653&amp;""/edit#gid=156619080"",L$3)"),"#REF!")</f>
        <v>#REF!</v>
      </c>
      <c r="M653" s="2" t="str">
        <f>IFERROR(__xludf.DUMMYFUNCTION("IMPORTRANGE(""https://docs.google.com/spreadsheets/d/""&amp;$A653&amp;""/edit#gid=156619080"",M$3)"),"#REF!")</f>
        <v>#REF!</v>
      </c>
      <c r="N653" s="2" t="str">
        <f>IFERROR(__xludf.DUMMYFUNCTION("IMPORTRANGE(""https://docs.google.com/spreadsheets/d/""&amp;$A653&amp;""/edit#gid=156619080"",N$3)"),"#REF!")</f>
        <v>#REF!</v>
      </c>
      <c r="O653" s="2" t="str">
        <f>IFERROR(__xludf.DUMMYFUNCTION("IMPORTRANGE(""https://docs.google.com/spreadsheets/d/""&amp;$A653&amp;""/edit#gid=156619080"",O$3)"),"#REF!")</f>
        <v>#REF!</v>
      </c>
      <c r="P653" s="2" t="str">
        <f>IFERROR(__xludf.DUMMYFUNCTION("IMPORTRANGE(""https://docs.google.com/spreadsheets/d/""&amp;$A653&amp;""/edit#gid=156619080"",P$3)"),"#REF!")</f>
        <v>#REF!</v>
      </c>
      <c r="Q653" s="2" t="str">
        <f>IFERROR(__xludf.DUMMYFUNCTION("IMPORTRANGE(""https://docs.google.com/spreadsheets/d/""&amp;$A653&amp;""/edit#gid=156619080"",Q$3)"),"#REF!")</f>
        <v>#REF!</v>
      </c>
      <c r="R653" s="2" t="str">
        <f>IFERROR(__xludf.DUMMYFUNCTION("IMPORTRANGE(""https://docs.google.com/spreadsheets/d/""&amp;$A653&amp;""/edit#gid=156619080"",R$3)"),"#REF!")</f>
        <v>#REF!</v>
      </c>
      <c r="S653" s="2" t="str">
        <f>IFERROR(__xludf.DUMMYFUNCTION("IMPORTRANGE(""https://docs.google.com/spreadsheets/d/""&amp;$A653&amp;""/edit#gid=156619080"",S$3)"),"#REF!")</f>
        <v>#REF!</v>
      </c>
      <c r="T653" s="2" t="str">
        <f>IFERROR(__xludf.DUMMYFUNCTION("IMPORTRANGE(""https://docs.google.com/spreadsheets/d/""&amp;$A653&amp;""/edit#gid=156619080"",T$3)"),"#REF!")</f>
        <v>#REF!</v>
      </c>
      <c r="U653" s="2" t="str">
        <f>IFERROR(__xludf.DUMMYFUNCTION("IMPORTRANGE(""https://docs.google.com/spreadsheets/d/""&amp;$A653&amp;""/edit#gid=156619080"",U$3)"),"#REF!")</f>
        <v>#REF!</v>
      </c>
      <c r="V653" s="2" t="str">
        <f>IFERROR(__xludf.DUMMYFUNCTION("IMPORTRANGE(""https://docs.google.com/spreadsheets/d/""&amp;$A653&amp;""/edit#gid=156619080"",V$3)"),"#REF!")</f>
        <v>#REF!</v>
      </c>
      <c r="W653" s="2" t="str">
        <f>IFERROR(__xludf.DUMMYFUNCTION("IMPORTRANGE(""https://docs.google.com/spreadsheets/d/""&amp;$A653&amp;""/edit#gid=156619080"",W$3)"),"#REF!")</f>
        <v>#REF!</v>
      </c>
      <c r="X653" s="2" t="str">
        <f>IFERROR(__xludf.DUMMYFUNCTION("IMPORTRANGE(""https://docs.google.com/spreadsheets/d/""&amp;$A653&amp;""/edit#gid=156619080"",X$3)"),"#REF!")</f>
        <v>#REF!</v>
      </c>
      <c r="Y653" s="2" t="str">
        <f>IFERROR(__xludf.DUMMYFUNCTION("IMPORTRANGE(""https://docs.google.com/spreadsheets/d/""&amp;$A653&amp;""/edit#gid=156619080"",Y$3)"),"#REF!")</f>
        <v>#REF!</v>
      </c>
      <c r="Z653" s="2" t="str">
        <f>IFERROR(__xludf.DUMMYFUNCTION("IMPORTRANGE(""https://docs.google.com/spreadsheets/d/""&amp;$A653&amp;""/edit#gid=156619080"",Z$3)"),"#REF!")</f>
        <v>#REF!</v>
      </c>
      <c r="AA653" s="2" t="str">
        <f>IFERROR(__xludf.DUMMYFUNCTION("IMPORTRANGE(""https://docs.google.com/spreadsheets/d/""&amp;$A653&amp;""/edit#gid=156619080"",AA$3)"),"#REF!")</f>
        <v>#REF!</v>
      </c>
      <c r="AB653" s="2" t="str">
        <f>IFERROR(__xludf.DUMMYFUNCTION("IMPORTRANGE(""https://docs.google.com/spreadsheets/d/""&amp;$A653&amp;""/edit#gid=156619080"",AB$3)"),"#REF!")</f>
        <v>#REF!</v>
      </c>
      <c r="AC653" s="2" t="str">
        <f>IFERROR(__xludf.DUMMYFUNCTION("IMPORTRANGE(""https://docs.google.com/spreadsheets/d/""&amp;$A653&amp;""/edit#gid=156619080"",AC$3)"),"#REF!")</f>
        <v>#REF!</v>
      </c>
      <c r="AD653" s="2" t="str">
        <f>IFERROR(__xludf.DUMMYFUNCTION("IMPORTRANGE(""https://docs.google.com/spreadsheets/d/""&amp;$A653&amp;""/edit#gid=156619080"",AD$3)"),"#REF!")</f>
        <v>#REF!</v>
      </c>
      <c r="AE653" s="2" t="str">
        <f>IFERROR(__xludf.DUMMYFUNCTION("IMPORTRANGE(""https://docs.google.com/spreadsheets/d/""&amp;$A653&amp;""/edit#gid=156619080"",AE$3)"),"#REF!")</f>
        <v>#REF!</v>
      </c>
      <c r="AF653" s="2" t="str">
        <f>IFERROR(__xludf.DUMMYFUNCTION("IMPORTRANGE(""https://docs.google.com/spreadsheets/d/""&amp;$A653&amp;""/edit#gid=156619080"",AF$3)"),"#REF!")</f>
        <v>#REF!</v>
      </c>
      <c r="AG653" s="2" t="str">
        <f>IFERROR(__xludf.DUMMYFUNCTION("IMPORTRANGE(""https://docs.google.com/spreadsheets/d/""&amp;$A653&amp;""/edit#gid=156619080"",AG$3)"),"#REF!")</f>
        <v>#REF!</v>
      </c>
      <c r="AH653" s="2" t="str">
        <f>IFERROR(__xludf.DUMMYFUNCTION("IMPORTRANGE(""https://docs.google.com/spreadsheets/d/""&amp;$A653&amp;""/edit#gid=156619080"",AH$3)"),"#REF!")</f>
        <v>#REF!</v>
      </c>
      <c r="AI653" s="2" t="str">
        <f>IFERROR(__xludf.DUMMYFUNCTION("IMPORTRANGE(""https://docs.google.com/spreadsheets/d/""&amp;$A653&amp;""/edit#gid=156619080"",AI$3)"),"#REF!")</f>
        <v>#REF!</v>
      </c>
      <c r="AJ653" s="2" t="str">
        <f>IFERROR(__xludf.DUMMYFUNCTION("IMPORTRANGE(""https://docs.google.com/spreadsheets/d/""&amp;$A653&amp;""/edit#gid=156619080"",AJ$3)"),"#REF!")</f>
        <v>#REF!</v>
      </c>
      <c r="AK653" s="2" t="str">
        <f>IFERROR(__xludf.DUMMYFUNCTION("IMPORTRANGE(""https://docs.google.com/spreadsheets/d/""&amp;$A653&amp;""/edit#gid=156619080"",AK$3)"),"#REF!")</f>
        <v>#REF!</v>
      </c>
      <c r="AL653" s="2" t="str">
        <f>IFERROR(__xludf.DUMMYFUNCTION("IMPORTRANGE(""https://docs.google.com/spreadsheets/d/""&amp;$A653&amp;""/edit#gid=156619080"",AL$3)"),"#REF!")</f>
        <v>#REF!</v>
      </c>
      <c r="AM653" s="2" t="str">
        <f>IFERROR(__xludf.DUMMYFUNCTION("IMPORTRANGE(""https://docs.google.com/spreadsheets/d/""&amp;$A653&amp;""/edit#gid=156619080"",AM$3)"),"#REF!")</f>
        <v>#REF!</v>
      </c>
      <c r="AN653" s="2" t="str">
        <f>IFERROR(__xludf.DUMMYFUNCTION("IMPORTRANGE(""https://docs.google.com/spreadsheets/d/""&amp;$A653&amp;""/edit#gid=156619080"",AN$3)"),"#REF!")</f>
        <v>#REF!</v>
      </c>
      <c r="AO653" s="2" t="str">
        <f>IFERROR(__xludf.DUMMYFUNCTION("IMPORTRANGE(""https://docs.google.com/spreadsheets/d/""&amp;$A653&amp;""/edit#gid=156619080"",AO$3)"),"#REF!")</f>
        <v>#REF!</v>
      </c>
      <c r="AP653" s="2" t="str">
        <f>IFERROR(__xludf.DUMMYFUNCTION("IMPORTRANGE(""https://docs.google.com/spreadsheets/d/""&amp;$A653&amp;""/edit#gid=156619080"",AP$3)"),"#REF!")</f>
        <v>#REF!</v>
      </c>
      <c r="AQ653" s="2" t="str">
        <f>IFERROR(__xludf.DUMMYFUNCTION("IMPORTRANGE(""https://docs.google.com/spreadsheets/d/""&amp;$A653&amp;""/edit#gid=156619080"",AQ$3)"),"#REF!")</f>
        <v>#REF!</v>
      </c>
      <c r="AR653" s="2" t="str">
        <f>IFERROR(__xludf.DUMMYFUNCTION("IMPORTRANGE(""https://docs.google.com/spreadsheets/d/""&amp;$A653&amp;""/edit#gid=156619080"",AR$3)"),"#REF!")</f>
        <v>#REF!</v>
      </c>
      <c r="AS653" s="19" t="str">
        <f>IFERROR(__xludf.DUMMYFUNCTION("IMPORTRANGE(""https://docs.google.com/spreadsheets/d/""&amp;$A653&amp;""/edit#gid=156619080"",AS$3)"),"#REF!")</f>
        <v>#REF!</v>
      </c>
      <c r="AT653" s="2" t="str">
        <f>IFERROR(__xludf.DUMMYFUNCTION("IMPORTRANGE(""https://docs.google.com/spreadsheets/d/""&amp;$A653&amp;""/edit#gid=156619080"",AT$3)"),"#REF!")</f>
        <v>#REF!</v>
      </c>
      <c r="AU653" s="3" t="str">
        <f>IFERROR(__xludf.DUMMYFUNCTION("IMPORTRANGE(""https://docs.google.com/spreadsheets/d/""&amp;$A653&amp;""/edit#gid=156619080"",AU$3)"),"#REF!")</f>
        <v>#REF!</v>
      </c>
      <c r="AV653" s="2" t="str">
        <f>IFERROR(__xludf.DUMMYFUNCTION("IMPORTRANGE(""https://docs.google.com/spreadsheets/d/""&amp;$A653&amp;""/edit#gid=156619080"",AV$3)"),"#REF!")</f>
        <v>#REF!</v>
      </c>
      <c r="AW653" s="19" t="str">
        <f>IFERROR(__xludf.DUMMYFUNCTION("IMPORTRANGE(""https://docs.google.com/spreadsheets/d/""&amp;$A653&amp;""/edit#gid=156619080"",AW$3)"),"#REF!")</f>
        <v>#REF!</v>
      </c>
      <c r="AX653" s="2" t="str">
        <f>IFERROR(__xludf.DUMMYFUNCTION("IMPORTRANGE(""https://docs.google.com/spreadsheets/d/""&amp;$A653&amp;""/edit#gid=156619080"",AX$3)"),"#REF!")</f>
        <v>#REF!</v>
      </c>
      <c r="AY653" s="2" t="str">
        <f>IFERROR(__xludf.DUMMYFUNCTION("IMPORTRANGE(""https://docs.google.com/spreadsheets/d/""&amp;$A653&amp;""/edit#gid=156619080"",AY$3)"),"#REF!")</f>
        <v>#REF!</v>
      </c>
      <c r="AZ653" s="2" t="str">
        <f>IFERROR(__xludf.DUMMYFUNCTION("IMPORTRANGE(""https://docs.google.com/spreadsheets/d/""&amp;$A653&amp;""/edit#gid=156619080"",AZ$3)"),"#REF!")</f>
        <v>#REF!</v>
      </c>
      <c r="BA653" s="2" t="str">
        <f>IFERROR(__xludf.DUMMYFUNCTION("IMPORTRANGE(""https://docs.google.com/spreadsheets/d/""&amp;$A653&amp;""/edit#gid=156619080"",BA$3)"),"#REF!")</f>
        <v>#REF!</v>
      </c>
      <c r="BB653" s="2" t="str">
        <f>IFERROR(__xludf.DUMMYFUNCTION("IMPORTRANGE(""https://docs.google.com/spreadsheets/d/""&amp;$A653&amp;""/edit#gid=156619080"",BB$3)"),"#REF!")</f>
        <v>#REF!</v>
      </c>
      <c r="BC653" s="2" t="str">
        <f>IFERROR(__xludf.DUMMYFUNCTION("IMPORTRANGE(""https://docs.google.com/spreadsheets/d/""&amp;$A653&amp;""/edit#gid=156619080"",BC$3)"),"#REF!")</f>
        <v>#REF!</v>
      </c>
    </row>
    <row r="654" ht="51.0" customHeight="1">
      <c r="A654" s="7" t="str">
        <f t="shared" si="5"/>
        <v/>
      </c>
      <c r="C654" s="2" t="str">
        <f>IFERROR(__xludf.DUMMYFUNCTION("IMPORTRANGE(""https://docs.google.com/spreadsheets/d/""&amp;$A654&amp;""/edit#gid=156619080"",C$3)"),"#REF!")</f>
        <v>#REF!</v>
      </c>
      <c r="D654" s="2" t="str">
        <f>IFERROR(__xludf.DUMMYFUNCTION("IMPORTRANGE(""https://docs.google.com/spreadsheets/d/""&amp;$A654&amp;""/edit#gid=156619080"",D$3)"),"#REF!")</f>
        <v>#REF!</v>
      </c>
      <c r="E654" s="2" t="str">
        <f>IFERROR(__xludf.DUMMYFUNCTION("IMPORTRANGE(""https://docs.google.com/spreadsheets/d/""&amp;$A654&amp;""/edit#gid=156619080"",E$3)"),"#REF!")</f>
        <v>#REF!</v>
      </c>
      <c r="F654" s="2" t="str">
        <f>IFERROR(__xludf.DUMMYFUNCTION("IMPORTRANGE(""https://docs.google.com/spreadsheets/d/""&amp;$A654&amp;""/edit#gid=156619080"",F$3)"),"#REF!")</f>
        <v>#REF!</v>
      </c>
      <c r="G654" s="2" t="str">
        <f>IFERROR(__xludf.DUMMYFUNCTION("IMPORTRANGE(""https://docs.google.com/spreadsheets/d/""&amp;$A654&amp;""/edit#gid=156619080"",G$3)"),"#REF!")</f>
        <v>#REF!</v>
      </c>
      <c r="H654" s="2" t="str">
        <f>IFERROR(__xludf.DUMMYFUNCTION("IMPORTRANGE(""https://docs.google.com/spreadsheets/d/""&amp;$A654&amp;""/edit#gid=156619080"",H$3)"),"#REF!")</f>
        <v>#REF!</v>
      </c>
      <c r="I654" s="2" t="str">
        <f>IFERROR(__xludf.DUMMYFUNCTION("IMPORTRANGE(""https://docs.google.com/spreadsheets/d/""&amp;$A654&amp;""/edit#gid=156619080"",I$3)"),"#REF!")</f>
        <v>#REF!</v>
      </c>
      <c r="J654" s="2" t="str">
        <f>IFERROR(__xludf.DUMMYFUNCTION("IMPORTRANGE(""https://docs.google.com/spreadsheets/d/""&amp;$A654&amp;""/edit#gid=156619080"",J$3)"),"#REF!")</f>
        <v>#REF!</v>
      </c>
      <c r="K654" s="2" t="str">
        <f>IFERROR(__xludf.DUMMYFUNCTION("IMPORTRANGE(""https://docs.google.com/spreadsheets/d/""&amp;$A654&amp;""/edit#gid=156619080"",K$3)"),"#REF!")</f>
        <v>#REF!</v>
      </c>
      <c r="L654" s="2" t="str">
        <f>IFERROR(__xludf.DUMMYFUNCTION("IMPORTRANGE(""https://docs.google.com/spreadsheets/d/""&amp;$A654&amp;""/edit#gid=156619080"",L$3)"),"#REF!")</f>
        <v>#REF!</v>
      </c>
      <c r="M654" s="2" t="str">
        <f>IFERROR(__xludf.DUMMYFUNCTION("IMPORTRANGE(""https://docs.google.com/spreadsheets/d/""&amp;$A654&amp;""/edit#gid=156619080"",M$3)"),"#REF!")</f>
        <v>#REF!</v>
      </c>
      <c r="N654" s="2" t="str">
        <f>IFERROR(__xludf.DUMMYFUNCTION("IMPORTRANGE(""https://docs.google.com/spreadsheets/d/""&amp;$A654&amp;""/edit#gid=156619080"",N$3)"),"#REF!")</f>
        <v>#REF!</v>
      </c>
      <c r="O654" s="2" t="str">
        <f>IFERROR(__xludf.DUMMYFUNCTION("IMPORTRANGE(""https://docs.google.com/spreadsheets/d/""&amp;$A654&amp;""/edit#gid=156619080"",O$3)"),"#REF!")</f>
        <v>#REF!</v>
      </c>
      <c r="P654" s="2" t="str">
        <f>IFERROR(__xludf.DUMMYFUNCTION("IMPORTRANGE(""https://docs.google.com/spreadsheets/d/""&amp;$A654&amp;""/edit#gid=156619080"",P$3)"),"#REF!")</f>
        <v>#REF!</v>
      </c>
      <c r="Q654" s="2" t="str">
        <f>IFERROR(__xludf.DUMMYFUNCTION("IMPORTRANGE(""https://docs.google.com/spreadsheets/d/""&amp;$A654&amp;""/edit#gid=156619080"",Q$3)"),"#REF!")</f>
        <v>#REF!</v>
      </c>
      <c r="R654" s="2" t="str">
        <f>IFERROR(__xludf.DUMMYFUNCTION("IMPORTRANGE(""https://docs.google.com/spreadsheets/d/""&amp;$A654&amp;""/edit#gid=156619080"",R$3)"),"#REF!")</f>
        <v>#REF!</v>
      </c>
      <c r="S654" s="2" t="str">
        <f>IFERROR(__xludf.DUMMYFUNCTION("IMPORTRANGE(""https://docs.google.com/spreadsheets/d/""&amp;$A654&amp;""/edit#gid=156619080"",S$3)"),"#REF!")</f>
        <v>#REF!</v>
      </c>
      <c r="T654" s="2" t="str">
        <f>IFERROR(__xludf.DUMMYFUNCTION("IMPORTRANGE(""https://docs.google.com/spreadsheets/d/""&amp;$A654&amp;""/edit#gid=156619080"",T$3)"),"#REF!")</f>
        <v>#REF!</v>
      </c>
      <c r="U654" s="2" t="str">
        <f>IFERROR(__xludf.DUMMYFUNCTION("IMPORTRANGE(""https://docs.google.com/spreadsheets/d/""&amp;$A654&amp;""/edit#gid=156619080"",U$3)"),"#REF!")</f>
        <v>#REF!</v>
      </c>
      <c r="V654" s="2" t="str">
        <f>IFERROR(__xludf.DUMMYFUNCTION("IMPORTRANGE(""https://docs.google.com/spreadsheets/d/""&amp;$A654&amp;""/edit#gid=156619080"",V$3)"),"#REF!")</f>
        <v>#REF!</v>
      </c>
      <c r="W654" s="2" t="str">
        <f>IFERROR(__xludf.DUMMYFUNCTION("IMPORTRANGE(""https://docs.google.com/spreadsheets/d/""&amp;$A654&amp;""/edit#gid=156619080"",W$3)"),"#REF!")</f>
        <v>#REF!</v>
      </c>
      <c r="X654" s="2" t="str">
        <f>IFERROR(__xludf.DUMMYFUNCTION("IMPORTRANGE(""https://docs.google.com/spreadsheets/d/""&amp;$A654&amp;""/edit#gid=156619080"",X$3)"),"#REF!")</f>
        <v>#REF!</v>
      </c>
      <c r="Y654" s="2" t="str">
        <f>IFERROR(__xludf.DUMMYFUNCTION("IMPORTRANGE(""https://docs.google.com/spreadsheets/d/""&amp;$A654&amp;""/edit#gid=156619080"",Y$3)"),"#REF!")</f>
        <v>#REF!</v>
      </c>
      <c r="Z654" s="2" t="str">
        <f>IFERROR(__xludf.DUMMYFUNCTION("IMPORTRANGE(""https://docs.google.com/spreadsheets/d/""&amp;$A654&amp;""/edit#gid=156619080"",Z$3)"),"#REF!")</f>
        <v>#REF!</v>
      </c>
      <c r="AA654" s="2" t="str">
        <f>IFERROR(__xludf.DUMMYFUNCTION("IMPORTRANGE(""https://docs.google.com/spreadsheets/d/""&amp;$A654&amp;""/edit#gid=156619080"",AA$3)"),"#REF!")</f>
        <v>#REF!</v>
      </c>
      <c r="AB654" s="2" t="str">
        <f>IFERROR(__xludf.DUMMYFUNCTION("IMPORTRANGE(""https://docs.google.com/spreadsheets/d/""&amp;$A654&amp;""/edit#gid=156619080"",AB$3)"),"#REF!")</f>
        <v>#REF!</v>
      </c>
      <c r="AC654" s="2" t="str">
        <f>IFERROR(__xludf.DUMMYFUNCTION("IMPORTRANGE(""https://docs.google.com/spreadsheets/d/""&amp;$A654&amp;""/edit#gid=156619080"",AC$3)"),"#REF!")</f>
        <v>#REF!</v>
      </c>
      <c r="AD654" s="2" t="str">
        <f>IFERROR(__xludf.DUMMYFUNCTION("IMPORTRANGE(""https://docs.google.com/spreadsheets/d/""&amp;$A654&amp;""/edit#gid=156619080"",AD$3)"),"#REF!")</f>
        <v>#REF!</v>
      </c>
      <c r="AE654" s="2" t="str">
        <f>IFERROR(__xludf.DUMMYFUNCTION("IMPORTRANGE(""https://docs.google.com/spreadsheets/d/""&amp;$A654&amp;""/edit#gid=156619080"",AE$3)"),"#REF!")</f>
        <v>#REF!</v>
      </c>
      <c r="AF654" s="2" t="str">
        <f>IFERROR(__xludf.DUMMYFUNCTION("IMPORTRANGE(""https://docs.google.com/spreadsheets/d/""&amp;$A654&amp;""/edit#gid=156619080"",AF$3)"),"#REF!")</f>
        <v>#REF!</v>
      </c>
      <c r="AG654" s="2" t="str">
        <f>IFERROR(__xludf.DUMMYFUNCTION("IMPORTRANGE(""https://docs.google.com/spreadsheets/d/""&amp;$A654&amp;""/edit#gid=156619080"",AG$3)"),"#REF!")</f>
        <v>#REF!</v>
      </c>
      <c r="AH654" s="2" t="str">
        <f>IFERROR(__xludf.DUMMYFUNCTION("IMPORTRANGE(""https://docs.google.com/spreadsheets/d/""&amp;$A654&amp;""/edit#gid=156619080"",AH$3)"),"#REF!")</f>
        <v>#REF!</v>
      </c>
      <c r="AI654" s="2" t="str">
        <f>IFERROR(__xludf.DUMMYFUNCTION("IMPORTRANGE(""https://docs.google.com/spreadsheets/d/""&amp;$A654&amp;""/edit#gid=156619080"",AI$3)"),"#REF!")</f>
        <v>#REF!</v>
      </c>
      <c r="AJ654" s="2" t="str">
        <f>IFERROR(__xludf.DUMMYFUNCTION("IMPORTRANGE(""https://docs.google.com/spreadsheets/d/""&amp;$A654&amp;""/edit#gid=156619080"",AJ$3)"),"#REF!")</f>
        <v>#REF!</v>
      </c>
      <c r="AK654" s="2" t="str">
        <f>IFERROR(__xludf.DUMMYFUNCTION("IMPORTRANGE(""https://docs.google.com/spreadsheets/d/""&amp;$A654&amp;""/edit#gid=156619080"",AK$3)"),"#REF!")</f>
        <v>#REF!</v>
      </c>
      <c r="AL654" s="2" t="str">
        <f>IFERROR(__xludf.DUMMYFUNCTION("IMPORTRANGE(""https://docs.google.com/spreadsheets/d/""&amp;$A654&amp;""/edit#gid=156619080"",AL$3)"),"#REF!")</f>
        <v>#REF!</v>
      </c>
      <c r="AM654" s="2" t="str">
        <f>IFERROR(__xludf.DUMMYFUNCTION("IMPORTRANGE(""https://docs.google.com/spreadsheets/d/""&amp;$A654&amp;""/edit#gid=156619080"",AM$3)"),"#REF!")</f>
        <v>#REF!</v>
      </c>
      <c r="AN654" s="2" t="str">
        <f>IFERROR(__xludf.DUMMYFUNCTION("IMPORTRANGE(""https://docs.google.com/spreadsheets/d/""&amp;$A654&amp;""/edit#gid=156619080"",AN$3)"),"#REF!")</f>
        <v>#REF!</v>
      </c>
      <c r="AO654" s="2" t="str">
        <f>IFERROR(__xludf.DUMMYFUNCTION("IMPORTRANGE(""https://docs.google.com/spreadsheets/d/""&amp;$A654&amp;""/edit#gid=156619080"",AO$3)"),"#REF!")</f>
        <v>#REF!</v>
      </c>
      <c r="AP654" s="2" t="str">
        <f>IFERROR(__xludf.DUMMYFUNCTION("IMPORTRANGE(""https://docs.google.com/spreadsheets/d/""&amp;$A654&amp;""/edit#gid=156619080"",AP$3)"),"#REF!")</f>
        <v>#REF!</v>
      </c>
      <c r="AQ654" s="2" t="str">
        <f>IFERROR(__xludf.DUMMYFUNCTION("IMPORTRANGE(""https://docs.google.com/spreadsheets/d/""&amp;$A654&amp;""/edit#gid=156619080"",AQ$3)"),"#REF!")</f>
        <v>#REF!</v>
      </c>
      <c r="AR654" s="2" t="str">
        <f>IFERROR(__xludf.DUMMYFUNCTION("IMPORTRANGE(""https://docs.google.com/spreadsheets/d/""&amp;$A654&amp;""/edit#gid=156619080"",AR$3)"),"#REF!")</f>
        <v>#REF!</v>
      </c>
      <c r="AS654" s="19" t="str">
        <f>IFERROR(__xludf.DUMMYFUNCTION("IMPORTRANGE(""https://docs.google.com/spreadsheets/d/""&amp;$A654&amp;""/edit#gid=156619080"",AS$3)"),"#REF!")</f>
        <v>#REF!</v>
      </c>
      <c r="AT654" s="2" t="str">
        <f>IFERROR(__xludf.DUMMYFUNCTION("IMPORTRANGE(""https://docs.google.com/spreadsheets/d/""&amp;$A654&amp;""/edit#gid=156619080"",AT$3)"),"#REF!")</f>
        <v>#REF!</v>
      </c>
      <c r="AU654" s="3" t="str">
        <f>IFERROR(__xludf.DUMMYFUNCTION("IMPORTRANGE(""https://docs.google.com/spreadsheets/d/""&amp;$A654&amp;""/edit#gid=156619080"",AU$3)"),"#REF!")</f>
        <v>#REF!</v>
      </c>
      <c r="AV654" s="2" t="str">
        <f>IFERROR(__xludf.DUMMYFUNCTION("IMPORTRANGE(""https://docs.google.com/spreadsheets/d/""&amp;$A654&amp;""/edit#gid=156619080"",AV$3)"),"#REF!")</f>
        <v>#REF!</v>
      </c>
      <c r="AW654" s="19" t="str">
        <f>IFERROR(__xludf.DUMMYFUNCTION("IMPORTRANGE(""https://docs.google.com/spreadsheets/d/""&amp;$A654&amp;""/edit#gid=156619080"",AW$3)"),"#REF!")</f>
        <v>#REF!</v>
      </c>
      <c r="AX654" s="2" t="str">
        <f>IFERROR(__xludf.DUMMYFUNCTION("IMPORTRANGE(""https://docs.google.com/spreadsheets/d/""&amp;$A654&amp;""/edit#gid=156619080"",AX$3)"),"#REF!")</f>
        <v>#REF!</v>
      </c>
      <c r="AY654" s="2" t="str">
        <f>IFERROR(__xludf.DUMMYFUNCTION("IMPORTRANGE(""https://docs.google.com/spreadsheets/d/""&amp;$A654&amp;""/edit#gid=156619080"",AY$3)"),"#REF!")</f>
        <v>#REF!</v>
      </c>
      <c r="AZ654" s="2" t="str">
        <f>IFERROR(__xludf.DUMMYFUNCTION("IMPORTRANGE(""https://docs.google.com/spreadsheets/d/""&amp;$A654&amp;""/edit#gid=156619080"",AZ$3)"),"#REF!")</f>
        <v>#REF!</v>
      </c>
      <c r="BA654" s="2" t="str">
        <f>IFERROR(__xludf.DUMMYFUNCTION("IMPORTRANGE(""https://docs.google.com/spreadsheets/d/""&amp;$A654&amp;""/edit#gid=156619080"",BA$3)"),"#REF!")</f>
        <v>#REF!</v>
      </c>
      <c r="BB654" s="2" t="str">
        <f>IFERROR(__xludf.DUMMYFUNCTION("IMPORTRANGE(""https://docs.google.com/spreadsheets/d/""&amp;$A654&amp;""/edit#gid=156619080"",BB$3)"),"#REF!")</f>
        <v>#REF!</v>
      </c>
      <c r="BC654" s="2" t="str">
        <f>IFERROR(__xludf.DUMMYFUNCTION("IMPORTRANGE(""https://docs.google.com/spreadsheets/d/""&amp;$A654&amp;""/edit#gid=156619080"",BC$3)"),"#REF!")</f>
        <v>#REF!</v>
      </c>
    </row>
    <row r="655" ht="51.0" customHeight="1">
      <c r="A655" s="7" t="str">
        <f t="shared" si="5"/>
        <v/>
      </c>
      <c r="C655" s="2" t="str">
        <f>IFERROR(__xludf.DUMMYFUNCTION("IMPORTRANGE(""https://docs.google.com/spreadsheets/d/""&amp;$A655&amp;""/edit#gid=156619080"",C$3)"),"#REF!")</f>
        <v>#REF!</v>
      </c>
      <c r="D655" s="2" t="str">
        <f>IFERROR(__xludf.DUMMYFUNCTION("IMPORTRANGE(""https://docs.google.com/spreadsheets/d/""&amp;$A655&amp;""/edit#gid=156619080"",D$3)"),"#REF!")</f>
        <v>#REF!</v>
      </c>
      <c r="E655" s="2" t="str">
        <f>IFERROR(__xludf.DUMMYFUNCTION("IMPORTRANGE(""https://docs.google.com/spreadsheets/d/""&amp;$A655&amp;""/edit#gid=156619080"",E$3)"),"#REF!")</f>
        <v>#REF!</v>
      </c>
      <c r="F655" s="2" t="str">
        <f>IFERROR(__xludf.DUMMYFUNCTION("IMPORTRANGE(""https://docs.google.com/spreadsheets/d/""&amp;$A655&amp;""/edit#gid=156619080"",F$3)"),"#REF!")</f>
        <v>#REF!</v>
      </c>
      <c r="G655" s="2" t="str">
        <f>IFERROR(__xludf.DUMMYFUNCTION("IMPORTRANGE(""https://docs.google.com/spreadsheets/d/""&amp;$A655&amp;""/edit#gid=156619080"",G$3)"),"#REF!")</f>
        <v>#REF!</v>
      </c>
      <c r="H655" s="2" t="str">
        <f>IFERROR(__xludf.DUMMYFUNCTION("IMPORTRANGE(""https://docs.google.com/spreadsheets/d/""&amp;$A655&amp;""/edit#gid=156619080"",H$3)"),"#REF!")</f>
        <v>#REF!</v>
      </c>
      <c r="I655" s="2" t="str">
        <f>IFERROR(__xludf.DUMMYFUNCTION("IMPORTRANGE(""https://docs.google.com/spreadsheets/d/""&amp;$A655&amp;""/edit#gid=156619080"",I$3)"),"#REF!")</f>
        <v>#REF!</v>
      </c>
      <c r="J655" s="2" t="str">
        <f>IFERROR(__xludf.DUMMYFUNCTION("IMPORTRANGE(""https://docs.google.com/spreadsheets/d/""&amp;$A655&amp;""/edit#gid=156619080"",J$3)"),"#REF!")</f>
        <v>#REF!</v>
      </c>
      <c r="K655" s="2" t="str">
        <f>IFERROR(__xludf.DUMMYFUNCTION("IMPORTRANGE(""https://docs.google.com/spreadsheets/d/""&amp;$A655&amp;""/edit#gid=156619080"",K$3)"),"#REF!")</f>
        <v>#REF!</v>
      </c>
      <c r="L655" s="2" t="str">
        <f>IFERROR(__xludf.DUMMYFUNCTION("IMPORTRANGE(""https://docs.google.com/spreadsheets/d/""&amp;$A655&amp;""/edit#gid=156619080"",L$3)"),"#REF!")</f>
        <v>#REF!</v>
      </c>
      <c r="M655" s="2" t="str">
        <f>IFERROR(__xludf.DUMMYFUNCTION("IMPORTRANGE(""https://docs.google.com/spreadsheets/d/""&amp;$A655&amp;""/edit#gid=156619080"",M$3)"),"#REF!")</f>
        <v>#REF!</v>
      </c>
      <c r="N655" s="2" t="str">
        <f>IFERROR(__xludf.DUMMYFUNCTION("IMPORTRANGE(""https://docs.google.com/spreadsheets/d/""&amp;$A655&amp;""/edit#gid=156619080"",N$3)"),"#REF!")</f>
        <v>#REF!</v>
      </c>
      <c r="O655" s="2" t="str">
        <f>IFERROR(__xludf.DUMMYFUNCTION("IMPORTRANGE(""https://docs.google.com/spreadsheets/d/""&amp;$A655&amp;""/edit#gid=156619080"",O$3)"),"#REF!")</f>
        <v>#REF!</v>
      </c>
      <c r="P655" s="2" t="str">
        <f>IFERROR(__xludf.DUMMYFUNCTION("IMPORTRANGE(""https://docs.google.com/spreadsheets/d/""&amp;$A655&amp;""/edit#gid=156619080"",P$3)"),"#REF!")</f>
        <v>#REF!</v>
      </c>
      <c r="Q655" s="2" t="str">
        <f>IFERROR(__xludf.DUMMYFUNCTION("IMPORTRANGE(""https://docs.google.com/spreadsheets/d/""&amp;$A655&amp;""/edit#gid=156619080"",Q$3)"),"#REF!")</f>
        <v>#REF!</v>
      </c>
      <c r="R655" s="2" t="str">
        <f>IFERROR(__xludf.DUMMYFUNCTION("IMPORTRANGE(""https://docs.google.com/spreadsheets/d/""&amp;$A655&amp;""/edit#gid=156619080"",R$3)"),"#REF!")</f>
        <v>#REF!</v>
      </c>
      <c r="S655" s="2" t="str">
        <f>IFERROR(__xludf.DUMMYFUNCTION("IMPORTRANGE(""https://docs.google.com/spreadsheets/d/""&amp;$A655&amp;""/edit#gid=156619080"",S$3)"),"#REF!")</f>
        <v>#REF!</v>
      </c>
      <c r="T655" s="2" t="str">
        <f>IFERROR(__xludf.DUMMYFUNCTION("IMPORTRANGE(""https://docs.google.com/spreadsheets/d/""&amp;$A655&amp;""/edit#gid=156619080"",T$3)"),"#REF!")</f>
        <v>#REF!</v>
      </c>
      <c r="U655" s="2" t="str">
        <f>IFERROR(__xludf.DUMMYFUNCTION("IMPORTRANGE(""https://docs.google.com/spreadsheets/d/""&amp;$A655&amp;""/edit#gid=156619080"",U$3)"),"#REF!")</f>
        <v>#REF!</v>
      </c>
      <c r="V655" s="2" t="str">
        <f>IFERROR(__xludf.DUMMYFUNCTION("IMPORTRANGE(""https://docs.google.com/spreadsheets/d/""&amp;$A655&amp;""/edit#gid=156619080"",V$3)"),"#REF!")</f>
        <v>#REF!</v>
      </c>
      <c r="W655" s="2" t="str">
        <f>IFERROR(__xludf.DUMMYFUNCTION("IMPORTRANGE(""https://docs.google.com/spreadsheets/d/""&amp;$A655&amp;""/edit#gid=156619080"",W$3)"),"#REF!")</f>
        <v>#REF!</v>
      </c>
      <c r="X655" s="2" t="str">
        <f>IFERROR(__xludf.DUMMYFUNCTION("IMPORTRANGE(""https://docs.google.com/spreadsheets/d/""&amp;$A655&amp;""/edit#gid=156619080"",X$3)"),"#REF!")</f>
        <v>#REF!</v>
      </c>
      <c r="Y655" s="2" t="str">
        <f>IFERROR(__xludf.DUMMYFUNCTION("IMPORTRANGE(""https://docs.google.com/spreadsheets/d/""&amp;$A655&amp;""/edit#gid=156619080"",Y$3)"),"#REF!")</f>
        <v>#REF!</v>
      </c>
      <c r="Z655" s="2" t="str">
        <f>IFERROR(__xludf.DUMMYFUNCTION("IMPORTRANGE(""https://docs.google.com/spreadsheets/d/""&amp;$A655&amp;""/edit#gid=156619080"",Z$3)"),"#REF!")</f>
        <v>#REF!</v>
      </c>
      <c r="AA655" s="2" t="str">
        <f>IFERROR(__xludf.DUMMYFUNCTION("IMPORTRANGE(""https://docs.google.com/spreadsheets/d/""&amp;$A655&amp;""/edit#gid=156619080"",AA$3)"),"#REF!")</f>
        <v>#REF!</v>
      </c>
      <c r="AB655" s="2" t="str">
        <f>IFERROR(__xludf.DUMMYFUNCTION("IMPORTRANGE(""https://docs.google.com/spreadsheets/d/""&amp;$A655&amp;""/edit#gid=156619080"",AB$3)"),"#REF!")</f>
        <v>#REF!</v>
      </c>
      <c r="AC655" s="2" t="str">
        <f>IFERROR(__xludf.DUMMYFUNCTION("IMPORTRANGE(""https://docs.google.com/spreadsheets/d/""&amp;$A655&amp;""/edit#gid=156619080"",AC$3)"),"#REF!")</f>
        <v>#REF!</v>
      </c>
      <c r="AD655" s="2" t="str">
        <f>IFERROR(__xludf.DUMMYFUNCTION("IMPORTRANGE(""https://docs.google.com/spreadsheets/d/""&amp;$A655&amp;""/edit#gid=156619080"",AD$3)"),"#REF!")</f>
        <v>#REF!</v>
      </c>
      <c r="AE655" s="2" t="str">
        <f>IFERROR(__xludf.DUMMYFUNCTION("IMPORTRANGE(""https://docs.google.com/spreadsheets/d/""&amp;$A655&amp;""/edit#gid=156619080"",AE$3)"),"#REF!")</f>
        <v>#REF!</v>
      </c>
      <c r="AF655" s="2" t="str">
        <f>IFERROR(__xludf.DUMMYFUNCTION("IMPORTRANGE(""https://docs.google.com/spreadsheets/d/""&amp;$A655&amp;""/edit#gid=156619080"",AF$3)"),"#REF!")</f>
        <v>#REF!</v>
      </c>
      <c r="AG655" s="2" t="str">
        <f>IFERROR(__xludf.DUMMYFUNCTION("IMPORTRANGE(""https://docs.google.com/spreadsheets/d/""&amp;$A655&amp;""/edit#gid=156619080"",AG$3)"),"#REF!")</f>
        <v>#REF!</v>
      </c>
      <c r="AH655" s="2" t="str">
        <f>IFERROR(__xludf.DUMMYFUNCTION("IMPORTRANGE(""https://docs.google.com/spreadsheets/d/""&amp;$A655&amp;""/edit#gid=156619080"",AH$3)"),"#REF!")</f>
        <v>#REF!</v>
      </c>
      <c r="AI655" s="2" t="str">
        <f>IFERROR(__xludf.DUMMYFUNCTION("IMPORTRANGE(""https://docs.google.com/spreadsheets/d/""&amp;$A655&amp;""/edit#gid=156619080"",AI$3)"),"#REF!")</f>
        <v>#REF!</v>
      </c>
      <c r="AJ655" s="2" t="str">
        <f>IFERROR(__xludf.DUMMYFUNCTION("IMPORTRANGE(""https://docs.google.com/spreadsheets/d/""&amp;$A655&amp;""/edit#gid=156619080"",AJ$3)"),"#REF!")</f>
        <v>#REF!</v>
      </c>
      <c r="AK655" s="2" t="str">
        <f>IFERROR(__xludf.DUMMYFUNCTION("IMPORTRANGE(""https://docs.google.com/spreadsheets/d/""&amp;$A655&amp;""/edit#gid=156619080"",AK$3)"),"#REF!")</f>
        <v>#REF!</v>
      </c>
      <c r="AL655" s="2" t="str">
        <f>IFERROR(__xludf.DUMMYFUNCTION("IMPORTRANGE(""https://docs.google.com/spreadsheets/d/""&amp;$A655&amp;""/edit#gid=156619080"",AL$3)"),"#REF!")</f>
        <v>#REF!</v>
      </c>
      <c r="AM655" s="2" t="str">
        <f>IFERROR(__xludf.DUMMYFUNCTION("IMPORTRANGE(""https://docs.google.com/spreadsheets/d/""&amp;$A655&amp;""/edit#gid=156619080"",AM$3)"),"#REF!")</f>
        <v>#REF!</v>
      </c>
      <c r="AN655" s="2" t="str">
        <f>IFERROR(__xludf.DUMMYFUNCTION("IMPORTRANGE(""https://docs.google.com/spreadsheets/d/""&amp;$A655&amp;""/edit#gid=156619080"",AN$3)"),"#REF!")</f>
        <v>#REF!</v>
      </c>
      <c r="AO655" s="2" t="str">
        <f>IFERROR(__xludf.DUMMYFUNCTION("IMPORTRANGE(""https://docs.google.com/spreadsheets/d/""&amp;$A655&amp;""/edit#gid=156619080"",AO$3)"),"#REF!")</f>
        <v>#REF!</v>
      </c>
      <c r="AP655" s="2" t="str">
        <f>IFERROR(__xludf.DUMMYFUNCTION("IMPORTRANGE(""https://docs.google.com/spreadsheets/d/""&amp;$A655&amp;""/edit#gid=156619080"",AP$3)"),"#REF!")</f>
        <v>#REF!</v>
      </c>
      <c r="AQ655" s="2" t="str">
        <f>IFERROR(__xludf.DUMMYFUNCTION("IMPORTRANGE(""https://docs.google.com/spreadsheets/d/""&amp;$A655&amp;""/edit#gid=156619080"",AQ$3)"),"#REF!")</f>
        <v>#REF!</v>
      </c>
      <c r="AR655" s="2" t="str">
        <f>IFERROR(__xludf.DUMMYFUNCTION("IMPORTRANGE(""https://docs.google.com/spreadsheets/d/""&amp;$A655&amp;""/edit#gid=156619080"",AR$3)"),"#REF!")</f>
        <v>#REF!</v>
      </c>
      <c r="AS655" s="19" t="str">
        <f>IFERROR(__xludf.DUMMYFUNCTION("IMPORTRANGE(""https://docs.google.com/spreadsheets/d/""&amp;$A655&amp;""/edit#gid=156619080"",AS$3)"),"#REF!")</f>
        <v>#REF!</v>
      </c>
      <c r="AT655" s="2" t="str">
        <f>IFERROR(__xludf.DUMMYFUNCTION("IMPORTRANGE(""https://docs.google.com/spreadsheets/d/""&amp;$A655&amp;""/edit#gid=156619080"",AT$3)"),"#REF!")</f>
        <v>#REF!</v>
      </c>
      <c r="AU655" s="3" t="str">
        <f>IFERROR(__xludf.DUMMYFUNCTION("IMPORTRANGE(""https://docs.google.com/spreadsheets/d/""&amp;$A655&amp;""/edit#gid=156619080"",AU$3)"),"#REF!")</f>
        <v>#REF!</v>
      </c>
      <c r="AV655" s="2" t="str">
        <f>IFERROR(__xludf.DUMMYFUNCTION("IMPORTRANGE(""https://docs.google.com/spreadsheets/d/""&amp;$A655&amp;""/edit#gid=156619080"",AV$3)"),"#REF!")</f>
        <v>#REF!</v>
      </c>
      <c r="AW655" s="19" t="str">
        <f>IFERROR(__xludf.DUMMYFUNCTION("IMPORTRANGE(""https://docs.google.com/spreadsheets/d/""&amp;$A655&amp;""/edit#gid=156619080"",AW$3)"),"#REF!")</f>
        <v>#REF!</v>
      </c>
      <c r="AX655" s="2" t="str">
        <f>IFERROR(__xludf.DUMMYFUNCTION("IMPORTRANGE(""https://docs.google.com/spreadsheets/d/""&amp;$A655&amp;""/edit#gid=156619080"",AX$3)"),"#REF!")</f>
        <v>#REF!</v>
      </c>
      <c r="AY655" s="2" t="str">
        <f>IFERROR(__xludf.DUMMYFUNCTION("IMPORTRANGE(""https://docs.google.com/spreadsheets/d/""&amp;$A655&amp;""/edit#gid=156619080"",AY$3)"),"#REF!")</f>
        <v>#REF!</v>
      </c>
      <c r="AZ655" s="2" t="str">
        <f>IFERROR(__xludf.DUMMYFUNCTION("IMPORTRANGE(""https://docs.google.com/spreadsheets/d/""&amp;$A655&amp;""/edit#gid=156619080"",AZ$3)"),"#REF!")</f>
        <v>#REF!</v>
      </c>
      <c r="BA655" s="2" t="str">
        <f>IFERROR(__xludf.DUMMYFUNCTION("IMPORTRANGE(""https://docs.google.com/spreadsheets/d/""&amp;$A655&amp;""/edit#gid=156619080"",BA$3)"),"#REF!")</f>
        <v>#REF!</v>
      </c>
      <c r="BB655" s="2" t="str">
        <f>IFERROR(__xludf.DUMMYFUNCTION("IMPORTRANGE(""https://docs.google.com/spreadsheets/d/""&amp;$A655&amp;""/edit#gid=156619080"",BB$3)"),"#REF!")</f>
        <v>#REF!</v>
      </c>
      <c r="BC655" s="2" t="str">
        <f>IFERROR(__xludf.DUMMYFUNCTION("IMPORTRANGE(""https://docs.google.com/spreadsheets/d/""&amp;$A655&amp;""/edit#gid=156619080"",BC$3)"),"#REF!")</f>
        <v>#REF!</v>
      </c>
    </row>
    <row r="656" ht="51.0" customHeight="1">
      <c r="A656" s="7" t="str">
        <f t="shared" si="5"/>
        <v/>
      </c>
      <c r="C656" s="2" t="str">
        <f>IFERROR(__xludf.DUMMYFUNCTION("IMPORTRANGE(""https://docs.google.com/spreadsheets/d/""&amp;$A656&amp;""/edit#gid=156619080"",C$3)"),"#REF!")</f>
        <v>#REF!</v>
      </c>
      <c r="D656" s="2" t="str">
        <f>IFERROR(__xludf.DUMMYFUNCTION("IMPORTRANGE(""https://docs.google.com/spreadsheets/d/""&amp;$A656&amp;""/edit#gid=156619080"",D$3)"),"#REF!")</f>
        <v>#REF!</v>
      </c>
      <c r="E656" s="2" t="str">
        <f>IFERROR(__xludf.DUMMYFUNCTION("IMPORTRANGE(""https://docs.google.com/spreadsheets/d/""&amp;$A656&amp;""/edit#gid=156619080"",E$3)"),"#REF!")</f>
        <v>#REF!</v>
      </c>
      <c r="F656" s="2" t="str">
        <f>IFERROR(__xludf.DUMMYFUNCTION("IMPORTRANGE(""https://docs.google.com/spreadsheets/d/""&amp;$A656&amp;""/edit#gid=156619080"",F$3)"),"#REF!")</f>
        <v>#REF!</v>
      </c>
      <c r="G656" s="2" t="str">
        <f>IFERROR(__xludf.DUMMYFUNCTION("IMPORTRANGE(""https://docs.google.com/spreadsheets/d/""&amp;$A656&amp;""/edit#gid=156619080"",G$3)"),"#REF!")</f>
        <v>#REF!</v>
      </c>
      <c r="H656" s="2" t="str">
        <f>IFERROR(__xludf.DUMMYFUNCTION("IMPORTRANGE(""https://docs.google.com/spreadsheets/d/""&amp;$A656&amp;""/edit#gid=156619080"",H$3)"),"#REF!")</f>
        <v>#REF!</v>
      </c>
      <c r="I656" s="2" t="str">
        <f>IFERROR(__xludf.DUMMYFUNCTION("IMPORTRANGE(""https://docs.google.com/spreadsheets/d/""&amp;$A656&amp;""/edit#gid=156619080"",I$3)"),"#REF!")</f>
        <v>#REF!</v>
      </c>
      <c r="J656" s="2" t="str">
        <f>IFERROR(__xludf.DUMMYFUNCTION("IMPORTRANGE(""https://docs.google.com/spreadsheets/d/""&amp;$A656&amp;""/edit#gid=156619080"",J$3)"),"#REF!")</f>
        <v>#REF!</v>
      </c>
      <c r="K656" s="2" t="str">
        <f>IFERROR(__xludf.DUMMYFUNCTION("IMPORTRANGE(""https://docs.google.com/spreadsheets/d/""&amp;$A656&amp;""/edit#gid=156619080"",K$3)"),"#REF!")</f>
        <v>#REF!</v>
      </c>
      <c r="L656" s="2" t="str">
        <f>IFERROR(__xludf.DUMMYFUNCTION("IMPORTRANGE(""https://docs.google.com/spreadsheets/d/""&amp;$A656&amp;""/edit#gid=156619080"",L$3)"),"#REF!")</f>
        <v>#REF!</v>
      </c>
      <c r="M656" s="2" t="str">
        <f>IFERROR(__xludf.DUMMYFUNCTION("IMPORTRANGE(""https://docs.google.com/spreadsheets/d/""&amp;$A656&amp;""/edit#gid=156619080"",M$3)"),"#REF!")</f>
        <v>#REF!</v>
      </c>
      <c r="N656" s="2" t="str">
        <f>IFERROR(__xludf.DUMMYFUNCTION("IMPORTRANGE(""https://docs.google.com/spreadsheets/d/""&amp;$A656&amp;""/edit#gid=156619080"",N$3)"),"#REF!")</f>
        <v>#REF!</v>
      </c>
      <c r="O656" s="2" t="str">
        <f>IFERROR(__xludf.DUMMYFUNCTION("IMPORTRANGE(""https://docs.google.com/spreadsheets/d/""&amp;$A656&amp;""/edit#gid=156619080"",O$3)"),"#REF!")</f>
        <v>#REF!</v>
      </c>
      <c r="P656" s="2" t="str">
        <f>IFERROR(__xludf.DUMMYFUNCTION("IMPORTRANGE(""https://docs.google.com/spreadsheets/d/""&amp;$A656&amp;""/edit#gid=156619080"",P$3)"),"#REF!")</f>
        <v>#REF!</v>
      </c>
      <c r="Q656" s="2" t="str">
        <f>IFERROR(__xludf.DUMMYFUNCTION("IMPORTRANGE(""https://docs.google.com/spreadsheets/d/""&amp;$A656&amp;""/edit#gid=156619080"",Q$3)"),"#REF!")</f>
        <v>#REF!</v>
      </c>
      <c r="R656" s="2" t="str">
        <f>IFERROR(__xludf.DUMMYFUNCTION("IMPORTRANGE(""https://docs.google.com/spreadsheets/d/""&amp;$A656&amp;""/edit#gid=156619080"",R$3)"),"#REF!")</f>
        <v>#REF!</v>
      </c>
      <c r="S656" s="2" t="str">
        <f>IFERROR(__xludf.DUMMYFUNCTION("IMPORTRANGE(""https://docs.google.com/spreadsheets/d/""&amp;$A656&amp;""/edit#gid=156619080"",S$3)"),"#REF!")</f>
        <v>#REF!</v>
      </c>
      <c r="T656" s="2" t="str">
        <f>IFERROR(__xludf.DUMMYFUNCTION("IMPORTRANGE(""https://docs.google.com/spreadsheets/d/""&amp;$A656&amp;""/edit#gid=156619080"",T$3)"),"#REF!")</f>
        <v>#REF!</v>
      </c>
      <c r="U656" s="2" t="str">
        <f>IFERROR(__xludf.DUMMYFUNCTION("IMPORTRANGE(""https://docs.google.com/spreadsheets/d/""&amp;$A656&amp;""/edit#gid=156619080"",U$3)"),"#REF!")</f>
        <v>#REF!</v>
      </c>
      <c r="V656" s="2" t="str">
        <f>IFERROR(__xludf.DUMMYFUNCTION("IMPORTRANGE(""https://docs.google.com/spreadsheets/d/""&amp;$A656&amp;""/edit#gid=156619080"",V$3)"),"#REF!")</f>
        <v>#REF!</v>
      </c>
      <c r="W656" s="2" t="str">
        <f>IFERROR(__xludf.DUMMYFUNCTION("IMPORTRANGE(""https://docs.google.com/spreadsheets/d/""&amp;$A656&amp;""/edit#gid=156619080"",W$3)"),"#REF!")</f>
        <v>#REF!</v>
      </c>
      <c r="X656" s="2" t="str">
        <f>IFERROR(__xludf.DUMMYFUNCTION("IMPORTRANGE(""https://docs.google.com/spreadsheets/d/""&amp;$A656&amp;""/edit#gid=156619080"",X$3)"),"#REF!")</f>
        <v>#REF!</v>
      </c>
      <c r="Y656" s="2" t="str">
        <f>IFERROR(__xludf.DUMMYFUNCTION("IMPORTRANGE(""https://docs.google.com/spreadsheets/d/""&amp;$A656&amp;""/edit#gid=156619080"",Y$3)"),"#REF!")</f>
        <v>#REF!</v>
      </c>
      <c r="Z656" s="2" t="str">
        <f>IFERROR(__xludf.DUMMYFUNCTION("IMPORTRANGE(""https://docs.google.com/spreadsheets/d/""&amp;$A656&amp;""/edit#gid=156619080"",Z$3)"),"#REF!")</f>
        <v>#REF!</v>
      </c>
      <c r="AA656" s="2" t="str">
        <f>IFERROR(__xludf.DUMMYFUNCTION("IMPORTRANGE(""https://docs.google.com/spreadsheets/d/""&amp;$A656&amp;""/edit#gid=156619080"",AA$3)"),"#REF!")</f>
        <v>#REF!</v>
      </c>
      <c r="AB656" s="2" t="str">
        <f>IFERROR(__xludf.DUMMYFUNCTION("IMPORTRANGE(""https://docs.google.com/spreadsheets/d/""&amp;$A656&amp;""/edit#gid=156619080"",AB$3)"),"#REF!")</f>
        <v>#REF!</v>
      </c>
      <c r="AC656" s="2" t="str">
        <f>IFERROR(__xludf.DUMMYFUNCTION("IMPORTRANGE(""https://docs.google.com/spreadsheets/d/""&amp;$A656&amp;""/edit#gid=156619080"",AC$3)"),"#REF!")</f>
        <v>#REF!</v>
      </c>
      <c r="AD656" s="2" t="str">
        <f>IFERROR(__xludf.DUMMYFUNCTION("IMPORTRANGE(""https://docs.google.com/spreadsheets/d/""&amp;$A656&amp;""/edit#gid=156619080"",AD$3)"),"#REF!")</f>
        <v>#REF!</v>
      </c>
      <c r="AE656" s="2" t="str">
        <f>IFERROR(__xludf.DUMMYFUNCTION("IMPORTRANGE(""https://docs.google.com/spreadsheets/d/""&amp;$A656&amp;""/edit#gid=156619080"",AE$3)"),"#REF!")</f>
        <v>#REF!</v>
      </c>
      <c r="AF656" s="2" t="str">
        <f>IFERROR(__xludf.DUMMYFUNCTION("IMPORTRANGE(""https://docs.google.com/spreadsheets/d/""&amp;$A656&amp;""/edit#gid=156619080"",AF$3)"),"#REF!")</f>
        <v>#REF!</v>
      </c>
      <c r="AG656" s="2" t="str">
        <f>IFERROR(__xludf.DUMMYFUNCTION("IMPORTRANGE(""https://docs.google.com/spreadsheets/d/""&amp;$A656&amp;""/edit#gid=156619080"",AG$3)"),"#REF!")</f>
        <v>#REF!</v>
      </c>
      <c r="AH656" s="2" t="str">
        <f>IFERROR(__xludf.DUMMYFUNCTION("IMPORTRANGE(""https://docs.google.com/spreadsheets/d/""&amp;$A656&amp;""/edit#gid=156619080"",AH$3)"),"#REF!")</f>
        <v>#REF!</v>
      </c>
      <c r="AI656" s="2" t="str">
        <f>IFERROR(__xludf.DUMMYFUNCTION("IMPORTRANGE(""https://docs.google.com/spreadsheets/d/""&amp;$A656&amp;""/edit#gid=156619080"",AI$3)"),"#REF!")</f>
        <v>#REF!</v>
      </c>
      <c r="AJ656" s="2" t="str">
        <f>IFERROR(__xludf.DUMMYFUNCTION("IMPORTRANGE(""https://docs.google.com/spreadsheets/d/""&amp;$A656&amp;""/edit#gid=156619080"",AJ$3)"),"#REF!")</f>
        <v>#REF!</v>
      </c>
      <c r="AK656" s="2" t="str">
        <f>IFERROR(__xludf.DUMMYFUNCTION("IMPORTRANGE(""https://docs.google.com/spreadsheets/d/""&amp;$A656&amp;""/edit#gid=156619080"",AK$3)"),"#REF!")</f>
        <v>#REF!</v>
      </c>
      <c r="AL656" s="2" t="str">
        <f>IFERROR(__xludf.DUMMYFUNCTION("IMPORTRANGE(""https://docs.google.com/spreadsheets/d/""&amp;$A656&amp;""/edit#gid=156619080"",AL$3)"),"#REF!")</f>
        <v>#REF!</v>
      </c>
      <c r="AM656" s="2" t="str">
        <f>IFERROR(__xludf.DUMMYFUNCTION("IMPORTRANGE(""https://docs.google.com/spreadsheets/d/""&amp;$A656&amp;""/edit#gid=156619080"",AM$3)"),"#REF!")</f>
        <v>#REF!</v>
      </c>
      <c r="AN656" s="2" t="str">
        <f>IFERROR(__xludf.DUMMYFUNCTION("IMPORTRANGE(""https://docs.google.com/spreadsheets/d/""&amp;$A656&amp;""/edit#gid=156619080"",AN$3)"),"#REF!")</f>
        <v>#REF!</v>
      </c>
      <c r="AO656" s="2" t="str">
        <f>IFERROR(__xludf.DUMMYFUNCTION("IMPORTRANGE(""https://docs.google.com/spreadsheets/d/""&amp;$A656&amp;""/edit#gid=156619080"",AO$3)"),"#REF!")</f>
        <v>#REF!</v>
      </c>
      <c r="AP656" s="2" t="str">
        <f>IFERROR(__xludf.DUMMYFUNCTION("IMPORTRANGE(""https://docs.google.com/spreadsheets/d/""&amp;$A656&amp;""/edit#gid=156619080"",AP$3)"),"#REF!")</f>
        <v>#REF!</v>
      </c>
      <c r="AQ656" s="2" t="str">
        <f>IFERROR(__xludf.DUMMYFUNCTION("IMPORTRANGE(""https://docs.google.com/spreadsheets/d/""&amp;$A656&amp;""/edit#gid=156619080"",AQ$3)"),"#REF!")</f>
        <v>#REF!</v>
      </c>
      <c r="AR656" s="2" t="str">
        <f>IFERROR(__xludf.DUMMYFUNCTION("IMPORTRANGE(""https://docs.google.com/spreadsheets/d/""&amp;$A656&amp;""/edit#gid=156619080"",AR$3)"),"#REF!")</f>
        <v>#REF!</v>
      </c>
      <c r="AS656" s="19" t="str">
        <f>IFERROR(__xludf.DUMMYFUNCTION("IMPORTRANGE(""https://docs.google.com/spreadsheets/d/""&amp;$A656&amp;""/edit#gid=156619080"",AS$3)"),"#REF!")</f>
        <v>#REF!</v>
      </c>
      <c r="AT656" s="2" t="str">
        <f>IFERROR(__xludf.DUMMYFUNCTION("IMPORTRANGE(""https://docs.google.com/spreadsheets/d/""&amp;$A656&amp;""/edit#gid=156619080"",AT$3)"),"#REF!")</f>
        <v>#REF!</v>
      </c>
      <c r="AU656" s="3" t="str">
        <f>IFERROR(__xludf.DUMMYFUNCTION("IMPORTRANGE(""https://docs.google.com/spreadsheets/d/""&amp;$A656&amp;""/edit#gid=156619080"",AU$3)"),"#REF!")</f>
        <v>#REF!</v>
      </c>
      <c r="AV656" s="2" t="str">
        <f>IFERROR(__xludf.DUMMYFUNCTION("IMPORTRANGE(""https://docs.google.com/spreadsheets/d/""&amp;$A656&amp;""/edit#gid=156619080"",AV$3)"),"#REF!")</f>
        <v>#REF!</v>
      </c>
      <c r="AW656" s="19" t="str">
        <f>IFERROR(__xludf.DUMMYFUNCTION("IMPORTRANGE(""https://docs.google.com/spreadsheets/d/""&amp;$A656&amp;""/edit#gid=156619080"",AW$3)"),"#REF!")</f>
        <v>#REF!</v>
      </c>
      <c r="AX656" s="2" t="str">
        <f>IFERROR(__xludf.DUMMYFUNCTION("IMPORTRANGE(""https://docs.google.com/spreadsheets/d/""&amp;$A656&amp;""/edit#gid=156619080"",AX$3)"),"#REF!")</f>
        <v>#REF!</v>
      </c>
      <c r="AY656" s="2" t="str">
        <f>IFERROR(__xludf.DUMMYFUNCTION("IMPORTRANGE(""https://docs.google.com/spreadsheets/d/""&amp;$A656&amp;""/edit#gid=156619080"",AY$3)"),"#REF!")</f>
        <v>#REF!</v>
      </c>
      <c r="AZ656" s="2" t="str">
        <f>IFERROR(__xludf.DUMMYFUNCTION("IMPORTRANGE(""https://docs.google.com/spreadsheets/d/""&amp;$A656&amp;""/edit#gid=156619080"",AZ$3)"),"#REF!")</f>
        <v>#REF!</v>
      </c>
      <c r="BA656" s="2" t="str">
        <f>IFERROR(__xludf.DUMMYFUNCTION("IMPORTRANGE(""https://docs.google.com/spreadsheets/d/""&amp;$A656&amp;""/edit#gid=156619080"",BA$3)"),"#REF!")</f>
        <v>#REF!</v>
      </c>
      <c r="BB656" s="2" t="str">
        <f>IFERROR(__xludf.DUMMYFUNCTION("IMPORTRANGE(""https://docs.google.com/spreadsheets/d/""&amp;$A656&amp;""/edit#gid=156619080"",BB$3)"),"#REF!")</f>
        <v>#REF!</v>
      </c>
      <c r="BC656" s="2" t="str">
        <f>IFERROR(__xludf.DUMMYFUNCTION("IMPORTRANGE(""https://docs.google.com/spreadsheets/d/""&amp;$A656&amp;""/edit#gid=156619080"",BC$3)"),"#REF!")</f>
        <v>#REF!</v>
      </c>
    </row>
    <row r="657" ht="51.0" customHeight="1">
      <c r="A657" s="7" t="str">
        <f t="shared" si="5"/>
        <v/>
      </c>
      <c r="C657" s="2" t="str">
        <f>IFERROR(__xludf.DUMMYFUNCTION("IMPORTRANGE(""https://docs.google.com/spreadsheets/d/""&amp;$A657&amp;""/edit#gid=156619080"",C$3)"),"#REF!")</f>
        <v>#REF!</v>
      </c>
      <c r="D657" s="2" t="str">
        <f>IFERROR(__xludf.DUMMYFUNCTION("IMPORTRANGE(""https://docs.google.com/spreadsheets/d/""&amp;$A657&amp;""/edit#gid=156619080"",D$3)"),"#REF!")</f>
        <v>#REF!</v>
      </c>
      <c r="E657" s="2" t="str">
        <f>IFERROR(__xludf.DUMMYFUNCTION("IMPORTRANGE(""https://docs.google.com/spreadsheets/d/""&amp;$A657&amp;""/edit#gid=156619080"",E$3)"),"#REF!")</f>
        <v>#REF!</v>
      </c>
      <c r="F657" s="2" t="str">
        <f>IFERROR(__xludf.DUMMYFUNCTION("IMPORTRANGE(""https://docs.google.com/spreadsheets/d/""&amp;$A657&amp;""/edit#gid=156619080"",F$3)"),"#REF!")</f>
        <v>#REF!</v>
      </c>
      <c r="G657" s="2" t="str">
        <f>IFERROR(__xludf.DUMMYFUNCTION("IMPORTRANGE(""https://docs.google.com/spreadsheets/d/""&amp;$A657&amp;""/edit#gid=156619080"",G$3)"),"#REF!")</f>
        <v>#REF!</v>
      </c>
      <c r="H657" s="2" t="str">
        <f>IFERROR(__xludf.DUMMYFUNCTION("IMPORTRANGE(""https://docs.google.com/spreadsheets/d/""&amp;$A657&amp;""/edit#gid=156619080"",H$3)"),"#REF!")</f>
        <v>#REF!</v>
      </c>
      <c r="I657" s="2" t="str">
        <f>IFERROR(__xludf.DUMMYFUNCTION("IMPORTRANGE(""https://docs.google.com/spreadsheets/d/""&amp;$A657&amp;""/edit#gid=156619080"",I$3)"),"#REF!")</f>
        <v>#REF!</v>
      </c>
      <c r="J657" s="2" t="str">
        <f>IFERROR(__xludf.DUMMYFUNCTION("IMPORTRANGE(""https://docs.google.com/spreadsheets/d/""&amp;$A657&amp;""/edit#gid=156619080"",J$3)"),"#REF!")</f>
        <v>#REF!</v>
      </c>
      <c r="K657" s="2" t="str">
        <f>IFERROR(__xludf.DUMMYFUNCTION("IMPORTRANGE(""https://docs.google.com/spreadsheets/d/""&amp;$A657&amp;""/edit#gid=156619080"",K$3)"),"#REF!")</f>
        <v>#REF!</v>
      </c>
      <c r="L657" s="2" t="str">
        <f>IFERROR(__xludf.DUMMYFUNCTION("IMPORTRANGE(""https://docs.google.com/spreadsheets/d/""&amp;$A657&amp;""/edit#gid=156619080"",L$3)"),"#REF!")</f>
        <v>#REF!</v>
      </c>
      <c r="M657" s="2" t="str">
        <f>IFERROR(__xludf.DUMMYFUNCTION("IMPORTRANGE(""https://docs.google.com/spreadsheets/d/""&amp;$A657&amp;""/edit#gid=156619080"",M$3)"),"#REF!")</f>
        <v>#REF!</v>
      </c>
      <c r="N657" s="2" t="str">
        <f>IFERROR(__xludf.DUMMYFUNCTION("IMPORTRANGE(""https://docs.google.com/spreadsheets/d/""&amp;$A657&amp;""/edit#gid=156619080"",N$3)"),"#REF!")</f>
        <v>#REF!</v>
      </c>
      <c r="O657" s="2" t="str">
        <f>IFERROR(__xludf.DUMMYFUNCTION("IMPORTRANGE(""https://docs.google.com/spreadsheets/d/""&amp;$A657&amp;""/edit#gid=156619080"",O$3)"),"#REF!")</f>
        <v>#REF!</v>
      </c>
      <c r="P657" s="2" t="str">
        <f>IFERROR(__xludf.DUMMYFUNCTION("IMPORTRANGE(""https://docs.google.com/spreadsheets/d/""&amp;$A657&amp;""/edit#gid=156619080"",P$3)"),"#REF!")</f>
        <v>#REF!</v>
      </c>
      <c r="Q657" s="2" t="str">
        <f>IFERROR(__xludf.DUMMYFUNCTION("IMPORTRANGE(""https://docs.google.com/spreadsheets/d/""&amp;$A657&amp;""/edit#gid=156619080"",Q$3)"),"#REF!")</f>
        <v>#REF!</v>
      </c>
      <c r="R657" s="2" t="str">
        <f>IFERROR(__xludf.DUMMYFUNCTION("IMPORTRANGE(""https://docs.google.com/spreadsheets/d/""&amp;$A657&amp;""/edit#gid=156619080"",R$3)"),"#REF!")</f>
        <v>#REF!</v>
      </c>
      <c r="S657" s="2" t="str">
        <f>IFERROR(__xludf.DUMMYFUNCTION("IMPORTRANGE(""https://docs.google.com/spreadsheets/d/""&amp;$A657&amp;""/edit#gid=156619080"",S$3)"),"#REF!")</f>
        <v>#REF!</v>
      </c>
      <c r="T657" s="2" t="str">
        <f>IFERROR(__xludf.DUMMYFUNCTION("IMPORTRANGE(""https://docs.google.com/spreadsheets/d/""&amp;$A657&amp;""/edit#gid=156619080"",T$3)"),"#REF!")</f>
        <v>#REF!</v>
      </c>
      <c r="U657" s="2" t="str">
        <f>IFERROR(__xludf.DUMMYFUNCTION("IMPORTRANGE(""https://docs.google.com/spreadsheets/d/""&amp;$A657&amp;""/edit#gid=156619080"",U$3)"),"#REF!")</f>
        <v>#REF!</v>
      </c>
      <c r="V657" s="2" t="str">
        <f>IFERROR(__xludf.DUMMYFUNCTION("IMPORTRANGE(""https://docs.google.com/spreadsheets/d/""&amp;$A657&amp;""/edit#gid=156619080"",V$3)"),"#REF!")</f>
        <v>#REF!</v>
      </c>
      <c r="W657" s="2" t="str">
        <f>IFERROR(__xludf.DUMMYFUNCTION("IMPORTRANGE(""https://docs.google.com/spreadsheets/d/""&amp;$A657&amp;""/edit#gid=156619080"",W$3)"),"#REF!")</f>
        <v>#REF!</v>
      </c>
      <c r="X657" s="2" t="str">
        <f>IFERROR(__xludf.DUMMYFUNCTION("IMPORTRANGE(""https://docs.google.com/spreadsheets/d/""&amp;$A657&amp;""/edit#gid=156619080"",X$3)"),"#REF!")</f>
        <v>#REF!</v>
      </c>
      <c r="Y657" s="2" t="str">
        <f>IFERROR(__xludf.DUMMYFUNCTION("IMPORTRANGE(""https://docs.google.com/spreadsheets/d/""&amp;$A657&amp;""/edit#gid=156619080"",Y$3)"),"#REF!")</f>
        <v>#REF!</v>
      </c>
      <c r="Z657" s="2" t="str">
        <f>IFERROR(__xludf.DUMMYFUNCTION("IMPORTRANGE(""https://docs.google.com/spreadsheets/d/""&amp;$A657&amp;""/edit#gid=156619080"",Z$3)"),"#REF!")</f>
        <v>#REF!</v>
      </c>
      <c r="AA657" s="2" t="str">
        <f>IFERROR(__xludf.DUMMYFUNCTION("IMPORTRANGE(""https://docs.google.com/spreadsheets/d/""&amp;$A657&amp;""/edit#gid=156619080"",AA$3)"),"#REF!")</f>
        <v>#REF!</v>
      </c>
      <c r="AB657" s="2" t="str">
        <f>IFERROR(__xludf.DUMMYFUNCTION("IMPORTRANGE(""https://docs.google.com/spreadsheets/d/""&amp;$A657&amp;""/edit#gid=156619080"",AB$3)"),"#REF!")</f>
        <v>#REF!</v>
      </c>
      <c r="AC657" s="2" t="str">
        <f>IFERROR(__xludf.DUMMYFUNCTION("IMPORTRANGE(""https://docs.google.com/spreadsheets/d/""&amp;$A657&amp;""/edit#gid=156619080"",AC$3)"),"#REF!")</f>
        <v>#REF!</v>
      </c>
      <c r="AD657" s="2" t="str">
        <f>IFERROR(__xludf.DUMMYFUNCTION("IMPORTRANGE(""https://docs.google.com/spreadsheets/d/""&amp;$A657&amp;""/edit#gid=156619080"",AD$3)"),"#REF!")</f>
        <v>#REF!</v>
      </c>
      <c r="AE657" s="2" t="str">
        <f>IFERROR(__xludf.DUMMYFUNCTION("IMPORTRANGE(""https://docs.google.com/spreadsheets/d/""&amp;$A657&amp;""/edit#gid=156619080"",AE$3)"),"#REF!")</f>
        <v>#REF!</v>
      </c>
      <c r="AF657" s="2" t="str">
        <f>IFERROR(__xludf.DUMMYFUNCTION("IMPORTRANGE(""https://docs.google.com/spreadsheets/d/""&amp;$A657&amp;""/edit#gid=156619080"",AF$3)"),"#REF!")</f>
        <v>#REF!</v>
      </c>
      <c r="AG657" s="2" t="str">
        <f>IFERROR(__xludf.DUMMYFUNCTION("IMPORTRANGE(""https://docs.google.com/spreadsheets/d/""&amp;$A657&amp;""/edit#gid=156619080"",AG$3)"),"#REF!")</f>
        <v>#REF!</v>
      </c>
      <c r="AH657" s="2" t="str">
        <f>IFERROR(__xludf.DUMMYFUNCTION("IMPORTRANGE(""https://docs.google.com/spreadsheets/d/""&amp;$A657&amp;""/edit#gid=156619080"",AH$3)"),"#REF!")</f>
        <v>#REF!</v>
      </c>
      <c r="AI657" s="2" t="str">
        <f>IFERROR(__xludf.DUMMYFUNCTION("IMPORTRANGE(""https://docs.google.com/spreadsheets/d/""&amp;$A657&amp;""/edit#gid=156619080"",AI$3)"),"#REF!")</f>
        <v>#REF!</v>
      </c>
      <c r="AJ657" s="2" t="str">
        <f>IFERROR(__xludf.DUMMYFUNCTION("IMPORTRANGE(""https://docs.google.com/spreadsheets/d/""&amp;$A657&amp;""/edit#gid=156619080"",AJ$3)"),"#REF!")</f>
        <v>#REF!</v>
      </c>
      <c r="AK657" s="2" t="str">
        <f>IFERROR(__xludf.DUMMYFUNCTION("IMPORTRANGE(""https://docs.google.com/spreadsheets/d/""&amp;$A657&amp;""/edit#gid=156619080"",AK$3)"),"#REF!")</f>
        <v>#REF!</v>
      </c>
      <c r="AL657" s="2" t="str">
        <f>IFERROR(__xludf.DUMMYFUNCTION("IMPORTRANGE(""https://docs.google.com/spreadsheets/d/""&amp;$A657&amp;""/edit#gid=156619080"",AL$3)"),"#REF!")</f>
        <v>#REF!</v>
      </c>
      <c r="AM657" s="2" t="str">
        <f>IFERROR(__xludf.DUMMYFUNCTION("IMPORTRANGE(""https://docs.google.com/spreadsheets/d/""&amp;$A657&amp;""/edit#gid=156619080"",AM$3)"),"#REF!")</f>
        <v>#REF!</v>
      </c>
      <c r="AN657" s="2" t="str">
        <f>IFERROR(__xludf.DUMMYFUNCTION("IMPORTRANGE(""https://docs.google.com/spreadsheets/d/""&amp;$A657&amp;""/edit#gid=156619080"",AN$3)"),"#REF!")</f>
        <v>#REF!</v>
      </c>
      <c r="AO657" s="2" t="str">
        <f>IFERROR(__xludf.DUMMYFUNCTION("IMPORTRANGE(""https://docs.google.com/spreadsheets/d/""&amp;$A657&amp;""/edit#gid=156619080"",AO$3)"),"#REF!")</f>
        <v>#REF!</v>
      </c>
      <c r="AP657" s="2" t="str">
        <f>IFERROR(__xludf.DUMMYFUNCTION("IMPORTRANGE(""https://docs.google.com/spreadsheets/d/""&amp;$A657&amp;""/edit#gid=156619080"",AP$3)"),"#REF!")</f>
        <v>#REF!</v>
      </c>
      <c r="AQ657" s="2" t="str">
        <f>IFERROR(__xludf.DUMMYFUNCTION("IMPORTRANGE(""https://docs.google.com/spreadsheets/d/""&amp;$A657&amp;""/edit#gid=156619080"",AQ$3)"),"#REF!")</f>
        <v>#REF!</v>
      </c>
      <c r="AR657" s="2" t="str">
        <f>IFERROR(__xludf.DUMMYFUNCTION("IMPORTRANGE(""https://docs.google.com/spreadsheets/d/""&amp;$A657&amp;""/edit#gid=156619080"",AR$3)"),"#REF!")</f>
        <v>#REF!</v>
      </c>
      <c r="AS657" s="19" t="str">
        <f>IFERROR(__xludf.DUMMYFUNCTION("IMPORTRANGE(""https://docs.google.com/spreadsheets/d/""&amp;$A657&amp;""/edit#gid=156619080"",AS$3)"),"#REF!")</f>
        <v>#REF!</v>
      </c>
      <c r="AT657" s="2" t="str">
        <f>IFERROR(__xludf.DUMMYFUNCTION("IMPORTRANGE(""https://docs.google.com/spreadsheets/d/""&amp;$A657&amp;""/edit#gid=156619080"",AT$3)"),"#REF!")</f>
        <v>#REF!</v>
      </c>
      <c r="AU657" s="3" t="str">
        <f>IFERROR(__xludf.DUMMYFUNCTION("IMPORTRANGE(""https://docs.google.com/spreadsheets/d/""&amp;$A657&amp;""/edit#gid=156619080"",AU$3)"),"#REF!")</f>
        <v>#REF!</v>
      </c>
      <c r="AV657" s="2" t="str">
        <f>IFERROR(__xludf.DUMMYFUNCTION("IMPORTRANGE(""https://docs.google.com/spreadsheets/d/""&amp;$A657&amp;""/edit#gid=156619080"",AV$3)"),"#REF!")</f>
        <v>#REF!</v>
      </c>
      <c r="AW657" s="19" t="str">
        <f>IFERROR(__xludf.DUMMYFUNCTION("IMPORTRANGE(""https://docs.google.com/spreadsheets/d/""&amp;$A657&amp;""/edit#gid=156619080"",AW$3)"),"#REF!")</f>
        <v>#REF!</v>
      </c>
      <c r="AX657" s="2" t="str">
        <f>IFERROR(__xludf.DUMMYFUNCTION("IMPORTRANGE(""https://docs.google.com/spreadsheets/d/""&amp;$A657&amp;""/edit#gid=156619080"",AX$3)"),"#REF!")</f>
        <v>#REF!</v>
      </c>
      <c r="AY657" s="2" t="str">
        <f>IFERROR(__xludf.DUMMYFUNCTION("IMPORTRANGE(""https://docs.google.com/spreadsheets/d/""&amp;$A657&amp;""/edit#gid=156619080"",AY$3)"),"#REF!")</f>
        <v>#REF!</v>
      </c>
      <c r="AZ657" s="2" t="str">
        <f>IFERROR(__xludf.DUMMYFUNCTION("IMPORTRANGE(""https://docs.google.com/spreadsheets/d/""&amp;$A657&amp;""/edit#gid=156619080"",AZ$3)"),"#REF!")</f>
        <v>#REF!</v>
      </c>
      <c r="BA657" s="2" t="str">
        <f>IFERROR(__xludf.DUMMYFUNCTION("IMPORTRANGE(""https://docs.google.com/spreadsheets/d/""&amp;$A657&amp;""/edit#gid=156619080"",BA$3)"),"#REF!")</f>
        <v>#REF!</v>
      </c>
      <c r="BB657" s="2" t="str">
        <f>IFERROR(__xludf.DUMMYFUNCTION("IMPORTRANGE(""https://docs.google.com/spreadsheets/d/""&amp;$A657&amp;""/edit#gid=156619080"",BB$3)"),"#REF!")</f>
        <v>#REF!</v>
      </c>
      <c r="BC657" s="2" t="str">
        <f>IFERROR(__xludf.DUMMYFUNCTION("IMPORTRANGE(""https://docs.google.com/spreadsheets/d/""&amp;$A657&amp;""/edit#gid=156619080"",BC$3)"),"#REF!")</f>
        <v>#REF!</v>
      </c>
    </row>
    <row r="658" ht="51.0" customHeight="1">
      <c r="A658" s="7" t="str">
        <f t="shared" si="5"/>
        <v/>
      </c>
      <c r="C658" s="2" t="str">
        <f>IFERROR(__xludf.DUMMYFUNCTION("IMPORTRANGE(""https://docs.google.com/spreadsheets/d/""&amp;$A658&amp;""/edit#gid=156619080"",C$3)"),"#REF!")</f>
        <v>#REF!</v>
      </c>
      <c r="D658" s="2" t="str">
        <f>IFERROR(__xludf.DUMMYFUNCTION("IMPORTRANGE(""https://docs.google.com/spreadsheets/d/""&amp;$A658&amp;""/edit#gid=156619080"",D$3)"),"#REF!")</f>
        <v>#REF!</v>
      </c>
      <c r="E658" s="2" t="str">
        <f>IFERROR(__xludf.DUMMYFUNCTION("IMPORTRANGE(""https://docs.google.com/spreadsheets/d/""&amp;$A658&amp;""/edit#gid=156619080"",E$3)"),"#REF!")</f>
        <v>#REF!</v>
      </c>
      <c r="F658" s="2" t="str">
        <f>IFERROR(__xludf.DUMMYFUNCTION("IMPORTRANGE(""https://docs.google.com/spreadsheets/d/""&amp;$A658&amp;""/edit#gid=156619080"",F$3)"),"#REF!")</f>
        <v>#REF!</v>
      </c>
      <c r="G658" s="2" t="str">
        <f>IFERROR(__xludf.DUMMYFUNCTION("IMPORTRANGE(""https://docs.google.com/spreadsheets/d/""&amp;$A658&amp;""/edit#gid=156619080"",G$3)"),"#REF!")</f>
        <v>#REF!</v>
      </c>
      <c r="H658" s="2" t="str">
        <f>IFERROR(__xludf.DUMMYFUNCTION("IMPORTRANGE(""https://docs.google.com/spreadsheets/d/""&amp;$A658&amp;""/edit#gid=156619080"",H$3)"),"#REF!")</f>
        <v>#REF!</v>
      </c>
      <c r="I658" s="2" t="str">
        <f>IFERROR(__xludf.DUMMYFUNCTION("IMPORTRANGE(""https://docs.google.com/spreadsheets/d/""&amp;$A658&amp;""/edit#gid=156619080"",I$3)"),"#REF!")</f>
        <v>#REF!</v>
      </c>
      <c r="J658" s="2" t="str">
        <f>IFERROR(__xludf.DUMMYFUNCTION("IMPORTRANGE(""https://docs.google.com/spreadsheets/d/""&amp;$A658&amp;""/edit#gid=156619080"",J$3)"),"#REF!")</f>
        <v>#REF!</v>
      </c>
      <c r="K658" s="2" t="str">
        <f>IFERROR(__xludf.DUMMYFUNCTION("IMPORTRANGE(""https://docs.google.com/spreadsheets/d/""&amp;$A658&amp;""/edit#gid=156619080"",K$3)"),"#REF!")</f>
        <v>#REF!</v>
      </c>
      <c r="L658" s="2" t="str">
        <f>IFERROR(__xludf.DUMMYFUNCTION("IMPORTRANGE(""https://docs.google.com/spreadsheets/d/""&amp;$A658&amp;""/edit#gid=156619080"",L$3)"),"#REF!")</f>
        <v>#REF!</v>
      </c>
      <c r="M658" s="2" t="str">
        <f>IFERROR(__xludf.DUMMYFUNCTION("IMPORTRANGE(""https://docs.google.com/spreadsheets/d/""&amp;$A658&amp;""/edit#gid=156619080"",M$3)"),"#REF!")</f>
        <v>#REF!</v>
      </c>
      <c r="N658" s="2" t="str">
        <f>IFERROR(__xludf.DUMMYFUNCTION("IMPORTRANGE(""https://docs.google.com/spreadsheets/d/""&amp;$A658&amp;""/edit#gid=156619080"",N$3)"),"#REF!")</f>
        <v>#REF!</v>
      </c>
      <c r="O658" s="2" t="str">
        <f>IFERROR(__xludf.DUMMYFUNCTION("IMPORTRANGE(""https://docs.google.com/spreadsheets/d/""&amp;$A658&amp;""/edit#gid=156619080"",O$3)"),"#REF!")</f>
        <v>#REF!</v>
      </c>
      <c r="P658" s="2" t="str">
        <f>IFERROR(__xludf.DUMMYFUNCTION("IMPORTRANGE(""https://docs.google.com/spreadsheets/d/""&amp;$A658&amp;""/edit#gid=156619080"",P$3)"),"#REF!")</f>
        <v>#REF!</v>
      </c>
      <c r="Q658" s="2" t="str">
        <f>IFERROR(__xludf.DUMMYFUNCTION("IMPORTRANGE(""https://docs.google.com/spreadsheets/d/""&amp;$A658&amp;""/edit#gid=156619080"",Q$3)"),"#REF!")</f>
        <v>#REF!</v>
      </c>
      <c r="R658" s="2" t="str">
        <f>IFERROR(__xludf.DUMMYFUNCTION("IMPORTRANGE(""https://docs.google.com/spreadsheets/d/""&amp;$A658&amp;""/edit#gid=156619080"",R$3)"),"#REF!")</f>
        <v>#REF!</v>
      </c>
      <c r="S658" s="2" t="str">
        <f>IFERROR(__xludf.DUMMYFUNCTION("IMPORTRANGE(""https://docs.google.com/spreadsheets/d/""&amp;$A658&amp;""/edit#gid=156619080"",S$3)"),"#REF!")</f>
        <v>#REF!</v>
      </c>
      <c r="T658" s="2" t="str">
        <f>IFERROR(__xludf.DUMMYFUNCTION("IMPORTRANGE(""https://docs.google.com/spreadsheets/d/""&amp;$A658&amp;""/edit#gid=156619080"",T$3)"),"#REF!")</f>
        <v>#REF!</v>
      </c>
      <c r="U658" s="2" t="str">
        <f>IFERROR(__xludf.DUMMYFUNCTION("IMPORTRANGE(""https://docs.google.com/spreadsheets/d/""&amp;$A658&amp;""/edit#gid=156619080"",U$3)"),"#REF!")</f>
        <v>#REF!</v>
      </c>
      <c r="V658" s="2" t="str">
        <f>IFERROR(__xludf.DUMMYFUNCTION("IMPORTRANGE(""https://docs.google.com/spreadsheets/d/""&amp;$A658&amp;""/edit#gid=156619080"",V$3)"),"#REF!")</f>
        <v>#REF!</v>
      </c>
      <c r="W658" s="2" t="str">
        <f>IFERROR(__xludf.DUMMYFUNCTION("IMPORTRANGE(""https://docs.google.com/spreadsheets/d/""&amp;$A658&amp;""/edit#gid=156619080"",W$3)"),"#REF!")</f>
        <v>#REF!</v>
      </c>
      <c r="X658" s="2" t="str">
        <f>IFERROR(__xludf.DUMMYFUNCTION("IMPORTRANGE(""https://docs.google.com/spreadsheets/d/""&amp;$A658&amp;""/edit#gid=156619080"",X$3)"),"#REF!")</f>
        <v>#REF!</v>
      </c>
      <c r="Y658" s="2" t="str">
        <f>IFERROR(__xludf.DUMMYFUNCTION("IMPORTRANGE(""https://docs.google.com/spreadsheets/d/""&amp;$A658&amp;""/edit#gid=156619080"",Y$3)"),"#REF!")</f>
        <v>#REF!</v>
      </c>
      <c r="Z658" s="2" t="str">
        <f>IFERROR(__xludf.DUMMYFUNCTION("IMPORTRANGE(""https://docs.google.com/spreadsheets/d/""&amp;$A658&amp;""/edit#gid=156619080"",Z$3)"),"#REF!")</f>
        <v>#REF!</v>
      </c>
      <c r="AA658" s="2" t="str">
        <f>IFERROR(__xludf.DUMMYFUNCTION("IMPORTRANGE(""https://docs.google.com/spreadsheets/d/""&amp;$A658&amp;""/edit#gid=156619080"",AA$3)"),"#REF!")</f>
        <v>#REF!</v>
      </c>
      <c r="AB658" s="2" t="str">
        <f>IFERROR(__xludf.DUMMYFUNCTION("IMPORTRANGE(""https://docs.google.com/spreadsheets/d/""&amp;$A658&amp;""/edit#gid=156619080"",AB$3)"),"#REF!")</f>
        <v>#REF!</v>
      </c>
      <c r="AC658" s="2" t="str">
        <f>IFERROR(__xludf.DUMMYFUNCTION("IMPORTRANGE(""https://docs.google.com/spreadsheets/d/""&amp;$A658&amp;""/edit#gid=156619080"",AC$3)"),"#REF!")</f>
        <v>#REF!</v>
      </c>
      <c r="AD658" s="2" t="str">
        <f>IFERROR(__xludf.DUMMYFUNCTION("IMPORTRANGE(""https://docs.google.com/spreadsheets/d/""&amp;$A658&amp;""/edit#gid=156619080"",AD$3)"),"#REF!")</f>
        <v>#REF!</v>
      </c>
      <c r="AE658" s="2" t="str">
        <f>IFERROR(__xludf.DUMMYFUNCTION("IMPORTRANGE(""https://docs.google.com/spreadsheets/d/""&amp;$A658&amp;""/edit#gid=156619080"",AE$3)"),"#REF!")</f>
        <v>#REF!</v>
      </c>
      <c r="AF658" s="2" t="str">
        <f>IFERROR(__xludf.DUMMYFUNCTION("IMPORTRANGE(""https://docs.google.com/spreadsheets/d/""&amp;$A658&amp;""/edit#gid=156619080"",AF$3)"),"#REF!")</f>
        <v>#REF!</v>
      </c>
      <c r="AG658" s="2" t="str">
        <f>IFERROR(__xludf.DUMMYFUNCTION("IMPORTRANGE(""https://docs.google.com/spreadsheets/d/""&amp;$A658&amp;""/edit#gid=156619080"",AG$3)"),"#REF!")</f>
        <v>#REF!</v>
      </c>
      <c r="AH658" s="2" t="str">
        <f>IFERROR(__xludf.DUMMYFUNCTION("IMPORTRANGE(""https://docs.google.com/spreadsheets/d/""&amp;$A658&amp;""/edit#gid=156619080"",AH$3)"),"#REF!")</f>
        <v>#REF!</v>
      </c>
      <c r="AI658" s="2" t="str">
        <f>IFERROR(__xludf.DUMMYFUNCTION("IMPORTRANGE(""https://docs.google.com/spreadsheets/d/""&amp;$A658&amp;""/edit#gid=156619080"",AI$3)"),"#REF!")</f>
        <v>#REF!</v>
      </c>
      <c r="AJ658" s="2" t="str">
        <f>IFERROR(__xludf.DUMMYFUNCTION("IMPORTRANGE(""https://docs.google.com/spreadsheets/d/""&amp;$A658&amp;""/edit#gid=156619080"",AJ$3)"),"#REF!")</f>
        <v>#REF!</v>
      </c>
      <c r="AK658" s="2" t="str">
        <f>IFERROR(__xludf.DUMMYFUNCTION("IMPORTRANGE(""https://docs.google.com/spreadsheets/d/""&amp;$A658&amp;""/edit#gid=156619080"",AK$3)"),"#REF!")</f>
        <v>#REF!</v>
      </c>
      <c r="AL658" s="2" t="str">
        <f>IFERROR(__xludf.DUMMYFUNCTION("IMPORTRANGE(""https://docs.google.com/spreadsheets/d/""&amp;$A658&amp;""/edit#gid=156619080"",AL$3)"),"#REF!")</f>
        <v>#REF!</v>
      </c>
      <c r="AM658" s="2" t="str">
        <f>IFERROR(__xludf.DUMMYFUNCTION("IMPORTRANGE(""https://docs.google.com/spreadsheets/d/""&amp;$A658&amp;""/edit#gid=156619080"",AM$3)"),"#REF!")</f>
        <v>#REF!</v>
      </c>
      <c r="AN658" s="2" t="str">
        <f>IFERROR(__xludf.DUMMYFUNCTION("IMPORTRANGE(""https://docs.google.com/spreadsheets/d/""&amp;$A658&amp;""/edit#gid=156619080"",AN$3)"),"#REF!")</f>
        <v>#REF!</v>
      </c>
      <c r="AO658" s="2" t="str">
        <f>IFERROR(__xludf.DUMMYFUNCTION("IMPORTRANGE(""https://docs.google.com/spreadsheets/d/""&amp;$A658&amp;""/edit#gid=156619080"",AO$3)"),"#REF!")</f>
        <v>#REF!</v>
      </c>
      <c r="AP658" s="2" t="str">
        <f>IFERROR(__xludf.DUMMYFUNCTION("IMPORTRANGE(""https://docs.google.com/spreadsheets/d/""&amp;$A658&amp;""/edit#gid=156619080"",AP$3)"),"#REF!")</f>
        <v>#REF!</v>
      </c>
      <c r="AQ658" s="2" t="str">
        <f>IFERROR(__xludf.DUMMYFUNCTION("IMPORTRANGE(""https://docs.google.com/spreadsheets/d/""&amp;$A658&amp;""/edit#gid=156619080"",AQ$3)"),"#REF!")</f>
        <v>#REF!</v>
      </c>
      <c r="AR658" s="2" t="str">
        <f>IFERROR(__xludf.DUMMYFUNCTION("IMPORTRANGE(""https://docs.google.com/spreadsheets/d/""&amp;$A658&amp;""/edit#gid=156619080"",AR$3)"),"#REF!")</f>
        <v>#REF!</v>
      </c>
      <c r="AS658" s="19" t="str">
        <f>IFERROR(__xludf.DUMMYFUNCTION("IMPORTRANGE(""https://docs.google.com/spreadsheets/d/""&amp;$A658&amp;""/edit#gid=156619080"",AS$3)"),"#REF!")</f>
        <v>#REF!</v>
      </c>
      <c r="AT658" s="2" t="str">
        <f>IFERROR(__xludf.DUMMYFUNCTION("IMPORTRANGE(""https://docs.google.com/spreadsheets/d/""&amp;$A658&amp;""/edit#gid=156619080"",AT$3)"),"#REF!")</f>
        <v>#REF!</v>
      </c>
      <c r="AU658" s="3" t="str">
        <f>IFERROR(__xludf.DUMMYFUNCTION("IMPORTRANGE(""https://docs.google.com/spreadsheets/d/""&amp;$A658&amp;""/edit#gid=156619080"",AU$3)"),"#REF!")</f>
        <v>#REF!</v>
      </c>
      <c r="AV658" s="2" t="str">
        <f>IFERROR(__xludf.DUMMYFUNCTION("IMPORTRANGE(""https://docs.google.com/spreadsheets/d/""&amp;$A658&amp;""/edit#gid=156619080"",AV$3)"),"#REF!")</f>
        <v>#REF!</v>
      </c>
      <c r="AW658" s="19" t="str">
        <f>IFERROR(__xludf.DUMMYFUNCTION("IMPORTRANGE(""https://docs.google.com/spreadsheets/d/""&amp;$A658&amp;""/edit#gid=156619080"",AW$3)"),"#REF!")</f>
        <v>#REF!</v>
      </c>
      <c r="AX658" s="2" t="str">
        <f>IFERROR(__xludf.DUMMYFUNCTION("IMPORTRANGE(""https://docs.google.com/spreadsheets/d/""&amp;$A658&amp;""/edit#gid=156619080"",AX$3)"),"#REF!")</f>
        <v>#REF!</v>
      </c>
      <c r="AY658" s="2" t="str">
        <f>IFERROR(__xludf.DUMMYFUNCTION("IMPORTRANGE(""https://docs.google.com/spreadsheets/d/""&amp;$A658&amp;""/edit#gid=156619080"",AY$3)"),"#REF!")</f>
        <v>#REF!</v>
      </c>
      <c r="AZ658" s="2" t="str">
        <f>IFERROR(__xludf.DUMMYFUNCTION("IMPORTRANGE(""https://docs.google.com/spreadsheets/d/""&amp;$A658&amp;""/edit#gid=156619080"",AZ$3)"),"#REF!")</f>
        <v>#REF!</v>
      </c>
      <c r="BA658" s="2" t="str">
        <f>IFERROR(__xludf.DUMMYFUNCTION("IMPORTRANGE(""https://docs.google.com/spreadsheets/d/""&amp;$A658&amp;""/edit#gid=156619080"",BA$3)"),"#REF!")</f>
        <v>#REF!</v>
      </c>
      <c r="BB658" s="2" t="str">
        <f>IFERROR(__xludf.DUMMYFUNCTION("IMPORTRANGE(""https://docs.google.com/spreadsheets/d/""&amp;$A658&amp;""/edit#gid=156619080"",BB$3)"),"#REF!")</f>
        <v>#REF!</v>
      </c>
      <c r="BC658" s="2" t="str">
        <f>IFERROR(__xludf.DUMMYFUNCTION("IMPORTRANGE(""https://docs.google.com/spreadsheets/d/""&amp;$A658&amp;""/edit#gid=156619080"",BC$3)"),"#REF!")</f>
        <v>#REF!</v>
      </c>
    </row>
    <row r="659">
      <c r="A659" s="7" t="str">
        <f t="shared" si="5"/>
        <v/>
      </c>
      <c r="AU659" s="3"/>
    </row>
    <row r="660">
      <c r="A660" s="7" t="str">
        <f t="shared" si="5"/>
        <v/>
      </c>
      <c r="AU660" s="3"/>
    </row>
    <row r="661">
      <c r="A661" s="7" t="str">
        <f t="shared" si="5"/>
        <v/>
      </c>
      <c r="AU661" s="3"/>
    </row>
    <row r="662">
      <c r="A662" s="7" t="str">
        <f t="shared" si="5"/>
        <v/>
      </c>
      <c r="AU662" s="3"/>
    </row>
    <row r="663">
      <c r="A663" s="7" t="str">
        <f t="shared" si="5"/>
        <v/>
      </c>
      <c r="AU663" s="3"/>
    </row>
    <row r="664">
      <c r="A664" s="7" t="str">
        <f t="shared" si="5"/>
        <v/>
      </c>
      <c r="AU664" s="3"/>
    </row>
    <row r="665">
      <c r="A665" s="7" t="str">
        <f t="shared" si="5"/>
        <v/>
      </c>
      <c r="AU665" s="3"/>
    </row>
    <row r="666">
      <c r="A666" s="7" t="str">
        <f t="shared" si="5"/>
        <v/>
      </c>
      <c r="AU666" s="3"/>
    </row>
    <row r="667">
      <c r="A667" s="7" t="str">
        <f t="shared" si="5"/>
        <v/>
      </c>
      <c r="AU667" s="3"/>
    </row>
    <row r="668">
      <c r="A668" s="7" t="str">
        <f t="shared" si="5"/>
        <v/>
      </c>
      <c r="AU668" s="3"/>
    </row>
    <row r="669">
      <c r="A669" s="7" t="str">
        <f t="shared" si="5"/>
        <v/>
      </c>
      <c r="AU669" s="3"/>
    </row>
    <row r="670">
      <c r="A670" s="7" t="str">
        <f t="shared" si="5"/>
        <v/>
      </c>
      <c r="AU670" s="3"/>
    </row>
    <row r="671">
      <c r="A671" s="7" t="str">
        <f t="shared" si="5"/>
        <v/>
      </c>
      <c r="AU671" s="3"/>
    </row>
    <row r="672">
      <c r="A672" s="7" t="str">
        <f t="shared" si="5"/>
        <v/>
      </c>
      <c r="AU672" s="3"/>
    </row>
    <row r="673">
      <c r="A673" s="7" t="str">
        <f t="shared" si="5"/>
        <v/>
      </c>
      <c r="AU673" s="3"/>
    </row>
    <row r="674">
      <c r="A674" s="7" t="str">
        <f t="shared" si="5"/>
        <v/>
      </c>
      <c r="AU674" s="3"/>
    </row>
    <row r="675">
      <c r="A675" s="7" t="str">
        <f t="shared" si="5"/>
        <v/>
      </c>
      <c r="AU675" s="3"/>
    </row>
    <row r="676">
      <c r="A676" s="7" t="str">
        <f t="shared" si="5"/>
        <v/>
      </c>
      <c r="AU676" s="3"/>
    </row>
    <row r="677">
      <c r="A677" s="7" t="str">
        <f t="shared" si="5"/>
        <v/>
      </c>
      <c r="AU677" s="3"/>
    </row>
    <row r="678">
      <c r="A678" s="7" t="str">
        <f t="shared" si="5"/>
        <v/>
      </c>
      <c r="AU678" s="3"/>
    </row>
    <row r="679">
      <c r="A679" s="7" t="str">
        <f t="shared" si="5"/>
        <v/>
      </c>
      <c r="AU679" s="3"/>
    </row>
    <row r="680">
      <c r="A680" s="7" t="str">
        <f t="shared" si="5"/>
        <v/>
      </c>
      <c r="AU680" s="3"/>
    </row>
    <row r="681">
      <c r="A681" s="7" t="str">
        <f t="shared" si="5"/>
        <v/>
      </c>
      <c r="AU681" s="3"/>
    </row>
    <row r="682">
      <c r="A682" s="7" t="str">
        <f t="shared" si="5"/>
        <v/>
      </c>
      <c r="AU682" s="3"/>
    </row>
    <row r="683">
      <c r="A683" s="7" t="str">
        <f t="shared" si="5"/>
        <v/>
      </c>
      <c r="AU683" s="3"/>
    </row>
    <row r="684">
      <c r="A684" s="7" t="str">
        <f t="shared" si="5"/>
        <v/>
      </c>
      <c r="AU684" s="3"/>
    </row>
    <row r="685">
      <c r="A685" s="7" t="str">
        <f t="shared" si="5"/>
        <v/>
      </c>
      <c r="AU685" s="3"/>
    </row>
    <row r="686">
      <c r="A686" s="7" t="str">
        <f t="shared" si="5"/>
        <v/>
      </c>
      <c r="AU686" s="3"/>
    </row>
    <row r="687">
      <c r="A687" s="7" t="str">
        <f t="shared" si="5"/>
        <v/>
      </c>
      <c r="AU687" s="3"/>
    </row>
    <row r="688">
      <c r="A688" s="7" t="str">
        <f t="shared" si="5"/>
        <v/>
      </c>
      <c r="AU688" s="3"/>
    </row>
    <row r="689">
      <c r="A689" s="7" t="str">
        <f t="shared" si="5"/>
        <v/>
      </c>
      <c r="AU689" s="3"/>
    </row>
    <row r="690">
      <c r="A690" s="7" t="str">
        <f t="shared" si="5"/>
        <v/>
      </c>
      <c r="AU690" s="3"/>
    </row>
    <row r="691">
      <c r="A691" s="7" t="str">
        <f t="shared" si="5"/>
        <v/>
      </c>
      <c r="AU691" s="3"/>
    </row>
    <row r="692">
      <c r="A692" s="7" t="str">
        <f t="shared" si="5"/>
        <v/>
      </c>
      <c r="AU692" s="3"/>
    </row>
    <row r="693">
      <c r="A693" s="7" t="str">
        <f t="shared" si="5"/>
        <v/>
      </c>
      <c r="AU693" s="3"/>
    </row>
    <row r="694">
      <c r="A694" s="7" t="str">
        <f t="shared" si="5"/>
        <v/>
      </c>
      <c r="AU694" s="3"/>
    </row>
    <row r="695">
      <c r="A695" s="7" t="str">
        <f t="shared" si="5"/>
        <v/>
      </c>
      <c r="AU695" s="3"/>
    </row>
    <row r="696">
      <c r="A696" s="7" t="str">
        <f t="shared" si="5"/>
        <v/>
      </c>
      <c r="AU696" s="3"/>
    </row>
    <row r="697">
      <c r="A697" s="7" t="str">
        <f t="shared" si="5"/>
        <v/>
      </c>
      <c r="AU697" s="3"/>
    </row>
    <row r="698">
      <c r="A698" s="7" t="str">
        <f t="shared" si="5"/>
        <v/>
      </c>
      <c r="AU698" s="3"/>
    </row>
    <row r="699">
      <c r="A699" s="7" t="str">
        <f t="shared" si="5"/>
        <v/>
      </c>
      <c r="AU699" s="3"/>
    </row>
    <row r="700">
      <c r="A700" s="7" t="str">
        <f t="shared" si="5"/>
        <v/>
      </c>
      <c r="AU700" s="3"/>
    </row>
    <row r="701">
      <c r="A701" s="7" t="str">
        <f t="shared" si="5"/>
        <v/>
      </c>
      <c r="AU701" s="3"/>
    </row>
    <row r="702">
      <c r="A702" s="7" t="str">
        <f t="shared" si="5"/>
        <v/>
      </c>
      <c r="AU702" s="3"/>
    </row>
    <row r="703">
      <c r="A703" s="7" t="str">
        <f t="shared" si="5"/>
        <v/>
      </c>
      <c r="AU703" s="3"/>
    </row>
    <row r="704">
      <c r="A704" s="7" t="str">
        <f t="shared" si="5"/>
        <v/>
      </c>
      <c r="AU704" s="3"/>
    </row>
    <row r="705">
      <c r="A705" s="7" t="str">
        <f t="shared" si="5"/>
        <v/>
      </c>
      <c r="AU705" s="3"/>
    </row>
    <row r="706">
      <c r="A706" s="7" t="str">
        <f t="shared" si="5"/>
        <v/>
      </c>
      <c r="AU706" s="3"/>
    </row>
    <row r="707">
      <c r="A707" s="7" t="str">
        <f t="shared" si="5"/>
        <v/>
      </c>
      <c r="AU707" s="3"/>
    </row>
    <row r="708">
      <c r="A708" s="7" t="str">
        <f t="shared" si="5"/>
        <v/>
      </c>
      <c r="AU708" s="3"/>
    </row>
    <row r="709">
      <c r="A709" s="7" t="str">
        <f t="shared" si="5"/>
        <v/>
      </c>
      <c r="AU709" s="3"/>
    </row>
    <row r="710">
      <c r="A710" s="7" t="str">
        <f t="shared" si="5"/>
        <v/>
      </c>
      <c r="AU710" s="3"/>
    </row>
    <row r="711">
      <c r="A711" s="7" t="str">
        <f t="shared" si="5"/>
        <v/>
      </c>
      <c r="AU711" s="3"/>
    </row>
    <row r="712">
      <c r="A712" s="7" t="str">
        <f t="shared" si="5"/>
        <v/>
      </c>
      <c r="AU712" s="3"/>
    </row>
    <row r="713">
      <c r="A713" s="7" t="str">
        <f t="shared" si="5"/>
        <v/>
      </c>
      <c r="AU713" s="3"/>
    </row>
    <row r="714">
      <c r="A714" s="7" t="str">
        <f t="shared" si="5"/>
        <v/>
      </c>
      <c r="AU714" s="3"/>
    </row>
    <row r="715">
      <c r="A715" s="7" t="str">
        <f t="shared" si="5"/>
        <v/>
      </c>
      <c r="AU715" s="3"/>
    </row>
    <row r="716">
      <c r="A716" s="7" t="str">
        <f t="shared" si="5"/>
        <v/>
      </c>
      <c r="AU716" s="3"/>
    </row>
    <row r="717">
      <c r="A717" s="7" t="str">
        <f t="shared" si="5"/>
        <v/>
      </c>
      <c r="AU717" s="3"/>
    </row>
    <row r="718">
      <c r="A718" s="7" t="str">
        <f t="shared" si="5"/>
        <v/>
      </c>
      <c r="AU718" s="3"/>
    </row>
    <row r="719">
      <c r="A719" s="7" t="str">
        <f t="shared" si="5"/>
        <v/>
      </c>
      <c r="AU719" s="3"/>
    </row>
    <row r="720">
      <c r="A720" s="7" t="str">
        <f t="shared" si="5"/>
        <v/>
      </c>
      <c r="AU720" s="3"/>
    </row>
    <row r="721">
      <c r="A721" s="7" t="str">
        <f t="shared" si="5"/>
        <v/>
      </c>
      <c r="AU721" s="3"/>
    </row>
    <row r="722">
      <c r="A722" s="7" t="str">
        <f t="shared" si="5"/>
        <v/>
      </c>
      <c r="AU722" s="3"/>
    </row>
    <row r="723">
      <c r="A723" s="7" t="str">
        <f t="shared" si="5"/>
        <v/>
      </c>
      <c r="AU723" s="3"/>
    </row>
    <row r="724">
      <c r="A724" s="7" t="str">
        <f t="shared" si="5"/>
        <v/>
      </c>
      <c r="AU724" s="3"/>
    </row>
    <row r="725">
      <c r="A725" s="7" t="str">
        <f t="shared" si="5"/>
        <v/>
      </c>
      <c r="AU725" s="3"/>
    </row>
    <row r="726">
      <c r="A726" s="7" t="str">
        <f t="shared" si="5"/>
        <v/>
      </c>
      <c r="AU726" s="3"/>
    </row>
    <row r="727">
      <c r="A727" s="7" t="str">
        <f t="shared" si="5"/>
        <v/>
      </c>
      <c r="AU727" s="3"/>
    </row>
    <row r="728">
      <c r="A728" s="7" t="str">
        <f t="shared" si="5"/>
        <v/>
      </c>
      <c r="AU728" s="3"/>
    </row>
    <row r="729">
      <c r="A729" s="7" t="str">
        <f t="shared" si="5"/>
        <v/>
      </c>
      <c r="AU729" s="3"/>
    </row>
    <row r="730">
      <c r="A730" s="7" t="str">
        <f t="shared" si="5"/>
        <v/>
      </c>
      <c r="AU730" s="3"/>
    </row>
    <row r="731">
      <c r="A731" s="7" t="str">
        <f t="shared" si="5"/>
        <v/>
      </c>
      <c r="AU731" s="3"/>
    </row>
    <row r="732">
      <c r="A732" s="7" t="str">
        <f t="shared" si="5"/>
        <v/>
      </c>
      <c r="AU732" s="3"/>
    </row>
    <row r="733">
      <c r="A733" s="7" t="str">
        <f t="shared" si="5"/>
        <v/>
      </c>
      <c r="AU733" s="3"/>
    </row>
    <row r="734">
      <c r="A734" s="7" t="str">
        <f t="shared" si="5"/>
        <v/>
      </c>
      <c r="AU734" s="3"/>
    </row>
    <row r="735">
      <c r="A735" s="7" t="str">
        <f t="shared" si="5"/>
        <v/>
      </c>
      <c r="AU735" s="3"/>
    </row>
    <row r="736">
      <c r="A736" s="7" t="str">
        <f t="shared" si="5"/>
        <v/>
      </c>
      <c r="AU736" s="3"/>
    </row>
    <row r="737">
      <c r="A737" s="7" t="str">
        <f t="shared" si="5"/>
        <v/>
      </c>
      <c r="AU737" s="3"/>
    </row>
    <row r="738">
      <c r="A738" s="7" t="str">
        <f t="shared" si="5"/>
        <v/>
      </c>
      <c r="AU738" s="3"/>
    </row>
    <row r="739">
      <c r="A739" s="7" t="str">
        <f t="shared" si="5"/>
        <v/>
      </c>
      <c r="AU739" s="3"/>
    </row>
    <row r="740">
      <c r="A740" s="7" t="str">
        <f t="shared" si="5"/>
        <v/>
      </c>
      <c r="AU740" s="3"/>
    </row>
    <row r="741">
      <c r="A741" s="7" t="str">
        <f t="shared" si="5"/>
        <v/>
      </c>
      <c r="AU741" s="3"/>
    </row>
    <row r="742">
      <c r="A742" s="7" t="str">
        <f t="shared" si="5"/>
        <v/>
      </c>
      <c r="AU742" s="3"/>
    </row>
    <row r="743">
      <c r="A743" s="7" t="str">
        <f t="shared" si="5"/>
        <v/>
      </c>
      <c r="AU743" s="3"/>
    </row>
    <row r="744">
      <c r="A744" s="7" t="str">
        <f t="shared" si="5"/>
        <v/>
      </c>
      <c r="AU744" s="3"/>
    </row>
    <row r="745">
      <c r="A745" s="7" t="str">
        <f t="shared" si="5"/>
        <v/>
      </c>
      <c r="AU745" s="3"/>
    </row>
    <row r="746">
      <c r="A746" s="7" t="str">
        <f t="shared" si="5"/>
        <v/>
      </c>
      <c r="AU746" s="3"/>
    </row>
    <row r="747">
      <c r="A747" s="7" t="str">
        <f t="shared" si="5"/>
        <v/>
      </c>
      <c r="AU747" s="3"/>
    </row>
    <row r="748">
      <c r="A748" s="7" t="str">
        <f t="shared" si="5"/>
        <v/>
      </c>
      <c r="AU748" s="3"/>
    </row>
    <row r="749">
      <c r="A749" s="7" t="str">
        <f t="shared" si="5"/>
        <v/>
      </c>
      <c r="AU749" s="3"/>
    </row>
    <row r="750">
      <c r="A750" s="7" t="str">
        <f t="shared" si="5"/>
        <v/>
      </c>
      <c r="AU750" s="3"/>
    </row>
    <row r="751">
      <c r="A751" s="7" t="str">
        <f t="shared" si="5"/>
        <v/>
      </c>
      <c r="AU751" s="3"/>
    </row>
    <row r="752">
      <c r="A752" s="7" t="str">
        <f t="shared" si="5"/>
        <v/>
      </c>
      <c r="AU752" s="3"/>
    </row>
    <row r="753">
      <c r="A753" s="7" t="str">
        <f t="shared" si="5"/>
        <v/>
      </c>
      <c r="AU753" s="3"/>
    </row>
    <row r="754">
      <c r="A754" s="7" t="str">
        <f t="shared" si="5"/>
        <v/>
      </c>
      <c r="AU754" s="3"/>
    </row>
    <row r="755">
      <c r="A755" s="7" t="str">
        <f t="shared" si="5"/>
        <v/>
      </c>
      <c r="AU755" s="3"/>
    </row>
    <row r="756">
      <c r="A756" s="7" t="str">
        <f t="shared" si="5"/>
        <v/>
      </c>
      <c r="AU756" s="3"/>
    </row>
    <row r="757">
      <c r="A757" s="7" t="str">
        <f t="shared" si="5"/>
        <v/>
      </c>
      <c r="AU757" s="3"/>
    </row>
    <row r="758">
      <c r="A758" s="7" t="str">
        <f t="shared" si="5"/>
        <v/>
      </c>
      <c r="AU758" s="3"/>
    </row>
    <row r="759">
      <c r="A759" s="7" t="str">
        <f t="shared" si="5"/>
        <v/>
      </c>
      <c r="AU759" s="3"/>
    </row>
    <row r="760">
      <c r="A760" s="7" t="str">
        <f t="shared" si="5"/>
        <v/>
      </c>
      <c r="AU760" s="3"/>
    </row>
    <row r="761">
      <c r="A761" s="7" t="str">
        <f t="shared" si="5"/>
        <v/>
      </c>
      <c r="AU761" s="3"/>
    </row>
    <row r="762">
      <c r="A762" s="7" t="str">
        <f t="shared" si="5"/>
        <v/>
      </c>
      <c r="AU762" s="3"/>
    </row>
    <row r="763">
      <c r="A763" s="7" t="str">
        <f t="shared" si="5"/>
        <v/>
      </c>
      <c r="AU763" s="3"/>
    </row>
    <row r="764">
      <c r="A764" s="7" t="str">
        <f t="shared" si="5"/>
        <v/>
      </c>
      <c r="AU764" s="3"/>
    </row>
    <row r="765">
      <c r="A765" s="7" t="str">
        <f t="shared" si="5"/>
        <v/>
      </c>
      <c r="AU765" s="3"/>
    </row>
    <row r="766">
      <c r="A766" s="7" t="str">
        <f t="shared" si="5"/>
        <v/>
      </c>
      <c r="AU766" s="3"/>
    </row>
    <row r="767">
      <c r="A767" s="7" t="str">
        <f t="shared" si="5"/>
        <v/>
      </c>
      <c r="AU767" s="3"/>
    </row>
    <row r="768">
      <c r="A768" s="7" t="str">
        <f t="shared" si="5"/>
        <v/>
      </c>
      <c r="AU768" s="3"/>
    </row>
    <row r="769">
      <c r="A769" s="7" t="str">
        <f t="shared" si="5"/>
        <v/>
      </c>
      <c r="AU769" s="3"/>
    </row>
    <row r="770">
      <c r="A770" s="7" t="str">
        <f t="shared" si="5"/>
        <v/>
      </c>
      <c r="AU770" s="3"/>
    </row>
    <row r="771">
      <c r="A771" s="7" t="str">
        <f t="shared" si="5"/>
        <v/>
      </c>
      <c r="AU771" s="3"/>
    </row>
    <row r="772">
      <c r="A772" s="7" t="str">
        <f t="shared" si="5"/>
        <v/>
      </c>
      <c r="AU772" s="3"/>
    </row>
    <row r="773">
      <c r="A773" s="7" t="str">
        <f t="shared" si="5"/>
        <v/>
      </c>
      <c r="AU773" s="3"/>
    </row>
    <row r="774">
      <c r="A774" s="7" t="str">
        <f t="shared" si="5"/>
        <v/>
      </c>
      <c r="AU774" s="3"/>
    </row>
    <row r="775">
      <c r="A775" s="7" t="str">
        <f t="shared" si="5"/>
        <v/>
      </c>
      <c r="AU775" s="3"/>
    </row>
    <row r="776">
      <c r="A776" s="7" t="str">
        <f t="shared" si="5"/>
        <v/>
      </c>
      <c r="AU776" s="3"/>
    </row>
    <row r="777">
      <c r="A777" s="7" t="str">
        <f t="shared" si="5"/>
        <v/>
      </c>
      <c r="AU777" s="3"/>
    </row>
    <row r="778">
      <c r="A778" s="7" t="str">
        <f t="shared" si="5"/>
        <v/>
      </c>
      <c r="AU778" s="3"/>
    </row>
    <row r="779">
      <c r="A779" s="7" t="str">
        <f t="shared" si="5"/>
        <v/>
      </c>
      <c r="AU779" s="3"/>
    </row>
    <row r="780">
      <c r="A780" s="7" t="str">
        <f t="shared" si="5"/>
        <v/>
      </c>
      <c r="AU780" s="3"/>
    </row>
    <row r="781">
      <c r="A781" s="7" t="str">
        <f t="shared" si="5"/>
        <v/>
      </c>
      <c r="AU781" s="3"/>
    </row>
    <row r="782">
      <c r="A782" s="7" t="str">
        <f t="shared" si="5"/>
        <v/>
      </c>
      <c r="AU782" s="3"/>
    </row>
    <row r="783">
      <c r="A783" s="7" t="str">
        <f t="shared" si="5"/>
        <v/>
      </c>
      <c r="AU783" s="3"/>
    </row>
    <row r="784">
      <c r="A784" s="7" t="str">
        <f t="shared" si="5"/>
        <v/>
      </c>
      <c r="AU784" s="3"/>
    </row>
    <row r="785">
      <c r="A785" s="7" t="str">
        <f t="shared" si="5"/>
        <v/>
      </c>
      <c r="AU785" s="3"/>
    </row>
    <row r="786">
      <c r="A786" s="7" t="str">
        <f t="shared" si="5"/>
        <v/>
      </c>
      <c r="AU786" s="3"/>
    </row>
    <row r="787">
      <c r="A787" s="7" t="str">
        <f t="shared" si="5"/>
        <v/>
      </c>
      <c r="AU787" s="3"/>
    </row>
    <row r="788">
      <c r="A788" s="7" t="str">
        <f t="shared" si="5"/>
        <v/>
      </c>
      <c r="AU788" s="3"/>
    </row>
    <row r="789">
      <c r="A789" s="7" t="str">
        <f t="shared" si="5"/>
        <v/>
      </c>
      <c r="AU789" s="3"/>
    </row>
    <row r="790">
      <c r="A790" s="7" t="str">
        <f t="shared" si="5"/>
        <v/>
      </c>
      <c r="AU790" s="3"/>
    </row>
    <row r="791">
      <c r="A791" s="7" t="str">
        <f t="shared" si="5"/>
        <v/>
      </c>
      <c r="AU791" s="3"/>
    </row>
    <row r="792">
      <c r="A792" s="7" t="str">
        <f t="shared" si="5"/>
        <v/>
      </c>
      <c r="AU792" s="3"/>
    </row>
    <row r="793">
      <c r="A793" s="7" t="str">
        <f t="shared" si="5"/>
        <v/>
      </c>
      <c r="AU793" s="3"/>
    </row>
    <row r="794">
      <c r="A794" s="7" t="str">
        <f t="shared" si="5"/>
        <v/>
      </c>
      <c r="AU794" s="3"/>
    </row>
    <row r="795">
      <c r="A795" s="7" t="str">
        <f t="shared" si="5"/>
        <v/>
      </c>
      <c r="AU795" s="3"/>
    </row>
    <row r="796">
      <c r="A796" s="7" t="str">
        <f t="shared" si="5"/>
        <v/>
      </c>
      <c r="AU796" s="3"/>
    </row>
    <row r="797">
      <c r="A797" s="7" t="str">
        <f t="shared" si="5"/>
        <v/>
      </c>
      <c r="AU797" s="3"/>
    </row>
    <row r="798">
      <c r="A798" s="7" t="str">
        <f t="shared" si="5"/>
        <v/>
      </c>
      <c r="AU798" s="3"/>
    </row>
    <row r="799">
      <c r="A799" s="7" t="str">
        <f t="shared" si="5"/>
        <v/>
      </c>
      <c r="AU799" s="3"/>
    </row>
    <row r="800">
      <c r="A800" s="7" t="str">
        <f t="shared" si="5"/>
        <v/>
      </c>
      <c r="AU800" s="3"/>
    </row>
    <row r="801">
      <c r="A801" s="7" t="str">
        <f t="shared" si="5"/>
        <v/>
      </c>
      <c r="AU801" s="3"/>
    </row>
    <row r="802">
      <c r="A802" s="7" t="str">
        <f t="shared" si="5"/>
        <v/>
      </c>
      <c r="AU802" s="3"/>
    </row>
    <row r="803">
      <c r="A803" s="7" t="str">
        <f t="shared" si="5"/>
        <v/>
      </c>
      <c r="AU803" s="3"/>
    </row>
    <row r="804">
      <c r="A804" s="7" t="str">
        <f t="shared" si="5"/>
        <v/>
      </c>
      <c r="AU804" s="3"/>
    </row>
    <row r="805">
      <c r="A805" s="7" t="str">
        <f t="shared" si="5"/>
        <v/>
      </c>
      <c r="AU805" s="3"/>
    </row>
    <row r="806">
      <c r="A806" s="7" t="str">
        <f t="shared" si="5"/>
        <v/>
      </c>
      <c r="AU806" s="3"/>
    </row>
    <row r="807">
      <c r="A807" s="7" t="str">
        <f t="shared" si="5"/>
        <v/>
      </c>
      <c r="AU807" s="3"/>
    </row>
    <row r="808">
      <c r="A808" s="7" t="str">
        <f t="shared" si="5"/>
        <v/>
      </c>
      <c r="AU808" s="3"/>
    </row>
    <row r="809">
      <c r="A809" s="7" t="str">
        <f t="shared" si="5"/>
        <v/>
      </c>
      <c r="AU809" s="3"/>
    </row>
    <row r="810">
      <c r="A810" s="7" t="str">
        <f t="shared" si="5"/>
        <v/>
      </c>
      <c r="AU810" s="3"/>
    </row>
    <row r="811">
      <c r="A811" s="7" t="str">
        <f t="shared" si="5"/>
        <v/>
      </c>
      <c r="AU811" s="3"/>
    </row>
    <row r="812">
      <c r="A812" s="7" t="str">
        <f t="shared" si="5"/>
        <v/>
      </c>
      <c r="AU812" s="3"/>
    </row>
    <row r="813">
      <c r="A813" s="7" t="str">
        <f t="shared" si="5"/>
        <v/>
      </c>
      <c r="AU813" s="3"/>
    </row>
    <row r="814">
      <c r="A814" s="7" t="str">
        <f t="shared" si="5"/>
        <v/>
      </c>
      <c r="AU814" s="3"/>
    </row>
    <row r="815">
      <c r="A815" s="7" t="str">
        <f t="shared" si="5"/>
        <v/>
      </c>
      <c r="AU815" s="3"/>
    </row>
    <row r="816">
      <c r="A816" s="7" t="str">
        <f t="shared" si="5"/>
        <v/>
      </c>
      <c r="AU816" s="3"/>
    </row>
    <row r="817">
      <c r="A817" s="7" t="str">
        <f t="shared" si="5"/>
        <v/>
      </c>
      <c r="AU817" s="3"/>
    </row>
    <row r="818">
      <c r="A818" s="7" t="str">
        <f t="shared" si="5"/>
        <v/>
      </c>
      <c r="AU818" s="3"/>
    </row>
    <row r="819">
      <c r="A819" s="7" t="str">
        <f t="shared" si="5"/>
        <v/>
      </c>
      <c r="AU819" s="3"/>
    </row>
    <row r="820">
      <c r="A820" s="7" t="str">
        <f t="shared" si="5"/>
        <v/>
      </c>
      <c r="AU820" s="3"/>
    </row>
    <row r="821">
      <c r="A821" s="7" t="str">
        <f t="shared" si="5"/>
        <v/>
      </c>
      <c r="AU821" s="3"/>
    </row>
    <row r="822">
      <c r="A822" s="7" t="str">
        <f t="shared" si="5"/>
        <v/>
      </c>
      <c r="AU822" s="3"/>
    </row>
    <row r="823">
      <c r="A823" s="7" t="str">
        <f t="shared" si="5"/>
        <v/>
      </c>
      <c r="AU823" s="3"/>
    </row>
    <row r="824">
      <c r="A824" s="7" t="str">
        <f t="shared" si="5"/>
        <v/>
      </c>
      <c r="AU824" s="3"/>
    </row>
    <row r="825">
      <c r="A825" s="7" t="str">
        <f t="shared" si="5"/>
        <v/>
      </c>
      <c r="AU825" s="3"/>
    </row>
    <row r="826">
      <c r="A826" s="7" t="str">
        <f t="shared" si="5"/>
        <v/>
      </c>
      <c r="AU826" s="3"/>
    </row>
    <row r="827">
      <c r="A827" s="7" t="str">
        <f t="shared" si="5"/>
        <v/>
      </c>
      <c r="AU827" s="3"/>
    </row>
    <row r="828">
      <c r="A828" s="7" t="str">
        <f t="shared" si="5"/>
        <v/>
      </c>
      <c r="AU828" s="3"/>
    </row>
    <row r="829">
      <c r="A829" s="7" t="str">
        <f t="shared" si="5"/>
        <v/>
      </c>
      <c r="AU829" s="3"/>
    </row>
    <row r="830">
      <c r="A830" s="7" t="str">
        <f t="shared" si="5"/>
        <v/>
      </c>
      <c r="AU830" s="3"/>
    </row>
    <row r="831">
      <c r="A831" s="7" t="str">
        <f t="shared" si="5"/>
        <v/>
      </c>
      <c r="AU831" s="3"/>
    </row>
    <row r="832">
      <c r="A832" s="7" t="str">
        <f t="shared" si="5"/>
        <v/>
      </c>
      <c r="AU832" s="3"/>
    </row>
    <row r="833">
      <c r="A833" s="7" t="str">
        <f t="shared" si="5"/>
        <v/>
      </c>
      <c r="AU833" s="3"/>
    </row>
    <row r="834">
      <c r="A834" s="7" t="str">
        <f t="shared" si="5"/>
        <v/>
      </c>
      <c r="AU834" s="3"/>
    </row>
    <row r="835">
      <c r="A835" s="7" t="str">
        <f t="shared" si="5"/>
        <v/>
      </c>
      <c r="AU835" s="3"/>
    </row>
    <row r="836">
      <c r="A836" s="7" t="str">
        <f t="shared" si="5"/>
        <v/>
      </c>
      <c r="AU836" s="3"/>
    </row>
    <row r="837">
      <c r="A837" s="7" t="str">
        <f t="shared" si="5"/>
        <v/>
      </c>
      <c r="AU837" s="3"/>
    </row>
    <row r="838">
      <c r="A838" s="7" t="str">
        <f t="shared" si="5"/>
        <v/>
      </c>
      <c r="AU838" s="3"/>
    </row>
    <row r="839">
      <c r="A839" s="7" t="str">
        <f t="shared" si="5"/>
        <v/>
      </c>
      <c r="AU839" s="3"/>
    </row>
    <row r="840">
      <c r="A840" s="7" t="str">
        <f t="shared" si="5"/>
        <v/>
      </c>
      <c r="AU840" s="3"/>
    </row>
    <row r="841">
      <c r="A841" s="7" t="str">
        <f t="shared" si="5"/>
        <v/>
      </c>
      <c r="AU841" s="3"/>
    </row>
    <row r="842">
      <c r="A842" s="7" t="str">
        <f t="shared" si="5"/>
        <v/>
      </c>
      <c r="AU842" s="3"/>
    </row>
    <row r="843">
      <c r="A843" s="7" t="str">
        <f t="shared" si="5"/>
        <v/>
      </c>
      <c r="AU843" s="3"/>
    </row>
    <row r="844">
      <c r="A844" s="7" t="str">
        <f t="shared" si="5"/>
        <v/>
      </c>
      <c r="AU844" s="3"/>
    </row>
    <row r="845">
      <c r="A845" s="7" t="str">
        <f t="shared" si="5"/>
        <v/>
      </c>
      <c r="AU845" s="3"/>
    </row>
    <row r="846">
      <c r="A846" s="7" t="str">
        <f t="shared" si="5"/>
        <v/>
      </c>
      <c r="AU846" s="3"/>
    </row>
    <row r="847">
      <c r="A847" s="7" t="str">
        <f t="shared" si="5"/>
        <v/>
      </c>
      <c r="AU847" s="3"/>
    </row>
    <row r="848">
      <c r="A848" s="7" t="str">
        <f t="shared" si="5"/>
        <v/>
      </c>
      <c r="AU848" s="3"/>
    </row>
    <row r="849">
      <c r="A849" s="7" t="str">
        <f t="shared" si="5"/>
        <v/>
      </c>
      <c r="AU849" s="3"/>
    </row>
    <row r="850">
      <c r="A850" s="7" t="str">
        <f t="shared" si="5"/>
        <v/>
      </c>
      <c r="AU850" s="3"/>
    </row>
    <row r="851">
      <c r="A851" s="7" t="str">
        <f t="shared" si="5"/>
        <v/>
      </c>
      <c r="AU851" s="3"/>
    </row>
    <row r="852">
      <c r="A852" s="7" t="str">
        <f t="shared" si="5"/>
        <v/>
      </c>
      <c r="AU852" s="3"/>
    </row>
    <row r="853">
      <c r="A853" s="7" t="str">
        <f t="shared" si="5"/>
        <v/>
      </c>
      <c r="AU853" s="3"/>
    </row>
    <row r="854">
      <c r="A854" s="7" t="str">
        <f t="shared" si="5"/>
        <v/>
      </c>
      <c r="AU854" s="3"/>
    </row>
    <row r="855">
      <c r="A855" s="7" t="str">
        <f t="shared" si="5"/>
        <v/>
      </c>
      <c r="AU855" s="3"/>
    </row>
    <row r="856">
      <c r="A856" s="7" t="str">
        <f t="shared" si="5"/>
        <v/>
      </c>
      <c r="AU856" s="3"/>
    </row>
    <row r="857">
      <c r="A857" s="7" t="str">
        <f t="shared" si="5"/>
        <v/>
      </c>
      <c r="AU857" s="3"/>
    </row>
    <row r="858">
      <c r="A858" s="7" t="str">
        <f t="shared" si="5"/>
        <v/>
      </c>
      <c r="AU858" s="3"/>
    </row>
    <row r="859">
      <c r="A859" s="7" t="str">
        <f t="shared" si="5"/>
        <v/>
      </c>
      <c r="AU859" s="3"/>
    </row>
    <row r="860">
      <c r="A860" s="7" t="str">
        <f t="shared" si="5"/>
        <v/>
      </c>
      <c r="AU860" s="3"/>
    </row>
    <row r="861">
      <c r="A861" s="7" t="str">
        <f t="shared" si="5"/>
        <v/>
      </c>
      <c r="AU861" s="3"/>
    </row>
    <row r="862">
      <c r="A862" s="7" t="str">
        <f t="shared" si="5"/>
        <v/>
      </c>
      <c r="AU862" s="3"/>
    </row>
    <row r="863">
      <c r="A863" s="7" t="str">
        <f t="shared" si="5"/>
        <v/>
      </c>
      <c r="AU863" s="3"/>
    </row>
    <row r="864">
      <c r="A864" s="7" t="str">
        <f t="shared" si="5"/>
        <v/>
      </c>
      <c r="AU864" s="3"/>
    </row>
    <row r="865">
      <c r="A865" s="7" t="str">
        <f t="shared" si="5"/>
        <v/>
      </c>
      <c r="AU865" s="3"/>
    </row>
    <row r="866">
      <c r="A866" s="7" t="str">
        <f t="shared" si="5"/>
        <v/>
      </c>
      <c r="AU866" s="3"/>
    </row>
    <row r="867">
      <c r="A867" s="7" t="str">
        <f t="shared" si="5"/>
        <v/>
      </c>
      <c r="AU867" s="3"/>
    </row>
    <row r="868">
      <c r="A868" s="7" t="str">
        <f t="shared" si="5"/>
        <v/>
      </c>
      <c r="AU868" s="3"/>
    </row>
    <row r="869">
      <c r="A869" s="7" t="str">
        <f t="shared" si="5"/>
        <v/>
      </c>
      <c r="AU869" s="3"/>
    </row>
    <row r="870">
      <c r="A870" s="7" t="str">
        <f t="shared" si="5"/>
        <v/>
      </c>
      <c r="AU870" s="3"/>
    </row>
    <row r="871">
      <c r="A871" s="7" t="str">
        <f t="shared" si="5"/>
        <v/>
      </c>
      <c r="AU871" s="3"/>
    </row>
    <row r="872">
      <c r="A872" s="7" t="str">
        <f t="shared" si="5"/>
        <v/>
      </c>
      <c r="AU872" s="3"/>
    </row>
    <row r="873">
      <c r="A873" s="7" t="str">
        <f t="shared" si="5"/>
        <v/>
      </c>
      <c r="AU873" s="3"/>
    </row>
    <row r="874">
      <c r="A874" s="7" t="str">
        <f t="shared" si="5"/>
        <v/>
      </c>
      <c r="AU874" s="3"/>
    </row>
    <row r="875">
      <c r="A875" s="7" t="str">
        <f t="shared" si="5"/>
        <v/>
      </c>
      <c r="AU875" s="3"/>
    </row>
    <row r="876">
      <c r="A876" s="7" t="str">
        <f t="shared" si="5"/>
        <v/>
      </c>
      <c r="AU876" s="3"/>
    </row>
    <row r="877">
      <c r="A877" s="7" t="str">
        <f t="shared" si="5"/>
        <v/>
      </c>
      <c r="AU877" s="3"/>
    </row>
    <row r="878">
      <c r="A878" s="7" t="str">
        <f t="shared" si="5"/>
        <v/>
      </c>
      <c r="AU878" s="3"/>
    </row>
    <row r="879">
      <c r="A879" s="7" t="str">
        <f t="shared" si="5"/>
        <v/>
      </c>
      <c r="AU879" s="3"/>
    </row>
    <row r="880">
      <c r="A880" s="7" t="str">
        <f t="shared" si="5"/>
        <v/>
      </c>
      <c r="AU880" s="3"/>
    </row>
    <row r="881">
      <c r="A881" s="7" t="str">
        <f t="shared" si="5"/>
        <v/>
      </c>
      <c r="AU881" s="3"/>
    </row>
    <row r="882">
      <c r="A882" s="7" t="str">
        <f t="shared" si="5"/>
        <v/>
      </c>
      <c r="AU882" s="3"/>
    </row>
    <row r="883">
      <c r="A883" s="7" t="str">
        <f t="shared" si="5"/>
        <v/>
      </c>
      <c r="AU883" s="3"/>
    </row>
    <row r="884">
      <c r="A884" s="7" t="str">
        <f t="shared" si="5"/>
        <v/>
      </c>
      <c r="AU884" s="3"/>
    </row>
    <row r="885">
      <c r="A885" s="7" t="str">
        <f t="shared" si="5"/>
        <v/>
      </c>
      <c r="AU885" s="3"/>
    </row>
    <row r="886">
      <c r="A886" s="7" t="str">
        <f t="shared" si="5"/>
        <v/>
      </c>
      <c r="AU886" s="3"/>
    </row>
    <row r="887">
      <c r="A887" s="7" t="str">
        <f t="shared" si="5"/>
        <v/>
      </c>
      <c r="AU887" s="3"/>
    </row>
    <row r="888">
      <c r="A888" s="7" t="str">
        <f t="shared" si="5"/>
        <v/>
      </c>
      <c r="AU888" s="3"/>
    </row>
    <row r="889">
      <c r="A889" s="7" t="str">
        <f t="shared" si="5"/>
        <v/>
      </c>
      <c r="AU889" s="3"/>
    </row>
    <row r="890">
      <c r="A890" s="7" t="str">
        <f t="shared" si="5"/>
        <v/>
      </c>
      <c r="AU890" s="3"/>
    </row>
    <row r="891">
      <c r="A891" s="7" t="str">
        <f t="shared" si="5"/>
        <v/>
      </c>
      <c r="AU891" s="3"/>
    </row>
    <row r="892">
      <c r="A892" s="7" t="str">
        <f t="shared" si="5"/>
        <v/>
      </c>
      <c r="AU892" s="3"/>
    </row>
    <row r="893">
      <c r="A893" s="7" t="str">
        <f t="shared" si="5"/>
        <v/>
      </c>
      <c r="AU893" s="3"/>
    </row>
    <row r="894">
      <c r="A894" s="7" t="str">
        <f t="shared" si="5"/>
        <v/>
      </c>
      <c r="AU894" s="3"/>
    </row>
    <row r="895">
      <c r="A895" s="7" t="str">
        <f t="shared" si="5"/>
        <v/>
      </c>
      <c r="AU895" s="3"/>
    </row>
    <row r="896">
      <c r="A896" s="7" t="str">
        <f t="shared" si="5"/>
        <v/>
      </c>
      <c r="AU896" s="3"/>
    </row>
    <row r="897">
      <c r="A897" s="7" t="str">
        <f t="shared" si="5"/>
        <v/>
      </c>
      <c r="AU897" s="3"/>
    </row>
    <row r="898">
      <c r="A898" s="7" t="str">
        <f t="shared" si="5"/>
        <v/>
      </c>
      <c r="AU898" s="3"/>
    </row>
    <row r="899">
      <c r="A899" s="7" t="str">
        <f t="shared" si="5"/>
        <v/>
      </c>
      <c r="AU899" s="3"/>
    </row>
    <row r="900">
      <c r="A900" s="7" t="str">
        <f t="shared" si="5"/>
        <v/>
      </c>
      <c r="AU900" s="3"/>
    </row>
    <row r="901">
      <c r="A901" s="7" t="str">
        <f t="shared" si="5"/>
        <v/>
      </c>
      <c r="AU901" s="3"/>
    </row>
    <row r="902">
      <c r="A902" s="7" t="str">
        <f t="shared" si="5"/>
        <v/>
      </c>
      <c r="AU902" s="3"/>
    </row>
    <row r="903">
      <c r="A903" s="7" t="str">
        <f t="shared" si="5"/>
        <v/>
      </c>
      <c r="AU903" s="3"/>
    </row>
    <row r="904">
      <c r="A904" s="7" t="str">
        <f t="shared" si="5"/>
        <v/>
      </c>
      <c r="AU904" s="3"/>
    </row>
    <row r="905">
      <c r="A905" s="7" t="str">
        <f t="shared" si="5"/>
        <v/>
      </c>
      <c r="AU905" s="3"/>
    </row>
    <row r="906">
      <c r="A906" s="7" t="str">
        <f t="shared" si="5"/>
        <v/>
      </c>
      <c r="AU906" s="3"/>
    </row>
    <row r="907">
      <c r="A907" s="7" t="str">
        <f t="shared" si="5"/>
        <v/>
      </c>
      <c r="AU907" s="3"/>
    </row>
    <row r="908">
      <c r="A908" s="7" t="str">
        <f t="shared" si="5"/>
        <v/>
      </c>
      <c r="AU908" s="3"/>
    </row>
    <row r="909">
      <c r="A909" s="7" t="str">
        <f t="shared" si="5"/>
        <v/>
      </c>
      <c r="AU909" s="3"/>
    </row>
    <row r="910">
      <c r="A910" s="7" t="str">
        <f t="shared" si="5"/>
        <v/>
      </c>
      <c r="AU910" s="3"/>
    </row>
    <row r="911">
      <c r="A911" s="7" t="str">
        <f t="shared" si="5"/>
        <v/>
      </c>
      <c r="AU911" s="3"/>
    </row>
    <row r="912">
      <c r="A912" s="7" t="str">
        <f t="shared" si="5"/>
        <v/>
      </c>
      <c r="AU912" s="3"/>
    </row>
    <row r="913">
      <c r="A913" s="7" t="str">
        <f t="shared" si="5"/>
        <v/>
      </c>
      <c r="AU913" s="3"/>
    </row>
    <row r="914">
      <c r="A914" s="7" t="str">
        <f t="shared" si="5"/>
        <v/>
      </c>
      <c r="AU914" s="3"/>
    </row>
    <row r="915">
      <c r="A915" s="7" t="str">
        <f t="shared" si="5"/>
        <v/>
      </c>
      <c r="AU915" s="3"/>
    </row>
    <row r="916">
      <c r="A916" s="7" t="str">
        <f t="shared" si="5"/>
        <v/>
      </c>
      <c r="AU916" s="3"/>
    </row>
    <row r="917">
      <c r="A917" s="7" t="str">
        <f t="shared" si="5"/>
        <v/>
      </c>
      <c r="AU917" s="3"/>
    </row>
    <row r="918">
      <c r="A918" s="7" t="str">
        <f t="shared" si="5"/>
        <v/>
      </c>
      <c r="AU918" s="3"/>
    </row>
    <row r="919">
      <c r="A919" s="7" t="str">
        <f t="shared" si="5"/>
        <v/>
      </c>
      <c r="AU919" s="3"/>
    </row>
    <row r="920">
      <c r="A920" s="7" t="str">
        <f t="shared" si="5"/>
        <v/>
      </c>
      <c r="AU920" s="3"/>
    </row>
    <row r="921">
      <c r="A921" s="7" t="str">
        <f t="shared" si="5"/>
        <v/>
      </c>
      <c r="AU921" s="3"/>
    </row>
    <row r="922">
      <c r="A922" s="7" t="str">
        <f t="shared" si="5"/>
        <v/>
      </c>
      <c r="AU922" s="3"/>
    </row>
    <row r="923">
      <c r="A923" s="7" t="str">
        <f t="shared" si="5"/>
        <v/>
      </c>
      <c r="AU923" s="3"/>
    </row>
    <row r="924">
      <c r="A924" s="7" t="str">
        <f t="shared" si="5"/>
        <v/>
      </c>
      <c r="AU924" s="3"/>
    </row>
    <row r="925">
      <c r="A925" s="7" t="str">
        <f t="shared" si="5"/>
        <v/>
      </c>
      <c r="AU925" s="3"/>
    </row>
    <row r="926">
      <c r="A926" s="7" t="str">
        <f t="shared" si="5"/>
        <v/>
      </c>
      <c r="AU926" s="3"/>
    </row>
    <row r="927">
      <c r="A927" s="7" t="str">
        <f t="shared" si="5"/>
        <v/>
      </c>
      <c r="AU927" s="3"/>
    </row>
    <row r="928">
      <c r="A928" s="7" t="str">
        <f t="shared" si="5"/>
        <v/>
      </c>
      <c r="AU928" s="3"/>
    </row>
    <row r="929">
      <c r="A929" s="7" t="str">
        <f t="shared" si="5"/>
        <v/>
      </c>
      <c r="AU929" s="3"/>
    </row>
    <row r="930">
      <c r="A930" s="7" t="str">
        <f t="shared" si="5"/>
        <v/>
      </c>
      <c r="AU930" s="3"/>
    </row>
    <row r="931">
      <c r="A931" s="7" t="str">
        <f t="shared" si="5"/>
        <v/>
      </c>
      <c r="AU931" s="3"/>
    </row>
    <row r="932">
      <c r="A932" s="7" t="str">
        <f t="shared" si="5"/>
        <v/>
      </c>
      <c r="AU932" s="3"/>
    </row>
    <row r="933">
      <c r="A933" s="7" t="str">
        <f t="shared" si="5"/>
        <v/>
      </c>
      <c r="AU933" s="3"/>
    </row>
    <row r="934">
      <c r="A934" s="7" t="str">
        <f t="shared" si="5"/>
        <v/>
      </c>
      <c r="AU934" s="3"/>
    </row>
    <row r="935">
      <c r="A935" s="7" t="str">
        <f t="shared" si="5"/>
        <v/>
      </c>
      <c r="AU935" s="3"/>
    </row>
    <row r="936">
      <c r="A936" s="7" t="str">
        <f t="shared" si="5"/>
        <v/>
      </c>
      <c r="AU936" s="3"/>
    </row>
    <row r="937">
      <c r="A937" s="7" t="str">
        <f t="shared" si="5"/>
        <v/>
      </c>
      <c r="AU937" s="3"/>
    </row>
    <row r="938">
      <c r="A938" s="7" t="str">
        <f t="shared" si="5"/>
        <v/>
      </c>
      <c r="AU938" s="3"/>
    </row>
    <row r="939">
      <c r="A939" s="7" t="str">
        <f t="shared" si="5"/>
        <v/>
      </c>
      <c r="AU939" s="3"/>
    </row>
    <row r="940">
      <c r="A940" s="7" t="str">
        <f t="shared" si="5"/>
        <v/>
      </c>
      <c r="AU940" s="3"/>
    </row>
    <row r="941">
      <c r="A941" s="7" t="str">
        <f t="shared" si="5"/>
        <v/>
      </c>
      <c r="AU941" s="3"/>
    </row>
    <row r="942">
      <c r="A942" s="7" t="str">
        <f t="shared" si="5"/>
        <v/>
      </c>
      <c r="AU942" s="3"/>
    </row>
    <row r="943">
      <c r="A943" s="7" t="str">
        <f t="shared" si="5"/>
        <v/>
      </c>
      <c r="AU943" s="3"/>
    </row>
    <row r="944">
      <c r="A944" s="7" t="str">
        <f t="shared" si="5"/>
        <v/>
      </c>
      <c r="AU944" s="3"/>
    </row>
    <row r="945">
      <c r="A945" s="7" t="str">
        <f t="shared" si="5"/>
        <v/>
      </c>
      <c r="AU945" s="3"/>
    </row>
    <row r="946">
      <c r="A946" s="7" t="str">
        <f t="shared" si="5"/>
        <v/>
      </c>
      <c r="AU946" s="3"/>
    </row>
    <row r="947">
      <c r="A947" s="7" t="str">
        <f t="shared" si="5"/>
        <v/>
      </c>
      <c r="AU947" s="3"/>
    </row>
    <row r="948">
      <c r="A948" s="7" t="str">
        <f t="shared" si="5"/>
        <v/>
      </c>
      <c r="AU948" s="3"/>
    </row>
    <row r="949">
      <c r="A949" s="7" t="str">
        <f t="shared" si="5"/>
        <v/>
      </c>
      <c r="AU949" s="3"/>
    </row>
    <row r="950">
      <c r="A950" s="7" t="str">
        <f t="shared" si="5"/>
        <v/>
      </c>
      <c r="AU950" s="3"/>
    </row>
    <row r="951">
      <c r="A951" s="7" t="str">
        <f t="shared" si="5"/>
        <v/>
      </c>
      <c r="AU951" s="3"/>
    </row>
    <row r="952">
      <c r="A952" s="7" t="str">
        <f t="shared" si="5"/>
        <v/>
      </c>
      <c r="AU952" s="3"/>
    </row>
    <row r="953">
      <c r="AU953" s="3"/>
    </row>
    <row r="954">
      <c r="AU954" s="3"/>
    </row>
    <row r="955">
      <c r="AU955" s="3"/>
    </row>
    <row r="956">
      <c r="AU956" s="3"/>
    </row>
    <row r="957">
      <c r="AU957" s="3"/>
    </row>
    <row r="958">
      <c r="AU958" s="3"/>
    </row>
    <row r="959">
      <c r="AU959" s="3"/>
    </row>
    <row r="960">
      <c r="AU960" s="3"/>
    </row>
    <row r="961">
      <c r="AU961" s="3"/>
    </row>
    <row r="962">
      <c r="AU962" s="3"/>
    </row>
    <row r="963">
      <c r="AU963" s="3"/>
    </row>
    <row r="964">
      <c r="AU964" s="3"/>
    </row>
    <row r="965">
      <c r="AU965" s="3"/>
    </row>
    <row r="966">
      <c r="AU966" s="3"/>
    </row>
    <row r="967">
      <c r="AU967" s="3"/>
    </row>
    <row r="968">
      <c r="AU968" s="3"/>
    </row>
    <row r="969">
      <c r="AU969" s="3"/>
    </row>
    <row r="970">
      <c r="AU970" s="3"/>
    </row>
    <row r="971">
      <c r="AU971" s="3"/>
    </row>
    <row r="972">
      <c r="AU972" s="3"/>
    </row>
    <row r="973">
      <c r="AU973" s="3"/>
    </row>
    <row r="974">
      <c r="AU974" s="3"/>
    </row>
    <row r="975">
      <c r="AU975" s="3"/>
    </row>
    <row r="976">
      <c r="AU976" s="3"/>
    </row>
    <row r="977">
      <c r="AU977" s="3"/>
    </row>
    <row r="978">
      <c r="AU978" s="3"/>
    </row>
    <row r="979">
      <c r="AU979" s="3"/>
    </row>
    <row r="980">
      <c r="AU980" s="3"/>
    </row>
    <row r="981">
      <c r="AU981" s="3"/>
    </row>
    <row r="982">
      <c r="AU982" s="3"/>
    </row>
    <row r="983">
      <c r="AU983" s="3"/>
    </row>
    <row r="984">
      <c r="AU984" s="3"/>
    </row>
    <row r="985">
      <c r="AU985" s="3"/>
    </row>
    <row r="986">
      <c r="AU986" s="3"/>
    </row>
    <row r="987">
      <c r="AU987" s="3"/>
    </row>
    <row r="988">
      <c r="AU988" s="3"/>
    </row>
    <row r="989">
      <c r="AU989" s="3"/>
    </row>
    <row r="990">
      <c r="AU990" s="3"/>
    </row>
    <row r="991">
      <c r="AU991" s="3"/>
    </row>
    <row r="992">
      <c r="AU992" s="3"/>
    </row>
    <row r="993">
      <c r="AU993" s="3"/>
    </row>
    <row r="994">
      <c r="AU994" s="3"/>
    </row>
    <row r="995">
      <c r="AU995" s="3"/>
    </row>
    <row r="996">
      <c r="AU996" s="3"/>
    </row>
    <row r="997">
      <c r="AU997" s="3"/>
    </row>
    <row r="998">
      <c r="AU998" s="3"/>
    </row>
    <row r="999">
      <c r="AU999" s="3"/>
    </row>
  </sheetData>
  <autoFilter ref="$A$5:$BE$126"/>
  <mergeCells count="5">
    <mergeCell ref="U4:X4"/>
    <mergeCell ref="Z4:AK4"/>
    <mergeCell ref="AL4:AQ4"/>
    <mergeCell ref="AR4:AW4"/>
    <mergeCell ref="AX4:BA4"/>
  </mergeCells>
  <drawing r:id="rId1"/>
</worksheet>
</file>