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5EFEC544-26BB-486A-A63D-C96E8A465CE3}" xr6:coauthVersionLast="45" xr6:coauthVersionMax="45" xr10:uidLastSave="{00000000-0000-0000-0000-000000000000}"/>
  <bookViews>
    <workbookView xWindow="-108" yWindow="-108" windowWidth="23256" windowHeight="14976" activeTab="2" xr2:uid="{00000000-000D-0000-FFFF-FFFF00000000}"/>
  </bookViews>
  <sheets>
    <sheet name="资金" sheetId="1" r:id="rId1"/>
    <sheet name="Sheet2 (5)" sheetId="2" r:id="rId2"/>
    <sheet name="daily" sheetId="3" r:id="rId3"/>
    <sheet name="weekly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2" i="1" l="1"/>
  <c r="V13" i="1"/>
  <c r="V14" i="1"/>
  <c r="V15" i="1"/>
  <c r="V17" i="1"/>
  <c r="V18" i="1"/>
  <c r="V19" i="1"/>
  <c r="V21" i="1"/>
  <c r="V25" i="1"/>
  <c r="V27" i="1"/>
  <c r="V28" i="1"/>
  <c r="V29" i="1"/>
  <c r="V30" i="1"/>
  <c r="V31" i="1"/>
  <c r="V33" i="1"/>
  <c r="V34" i="1"/>
  <c r="V35" i="1"/>
  <c r="V9" i="1"/>
  <c r="S6" i="1"/>
  <c r="S12" i="1"/>
  <c r="S13" i="1"/>
  <c r="S14" i="1"/>
  <c r="S15" i="1"/>
  <c r="S17" i="1"/>
  <c r="S18" i="1"/>
  <c r="S19" i="1"/>
  <c r="S21" i="1"/>
  <c r="S25" i="1"/>
  <c r="S26" i="1"/>
  <c r="S27" i="1"/>
  <c r="S28" i="1"/>
  <c r="S29" i="1"/>
  <c r="S30" i="1"/>
  <c r="S31" i="1"/>
  <c r="S33" i="1"/>
  <c r="S34" i="1"/>
  <c r="S35" i="1"/>
  <c r="S9" i="1"/>
  <c r="CU35" i="2"/>
  <c r="V36" i="1" s="1"/>
  <c r="CV7" i="2"/>
  <c r="CU15" i="2"/>
  <c r="CU9" i="2"/>
  <c r="S10" i="1" s="1"/>
  <c r="CU21" i="2"/>
  <c r="CV22" i="2"/>
  <c r="S36" i="1" l="1"/>
  <c r="CU22" i="2"/>
  <c r="CU7" i="2"/>
  <c r="CT15" i="2"/>
  <c r="CT7" i="2" s="1"/>
  <c r="CS21" i="2"/>
  <c r="CT22" i="2"/>
  <c r="CS15" i="2"/>
  <c r="CS10" i="2"/>
  <c r="V11" i="1" l="1"/>
  <c r="S11" i="1"/>
  <c r="CS22" i="2"/>
  <c r="CS7" i="2"/>
  <c r="CR15" i="2"/>
  <c r="CQ21" i="2" l="1"/>
  <c r="CR7" i="2"/>
  <c r="CQ23" i="2"/>
  <c r="S24" i="1" s="1"/>
  <c r="CQ15" i="2"/>
  <c r="CQ19" i="2"/>
  <c r="CQ31" i="2"/>
  <c r="CR22" i="2"/>
  <c r="S32" i="1" l="1"/>
  <c r="V32" i="1"/>
  <c r="V20" i="1"/>
  <c r="S20" i="1"/>
  <c r="CQ7" i="2"/>
  <c r="CP15" i="2"/>
  <c r="S16" i="1" s="1"/>
  <c r="CP21" i="2"/>
  <c r="CQ22" i="2"/>
  <c r="CP7" i="2" l="1"/>
  <c r="S22" i="1"/>
  <c r="S8" i="1"/>
  <c r="R25" i="1"/>
  <c r="T25" i="1" s="1"/>
  <c r="R27" i="1"/>
  <c r="T27" i="1" s="1"/>
  <c r="R28" i="1"/>
  <c r="T28" i="1" s="1"/>
  <c r="R29" i="1"/>
  <c r="T29" i="1" s="1"/>
  <c r="R30" i="1"/>
  <c r="T30" i="1" s="1"/>
  <c r="R32" i="1"/>
  <c r="T32" i="1" s="1"/>
  <c r="R33" i="1"/>
  <c r="T33" i="1" s="1"/>
  <c r="R34" i="1"/>
  <c r="T34" i="1" s="1"/>
  <c r="R35" i="1"/>
  <c r="T35" i="1" s="1"/>
  <c r="R11" i="1"/>
  <c r="T11" i="1" s="1"/>
  <c r="R12" i="1"/>
  <c r="T12" i="1" s="1"/>
  <c r="R13" i="1"/>
  <c r="T13" i="1" s="1"/>
  <c r="R14" i="1"/>
  <c r="T14" i="1" s="1"/>
  <c r="R17" i="1"/>
  <c r="T17" i="1" s="1"/>
  <c r="R18" i="1"/>
  <c r="T18" i="1" s="1"/>
  <c r="R19" i="1"/>
  <c r="T19" i="1" s="1"/>
  <c r="R20" i="1"/>
  <c r="T20" i="1" s="1"/>
  <c r="R21" i="1"/>
  <c r="T21" i="1" s="1"/>
  <c r="CO9" i="2"/>
  <c r="V10" i="1" s="1"/>
  <c r="CO15" i="2"/>
  <c r="V16" i="1" s="1"/>
  <c r="CO21" i="2"/>
  <c r="V22" i="1" s="1"/>
  <c r="CO25" i="2"/>
  <c r="V26" i="1" s="1"/>
  <c r="CO23" i="2"/>
  <c r="CP22" i="2"/>
  <c r="S23" i="1" s="1"/>
  <c r="R24" i="1" l="1"/>
  <c r="T24" i="1" s="1"/>
  <c r="V24" i="1"/>
  <c r="S7" i="1"/>
  <c r="S37" i="1" s="1"/>
  <c r="R26" i="1"/>
  <c r="T26" i="1" s="1"/>
  <c r="CO7" i="2"/>
  <c r="CO22" i="2"/>
  <c r="V23" i="1" s="1"/>
  <c r="CN22" i="2"/>
  <c r="CN7" i="2"/>
  <c r="CM9" i="2"/>
  <c r="CM14" i="2"/>
  <c r="CM15" i="2"/>
  <c r="CM21" i="2"/>
  <c r="CM7" i="2" l="1"/>
  <c r="CL21" i="2"/>
  <c r="CL9" i="2"/>
  <c r="CL14" i="2"/>
  <c r="CL15" i="2"/>
  <c r="CM22" i="2"/>
  <c r="CL7" i="2" l="1"/>
  <c r="CK15" i="2"/>
  <c r="CK14" i="2"/>
  <c r="CK8" i="2"/>
  <c r="R9" i="1" s="1"/>
  <c r="T9" i="1" s="1"/>
  <c r="CK9" i="2"/>
  <c r="CK21" i="2"/>
  <c r="CL22" i="2"/>
  <c r="CK35" i="2"/>
  <c r="CK30" i="2"/>
  <c r="R31" i="1" s="1"/>
  <c r="T31" i="1" s="1"/>
  <c r="CK7" i="2" l="1"/>
  <c r="CJ21" i="2"/>
  <c r="R22" i="1" s="1"/>
  <c r="T22" i="1" s="1"/>
  <c r="CJ9" i="2"/>
  <c r="R10" i="1" s="1"/>
  <c r="T10" i="1" s="1"/>
  <c r="CJ14" i="2"/>
  <c r="R15" i="1" s="1"/>
  <c r="T15" i="1" s="1"/>
  <c r="CJ15" i="2"/>
  <c r="R16" i="1" s="1"/>
  <c r="T16" i="1" s="1"/>
  <c r="CJ35" i="2"/>
  <c r="R36" i="1" s="1"/>
  <c r="T36" i="1" s="1"/>
  <c r="R8" i="1" l="1"/>
  <c r="CK22" i="2"/>
  <c r="Q11" i="1" l="1"/>
  <c r="Q12" i="1"/>
  <c r="Q13" i="1"/>
  <c r="Q14" i="1"/>
  <c r="Q17" i="1"/>
  <c r="Q18" i="1"/>
  <c r="Q19" i="1"/>
  <c r="Q21" i="1"/>
  <c r="Q25" i="1"/>
  <c r="Q26" i="1"/>
  <c r="Q27" i="1"/>
  <c r="Q28" i="1"/>
  <c r="Q29" i="1"/>
  <c r="Q30" i="1"/>
  <c r="Q32" i="1"/>
  <c r="Q33" i="1"/>
  <c r="Q34" i="1"/>
  <c r="Q35" i="1"/>
  <c r="CI21" i="2"/>
  <c r="CJ7" i="2"/>
  <c r="CI9" i="2"/>
  <c r="CI14" i="2"/>
  <c r="CI15" i="2"/>
  <c r="CI35" i="2"/>
  <c r="CJ22" i="2" l="1"/>
  <c r="R23" i="1" s="1"/>
  <c r="T23" i="1" s="1"/>
  <c r="CI23" i="2"/>
  <c r="R7" i="1" l="1"/>
  <c r="R37" i="1" s="1"/>
  <c r="CI30" i="2"/>
  <c r="Q31" i="1" l="1"/>
  <c r="CI7" i="2"/>
  <c r="CH15" i="2"/>
  <c r="CH8" i="2"/>
  <c r="CI22" i="2"/>
  <c r="CH22" i="2"/>
  <c r="CG21" i="2"/>
  <c r="CG35" i="2"/>
  <c r="CG9" i="2"/>
  <c r="CG14" i="2"/>
  <c r="CG15" i="2"/>
  <c r="CH7" i="2" l="1"/>
  <c r="CG7" i="2"/>
  <c r="CF9" i="2"/>
  <c r="CF14" i="2"/>
  <c r="CF21" i="2"/>
  <c r="CG22" i="2"/>
  <c r="CF7" i="2" l="1"/>
  <c r="CE9" i="2"/>
  <c r="Q10" i="1" s="1"/>
  <c r="CE14" i="2"/>
  <c r="CE15" i="2"/>
  <c r="CE21" i="2"/>
  <c r="Q22" i="1" s="1"/>
  <c r="CE23" i="2"/>
  <c r="Q24" i="1" s="1"/>
  <c r="CE19" i="2"/>
  <c r="Q20" i="1" s="1"/>
  <c r="CF22" i="2"/>
  <c r="CD35" i="2" l="1"/>
  <c r="Q36" i="1" s="1"/>
  <c r="CE7" i="2"/>
  <c r="CD15" i="2"/>
  <c r="Q16" i="1" s="1"/>
  <c r="CD14" i="2"/>
  <c r="Q15" i="1" s="1"/>
  <c r="CD8" i="2"/>
  <c r="Q9" i="1" s="1"/>
  <c r="CE22" i="2"/>
  <c r="Q8" i="1" l="1"/>
  <c r="P6" i="1"/>
  <c r="P25" i="1"/>
  <c r="P26" i="1"/>
  <c r="P27" i="1"/>
  <c r="P28" i="1"/>
  <c r="P29" i="1"/>
  <c r="P31" i="1"/>
  <c r="P32" i="1"/>
  <c r="P33" i="1"/>
  <c r="P34" i="1"/>
  <c r="P35" i="1"/>
  <c r="P13" i="1"/>
  <c r="P14" i="1"/>
  <c r="P17" i="1"/>
  <c r="P18" i="1"/>
  <c r="P19" i="1"/>
  <c r="P21" i="1"/>
  <c r="CC35" i="2"/>
  <c r="CC23" i="2"/>
  <c r="CC29" i="2"/>
  <c r="CD7" i="2"/>
  <c r="CC21" i="2"/>
  <c r="CC9" i="2"/>
  <c r="CC14" i="2"/>
  <c r="CC15" i="2"/>
  <c r="CC22" i="2" l="1"/>
  <c r="P30" i="1"/>
  <c r="P24" i="1"/>
  <c r="CD22" i="2"/>
  <c r="Q23" i="1" s="1"/>
  <c r="Q7" i="1" l="1"/>
  <c r="Q37" i="1" s="1"/>
  <c r="CC7" i="2"/>
  <c r="CB7" i="2"/>
  <c r="CA35" i="2"/>
  <c r="CA22" i="2" s="1"/>
  <c r="CB22" i="2"/>
  <c r="CA8" i="2"/>
  <c r="CA15" i="2"/>
  <c r="CA21" i="2"/>
  <c r="CA9" i="2"/>
  <c r="CA11" i="2"/>
  <c r="CA19" i="2"/>
  <c r="P12" i="1" l="1"/>
  <c r="CA7" i="2"/>
  <c r="BZ35" i="2"/>
  <c r="BZ14" i="2" l="1"/>
  <c r="BZ15" i="2"/>
  <c r="BZ21" i="2"/>
  <c r="BZ7" i="2" l="1"/>
  <c r="BY10" i="2"/>
  <c r="BY8" i="2"/>
  <c r="BY15" i="2"/>
  <c r="BY9" i="2"/>
  <c r="BY21" i="2"/>
  <c r="BZ22" i="2"/>
  <c r="P11" i="1" l="1"/>
  <c r="BY7" i="2"/>
  <c r="BX8" i="2"/>
  <c r="P9" i="1" s="1"/>
  <c r="BX21" i="2"/>
  <c r="P22" i="1" s="1"/>
  <c r="BX15" i="2"/>
  <c r="P16" i="1" s="1"/>
  <c r="BX14" i="2"/>
  <c r="P15" i="1" s="1"/>
  <c r="BX9" i="2"/>
  <c r="BX19" i="2"/>
  <c r="BY22" i="2"/>
  <c r="BX35" i="2"/>
  <c r="P36" i="1" s="1"/>
  <c r="P10" i="1" l="1"/>
  <c r="P20" i="1"/>
  <c r="O24" i="1"/>
  <c r="O25" i="1"/>
  <c r="O27" i="1"/>
  <c r="O28" i="1"/>
  <c r="O29" i="1"/>
  <c r="O30" i="1"/>
  <c r="O31" i="1"/>
  <c r="O32" i="1"/>
  <c r="O33" i="1"/>
  <c r="O34" i="1"/>
  <c r="O35" i="1"/>
  <c r="O10" i="1"/>
  <c r="O11" i="1"/>
  <c r="O12" i="1"/>
  <c r="O13" i="1"/>
  <c r="O14" i="1"/>
  <c r="O18" i="1"/>
  <c r="O19" i="1"/>
  <c r="O20" i="1"/>
  <c r="O21" i="1"/>
  <c r="BW35" i="2"/>
  <c r="BW22" i="2" s="1"/>
  <c r="BX7" i="2"/>
  <c r="BW15" i="2"/>
  <c r="BW21" i="2"/>
  <c r="BX22" i="2"/>
  <c r="P23" i="1" s="1"/>
  <c r="P8" i="1" l="1"/>
  <c r="P7" i="1" s="1"/>
  <c r="P37" i="1" s="1"/>
  <c r="BW7" i="2"/>
  <c r="BV7" i="2"/>
  <c r="BU21" i="2"/>
  <c r="BU15" i="2"/>
  <c r="BU8" i="2"/>
  <c r="BV22" i="2"/>
  <c r="BU35" i="2"/>
  <c r="O9" i="1" l="1"/>
  <c r="BU7" i="2"/>
  <c r="BT16" i="2"/>
  <c r="BT14" i="2"/>
  <c r="BT15" i="2"/>
  <c r="BT21" i="2"/>
  <c r="BU22" i="2"/>
  <c r="O17" i="1" l="1"/>
  <c r="BT7" i="2"/>
  <c r="BS14" i="2"/>
  <c r="BS15" i="2"/>
  <c r="BS21" i="2"/>
  <c r="BT22" i="2"/>
  <c r="O15" i="1" l="1"/>
  <c r="BS7" i="2"/>
  <c r="BR21" i="2"/>
  <c r="BR15" i="2"/>
  <c r="BS22" i="2"/>
  <c r="BR25" i="2"/>
  <c r="BR35" i="2"/>
  <c r="O16" i="1" l="1"/>
  <c r="O26" i="1"/>
  <c r="BR22" i="2"/>
  <c r="O23" i="1" s="1"/>
  <c r="O36" i="1"/>
  <c r="O22" i="1"/>
  <c r="N10" i="1"/>
  <c r="N12" i="1"/>
  <c r="N13" i="1"/>
  <c r="N14" i="1"/>
  <c r="N17" i="1"/>
  <c r="N18" i="1"/>
  <c r="N19" i="1"/>
  <c r="N20" i="1"/>
  <c r="N21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BR7" i="2"/>
  <c r="BQ7" i="2"/>
  <c r="BP15" i="2"/>
  <c r="BP14" i="2"/>
  <c r="BP21" i="2"/>
  <c r="BQ22" i="2"/>
  <c r="O8" i="1" l="1"/>
  <c r="O7" i="1" s="1"/>
  <c r="O37" i="1" s="1"/>
  <c r="BP7" i="2"/>
  <c r="BO8" i="2"/>
  <c r="N9" i="1" s="1"/>
  <c r="BO21" i="2"/>
  <c r="BO14" i="2" l="1"/>
  <c r="BP22" i="2"/>
  <c r="BN14" i="2" l="1"/>
  <c r="N15" i="1" s="1"/>
  <c r="BN10" i="2"/>
  <c r="N11" i="1" s="1"/>
  <c r="BO7" i="2" l="1"/>
  <c r="BN15" i="2"/>
  <c r="N16" i="1" s="1"/>
  <c r="BN21" i="2"/>
  <c r="N22" i="1" s="1"/>
  <c r="BO22" i="2"/>
  <c r="N8" i="1" l="1"/>
  <c r="M6" i="1"/>
  <c r="M24" i="1"/>
  <c r="M25" i="1"/>
  <c r="M27" i="1"/>
  <c r="M28" i="1"/>
  <c r="M29" i="1"/>
  <c r="M30" i="1"/>
  <c r="M32" i="1"/>
  <c r="M33" i="1"/>
  <c r="M34" i="1"/>
  <c r="M35" i="1"/>
  <c r="M11" i="1"/>
  <c r="M12" i="1"/>
  <c r="M13" i="1"/>
  <c r="M14" i="1"/>
  <c r="M17" i="1"/>
  <c r="M18" i="1"/>
  <c r="M19" i="1"/>
  <c r="M20" i="1"/>
  <c r="M21" i="1"/>
  <c r="BE21" i="2"/>
  <c r="BE7" i="2" s="1"/>
  <c r="BE22" i="2"/>
  <c r="BM35" i="2"/>
  <c r="BN7" i="2"/>
  <c r="BM15" i="2"/>
  <c r="BM21" i="2"/>
  <c r="BM14" i="2"/>
  <c r="BN22" i="2"/>
  <c r="N23" i="1" s="1"/>
  <c r="BM30" i="2"/>
  <c r="N7" i="1" l="1"/>
  <c r="M31" i="1"/>
  <c r="BM7" i="2"/>
  <c r="BL15" i="2"/>
  <c r="BL21" i="2"/>
  <c r="BM22" i="2"/>
  <c r="BL22" i="2"/>
  <c r="BL7" i="2" l="1"/>
  <c r="BK22" i="2"/>
  <c r="BJ21" i="2"/>
  <c r="BJ14" i="2"/>
  <c r="BJ15" i="2"/>
  <c r="BJ22" i="2" l="1"/>
  <c r="BJ7" i="2"/>
  <c r="BI21" i="2"/>
  <c r="BI14" i="2"/>
  <c r="BI15" i="2"/>
  <c r="BI25" i="2"/>
  <c r="M26" i="1" s="1"/>
  <c r="BH35" i="2" l="1"/>
  <c r="M36" i="1" s="1"/>
  <c r="BI7" i="2"/>
  <c r="BH9" i="2"/>
  <c r="M10" i="1" s="1"/>
  <c r="BH21" i="2"/>
  <c r="BH14" i="2"/>
  <c r="BH15" i="2"/>
  <c r="BH8" i="2"/>
  <c r="M9" i="1" s="1"/>
  <c r="BI22" i="2"/>
  <c r="BH22" i="2"/>
  <c r="BH7" i="2" l="1"/>
  <c r="BG21" i="2"/>
  <c r="M22" i="1" s="1"/>
  <c r="BG14" i="2"/>
  <c r="M15" i="1" s="1"/>
  <c r="BG15" i="2"/>
  <c r="M16" i="1" s="1"/>
  <c r="BG22" i="2"/>
  <c r="M23" i="1" s="1"/>
  <c r="M8" i="1" l="1"/>
  <c r="M7" i="1" s="1"/>
  <c r="M37" i="1" s="1"/>
  <c r="N6" i="1" s="1"/>
  <c r="N37" i="1" s="1"/>
  <c r="T8" i="1"/>
  <c r="L25" i="1"/>
  <c r="L27" i="1"/>
  <c r="L28" i="1"/>
  <c r="L29" i="1"/>
  <c r="L30" i="1"/>
  <c r="L31" i="1"/>
  <c r="L32" i="1"/>
  <c r="L33" i="1"/>
  <c r="L34" i="1"/>
  <c r="L35" i="1"/>
  <c r="L13" i="1"/>
  <c r="L14" i="1"/>
  <c r="L17" i="1"/>
  <c r="L18" i="1"/>
  <c r="L19" i="1"/>
  <c r="L21" i="1"/>
  <c r="BF21" i="2"/>
  <c r="BG7" i="2"/>
  <c r="BF8" i="2"/>
  <c r="BF14" i="2"/>
  <c r="BF15" i="2"/>
  <c r="BF19" i="2"/>
  <c r="BF22" i="2"/>
  <c r="BF7" i="2" l="1"/>
  <c r="BD35" i="2" l="1"/>
  <c r="BD10" i="2"/>
  <c r="BD8" i="2"/>
  <c r="BD21" i="2"/>
  <c r="BD14" i="2"/>
  <c r="BD15" i="2"/>
  <c r="L11" i="1" l="1"/>
  <c r="BD7" i="2"/>
  <c r="BC14" i="2"/>
  <c r="L15" i="1" s="1"/>
  <c r="BC9" i="2"/>
  <c r="L10" i="1" s="1"/>
  <c r="BB35" i="2" l="1"/>
  <c r="L36" i="1" s="1"/>
  <c r="BC7" i="2"/>
  <c r="BB21" i="2"/>
  <c r="BB8" i="2"/>
  <c r="L9" i="1" s="1"/>
  <c r="BB15" i="2"/>
  <c r="BB11" i="2"/>
  <c r="L12" i="1" s="1"/>
  <c r="BB19" i="2"/>
  <c r="L20" i="1" s="1"/>
  <c r="BC22" i="2"/>
  <c r="BB25" i="2"/>
  <c r="L26" i="1" s="1"/>
  <c r="BB7" i="2" l="1"/>
  <c r="BA21" i="2"/>
  <c r="L22" i="1" s="1"/>
  <c r="BA15" i="2"/>
  <c r="L16" i="1" s="1"/>
  <c r="L8" i="1" l="1"/>
  <c r="BA23" i="2"/>
  <c r="L24" i="1" s="1"/>
  <c r="BB22" i="2"/>
  <c r="K25" i="1" l="1"/>
  <c r="K26" i="1"/>
  <c r="K27" i="1"/>
  <c r="K28" i="1"/>
  <c r="K29" i="1"/>
  <c r="K30" i="1"/>
  <c r="K31" i="1"/>
  <c r="K32" i="1"/>
  <c r="K33" i="1"/>
  <c r="K34" i="1"/>
  <c r="K35" i="1"/>
  <c r="K11" i="1"/>
  <c r="K12" i="1"/>
  <c r="K13" i="1"/>
  <c r="K14" i="1"/>
  <c r="K17" i="1"/>
  <c r="K18" i="1"/>
  <c r="K19" i="1"/>
  <c r="K21" i="1"/>
  <c r="AY22" i="2"/>
  <c r="AZ35" i="2"/>
  <c r="K36" i="1" s="1"/>
  <c r="BA22" i="2"/>
  <c r="BA7" i="2"/>
  <c r="AZ8" i="2"/>
  <c r="AZ14" i="2"/>
  <c r="AZ15" i="2"/>
  <c r="AZ21" i="2"/>
  <c r="AZ7" i="2" l="1"/>
  <c r="AZ22" i="2"/>
  <c r="AY7" i="2"/>
  <c r="AX15" i="2"/>
  <c r="AX21" i="2"/>
  <c r="AX9" i="2"/>
  <c r="AX14" i="2"/>
  <c r="AX8" i="2"/>
  <c r="AX7" i="2" l="1"/>
  <c r="AW21" i="2"/>
  <c r="AW14" i="2"/>
  <c r="AW15" i="2"/>
  <c r="AW8" i="2"/>
  <c r="AX22" i="2"/>
  <c r="K15" i="1" l="1"/>
  <c r="AW22" i="2"/>
  <c r="AW7" i="2" l="1"/>
  <c r="AV21" i="2"/>
  <c r="AV8" i="2"/>
  <c r="AV9" i="2"/>
  <c r="AV15" i="2"/>
  <c r="K9" i="1" l="1"/>
  <c r="J9" i="1"/>
  <c r="J27" i="1"/>
  <c r="AV7" i="2" l="1"/>
  <c r="AV22" i="2"/>
  <c r="AU23" i="2"/>
  <c r="K24" i="1" s="1"/>
  <c r="AU21" i="2"/>
  <c r="K22" i="1" s="1"/>
  <c r="AU9" i="2"/>
  <c r="K10" i="1" s="1"/>
  <c r="AU15" i="2"/>
  <c r="K16" i="1" s="1"/>
  <c r="AU19" i="2"/>
  <c r="K20" i="1" l="1"/>
  <c r="K8" i="1" s="1"/>
  <c r="J11" i="1"/>
  <c r="J13" i="1"/>
  <c r="J14" i="1"/>
  <c r="J15" i="1"/>
  <c r="J17" i="1"/>
  <c r="J18" i="1"/>
  <c r="J19" i="1"/>
  <c r="J20" i="1"/>
  <c r="J21" i="1"/>
  <c r="J28" i="1"/>
  <c r="J29" i="1"/>
  <c r="J30" i="1"/>
  <c r="J31" i="1"/>
  <c r="J34" i="1"/>
  <c r="J35" i="1"/>
  <c r="AU22" i="2" l="1"/>
  <c r="K23" i="1" s="1"/>
  <c r="K7" i="1" s="1"/>
  <c r="K37" i="1" s="1"/>
  <c r="AU7" i="2"/>
  <c r="AT7" i="2"/>
  <c r="AT22" i="2"/>
  <c r="AS21" i="2"/>
  <c r="AS9" i="2"/>
  <c r="AS15" i="2"/>
  <c r="AS11" i="2"/>
  <c r="J12" i="1" l="1"/>
  <c r="AS7" i="2"/>
  <c r="AS22" i="2"/>
  <c r="AR9" i="2"/>
  <c r="AR15" i="2"/>
  <c r="AR21" i="2"/>
  <c r="AR35" i="2"/>
  <c r="AR23" i="2"/>
  <c r="AR25" i="2"/>
  <c r="AR22" i="2" l="1"/>
  <c r="AO23" i="2"/>
  <c r="AO30" i="2"/>
  <c r="AM30" i="2"/>
  <c r="AM23" i="2"/>
  <c r="AL23" i="2"/>
  <c r="AK23" i="2"/>
  <c r="AI23" i="2"/>
  <c r="AF30" i="2"/>
  <c r="AE23" i="2"/>
  <c r="AC23" i="2"/>
  <c r="AB23" i="2"/>
  <c r="Y23" i="2"/>
  <c r="V23" i="2"/>
  <c r="U23" i="2"/>
  <c r="R23" i="2"/>
  <c r="Q30" i="2"/>
  <c r="O30" i="2"/>
  <c r="P23" i="2"/>
  <c r="N23" i="2"/>
  <c r="J23" i="2"/>
  <c r="I23" i="2"/>
  <c r="AR7" i="2" l="1"/>
  <c r="AQ35" i="2"/>
  <c r="AQ21" i="2"/>
  <c r="AQ9" i="2"/>
  <c r="AQ15" i="2"/>
  <c r="AQ25" i="2"/>
  <c r="AQ22" i="2" l="1"/>
  <c r="J26" i="1"/>
  <c r="V8" i="1"/>
  <c r="J16" i="1"/>
  <c r="AQ7" i="2"/>
  <c r="AP21" i="2"/>
  <c r="J22" i="1" s="1"/>
  <c r="AP9" i="2"/>
  <c r="V7" i="1" l="1"/>
  <c r="V37" i="1" s="1"/>
  <c r="AP7" i="2"/>
  <c r="J10" i="1"/>
  <c r="AP23" i="2"/>
  <c r="J24" i="1" s="1"/>
  <c r="AP35" i="2"/>
  <c r="J36" i="1" s="1"/>
  <c r="J8" i="1" l="1"/>
  <c r="AP22" i="2"/>
  <c r="J23" i="1" s="1"/>
  <c r="I11" i="1"/>
  <c r="I13" i="1"/>
  <c r="I14" i="1"/>
  <c r="I15" i="1"/>
  <c r="I17" i="1"/>
  <c r="I18" i="1"/>
  <c r="I19" i="1"/>
  <c r="I20" i="1"/>
  <c r="I21" i="1"/>
  <c r="J7" i="1" l="1"/>
  <c r="J37" i="1" s="1"/>
  <c r="I35" i="1"/>
  <c r="I32" i="1"/>
  <c r="I31" i="1"/>
  <c r="I30" i="1"/>
  <c r="I29" i="1"/>
  <c r="I28" i="1"/>
  <c r="I27" i="1"/>
  <c r="I26" i="1"/>
  <c r="H27" i="1"/>
  <c r="H28" i="1"/>
  <c r="U28" i="1"/>
  <c r="H29" i="1"/>
  <c r="U29" i="1"/>
  <c r="H30" i="1"/>
  <c r="U30" i="1"/>
  <c r="H32" i="1"/>
  <c r="H34" i="1"/>
  <c r="H35" i="1"/>
  <c r="AO22" i="2" l="1"/>
  <c r="AO21" i="2"/>
  <c r="AO15" i="2"/>
  <c r="AO11" i="2"/>
  <c r="AO9" i="2"/>
  <c r="AN21" i="2"/>
  <c r="AN7" i="2" s="1"/>
  <c r="AM21" i="2"/>
  <c r="AM15" i="2"/>
  <c r="AM9" i="2"/>
  <c r="AM8" i="2"/>
  <c r="AL35" i="2"/>
  <c r="AL33" i="2"/>
  <c r="AL32" i="2"/>
  <c r="I33" i="1" s="1"/>
  <c r="AL24" i="2"/>
  <c r="AL21" i="2"/>
  <c r="AL15" i="2"/>
  <c r="AL9" i="2"/>
  <c r="AK35" i="2"/>
  <c r="AK22" i="2" s="1"/>
  <c r="AM22" i="2"/>
  <c r="AN22" i="2"/>
  <c r="AK21" i="2"/>
  <c r="AK15" i="2"/>
  <c r="AK11" i="2"/>
  <c r="AK9" i="2"/>
  <c r="AJ35" i="2"/>
  <c r="AJ24" i="2"/>
  <c r="AJ23" i="2"/>
  <c r="AJ21" i="2"/>
  <c r="AJ15" i="2"/>
  <c r="AJ9" i="2"/>
  <c r="I12" i="1" l="1"/>
  <c r="AL22" i="2"/>
  <c r="AL7" i="2"/>
  <c r="I36" i="1"/>
  <c r="I24" i="1"/>
  <c r="I10" i="1"/>
  <c r="I25" i="1"/>
  <c r="I16" i="1"/>
  <c r="AK7" i="2"/>
  <c r="AM7" i="2"/>
  <c r="I9" i="1"/>
  <c r="I22" i="1"/>
  <c r="I34" i="1"/>
  <c r="AO7" i="2"/>
  <c r="AI35" i="2"/>
  <c r="AF35" i="2"/>
  <c r="AE35" i="2"/>
  <c r="AD35" i="2"/>
  <c r="AC35" i="2"/>
  <c r="AB35" i="2"/>
  <c r="AB22" i="2" s="1"/>
  <c r="X35" i="2"/>
  <c r="X22" i="2" s="1"/>
  <c r="U35" i="2"/>
  <c r="R35" i="2"/>
  <c r="Q35" i="2"/>
  <c r="P35" i="2"/>
  <c r="O35" i="2"/>
  <c r="N35" i="2"/>
  <c r="K35" i="2"/>
  <c r="J35" i="2"/>
  <c r="I35" i="2"/>
  <c r="H35" i="2"/>
  <c r="F35" i="2"/>
  <c r="G35" i="2" s="1"/>
  <c r="AE32" i="2"/>
  <c r="Y30" i="2"/>
  <c r="U30" i="2"/>
  <c r="AE30" i="2"/>
  <c r="Q28" i="2"/>
  <c r="P28" i="2"/>
  <c r="F28" i="2"/>
  <c r="G28" i="2" s="1"/>
  <c r="F27" i="2"/>
  <c r="G26" i="2"/>
  <c r="AI25" i="2"/>
  <c r="H26" i="1" s="1"/>
  <c r="U25" i="2"/>
  <c r="Q25" i="2"/>
  <c r="P25" i="2"/>
  <c r="O25" i="2"/>
  <c r="N25" i="2"/>
  <c r="G25" i="2"/>
  <c r="AF24" i="2"/>
  <c r="AE24" i="2"/>
  <c r="AD24" i="2"/>
  <c r="Y24" i="2"/>
  <c r="W24" i="2"/>
  <c r="U24" i="2"/>
  <c r="R24" i="2"/>
  <c r="P24" i="2"/>
  <c r="O24" i="2"/>
  <c r="H24" i="2"/>
  <c r="F24" i="2"/>
  <c r="G24" i="2" s="1"/>
  <c r="AF23" i="2"/>
  <c r="W23" i="2"/>
  <c r="Q23" i="2"/>
  <c r="O23" i="2"/>
  <c r="K23" i="2"/>
  <c r="H23" i="2"/>
  <c r="F23" i="2"/>
  <c r="G23" i="2" s="1"/>
  <c r="AJ22" i="2"/>
  <c r="AH22" i="2"/>
  <c r="AG22" i="2"/>
  <c r="AA22" i="2"/>
  <c r="Z22" i="2"/>
  <c r="V22" i="2"/>
  <c r="T22" i="2"/>
  <c r="S22" i="2"/>
  <c r="M22" i="2"/>
  <c r="L22" i="2"/>
  <c r="E22" i="2"/>
  <c r="AI21" i="2"/>
  <c r="AG21" i="2"/>
  <c r="AG7" i="2" s="1"/>
  <c r="AF21" i="2"/>
  <c r="AE21" i="2"/>
  <c r="AD21" i="2"/>
  <c r="AC21" i="2"/>
  <c r="AB21" i="2"/>
  <c r="Y21" i="2"/>
  <c r="X21" i="2"/>
  <c r="W21" i="2"/>
  <c r="V21" i="2"/>
  <c r="U21" i="2"/>
  <c r="R21" i="2"/>
  <c r="Q21" i="2"/>
  <c r="P21" i="2"/>
  <c r="O21" i="2"/>
  <c r="N21" i="2"/>
  <c r="M21" i="2"/>
  <c r="M7" i="2" s="1"/>
  <c r="K21" i="2"/>
  <c r="J21" i="2"/>
  <c r="I21" i="2"/>
  <c r="H21" i="2"/>
  <c r="AF19" i="2"/>
  <c r="H20" i="1" s="1"/>
  <c r="R19" i="2"/>
  <c r="N19" i="2"/>
  <c r="G18" i="2"/>
  <c r="G17" i="2"/>
  <c r="G16" i="2"/>
  <c r="AI15" i="2"/>
  <c r="AF15" i="2"/>
  <c r="AE15" i="2"/>
  <c r="AD15" i="2"/>
  <c r="AC15" i="2"/>
  <c r="AB15" i="2"/>
  <c r="Y15" i="2"/>
  <c r="X15" i="2"/>
  <c r="W15" i="2"/>
  <c r="V15" i="2"/>
  <c r="U15" i="2"/>
  <c r="R15" i="2"/>
  <c r="Q15" i="2"/>
  <c r="O15" i="2"/>
  <c r="N15" i="2"/>
  <c r="K15" i="2"/>
  <c r="J15" i="2"/>
  <c r="I15" i="2"/>
  <c r="H15" i="2"/>
  <c r="Y14" i="2"/>
  <c r="O14" i="2"/>
  <c r="N14" i="2"/>
  <c r="K14" i="2"/>
  <c r="I14" i="2"/>
  <c r="G14" i="2"/>
  <c r="N13" i="2"/>
  <c r="G13" i="2"/>
  <c r="G12" i="2"/>
  <c r="K11" i="2"/>
  <c r="G11" i="2"/>
  <c r="Q10" i="2"/>
  <c r="G10" i="2"/>
  <c r="AF9" i="2"/>
  <c r="AD9" i="2"/>
  <c r="AC9" i="2"/>
  <c r="AB9" i="2"/>
  <c r="Y9" i="2"/>
  <c r="X9" i="2"/>
  <c r="W9" i="2"/>
  <c r="V9" i="2"/>
  <c r="U9" i="2"/>
  <c r="R9" i="2"/>
  <c r="Q9" i="2"/>
  <c r="P9" i="2"/>
  <c r="O9" i="2"/>
  <c r="J9" i="2"/>
  <c r="G9" i="2"/>
  <c r="AE8" i="2"/>
  <c r="AD8" i="2"/>
  <c r="AC8" i="2"/>
  <c r="V8" i="2"/>
  <c r="S8" i="2"/>
  <c r="S7" i="2" s="1"/>
  <c r="R8" i="2"/>
  <c r="Q8" i="2"/>
  <c r="O8" i="2"/>
  <c r="N8" i="2"/>
  <c r="K8" i="2"/>
  <c r="J8" i="2"/>
  <c r="I8" i="2"/>
  <c r="H8" i="2"/>
  <c r="F8" i="2"/>
  <c r="G8" i="2" s="1"/>
  <c r="AJ7" i="2"/>
  <c r="AH7" i="2"/>
  <c r="AA7" i="2"/>
  <c r="Z7" i="2"/>
  <c r="T7" i="2"/>
  <c r="L7" i="2"/>
  <c r="F5" i="2"/>
  <c r="E5" i="2"/>
  <c r="G5" i="2" s="1"/>
  <c r="G36" i="1"/>
  <c r="F36" i="1"/>
  <c r="E36" i="1"/>
  <c r="G35" i="1"/>
  <c r="F35" i="1"/>
  <c r="E35" i="1"/>
  <c r="U35" i="1" s="1"/>
  <c r="G34" i="1"/>
  <c r="F34" i="1"/>
  <c r="E34" i="1"/>
  <c r="G33" i="1"/>
  <c r="F33" i="1"/>
  <c r="E33" i="1"/>
  <c r="U33" i="1" s="1"/>
  <c r="G32" i="1"/>
  <c r="F32" i="1"/>
  <c r="E32" i="1"/>
  <c r="G31" i="1"/>
  <c r="F31" i="1"/>
  <c r="E31" i="1"/>
  <c r="G27" i="1"/>
  <c r="F27" i="1"/>
  <c r="E27" i="1"/>
  <c r="U27" i="1" s="1"/>
  <c r="G26" i="1"/>
  <c r="F26" i="1"/>
  <c r="E26" i="1"/>
  <c r="G25" i="1"/>
  <c r="F25" i="1"/>
  <c r="E25" i="1"/>
  <c r="G24" i="1"/>
  <c r="F24" i="1"/>
  <c r="E24" i="1"/>
  <c r="G22" i="1"/>
  <c r="F22" i="1"/>
  <c r="E22" i="1"/>
  <c r="H21" i="1"/>
  <c r="G21" i="1"/>
  <c r="F21" i="1"/>
  <c r="E21" i="1"/>
  <c r="U21" i="1" s="1"/>
  <c r="G20" i="1"/>
  <c r="F20" i="1"/>
  <c r="E20" i="1"/>
  <c r="U20" i="1" s="1"/>
  <c r="H19" i="1"/>
  <c r="G19" i="1"/>
  <c r="F19" i="1"/>
  <c r="E19" i="1"/>
  <c r="U19" i="1" s="1"/>
  <c r="H18" i="1"/>
  <c r="G18" i="1"/>
  <c r="F18" i="1"/>
  <c r="E18" i="1"/>
  <c r="U18" i="1" s="1"/>
  <c r="H17" i="1"/>
  <c r="G17" i="1"/>
  <c r="F17" i="1"/>
  <c r="E17" i="1"/>
  <c r="U17" i="1" s="1"/>
  <c r="G16" i="1"/>
  <c r="F16" i="1"/>
  <c r="E16" i="1"/>
  <c r="H15" i="1"/>
  <c r="G15" i="1"/>
  <c r="F15" i="1"/>
  <c r="E15" i="1"/>
  <c r="U15" i="1" s="1"/>
  <c r="H14" i="1"/>
  <c r="G14" i="1"/>
  <c r="F14" i="1"/>
  <c r="E14" i="1"/>
  <c r="U14" i="1" s="1"/>
  <c r="H13" i="1"/>
  <c r="G13" i="1"/>
  <c r="F13" i="1"/>
  <c r="E13" i="1"/>
  <c r="U13" i="1" s="1"/>
  <c r="H12" i="1"/>
  <c r="G12" i="1"/>
  <c r="F12" i="1"/>
  <c r="E12" i="1"/>
  <c r="H11" i="1"/>
  <c r="G11" i="1"/>
  <c r="F11" i="1"/>
  <c r="E11" i="1"/>
  <c r="U11" i="1" s="1"/>
  <c r="G10" i="1"/>
  <c r="F10" i="1"/>
  <c r="E10" i="1"/>
  <c r="G9" i="1"/>
  <c r="F9" i="1"/>
  <c r="E9" i="1"/>
  <c r="U22" i="1" l="1"/>
  <c r="U16" i="1"/>
  <c r="U9" i="1"/>
  <c r="U10" i="1"/>
  <c r="U12" i="1"/>
  <c r="K22" i="2"/>
  <c r="AD22" i="2"/>
  <c r="F7" i="2"/>
  <c r="G7" i="2" s="1"/>
  <c r="I7" i="2"/>
  <c r="AE7" i="2"/>
  <c r="V7" i="2"/>
  <c r="J22" i="2"/>
  <c r="H36" i="1"/>
  <c r="O7" i="2"/>
  <c r="W7" i="2"/>
  <c r="H10" i="1"/>
  <c r="H22" i="2"/>
  <c r="N22" i="2"/>
  <c r="R22" i="2"/>
  <c r="H24" i="1"/>
  <c r="U24" i="1" s="1"/>
  <c r="H16" i="1"/>
  <c r="W22" i="2"/>
  <c r="AI22" i="2"/>
  <c r="AD7" i="2"/>
  <c r="H7" i="2"/>
  <c r="U7" i="2"/>
  <c r="P7" i="2"/>
  <c r="O22" i="2"/>
  <c r="AC22" i="2"/>
  <c r="P22" i="2"/>
  <c r="F22" i="2"/>
  <c r="G22" i="2" s="1"/>
  <c r="H33" i="1"/>
  <c r="I22" i="2"/>
  <c r="H9" i="1"/>
  <c r="AC7" i="2"/>
  <c r="J7" i="2"/>
  <c r="X7" i="2"/>
  <c r="AB7" i="2"/>
  <c r="AF7" i="2"/>
  <c r="H25" i="1"/>
  <c r="AE22" i="2"/>
  <c r="H31" i="1"/>
  <c r="U31" i="1" s="1"/>
  <c r="I8" i="1"/>
  <c r="I7" i="1" s="1"/>
  <c r="E36" i="2"/>
  <c r="R7" i="2"/>
  <c r="Y7" i="2"/>
  <c r="K7" i="2"/>
  <c r="N7" i="2"/>
  <c r="AI7" i="2"/>
  <c r="Q22" i="2"/>
  <c r="Y22" i="2"/>
  <c r="AF22" i="2"/>
  <c r="U22" i="2"/>
  <c r="U32" i="1"/>
  <c r="U34" i="1"/>
  <c r="U25" i="1"/>
  <c r="U36" i="1"/>
  <c r="F23" i="1"/>
  <c r="U26" i="1"/>
  <c r="F8" i="1"/>
  <c r="G23" i="1"/>
  <c r="E23" i="1"/>
  <c r="G8" i="1"/>
  <c r="G27" i="2"/>
  <c r="H22" i="1"/>
  <c r="Q7" i="2"/>
  <c r="E8" i="1"/>
  <c r="U8" i="1" l="1"/>
  <c r="G36" i="2"/>
  <c r="H5" i="2" s="1"/>
  <c r="H36" i="2" s="1"/>
  <c r="I5" i="2" s="1"/>
  <c r="I36" i="2" s="1"/>
  <c r="J5" i="2" s="1"/>
  <c r="J36" i="2" s="1"/>
  <c r="K5" i="2" s="1"/>
  <c r="K36" i="2" s="1"/>
  <c r="L5" i="2" s="1"/>
  <c r="L36" i="2" s="1"/>
  <c r="M5" i="2" s="1"/>
  <c r="M36" i="2" s="1"/>
  <c r="N5" i="2" s="1"/>
  <c r="N36" i="2" s="1"/>
  <c r="O5" i="2" s="1"/>
  <c r="O36" i="2" s="1"/>
  <c r="P5" i="2" s="1"/>
  <c r="P36" i="2" s="1"/>
  <c r="Q5" i="2" s="1"/>
  <c r="Q36" i="2" s="1"/>
  <c r="R5" i="2" s="1"/>
  <c r="R36" i="2" s="1"/>
  <c r="S5" i="2" s="1"/>
  <c r="S36" i="2" s="1"/>
  <c r="T5" i="2" s="1"/>
  <c r="T36" i="2" s="1"/>
  <c r="U5" i="2" s="1"/>
  <c r="U36" i="2" s="1"/>
  <c r="V5" i="2" s="1"/>
  <c r="V36" i="2" s="1"/>
  <c r="W5" i="2" s="1"/>
  <c r="W36" i="2" s="1"/>
  <c r="X5" i="2" s="1"/>
  <c r="X36" i="2" s="1"/>
  <c r="Y5" i="2" s="1"/>
  <c r="Y36" i="2" s="1"/>
  <c r="Z5" i="2" s="1"/>
  <c r="Z36" i="2" s="1"/>
  <c r="AA5" i="2" s="1"/>
  <c r="AA36" i="2" s="1"/>
  <c r="AB5" i="2" s="1"/>
  <c r="AB36" i="2" s="1"/>
  <c r="AC5" i="2" s="1"/>
  <c r="AC36" i="2" s="1"/>
  <c r="AD5" i="2" s="1"/>
  <c r="AD36" i="2" s="1"/>
  <c r="AE5" i="2" s="1"/>
  <c r="AE36" i="2" s="1"/>
  <c r="AF5" i="2" s="1"/>
  <c r="AF36" i="2" s="1"/>
  <c r="AG5" i="2" s="1"/>
  <c r="AG36" i="2" s="1"/>
  <c r="AH5" i="2" s="1"/>
  <c r="AH36" i="2" s="1"/>
  <c r="AI5" i="2" s="1"/>
  <c r="AI36" i="2" s="1"/>
  <c r="F7" i="1"/>
  <c r="I37" i="1"/>
  <c r="H23" i="1"/>
  <c r="G7" i="1"/>
  <c r="E7" i="1"/>
  <c r="E37" i="1" s="1"/>
  <c r="F6" i="1" s="1"/>
  <c r="H8" i="1"/>
  <c r="F37" i="1" l="1"/>
  <c r="G6" i="1" s="1"/>
  <c r="H7" i="1"/>
  <c r="AJ5" i="2"/>
  <c r="AJ36" i="2" s="1"/>
  <c r="AK5" i="2" s="1"/>
  <c r="AK36" i="2" s="1"/>
  <c r="AL5" i="2" s="1"/>
  <c r="AL36" i="2" s="1"/>
  <c r="AM5" i="2" s="1"/>
  <c r="AM36" i="2" s="1"/>
  <c r="AN5" i="2" s="1"/>
  <c r="AN36" i="2" s="1"/>
  <c r="AO5" i="2" s="1"/>
  <c r="AO36" i="2" s="1"/>
  <c r="AP5" i="2" s="1"/>
  <c r="AP36" i="2" s="1"/>
  <c r="AQ5" i="2" s="1"/>
  <c r="AQ36" i="2" s="1"/>
  <c r="AR5" i="2" s="1"/>
  <c r="AR36" i="2" s="1"/>
  <c r="AS5" i="2" s="1"/>
  <c r="AS36" i="2" s="1"/>
  <c r="AT5" i="2" s="1"/>
  <c r="AT36" i="2" s="1"/>
  <c r="AU5" i="2" s="1"/>
  <c r="AU36" i="2" s="1"/>
  <c r="AV5" i="2" s="1"/>
  <c r="AV36" i="2" s="1"/>
  <c r="AW5" i="2" s="1"/>
  <c r="AW36" i="2" s="1"/>
  <c r="AX5" i="2" s="1"/>
  <c r="AX36" i="2" s="1"/>
  <c r="AY5" i="2" s="1"/>
  <c r="AY36" i="2" l="1"/>
  <c r="AZ5" i="2" s="1"/>
  <c r="AZ36" i="2" s="1"/>
  <c r="BA5" i="2" s="1"/>
  <c r="BA36" i="2" s="1"/>
  <c r="BB5" i="2" s="1"/>
  <c r="BB36" i="2" s="1"/>
  <c r="BC5" i="2" s="1"/>
  <c r="BC36" i="2" s="1"/>
  <c r="BD5" i="2" s="1"/>
  <c r="G37" i="1"/>
  <c r="H6" i="1" s="1"/>
  <c r="H37" i="1" s="1"/>
  <c r="BD22" i="2"/>
  <c r="L23" i="1" s="1"/>
  <c r="L7" i="1" l="1"/>
  <c r="L37" i="1" s="1"/>
  <c r="U23" i="1"/>
  <c r="BD36" i="2"/>
  <c r="BE5" i="2" l="1"/>
  <c r="BE36" i="2" s="1"/>
  <c r="BF5" i="2" s="1"/>
  <c r="BF36" i="2" s="1"/>
  <c r="BG5" i="2" s="1"/>
  <c r="BG36" i="2" s="1"/>
  <c r="BH5" i="2" s="1"/>
  <c r="BH36" i="2" s="1"/>
  <c r="BI5" i="2" s="1"/>
  <c r="BI36" i="2" s="1"/>
  <c r="BJ5" i="2" s="1"/>
  <c r="BJ36" i="2" s="1"/>
  <c r="BK5" i="2" s="1"/>
  <c r="BK36" i="2" s="1"/>
  <c r="BL5" i="2" s="1"/>
  <c r="BL36" i="2" s="1"/>
  <c r="BM5" i="2" s="1"/>
  <c r="BM36" i="2" s="1"/>
  <c r="BN5" i="2" s="1"/>
  <c r="BN36" i="2" s="1"/>
  <c r="BO5" i="2" s="1"/>
  <c r="BO36" i="2" s="1"/>
  <c r="BP5" i="2" s="1"/>
  <c r="BP36" i="2" s="1"/>
  <c r="BQ5" i="2" s="1"/>
  <c r="BQ36" i="2" s="1"/>
  <c r="BR5" i="2" s="1"/>
  <c r="BR36" i="2" s="1"/>
  <c r="BS5" i="2" s="1"/>
  <c r="BS36" i="2" s="1"/>
  <c r="BT5" i="2" s="1"/>
  <c r="BT36" i="2" s="1"/>
  <c r="BU5" i="2" s="1"/>
  <c r="BU36" i="2" s="1"/>
  <c r="BV5" i="2" s="1"/>
  <c r="BV36" i="2" s="1"/>
  <c r="BW5" i="2" s="1"/>
  <c r="BW36" i="2" s="1"/>
  <c r="BX5" i="2" s="1"/>
  <c r="BX36" i="2" s="1"/>
  <c r="BY5" i="2" s="1"/>
  <c r="BY36" i="2" s="1"/>
  <c r="BZ5" i="2" s="1"/>
  <c r="BZ36" i="2" s="1"/>
  <c r="CA5" i="2" s="1"/>
  <c r="CA36" i="2" s="1"/>
  <c r="CB5" i="2" s="1"/>
  <c r="CB36" i="2" s="1"/>
  <c r="CC5" i="2" s="1"/>
  <c r="CC36" i="2" s="1"/>
  <c r="CD5" i="2" s="1"/>
  <c r="CD36" i="2" s="1"/>
  <c r="CE5" i="2" s="1"/>
  <c r="CE36" i="2" s="1"/>
  <c r="CF5" i="2" s="1"/>
  <c r="CF36" i="2" s="1"/>
  <c r="CG5" i="2" s="1"/>
  <c r="CG36" i="2" s="1"/>
  <c r="CH5" i="2" s="1"/>
  <c r="CH36" i="2" s="1"/>
  <c r="CI5" i="2" s="1"/>
  <c r="CI36" i="2" s="1"/>
  <c r="CJ5" i="2" s="1"/>
  <c r="CJ36" i="2" s="1"/>
  <c r="CK5" i="2" s="1"/>
  <c r="CK36" i="2" s="1"/>
  <c r="CL5" i="2" s="1"/>
  <c r="CL36" i="2" s="1"/>
  <c r="CM5" i="2" s="1"/>
  <c r="CM36" i="2" s="1"/>
  <c r="CN5" i="2" s="1"/>
  <c r="CN36" i="2" s="1"/>
  <c r="CO5" i="2" s="1"/>
  <c r="CO36" i="2" s="1"/>
  <c r="CP5" i="2" s="1"/>
  <c r="CP36" i="2" s="1"/>
  <c r="CQ5" i="2" s="1"/>
  <c r="CQ36" i="2" s="1"/>
  <c r="CR5" i="2" s="1"/>
  <c r="CR36" i="2" s="1"/>
  <c r="CS5" i="2" s="1"/>
  <c r="CS36" i="2" s="1"/>
  <c r="CT5" i="2" s="1"/>
  <c r="CT36" i="2" s="1"/>
  <c r="CU5" i="2" s="1"/>
  <c r="CU36" i="2" s="1"/>
  <c r="CV5" i="2" s="1"/>
</calcChain>
</file>

<file path=xl/sharedStrings.xml><?xml version="1.0" encoding="utf-8"?>
<sst xmlns="http://schemas.openxmlformats.org/spreadsheetml/2006/main" count="317" uniqueCount="256">
  <si>
    <r>
      <rPr>
        <b/>
        <sz val="14"/>
        <color theme="1"/>
        <rFont val="Wingdings"/>
        <charset val="2"/>
      </rPr>
      <t>æ</t>
    </r>
    <r>
      <rPr>
        <b/>
        <sz val="14"/>
        <color theme="1"/>
        <rFont val="微软雅黑"/>
        <family val="2"/>
        <charset val="134"/>
      </rPr>
      <t xml:space="preserve"> JALA集团资金日报表</t>
    </r>
    <phoneticPr fontId="8" type="noConversion"/>
  </si>
  <si>
    <t>2/24-3/2</t>
    <phoneticPr fontId="7" type="noConversion"/>
  </si>
  <si>
    <t>3/3-3/9</t>
    <phoneticPr fontId="7" type="noConversion"/>
  </si>
  <si>
    <t>3/10-3/16</t>
    <phoneticPr fontId="7" type="noConversion"/>
  </si>
  <si>
    <t>3/17-3/23</t>
    <phoneticPr fontId="7" type="noConversion"/>
  </si>
  <si>
    <t>较上周</t>
    <phoneticPr fontId="7" type="noConversion"/>
  </si>
  <si>
    <t>+/-</t>
    <phoneticPr fontId="7" type="noConversion"/>
  </si>
  <si>
    <t>%</t>
    <phoneticPr fontId="7" type="noConversion"/>
  </si>
  <si>
    <t>期初余额</t>
    <phoneticPr fontId="8" type="noConversion"/>
  </si>
  <si>
    <t>/</t>
    <phoneticPr fontId="7" type="noConversion"/>
  </si>
  <si>
    <t>/</t>
    <phoneticPr fontId="7" type="noConversion"/>
  </si>
  <si>
    <t>本期发生额</t>
    <phoneticPr fontId="8" type="noConversion"/>
  </si>
  <si>
    <t>/</t>
    <phoneticPr fontId="7" type="noConversion"/>
  </si>
  <si>
    <t>收款合计：</t>
    <phoneticPr fontId="8" type="noConversion"/>
  </si>
  <si>
    <t>1.</t>
    <phoneticPr fontId="8" type="noConversion"/>
  </si>
  <si>
    <t>自然堂品牌事业部</t>
  </si>
  <si>
    <t>2.</t>
  </si>
  <si>
    <t>春夏品牌事业部</t>
  </si>
  <si>
    <t>3.</t>
  </si>
  <si>
    <t>美素品牌事业部</t>
  </si>
  <si>
    <t>4.</t>
  </si>
  <si>
    <t>植物智慧品牌事业部</t>
  </si>
  <si>
    <t>5.</t>
  </si>
  <si>
    <t>COMO品牌事业部</t>
  </si>
  <si>
    <t>6.</t>
  </si>
  <si>
    <t>珀芙研牌事业部</t>
  </si>
  <si>
    <t>7.</t>
  </si>
  <si>
    <t>货架渠道事业部</t>
  </si>
  <si>
    <t>8.</t>
  </si>
  <si>
    <t>电商渠道事业部</t>
  </si>
  <si>
    <t>9.</t>
  </si>
  <si>
    <t>大客户发展部</t>
  </si>
  <si>
    <t>10.</t>
  </si>
  <si>
    <t>国际事业部</t>
  </si>
  <si>
    <t>11.</t>
  </si>
  <si>
    <t>自营零售事业部</t>
  </si>
  <si>
    <t>12.</t>
  </si>
  <si>
    <t>上子</t>
    <phoneticPr fontId="7" type="noConversion"/>
  </si>
  <si>
    <t>13.</t>
  </si>
  <si>
    <t>北子</t>
    <phoneticPr fontId="7" type="noConversion"/>
  </si>
  <si>
    <t>14.</t>
  </si>
  <si>
    <t>其他款项</t>
  </si>
  <si>
    <t>付款合计：</t>
    <phoneticPr fontId="8" type="noConversion"/>
  </si>
  <si>
    <t>事业部市场费用</t>
    <phoneticPr fontId="8" type="noConversion"/>
  </si>
  <si>
    <t>供应链采购付款额</t>
    <phoneticPr fontId="8" type="noConversion"/>
  </si>
  <si>
    <t>基建开支</t>
    <phoneticPr fontId="8" type="noConversion"/>
  </si>
  <si>
    <t>固定资产采购</t>
    <phoneticPr fontId="8" type="noConversion"/>
  </si>
  <si>
    <t>研发费用</t>
    <phoneticPr fontId="8" type="noConversion"/>
  </si>
  <si>
    <t>期末余额</t>
    <phoneticPr fontId="8" type="noConversion"/>
  </si>
  <si>
    <t>/</t>
    <phoneticPr fontId="7" type="noConversion"/>
  </si>
  <si>
    <t>(单位: 人民币 元)</t>
    <phoneticPr fontId="8" type="noConversion"/>
  </si>
  <si>
    <t>2/1-2/23</t>
    <phoneticPr fontId="8" type="noConversion"/>
  </si>
  <si>
    <t>2/24</t>
  </si>
  <si>
    <t>合计</t>
    <phoneticPr fontId="8" type="noConversion"/>
  </si>
  <si>
    <t>2/25</t>
  </si>
  <si>
    <t>2/26</t>
  </si>
  <si>
    <t>2/27</t>
  </si>
  <si>
    <t>2/28</t>
  </si>
  <si>
    <t>2/29</t>
  </si>
  <si>
    <t>3/1</t>
    <phoneticPr fontId="8" type="noConversion"/>
  </si>
  <si>
    <t>3/2</t>
  </si>
  <si>
    <t>3/3</t>
  </si>
  <si>
    <t>3/4</t>
  </si>
  <si>
    <t>3/5</t>
  </si>
  <si>
    <r>
      <t>3/</t>
    </r>
    <r>
      <rPr>
        <sz val="11"/>
        <color theme="1"/>
        <rFont val="微软雅黑"/>
        <family val="2"/>
        <charset val="134"/>
      </rPr>
      <t>6</t>
    </r>
    <phoneticPr fontId="8" type="noConversion"/>
  </si>
  <si>
    <r>
      <t>3/</t>
    </r>
    <r>
      <rPr>
        <sz val="11"/>
        <color theme="1"/>
        <rFont val="微软雅黑"/>
        <family val="2"/>
        <charset val="134"/>
      </rPr>
      <t>7</t>
    </r>
    <phoneticPr fontId="8" type="noConversion"/>
  </si>
  <si>
    <r>
      <t>3/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等线"/>
        <family val="2"/>
        <charset val="134"/>
        <scheme val="minor"/>
      </rPr>
      <t/>
    </r>
  </si>
  <si>
    <r>
      <t>3/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等线"/>
        <family val="2"/>
        <charset val="134"/>
        <scheme val="minor"/>
      </rPr>
      <t/>
    </r>
  </si>
  <si>
    <r>
      <t>3/1</t>
    </r>
    <r>
      <rPr>
        <sz val="11"/>
        <color theme="1"/>
        <rFont val="微软雅黑"/>
        <family val="2"/>
        <charset val="134"/>
      </rPr>
      <t>0</t>
    </r>
    <phoneticPr fontId="7" type="noConversion"/>
  </si>
  <si>
    <r>
      <t>3/1</t>
    </r>
    <r>
      <rPr>
        <sz val="11"/>
        <color theme="1"/>
        <rFont val="微软雅黑"/>
        <family val="2"/>
        <charset val="134"/>
      </rPr>
      <t>1</t>
    </r>
    <phoneticPr fontId="7" type="noConversion"/>
  </si>
  <si>
    <r>
      <t>3/1</t>
    </r>
    <r>
      <rPr>
        <sz val="11"/>
        <color theme="1"/>
        <rFont val="微软雅黑"/>
        <family val="2"/>
        <charset val="134"/>
      </rPr>
      <t>2</t>
    </r>
    <phoneticPr fontId="8" type="noConversion"/>
  </si>
  <si>
    <r>
      <t>3/13</t>
    </r>
    <r>
      <rPr>
        <sz val="11"/>
        <color theme="1"/>
        <rFont val="微软雅黑"/>
        <family val="2"/>
        <charset val="134"/>
      </rPr>
      <t/>
    </r>
  </si>
  <si>
    <r>
      <t>3/14</t>
    </r>
    <r>
      <rPr>
        <sz val="11"/>
        <color theme="1"/>
        <rFont val="微软雅黑"/>
        <family val="2"/>
        <charset val="134"/>
      </rPr>
      <t/>
    </r>
  </si>
  <si>
    <r>
      <t>3/15</t>
    </r>
    <r>
      <rPr>
        <sz val="11"/>
        <color theme="1"/>
        <rFont val="微软雅黑"/>
        <family val="2"/>
        <charset val="134"/>
      </rPr>
      <t/>
    </r>
  </si>
  <si>
    <r>
      <t>3/16</t>
    </r>
    <r>
      <rPr>
        <sz val="11"/>
        <color theme="1"/>
        <rFont val="微软雅黑"/>
        <family val="2"/>
        <charset val="134"/>
      </rPr>
      <t/>
    </r>
  </si>
  <si>
    <r>
      <t>3/17</t>
    </r>
    <r>
      <rPr>
        <sz val="11"/>
        <color theme="1"/>
        <rFont val="微软雅黑"/>
        <family val="2"/>
        <charset val="134"/>
      </rPr>
      <t/>
    </r>
  </si>
  <si>
    <r>
      <t>3/18</t>
    </r>
    <r>
      <rPr>
        <sz val="11"/>
        <color theme="1"/>
        <rFont val="微软雅黑"/>
        <family val="2"/>
        <charset val="134"/>
      </rPr>
      <t/>
    </r>
  </si>
  <si>
    <r>
      <t>3/19</t>
    </r>
    <r>
      <rPr>
        <sz val="11"/>
        <color theme="1"/>
        <rFont val="微软雅黑"/>
        <family val="2"/>
        <charset val="134"/>
      </rPr>
      <t/>
    </r>
  </si>
  <si>
    <r>
      <t>3/20</t>
    </r>
    <r>
      <rPr>
        <sz val="11"/>
        <color theme="1"/>
        <rFont val="微软雅黑"/>
        <family val="2"/>
        <charset val="134"/>
      </rPr>
      <t/>
    </r>
  </si>
  <si>
    <r>
      <t>3/21</t>
    </r>
    <r>
      <rPr>
        <sz val="11"/>
        <color theme="1"/>
        <rFont val="微软雅黑"/>
        <family val="2"/>
        <charset val="134"/>
      </rPr>
      <t/>
    </r>
  </si>
  <si>
    <r>
      <t>3/22</t>
    </r>
    <r>
      <rPr>
        <sz val="11"/>
        <color theme="1"/>
        <rFont val="微软雅黑"/>
        <family val="2"/>
        <charset val="134"/>
      </rPr>
      <t/>
    </r>
  </si>
  <si>
    <r>
      <t>3/23</t>
    </r>
    <r>
      <rPr>
        <sz val="11"/>
        <color theme="1"/>
        <rFont val="微软雅黑"/>
        <family val="2"/>
        <charset val="134"/>
      </rPr>
      <t/>
    </r>
  </si>
  <si>
    <r>
      <t>3/24</t>
    </r>
    <r>
      <rPr>
        <sz val="11"/>
        <color theme="1"/>
        <rFont val="微软雅黑"/>
        <family val="2"/>
        <charset val="134"/>
      </rPr>
      <t/>
    </r>
  </si>
  <si>
    <r>
      <t>3/25</t>
    </r>
    <r>
      <rPr>
        <sz val="11"/>
        <color theme="1"/>
        <rFont val="微软雅黑"/>
        <family val="2"/>
        <charset val="134"/>
      </rPr>
      <t/>
    </r>
  </si>
  <si>
    <r>
      <t>3/26</t>
    </r>
    <r>
      <rPr>
        <sz val="11"/>
        <color theme="1"/>
        <rFont val="微软雅黑"/>
        <family val="2"/>
        <charset val="134"/>
      </rPr>
      <t/>
    </r>
  </si>
  <si>
    <r>
      <t>3/27</t>
    </r>
    <r>
      <rPr>
        <sz val="11"/>
        <color theme="1"/>
        <rFont val="微软雅黑"/>
        <family val="2"/>
        <charset val="134"/>
      </rPr>
      <t/>
    </r>
  </si>
  <si>
    <t>日初余额</t>
    <phoneticPr fontId="8" type="noConversion"/>
  </si>
  <si>
    <t>本日发生额</t>
    <phoneticPr fontId="8" type="noConversion"/>
  </si>
  <si>
    <t>春夏品牌事业部</t>
    <phoneticPr fontId="8" type="noConversion"/>
  </si>
  <si>
    <t>美素品牌事业部</t>
    <phoneticPr fontId="8" type="noConversion"/>
  </si>
  <si>
    <t>植物智慧品牌事业部</t>
    <phoneticPr fontId="8" type="noConversion"/>
  </si>
  <si>
    <t>COMO品牌事业部</t>
    <phoneticPr fontId="8" type="noConversion"/>
  </si>
  <si>
    <t>珀芙研牌事业部</t>
    <phoneticPr fontId="8" type="noConversion"/>
  </si>
  <si>
    <t>货架渠道事业部</t>
    <phoneticPr fontId="8" type="noConversion"/>
  </si>
  <si>
    <t>电商渠道事业部</t>
    <phoneticPr fontId="8" type="noConversion"/>
  </si>
  <si>
    <t>大客户发展部</t>
    <phoneticPr fontId="8" type="noConversion"/>
  </si>
  <si>
    <t>国际事业部</t>
    <phoneticPr fontId="8" type="noConversion"/>
  </si>
  <si>
    <t>自营零售事业部</t>
    <phoneticPr fontId="8" type="noConversion"/>
  </si>
  <si>
    <t>上分</t>
    <phoneticPr fontId="8" type="noConversion"/>
  </si>
  <si>
    <t>北分</t>
    <phoneticPr fontId="7" type="noConversion"/>
  </si>
  <si>
    <t>其他款项</t>
    <phoneticPr fontId="8" type="noConversion"/>
  </si>
  <si>
    <t>1.</t>
    <phoneticPr fontId="8" type="noConversion"/>
  </si>
  <si>
    <t>事业部渠道费用</t>
    <phoneticPr fontId="8" type="noConversion"/>
  </si>
  <si>
    <t>事业部市场费用</t>
    <phoneticPr fontId="8" type="noConversion"/>
  </si>
  <si>
    <t>供应链采购付款额</t>
    <phoneticPr fontId="8" type="noConversion"/>
  </si>
  <si>
    <t>基建开支</t>
    <phoneticPr fontId="8" type="noConversion"/>
  </si>
  <si>
    <t>固定资产采购</t>
    <phoneticPr fontId="8" type="noConversion"/>
  </si>
  <si>
    <t>研发费用</t>
    <phoneticPr fontId="8" type="noConversion"/>
  </si>
  <si>
    <t>缴纳税费</t>
    <phoneticPr fontId="7" type="noConversion"/>
  </si>
  <si>
    <t>其他费用开支</t>
    <phoneticPr fontId="8" type="noConversion"/>
  </si>
  <si>
    <t>期末余额</t>
    <phoneticPr fontId="8" type="noConversion"/>
  </si>
  <si>
    <t>工厂费用</t>
    <phoneticPr fontId="7" type="noConversion"/>
  </si>
  <si>
    <t>物流费</t>
    <phoneticPr fontId="7" type="noConversion"/>
  </si>
  <si>
    <t>租金</t>
    <phoneticPr fontId="7" type="noConversion"/>
  </si>
  <si>
    <t>3/28-3/29</t>
    <phoneticPr fontId="7" type="noConversion"/>
  </si>
  <si>
    <t>3/30</t>
    <phoneticPr fontId="7" type="noConversion"/>
  </si>
  <si>
    <t>3/24-3/30</t>
    <phoneticPr fontId="7" type="noConversion"/>
  </si>
  <si>
    <t>3/31</t>
    <phoneticPr fontId="7" type="noConversion"/>
  </si>
  <si>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/</t>
    </r>
    <r>
      <rPr>
        <sz val="11"/>
        <color theme="1"/>
        <rFont val="微软雅黑"/>
        <family val="2"/>
        <charset val="134"/>
      </rPr>
      <t>1</t>
    </r>
    <phoneticPr fontId="7" type="noConversion"/>
  </si>
  <si>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/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</si>
  <si>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/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</si>
  <si>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/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</si>
  <si>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/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</si>
  <si>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/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等线"/>
        <family val="2"/>
        <charset val="134"/>
        <scheme val="minor"/>
      </rPr>
      <t/>
    </r>
  </si>
  <si>
    <t>员工报销</t>
    <phoneticPr fontId="7" type="noConversion"/>
  </si>
  <si>
    <t>薪资、公积金、社保</t>
    <phoneticPr fontId="7" type="noConversion"/>
  </si>
  <si>
    <t>4/4-4/6</t>
    <phoneticPr fontId="7" type="noConversion"/>
  </si>
  <si>
    <t>员工报销</t>
    <phoneticPr fontId="7" type="noConversion"/>
  </si>
  <si>
    <r>
      <t>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.</t>
    </r>
    <phoneticPr fontId="7" type="noConversion"/>
  </si>
  <si>
    <r>
      <t>1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.</t>
    </r>
    <phoneticPr fontId="7" type="noConversion"/>
  </si>
  <si>
    <r>
      <t>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.</t>
    </r>
    <phoneticPr fontId="7" type="noConversion"/>
  </si>
  <si>
    <r>
      <t>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.</t>
    </r>
    <phoneticPr fontId="7" type="noConversion"/>
  </si>
  <si>
    <t>3/31-4/6</t>
    <phoneticPr fontId="7" type="noConversion"/>
  </si>
  <si>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/</t>
    </r>
    <r>
      <rPr>
        <sz val="11"/>
        <color theme="1"/>
        <rFont val="微软雅黑"/>
        <family val="2"/>
        <charset val="134"/>
      </rPr>
      <t>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</si>
  <si>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/</t>
    </r>
    <r>
      <rPr>
        <sz val="11"/>
        <color theme="1"/>
        <rFont val="微软雅黑"/>
        <family val="2"/>
        <charset val="134"/>
      </rPr>
      <t>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</si>
  <si>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/</t>
    </r>
    <r>
      <rPr>
        <sz val="11"/>
        <color theme="1"/>
        <rFont val="微软雅黑"/>
        <family val="2"/>
        <charset val="134"/>
      </rPr>
      <t>14</t>
    </r>
    <r>
      <rPr>
        <sz val="11"/>
        <color theme="1"/>
        <rFont val="等线"/>
        <family val="2"/>
        <charset val="134"/>
        <scheme val="minor"/>
      </rPr>
      <t/>
    </r>
  </si>
  <si>
    <t>1.</t>
    <phoneticPr fontId="8" type="noConversion"/>
  </si>
  <si>
    <t>2.</t>
    <phoneticPr fontId="8" type="noConversion"/>
  </si>
  <si>
    <t>3.</t>
    <phoneticPr fontId="8" type="noConversion"/>
  </si>
  <si>
    <t>4.</t>
    <phoneticPr fontId="8" type="noConversion"/>
  </si>
  <si>
    <t>5.</t>
    <phoneticPr fontId="8" type="noConversion"/>
  </si>
  <si>
    <t>6.</t>
    <phoneticPr fontId="8" type="noConversion"/>
  </si>
  <si>
    <t>7.</t>
    <phoneticPr fontId="8" type="noConversion"/>
  </si>
  <si>
    <t>8.</t>
    <phoneticPr fontId="8" type="noConversion"/>
  </si>
  <si>
    <t>9.</t>
    <phoneticPr fontId="8" type="noConversion"/>
  </si>
  <si>
    <t>10.</t>
    <phoneticPr fontId="8" type="noConversion"/>
  </si>
  <si>
    <t>11.</t>
    <phoneticPr fontId="8" type="noConversion"/>
  </si>
  <si>
    <t>12.</t>
    <phoneticPr fontId="8" type="noConversion"/>
  </si>
  <si>
    <t>13.</t>
    <phoneticPr fontId="8" type="noConversion"/>
  </si>
  <si>
    <t>14.</t>
    <phoneticPr fontId="8" type="noConversion"/>
  </si>
  <si>
    <t>4/11-4/12</t>
    <phoneticPr fontId="7" type="noConversion"/>
  </si>
  <si>
    <t>4/7-4/13</t>
    <phoneticPr fontId="7" type="noConversion"/>
  </si>
  <si>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/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</si>
  <si>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/</t>
    </r>
    <r>
      <rPr>
        <sz val="11"/>
        <color theme="1"/>
        <rFont val="微软雅黑"/>
        <family val="2"/>
        <charset val="134"/>
      </rPr>
      <t>16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</si>
  <si>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/</t>
    </r>
    <r>
      <rPr>
        <sz val="11"/>
        <color theme="1"/>
        <rFont val="微软雅黑"/>
        <family val="2"/>
        <charset val="134"/>
      </rPr>
      <t>17</t>
    </r>
    <r>
      <rPr>
        <sz val="11"/>
        <color theme="1"/>
        <rFont val="等线"/>
        <family val="2"/>
        <charset val="134"/>
        <scheme val="minor"/>
      </rPr>
      <t/>
    </r>
  </si>
  <si>
    <t>4/18-4/19</t>
    <phoneticPr fontId="7" type="noConversion"/>
  </si>
  <si>
    <t>4/20</t>
    <phoneticPr fontId="7" type="noConversion"/>
  </si>
  <si>
    <t>4/21</t>
  </si>
  <si>
    <t>4/22</t>
  </si>
  <si>
    <t>4/23</t>
  </si>
  <si>
    <t>4/24</t>
  </si>
  <si>
    <t>4/25</t>
  </si>
  <si>
    <r>
      <rPr>
        <b/>
        <sz val="14"/>
        <color theme="1"/>
        <rFont val="Wingdings"/>
        <charset val="2"/>
      </rPr>
      <t>æ</t>
    </r>
    <r>
      <rPr>
        <b/>
        <sz val="14"/>
        <color theme="1"/>
        <rFont val="微软雅黑"/>
        <family val="2"/>
        <charset val="134"/>
      </rPr>
      <t xml:space="preserve"> JALA集团资金日报明细表</t>
    </r>
    <phoneticPr fontId="8" type="noConversion"/>
  </si>
  <si>
    <t>4/26</t>
  </si>
  <si>
    <t>4/27</t>
  </si>
  <si>
    <t>4/28</t>
  </si>
  <si>
    <t>4/29</t>
  </si>
  <si>
    <t>4/30</t>
  </si>
  <si>
    <t>4/14-4/20</t>
    <phoneticPr fontId="7" type="noConversion"/>
  </si>
  <si>
    <t>4/21-4/27</t>
    <phoneticPr fontId="7" type="noConversion"/>
  </si>
  <si>
    <t>5/1-5/5</t>
    <phoneticPr fontId="7" type="noConversion"/>
  </si>
  <si>
    <t>5/6</t>
    <phoneticPr fontId="7" type="noConversion"/>
  </si>
  <si>
    <t>4/28-5/5</t>
    <phoneticPr fontId="7" type="noConversion"/>
  </si>
  <si>
    <t>5/7</t>
  </si>
  <si>
    <t>5/8</t>
  </si>
  <si>
    <t>5/9</t>
  </si>
  <si>
    <t>5/10</t>
  </si>
  <si>
    <t>5/11</t>
  </si>
  <si>
    <t>5/12</t>
  </si>
  <si>
    <t xml:space="preserve"> </t>
    <phoneticPr fontId="7" type="noConversion"/>
  </si>
  <si>
    <t>5/6-5/11</t>
    <phoneticPr fontId="7" type="noConversion"/>
  </si>
  <si>
    <t>5/13</t>
  </si>
  <si>
    <t>5/14</t>
  </si>
  <si>
    <t>5/15</t>
  </si>
  <si>
    <t>5/18</t>
  </si>
  <si>
    <t>5/16-5/17</t>
    <phoneticPr fontId="7" type="noConversion"/>
  </si>
  <si>
    <t>5/19</t>
  </si>
  <si>
    <t>5/20</t>
  </si>
  <si>
    <t>5/21</t>
  </si>
  <si>
    <t>5/22</t>
  </si>
  <si>
    <t>5/12-5/18</t>
    <phoneticPr fontId="7" type="noConversion"/>
  </si>
  <si>
    <t>5/26</t>
  </si>
  <si>
    <t>5/27</t>
  </si>
  <si>
    <t>5/28</t>
  </si>
  <si>
    <t>5/29</t>
  </si>
  <si>
    <t>5/23-5/24</t>
    <phoneticPr fontId="7" type="noConversion"/>
  </si>
  <si>
    <t>5/25</t>
    <phoneticPr fontId="7" type="noConversion"/>
  </si>
  <si>
    <t>5/19-5/25</t>
    <phoneticPr fontId="7" type="noConversion"/>
  </si>
  <si>
    <t>5/30-5/31</t>
    <phoneticPr fontId="7" type="noConversion"/>
  </si>
  <si>
    <t>6/1</t>
    <phoneticPr fontId="7" type="noConversion"/>
  </si>
  <si>
    <t>6/2</t>
  </si>
  <si>
    <t>6/3</t>
  </si>
  <si>
    <t>6/4</t>
  </si>
  <si>
    <t>5/26-6/1</t>
    <phoneticPr fontId="7" type="noConversion"/>
  </si>
  <si>
    <t>6月累计</t>
    <phoneticPr fontId="8" type="noConversion"/>
  </si>
  <si>
    <t>6/5</t>
  </si>
  <si>
    <t>6/9</t>
  </si>
  <si>
    <t>6/10</t>
  </si>
  <si>
    <t>6/11</t>
  </si>
  <si>
    <t>6/12</t>
  </si>
  <si>
    <t>6/13</t>
  </si>
  <si>
    <t>6/14</t>
  </si>
  <si>
    <t>6/6-6/7</t>
    <phoneticPr fontId="7" type="noConversion"/>
  </si>
  <si>
    <t>6/8</t>
    <phoneticPr fontId="7" type="noConversion"/>
  </si>
  <si>
    <t>6/2-6/8</t>
    <phoneticPr fontId="7" type="noConversion"/>
  </si>
  <si>
    <t>自然堂品牌事业部</t>
    <phoneticPr fontId="8" type="noConversion"/>
  </si>
  <si>
    <t>w</t>
    <phoneticPr fontId="7" type="noConversion"/>
  </si>
  <si>
    <t>序号</t>
    <phoneticPr fontId="7" type="noConversion"/>
  </si>
  <si>
    <t>项目</t>
    <phoneticPr fontId="7" type="noConversion"/>
  </si>
  <si>
    <t>日初余额</t>
    <phoneticPr fontId="7" type="noConversion"/>
  </si>
  <si>
    <t>A</t>
    <phoneticPr fontId="7" type="noConversion"/>
  </si>
  <si>
    <t>本日发生额</t>
  </si>
  <si>
    <t>B</t>
    <phoneticPr fontId="7" type="noConversion"/>
  </si>
  <si>
    <t>C</t>
    <phoneticPr fontId="7" type="noConversion"/>
  </si>
  <si>
    <t>C01</t>
    <phoneticPr fontId="7" type="noConversion"/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</si>
  <si>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</si>
  <si>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</si>
  <si>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</si>
  <si>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</si>
  <si>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</si>
  <si>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</si>
  <si>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</si>
  <si>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</si>
  <si>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</si>
  <si>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</si>
  <si>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</si>
  <si>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</si>
  <si>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</si>
  <si>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D</t>
    <phoneticPr fontId="7" type="noConversion"/>
  </si>
  <si>
    <t>D01</t>
    <phoneticPr fontId="7" type="noConversion"/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</si>
  <si>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</si>
  <si>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</si>
  <si>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</si>
  <si>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</si>
  <si>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</si>
  <si>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</si>
  <si>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</si>
  <si>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</si>
  <si>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</si>
  <si>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</si>
  <si>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</si>
  <si>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</si>
  <si>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E</t>
    <phoneticPr fontId="7" type="noConversion"/>
  </si>
  <si>
    <t>收款合计</t>
    <phoneticPr fontId="7" type="noConversion"/>
  </si>
  <si>
    <t>付款合计</t>
    <phoneticPr fontId="7" type="noConversion"/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</si>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</sst>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 * #,##0_ ;_ * \-#,##0_ ;_ * &quot;-&quot;_ ;_ @_ "/>
    <numFmt numFmtId="43" formatCode="_ * #,##0.00_ ;_ * \-#,##0.00_ ;_ * &quot;-&quot;??_ ;_ @_ "/>
    <numFmt numFmtId="176" formatCode="[$-409]d\-mmm;@"/>
    <numFmt numFmtId="177" formatCode="#,##0_ ;[Red]\-#,##0\ "/>
    <numFmt numFmtId="178" formatCode="yyyy/m/d;@"/>
    <numFmt numFmtId="179" formatCode="###,##0.00"/>
    <numFmt numFmtId="180" formatCode="0.00_);[Red]\(0.00\)"/>
    <numFmt numFmtId="181" formatCode="m/d;@"/>
  </numFmts>
  <fonts count="11" x14ac:knownFonts="1">
    <font>
      <sz val="11"/>
      <color theme="1"/>
      <name val="微软雅黑"/>
      <family val="2"/>
      <charset val="134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2"/>
      <charset val="134"/>
      <scheme val="minor"/>
    </font>
    <font>
      <b/>
      <sz val="14"/>
      <color theme="1"/>
      <name val="微软雅黑"/>
      <family val="2"/>
      <charset val="134"/>
    </font>
    <font>
      <b/>
      <sz val="14"/>
      <color theme="1"/>
      <name val="Wingdings"/>
      <charset val="2"/>
    </font>
    <font>
      <sz val="9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</borders>
  <cellStyleXfs count="3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176" fontId="4" fillId="0" borderId="0">
      <alignment vertical="center"/>
    </xf>
  </cellStyleXfs>
  <cellXfs count="112">
    <xf numFmtId="0" fontId="0" fillId="0" borderId="0" xfId="0">
      <alignment vertical="center"/>
    </xf>
    <xf numFmtId="176" fontId="5" fillId="0" borderId="0" xfId="2" applyFont="1">
      <alignment vertical="center"/>
    </xf>
    <xf numFmtId="176" fontId="2" fillId="0" borderId="0" xfId="2" applyFont="1">
      <alignment vertical="center"/>
    </xf>
    <xf numFmtId="176" fontId="2" fillId="0" borderId="0" xfId="2" applyFont="1" applyAlignment="1">
      <alignment horizontal="right" vertical="center"/>
    </xf>
    <xf numFmtId="176" fontId="2" fillId="0" borderId="0" xfId="2" applyFont="1" applyAlignment="1">
      <alignment horizontal="center" vertical="center"/>
    </xf>
    <xf numFmtId="41" fontId="3" fillId="0" borderId="11" xfId="2" quotePrefix="1" applyNumberFormat="1" applyFont="1" applyFill="1" applyBorder="1" applyAlignment="1">
      <alignment horizontal="right" vertical="center"/>
    </xf>
    <xf numFmtId="177" fontId="3" fillId="0" borderId="11" xfId="2" applyNumberFormat="1" applyFont="1" applyFill="1" applyBorder="1">
      <alignment vertical="center"/>
    </xf>
    <xf numFmtId="176" fontId="3" fillId="0" borderId="0" xfId="2" applyFont="1">
      <alignment vertical="center"/>
    </xf>
    <xf numFmtId="176" fontId="3" fillId="0" borderId="4" xfId="2" applyFont="1" applyBorder="1">
      <alignment vertical="center"/>
    </xf>
    <xf numFmtId="177" fontId="3" fillId="2" borderId="11" xfId="2" applyNumberFormat="1" applyFont="1" applyFill="1" applyBorder="1">
      <alignment vertical="center"/>
    </xf>
    <xf numFmtId="9" fontId="9" fillId="2" borderId="11" xfId="1" applyFont="1" applyFill="1" applyBorder="1">
      <alignment vertical="center"/>
    </xf>
    <xf numFmtId="176" fontId="2" fillId="0" borderId="12" xfId="2" applyFont="1" applyBorder="1">
      <alignment vertical="center"/>
    </xf>
    <xf numFmtId="176" fontId="2" fillId="0" borderId="11" xfId="2" applyFont="1" applyBorder="1">
      <alignment vertical="center"/>
    </xf>
    <xf numFmtId="177" fontId="2" fillId="0" borderId="11" xfId="2" applyNumberFormat="1" applyFont="1" applyFill="1" applyBorder="1">
      <alignment vertical="center"/>
    </xf>
    <xf numFmtId="9" fontId="10" fillId="0" borderId="11" xfId="1" applyFont="1" applyFill="1" applyBorder="1">
      <alignment vertical="center"/>
    </xf>
    <xf numFmtId="176" fontId="0" fillId="0" borderId="11" xfId="2" applyFont="1" applyBorder="1">
      <alignment vertical="center"/>
    </xf>
    <xf numFmtId="176" fontId="2" fillId="0" borderId="10" xfId="2" applyFont="1" applyBorder="1">
      <alignment vertical="center"/>
    </xf>
    <xf numFmtId="176" fontId="3" fillId="0" borderId="12" xfId="2" applyFont="1" applyBorder="1">
      <alignment vertical="center"/>
    </xf>
    <xf numFmtId="177" fontId="3" fillId="2" borderId="11" xfId="2" quotePrefix="1" applyNumberFormat="1" applyFont="1" applyFill="1" applyBorder="1" applyAlignment="1">
      <alignment horizontal="right" vertical="center" indent="1"/>
    </xf>
    <xf numFmtId="0" fontId="2" fillId="0" borderId="0" xfId="2" applyNumberFormat="1" applyFont="1">
      <alignment vertical="center"/>
    </xf>
    <xf numFmtId="176" fontId="2" fillId="0" borderId="5" xfId="2" applyFont="1" applyBorder="1">
      <alignment vertical="center"/>
    </xf>
    <xf numFmtId="176" fontId="2" fillId="0" borderId="13" xfId="2" applyFont="1" applyBorder="1">
      <alignment vertical="center"/>
    </xf>
    <xf numFmtId="176" fontId="2" fillId="0" borderId="6" xfId="2" applyFont="1" applyBorder="1">
      <alignment vertical="center"/>
    </xf>
    <xf numFmtId="176" fontId="2" fillId="4" borderId="11" xfId="2" quotePrefix="1" applyFont="1" applyFill="1" applyBorder="1" applyAlignment="1">
      <alignment horizontal="center" vertical="center"/>
    </xf>
    <xf numFmtId="176" fontId="2" fillId="0" borderId="11" xfId="2" quotePrefix="1" applyFont="1" applyBorder="1" applyAlignment="1">
      <alignment horizontal="center" vertical="center"/>
    </xf>
    <xf numFmtId="176" fontId="0" fillId="4" borderId="11" xfId="2" quotePrefix="1" applyFont="1" applyFill="1" applyBorder="1" applyAlignment="1">
      <alignment horizontal="center" vertical="center"/>
    </xf>
    <xf numFmtId="176" fontId="0" fillId="0" borderId="11" xfId="2" quotePrefix="1" applyFont="1" applyBorder="1" applyAlignment="1">
      <alignment horizontal="center" vertical="center"/>
    </xf>
    <xf numFmtId="43" fontId="2" fillId="3" borderId="11" xfId="2" applyNumberFormat="1" applyFont="1" applyFill="1" applyBorder="1">
      <alignment vertical="center"/>
    </xf>
    <xf numFmtId="43" fontId="2" fillId="0" borderId="11" xfId="2" applyNumberFormat="1" applyFont="1" applyBorder="1">
      <alignment vertical="center"/>
    </xf>
    <xf numFmtId="176" fontId="2" fillId="0" borderId="4" xfId="2" applyFont="1" applyBorder="1">
      <alignment vertical="center"/>
    </xf>
    <xf numFmtId="176" fontId="2" fillId="5" borderId="11" xfId="2" applyFont="1" applyFill="1" applyBorder="1">
      <alignment vertical="center"/>
    </xf>
    <xf numFmtId="43" fontId="2" fillId="5" borderId="11" xfId="2" applyNumberFormat="1" applyFont="1" applyFill="1" applyBorder="1">
      <alignment vertical="center"/>
    </xf>
    <xf numFmtId="43" fontId="2" fillId="6" borderId="11" xfId="2" applyNumberFormat="1" applyFont="1" applyFill="1" applyBorder="1">
      <alignment vertical="center"/>
    </xf>
    <xf numFmtId="43" fontId="2" fillId="7" borderId="11" xfId="2" applyNumberFormat="1" applyFont="1" applyFill="1" applyBorder="1">
      <alignment vertical="center"/>
    </xf>
    <xf numFmtId="43" fontId="2" fillId="0" borderId="5" xfId="2" applyNumberFormat="1" applyFont="1" applyBorder="1">
      <alignment vertical="center"/>
    </xf>
    <xf numFmtId="43" fontId="2" fillId="5" borderId="6" xfId="2" applyNumberFormat="1" applyFont="1" applyFill="1" applyBorder="1">
      <alignment vertical="center"/>
    </xf>
    <xf numFmtId="43" fontId="2" fillId="0" borderId="6" xfId="2" applyNumberFormat="1" applyFont="1" applyBorder="1">
      <alignment vertical="center"/>
    </xf>
    <xf numFmtId="43" fontId="2" fillId="0" borderId="10" xfId="2" applyNumberFormat="1" applyFont="1" applyBorder="1">
      <alignment vertical="center"/>
    </xf>
    <xf numFmtId="43" fontId="2" fillId="0" borderId="11" xfId="2" applyNumberFormat="1" applyFont="1" applyBorder="1" applyAlignment="1">
      <alignment horizontal="right" vertical="center"/>
    </xf>
    <xf numFmtId="0" fontId="0" fillId="0" borderId="0" xfId="0" applyNumberFormat="1" applyFont="1" applyFill="1" applyBorder="1" applyAlignment="1"/>
    <xf numFmtId="4" fontId="2" fillId="0" borderId="11" xfId="2" applyNumberFormat="1" applyFont="1" applyBorder="1">
      <alignment vertical="center"/>
    </xf>
    <xf numFmtId="179" fontId="0" fillId="0" borderId="0" xfId="0" applyNumberFormat="1" applyFont="1" applyFill="1" applyBorder="1" applyAlignment="1"/>
    <xf numFmtId="176" fontId="2" fillId="0" borderId="14" xfId="2" applyFont="1" applyBorder="1">
      <alignment vertical="center"/>
    </xf>
    <xf numFmtId="43" fontId="2" fillId="6" borderId="10" xfId="2" applyNumberFormat="1" applyFont="1" applyFill="1" applyBorder="1">
      <alignment vertical="center"/>
    </xf>
    <xf numFmtId="43" fontId="0" fillId="0" borderId="11" xfId="2" applyNumberFormat="1" applyFont="1" applyBorder="1">
      <alignment vertical="center"/>
    </xf>
    <xf numFmtId="177" fontId="3" fillId="0" borderId="0" xfId="2" applyNumberFormat="1" applyFont="1" applyFill="1" applyBorder="1">
      <alignment vertical="center"/>
    </xf>
    <xf numFmtId="180" fontId="2" fillId="0" borderId="0" xfId="2" applyNumberFormat="1" applyFont="1">
      <alignment vertical="center"/>
    </xf>
    <xf numFmtId="177" fontId="2" fillId="0" borderId="5" xfId="2" applyNumberFormat="1" applyFont="1" applyFill="1" applyBorder="1">
      <alignment vertical="center"/>
    </xf>
    <xf numFmtId="177" fontId="3" fillId="2" borderId="10" xfId="2" applyNumberFormat="1" applyFont="1" applyFill="1" applyBorder="1">
      <alignment vertical="center"/>
    </xf>
    <xf numFmtId="177" fontId="3" fillId="2" borderId="5" xfId="2" applyNumberFormat="1" applyFont="1" applyFill="1" applyBorder="1">
      <alignment vertical="center"/>
    </xf>
    <xf numFmtId="176" fontId="0" fillId="4" borderId="5" xfId="2" quotePrefix="1" applyFont="1" applyFill="1" applyBorder="1" applyAlignment="1">
      <alignment horizontal="center" vertical="center"/>
    </xf>
    <xf numFmtId="43" fontId="2" fillId="6" borderId="5" xfId="2" applyNumberFormat="1" applyFont="1" applyFill="1" applyBorder="1">
      <alignment vertical="center"/>
    </xf>
    <xf numFmtId="43" fontId="2" fillId="5" borderId="5" xfId="2" applyNumberFormat="1" applyFont="1" applyFill="1" applyBorder="1">
      <alignment vertical="center"/>
    </xf>
    <xf numFmtId="43" fontId="2" fillId="0" borderId="14" xfId="2" applyNumberFormat="1" applyFont="1" applyBorder="1">
      <alignment vertical="center"/>
    </xf>
    <xf numFmtId="43" fontId="2" fillId="0" borderId="15" xfId="2" applyNumberFormat="1" applyFont="1" applyBorder="1">
      <alignment vertical="center"/>
    </xf>
    <xf numFmtId="43" fontId="2" fillId="0" borderId="4" xfId="2" applyNumberFormat="1" applyFont="1" applyBorder="1">
      <alignment vertical="center"/>
    </xf>
    <xf numFmtId="177" fontId="3" fillId="0" borderId="1" xfId="2" applyNumberFormat="1" applyFont="1" applyFill="1" applyBorder="1">
      <alignment vertical="center"/>
    </xf>
    <xf numFmtId="177" fontId="3" fillId="2" borderId="16" xfId="2" applyNumberFormat="1" applyFont="1" applyFill="1" applyBorder="1">
      <alignment vertical="center"/>
    </xf>
    <xf numFmtId="180" fontId="2" fillId="0" borderId="16" xfId="2" applyNumberFormat="1" applyFont="1" applyBorder="1">
      <alignment vertical="center"/>
    </xf>
    <xf numFmtId="177" fontId="3" fillId="0" borderId="14" xfId="2" applyNumberFormat="1" applyFont="1" applyFill="1" applyBorder="1">
      <alignment vertical="center"/>
    </xf>
    <xf numFmtId="177" fontId="3" fillId="2" borderId="14" xfId="2" applyNumberFormat="1" applyFont="1" applyFill="1" applyBorder="1">
      <alignment vertical="center"/>
    </xf>
    <xf numFmtId="9" fontId="9" fillId="2" borderId="6" xfId="1" applyFont="1" applyFill="1" applyBorder="1">
      <alignment vertical="center"/>
    </xf>
    <xf numFmtId="177" fontId="2" fillId="2" borderId="14" xfId="2" applyNumberFormat="1" applyFont="1" applyFill="1" applyBorder="1">
      <alignment vertical="center"/>
    </xf>
    <xf numFmtId="43" fontId="2" fillId="0" borderId="17" xfId="2" applyNumberFormat="1" applyFont="1" applyBorder="1">
      <alignment vertical="center"/>
    </xf>
    <xf numFmtId="43" fontId="2" fillId="0" borderId="18" xfId="2" applyNumberFormat="1" applyFont="1" applyBorder="1">
      <alignment vertical="center"/>
    </xf>
    <xf numFmtId="43" fontId="2" fillId="6" borderId="14" xfId="2" applyNumberFormat="1" applyFont="1" applyFill="1" applyBorder="1">
      <alignment vertical="center"/>
    </xf>
    <xf numFmtId="176" fontId="0" fillId="4" borderId="14" xfId="2" quotePrefix="1" applyFont="1" applyFill="1" applyBorder="1" applyAlignment="1">
      <alignment horizontal="center" vertical="center"/>
    </xf>
    <xf numFmtId="177" fontId="3" fillId="0" borderId="17" xfId="2" applyNumberFormat="1" applyFont="1" applyFill="1" applyBorder="1">
      <alignment vertical="center"/>
    </xf>
    <xf numFmtId="180" fontId="2" fillId="0" borderId="17" xfId="2" applyNumberFormat="1" applyFont="1" applyBorder="1">
      <alignment vertical="center"/>
    </xf>
    <xf numFmtId="177" fontId="3" fillId="2" borderId="17" xfId="2" applyNumberFormat="1" applyFont="1" applyFill="1" applyBorder="1">
      <alignment vertical="center"/>
    </xf>
    <xf numFmtId="177" fontId="2" fillId="2" borderId="17" xfId="2" applyNumberFormat="1" applyFont="1" applyFill="1" applyBorder="1">
      <alignment vertical="center"/>
    </xf>
    <xf numFmtId="177" fontId="3" fillId="2" borderId="7" xfId="2" applyNumberFormat="1" applyFont="1" applyFill="1" applyBorder="1">
      <alignment vertical="center"/>
    </xf>
    <xf numFmtId="177" fontId="3" fillId="2" borderId="18" xfId="2" applyNumberFormat="1" applyFont="1" applyFill="1" applyBorder="1">
      <alignment vertical="center"/>
    </xf>
    <xf numFmtId="177" fontId="3" fillId="2" borderId="6" xfId="2" quotePrefix="1" applyNumberFormat="1" applyFont="1" applyFill="1" applyBorder="1" applyAlignment="1">
      <alignment horizontal="right" vertical="center" indent="1"/>
    </xf>
    <xf numFmtId="177" fontId="2" fillId="0" borderId="14" xfId="2" applyNumberFormat="1" applyFont="1" applyBorder="1">
      <alignment vertical="center"/>
    </xf>
    <xf numFmtId="177" fontId="0" fillId="0" borderId="11" xfId="2" applyNumberFormat="1" applyFont="1" applyFill="1" applyBorder="1">
      <alignment vertical="center"/>
    </xf>
    <xf numFmtId="176" fontId="2" fillId="0" borderId="11" xfId="2" quotePrefix="1" applyFont="1" applyBorder="1" applyAlignment="1">
      <alignment horizontal="right" vertical="center" indent="1"/>
    </xf>
    <xf numFmtId="43" fontId="2" fillId="5" borderId="14" xfId="2" applyNumberFormat="1" applyFont="1" applyFill="1" applyBorder="1">
      <alignment vertical="center"/>
    </xf>
    <xf numFmtId="9" fontId="9" fillId="0" borderId="6" xfId="1" quotePrefix="1" applyFont="1" applyFill="1" applyBorder="1" applyAlignment="1">
      <alignment horizontal="right" vertical="center" indent="1"/>
    </xf>
    <xf numFmtId="177" fontId="3" fillId="0" borderId="14" xfId="2" quotePrefix="1" applyNumberFormat="1" applyFont="1" applyFill="1" applyBorder="1" applyAlignment="1">
      <alignment horizontal="right" vertical="center" indent="1"/>
    </xf>
    <xf numFmtId="43" fontId="2" fillId="7" borderId="14" xfId="2" applyNumberFormat="1" applyFont="1" applyFill="1" applyBorder="1">
      <alignment vertical="center"/>
    </xf>
    <xf numFmtId="176" fontId="5" fillId="0" borderId="0" xfId="2" applyFont="1" applyAlignment="1">
      <alignment vertical="center"/>
    </xf>
    <xf numFmtId="178" fontId="3" fillId="3" borderId="0" xfId="2" applyNumberFormat="1" applyFont="1" applyFill="1" applyAlignment="1">
      <alignment vertical="center"/>
    </xf>
    <xf numFmtId="177" fontId="3" fillId="0" borderId="6" xfId="2" quotePrefix="1" applyNumberFormat="1" applyFont="1" applyFill="1" applyBorder="1" applyAlignment="1">
      <alignment horizontal="right" vertical="center" indent="1"/>
    </xf>
    <xf numFmtId="41" fontId="3" fillId="0" borderId="3" xfId="2" quotePrefix="1" applyNumberFormat="1" applyFont="1" applyFill="1" applyBorder="1" applyAlignment="1">
      <alignment horizontal="right" vertical="center"/>
    </xf>
    <xf numFmtId="177" fontId="2" fillId="2" borderId="18" xfId="2" applyNumberFormat="1" applyFont="1" applyFill="1" applyBorder="1">
      <alignment vertical="center"/>
    </xf>
    <xf numFmtId="177" fontId="2" fillId="0" borderId="18" xfId="2" applyNumberFormat="1" applyFont="1" applyBorder="1">
      <alignment vertical="center"/>
    </xf>
    <xf numFmtId="43" fontId="0" fillId="0" borderId="14" xfId="2" applyNumberFormat="1" applyFont="1" applyBorder="1">
      <alignment vertical="center"/>
    </xf>
    <xf numFmtId="0" fontId="0" fillId="0" borderId="20" xfId="0" applyNumberFormat="1" applyBorder="1" applyAlignment="1"/>
    <xf numFmtId="177" fontId="3" fillId="0" borderId="18" xfId="2" applyNumberFormat="1" applyFont="1" applyBorder="1">
      <alignment vertical="center"/>
    </xf>
    <xf numFmtId="181" fontId="0" fillId="0" borderId="0" xfId="0" applyNumberFormat="1">
      <alignment vertical="center"/>
    </xf>
    <xf numFmtId="0" fontId="0" fillId="0" borderId="0" xfId="0" applyNumberFormat="1">
      <alignment vertical="center"/>
    </xf>
    <xf numFmtId="2" fontId="0" fillId="0" borderId="0" xfId="0" applyNumberFormat="1">
      <alignment vertical="center"/>
    </xf>
    <xf numFmtId="41" fontId="3" fillId="0" borderId="14" xfId="2" quotePrefix="1" applyNumberFormat="1" applyFont="1" applyFill="1" applyBorder="1" applyAlignment="1">
      <alignment horizontal="center" vertical="center"/>
    </xf>
    <xf numFmtId="41" fontId="3" fillId="0" borderId="4" xfId="2" quotePrefix="1" applyNumberFormat="1" applyFont="1" applyFill="1" applyBorder="1" applyAlignment="1">
      <alignment horizontal="center" vertical="center"/>
    </xf>
    <xf numFmtId="41" fontId="3" fillId="0" borderId="10" xfId="2" quotePrefix="1" applyNumberFormat="1" applyFont="1" applyFill="1" applyBorder="1" applyAlignment="1">
      <alignment horizontal="center" vertical="center"/>
    </xf>
    <xf numFmtId="176" fontId="2" fillId="0" borderId="1" xfId="2" applyFont="1" applyFill="1" applyBorder="1" applyAlignment="1">
      <alignment horizontal="center" vertical="center"/>
    </xf>
    <xf numFmtId="176" fontId="2" fillId="0" borderId="2" xfId="2" applyFont="1" applyFill="1" applyBorder="1" applyAlignment="1">
      <alignment horizontal="center" vertical="center"/>
    </xf>
    <xf numFmtId="176" fontId="2" fillId="0" borderId="3" xfId="2" applyFont="1" applyFill="1" applyBorder="1" applyAlignment="1">
      <alignment horizontal="center" vertical="center"/>
    </xf>
    <xf numFmtId="176" fontId="2" fillId="0" borderId="7" xfId="2" applyFont="1" applyFill="1" applyBorder="1" applyAlignment="1">
      <alignment horizontal="center" vertical="center"/>
    </xf>
    <xf numFmtId="176" fontId="2" fillId="0" borderId="8" xfId="2" applyFont="1" applyFill="1" applyBorder="1" applyAlignment="1">
      <alignment horizontal="center" vertical="center"/>
    </xf>
    <xf numFmtId="176" fontId="2" fillId="0" borderId="9" xfId="2" applyFont="1" applyFill="1" applyBorder="1" applyAlignment="1">
      <alignment horizontal="center" vertical="center"/>
    </xf>
    <xf numFmtId="41" fontId="3" fillId="0" borderId="13" xfId="2" quotePrefix="1" applyNumberFormat="1" applyFont="1" applyFill="1" applyBorder="1" applyAlignment="1">
      <alignment horizontal="center" vertical="center"/>
    </xf>
    <xf numFmtId="41" fontId="3" fillId="0" borderId="6" xfId="2" quotePrefix="1" applyNumberFormat="1" applyFont="1" applyFill="1" applyBorder="1" applyAlignment="1">
      <alignment horizontal="center" vertical="center"/>
    </xf>
    <xf numFmtId="41" fontId="3" fillId="0" borderId="1" xfId="2" quotePrefix="1" applyNumberFormat="1" applyFont="1" applyFill="1" applyBorder="1" applyAlignment="1">
      <alignment horizontal="center" vertical="center"/>
    </xf>
    <xf numFmtId="41" fontId="3" fillId="0" borderId="19" xfId="2" quotePrefix="1" applyNumberFormat="1" applyFont="1" applyFill="1" applyBorder="1" applyAlignment="1">
      <alignment horizontal="center" vertical="center"/>
    </xf>
    <xf numFmtId="176" fontId="3" fillId="2" borderId="5" xfId="2" applyFont="1" applyFill="1" applyBorder="1" applyAlignment="1">
      <alignment horizontal="left" vertical="center"/>
    </xf>
    <xf numFmtId="176" fontId="3" fillId="2" borderId="13" xfId="2" applyFont="1" applyFill="1" applyBorder="1" applyAlignment="1">
      <alignment horizontal="left" vertical="center"/>
    </xf>
    <xf numFmtId="176" fontId="3" fillId="2" borderId="6" xfId="2" applyFont="1" applyFill="1" applyBorder="1" applyAlignment="1">
      <alignment horizontal="left" vertical="center"/>
    </xf>
    <xf numFmtId="176" fontId="3" fillId="0" borderId="5" xfId="2" applyFont="1" applyFill="1" applyBorder="1" applyAlignment="1">
      <alignment horizontal="left" vertical="center"/>
    </xf>
    <xf numFmtId="176" fontId="3" fillId="0" borderId="13" xfId="2" applyFont="1" applyFill="1" applyBorder="1" applyAlignment="1">
      <alignment horizontal="left" vertical="center"/>
    </xf>
    <xf numFmtId="176" fontId="3" fillId="0" borderId="6" xfId="2" applyFont="1" applyFill="1" applyBorder="1" applyAlignment="1">
      <alignment horizontal="left" vertical="center"/>
    </xf>
  </cellXfs>
  <cellStyles count="3">
    <cellStyle name="百分比" xfId="1" builtinId="5"/>
    <cellStyle name="常规" xfId="0" builtinId="0"/>
    <cellStyle name="常规 2" xfId="2" xr:uid="{00000000-0005-0000-0000-000002000000}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liushiqi/&#26700;&#38754;/&#24211;&#23384;&amp;CF&amp;&#36926;&#263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库存"/>
      <sheetName val="Sheet2 (2)"/>
      <sheetName val="资金"/>
      <sheetName val="压力测试"/>
      <sheetName val="Sheet2 (5)"/>
      <sheetName val="Sheet2 (3)"/>
      <sheetName val="Sheet2"/>
      <sheetName val="0315"/>
      <sheetName val="0309"/>
      <sheetName val="Sheet2 (4)"/>
    </sheetNames>
    <sheetDataSet>
      <sheetData sheetId="0"/>
      <sheetData sheetId="1"/>
      <sheetData sheetId="2"/>
      <sheetData sheetId="3"/>
      <sheetData sheetId="4"/>
      <sheetData sheetId="5">
        <row r="8">
          <cell r="F8">
            <v>45347968.82</v>
          </cell>
          <cell r="H8">
            <v>23923246.310000002</v>
          </cell>
          <cell r="I8">
            <v>9081278.2200000007</v>
          </cell>
          <cell r="J8">
            <v>8033030.6899999995</v>
          </cell>
          <cell r="K8">
            <v>9689433.5800000001</v>
          </cell>
          <cell r="N8">
            <v>2016974.28</v>
          </cell>
          <cell r="O8">
            <v>4402335.53</v>
          </cell>
          <cell r="P8">
            <v>4191291.8</v>
          </cell>
          <cell r="Q8">
            <v>2588590.4900000002</v>
          </cell>
          <cell r="R8">
            <v>9860170.3499999996</v>
          </cell>
          <cell r="S8">
            <v>8973.52</v>
          </cell>
          <cell r="U8">
            <v>3108800.8</v>
          </cell>
          <cell r="V8">
            <v>6842722.6899999995</v>
          </cell>
          <cell r="W8">
            <v>8932418.7799999993</v>
          </cell>
          <cell r="X8">
            <v>932964.98</v>
          </cell>
          <cell r="Y8">
            <v>4669466.2</v>
          </cell>
          <cell r="AB8">
            <v>2023408.01</v>
          </cell>
        </row>
        <row r="9">
          <cell r="H9">
            <v>184938.36</v>
          </cell>
          <cell r="I9">
            <v>208344.32000000001</v>
          </cell>
          <cell r="J9">
            <v>379403.03</v>
          </cell>
          <cell r="K9">
            <v>3800000</v>
          </cell>
          <cell r="N9">
            <v>137905.44</v>
          </cell>
          <cell r="O9">
            <v>201009.8</v>
          </cell>
          <cell r="P9">
            <v>322448.16000000003</v>
          </cell>
          <cell r="Q9">
            <v>375519.48</v>
          </cell>
          <cell r="R9">
            <v>341475.2</v>
          </cell>
          <cell r="U9">
            <v>180238.15</v>
          </cell>
          <cell r="V9">
            <v>50166.400000000001</v>
          </cell>
          <cell r="W9">
            <v>241968.21</v>
          </cell>
          <cell r="X9">
            <v>247450.49000000002</v>
          </cell>
          <cell r="Y9">
            <v>85569.600000000006</v>
          </cell>
          <cell r="AB9">
            <v>527949.76</v>
          </cell>
        </row>
        <row r="10">
          <cell r="I10">
            <v>31500</v>
          </cell>
          <cell r="J10">
            <v>391367.2</v>
          </cell>
          <cell r="N10">
            <v>55000</v>
          </cell>
          <cell r="O10">
            <v>62313.1</v>
          </cell>
          <cell r="Q10">
            <v>68599.199999999997</v>
          </cell>
          <cell r="T10">
            <v>26064.03</v>
          </cell>
          <cell r="U10">
            <v>20000</v>
          </cell>
          <cell r="V10">
            <v>365262.56</v>
          </cell>
          <cell r="W10">
            <v>26430.3</v>
          </cell>
          <cell r="X10">
            <v>182062.07999999999</v>
          </cell>
          <cell r="Y10">
            <v>23490.35</v>
          </cell>
        </row>
        <row r="11">
          <cell r="I11">
            <v>121284</v>
          </cell>
          <cell r="J11">
            <v>171369.84</v>
          </cell>
          <cell r="K11">
            <v>135039.15</v>
          </cell>
          <cell r="L11">
            <v>24820</v>
          </cell>
          <cell r="N11">
            <v>110634.38</v>
          </cell>
          <cell r="O11">
            <v>208180.2</v>
          </cell>
          <cell r="P11">
            <v>127305.5</v>
          </cell>
          <cell r="Q11">
            <v>60057.08</v>
          </cell>
          <cell r="R11">
            <v>122400</v>
          </cell>
          <cell r="U11">
            <v>185741.84</v>
          </cell>
          <cell r="W11">
            <v>29273.38</v>
          </cell>
          <cell r="X11">
            <v>57970.66</v>
          </cell>
          <cell r="Y11">
            <v>163482</v>
          </cell>
          <cell r="AB11">
            <v>38771</v>
          </cell>
        </row>
        <row r="13">
          <cell r="H13">
            <v>518628.02</v>
          </cell>
          <cell r="I13">
            <v>111703.9</v>
          </cell>
          <cell r="J13">
            <v>5126.1499999999996</v>
          </cell>
          <cell r="N13">
            <v>16152.23</v>
          </cell>
          <cell r="O13">
            <v>5406.75</v>
          </cell>
          <cell r="P13">
            <v>785.66</v>
          </cell>
          <cell r="Q13">
            <v>95268.01</v>
          </cell>
          <cell r="R13">
            <v>509674.77</v>
          </cell>
          <cell r="S13">
            <v>1314.22</v>
          </cell>
          <cell r="U13">
            <v>24121.190000000002</v>
          </cell>
          <cell r="V13">
            <v>873897.45</v>
          </cell>
          <cell r="W13">
            <v>590.25</v>
          </cell>
          <cell r="X13">
            <v>6292.23</v>
          </cell>
          <cell r="Y13">
            <v>345846.15</v>
          </cell>
          <cell r="Z13">
            <v>3264.21</v>
          </cell>
          <cell r="AA13">
            <v>2075.7800000000002</v>
          </cell>
          <cell r="AB13">
            <v>123177.66</v>
          </cell>
        </row>
        <row r="14">
          <cell r="H14">
            <v>42097.120000000003</v>
          </cell>
          <cell r="I14">
            <v>155842.79999999999</v>
          </cell>
          <cell r="J14">
            <v>174857.96</v>
          </cell>
          <cell r="K14">
            <v>243273.88</v>
          </cell>
          <cell r="N14">
            <v>93675.08</v>
          </cell>
          <cell r="O14">
            <v>243040.32</v>
          </cell>
          <cell r="P14">
            <v>105943.67999999999</v>
          </cell>
          <cell r="Q14">
            <v>166212.79999999999</v>
          </cell>
          <cell r="R14">
            <v>222780.79999999999</v>
          </cell>
          <cell r="S14">
            <v>50515.199999999997</v>
          </cell>
          <cell r="U14">
            <v>175879.84</v>
          </cell>
          <cell r="V14">
            <v>240364.79999999999</v>
          </cell>
          <cell r="W14">
            <v>52828.480000000003</v>
          </cell>
          <cell r="X14">
            <v>109440</v>
          </cell>
          <cell r="Y14">
            <v>15904326.449999999</v>
          </cell>
          <cell r="Z14">
            <v>14930</v>
          </cell>
          <cell r="AA14">
            <v>4162610.31</v>
          </cell>
          <cell r="AB14">
            <v>154787.72</v>
          </cell>
        </row>
        <row r="15">
          <cell r="H15">
            <v>2388442.06</v>
          </cell>
          <cell r="I15">
            <v>24067294.530000001</v>
          </cell>
          <cell r="J15">
            <v>1490424.6400000001</v>
          </cell>
          <cell r="K15">
            <v>1496678.5299999998</v>
          </cell>
          <cell r="L15">
            <v>1061952.74</v>
          </cell>
          <cell r="M15">
            <v>1075654.29</v>
          </cell>
          <cell r="N15">
            <v>2894254.44</v>
          </cell>
          <cell r="O15">
            <v>3235868.71</v>
          </cell>
          <cell r="P15">
            <v>1277946.58</v>
          </cell>
          <cell r="Q15">
            <v>3389130.51</v>
          </cell>
          <cell r="R15">
            <v>2949943.58</v>
          </cell>
          <cell r="S15">
            <v>2430324.38</v>
          </cell>
          <cell r="U15">
            <v>9367564.0999999996</v>
          </cell>
          <cell r="V15">
            <v>9271766.0099999998</v>
          </cell>
          <cell r="W15">
            <v>20404565.560000002</v>
          </cell>
          <cell r="X15">
            <v>6054732.8799999999</v>
          </cell>
          <cell r="Y15">
            <v>5137657.33</v>
          </cell>
          <cell r="Z15">
            <v>3462371.03</v>
          </cell>
          <cell r="AA15">
            <v>2565474.2400000002</v>
          </cell>
          <cell r="AB15">
            <v>3602732.98</v>
          </cell>
        </row>
        <row r="16">
          <cell r="H16">
            <v>230249.32</v>
          </cell>
          <cell r="I16">
            <v>5040</v>
          </cell>
          <cell r="J16">
            <v>45360</v>
          </cell>
          <cell r="O16">
            <v>103204.8</v>
          </cell>
          <cell r="P16">
            <v>45360</v>
          </cell>
          <cell r="R16">
            <v>40355.199999999997</v>
          </cell>
          <cell r="S16">
            <v>218475.48</v>
          </cell>
          <cell r="Y16">
            <v>40634.080000000002</v>
          </cell>
          <cell r="AB16">
            <v>73391.679999999993</v>
          </cell>
        </row>
        <row r="17">
          <cell r="H17">
            <v>600427.96</v>
          </cell>
          <cell r="X17">
            <v>10760.19</v>
          </cell>
        </row>
        <row r="18">
          <cell r="W18">
            <v>135.18</v>
          </cell>
          <cell r="X18">
            <v>516.88</v>
          </cell>
          <cell r="Y18">
            <v>381.56</v>
          </cell>
          <cell r="Z18">
            <v>457.04</v>
          </cell>
          <cell r="AB18">
            <v>1104.1400000000001</v>
          </cell>
        </row>
        <row r="19">
          <cell r="H19">
            <v>273540.81</v>
          </cell>
          <cell r="I19">
            <v>657.68</v>
          </cell>
          <cell r="J19">
            <v>8820.69</v>
          </cell>
          <cell r="K19">
            <v>59263.060000000005</v>
          </cell>
          <cell r="N19">
            <v>242511.05000000002</v>
          </cell>
          <cell r="O19">
            <v>45089.84</v>
          </cell>
          <cell r="P19">
            <v>73180.03</v>
          </cell>
          <cell r="Q19">
            <v>56363.28</v>
          </cell>
          <cell r="R19">
            <v>296832.95</v>
          </cell>
          <cell r="U19">
            <v>230478.57</v>
          </cell>
          <cell r="V19">
            <v>56785.25</v>
          </cell>
          <cell r="W19">
            <v>26219.18</v>
          </cell>
          <cell r="X19">
            <v>148786.30000000002</v>
          </cell>
          <cell r="Y19">
            <v>118753.10999999999</v>
          </cell>
          <cell r="AB19">
            <v>92914.679999999978</v>
          </cell>
        </row>
        <row r="20">
          <cell r="Q20">
            <v>4744.0400000000009</v>
          </cell>
          <cell r="R20">
            <v>12622.49</v>
          </cell>
          <cell r="U20">
            <v>257420.77999999997</v>
          </cell>
          <cell r="V20">
            <v>65659.570000000007</v>
          </cell>
          <cell r="W20">
            <v>584.24</v>
          </cell>
          <cell r="X20">
            <v>141498.31</v>
          </cell>
          <cell r="Y20">
            <v>39431.86</v>
          </cell>
          <cell r="AA20">
            <v>25620.5</v>
          </cell>
          <cell r="AB20">
            <v>265705.62</v>
          </cell>
        </row>
        <row r="21">
          <cell r="H21">
            <v>74319.47</v>
          </cell>
          <cell r="I21">
            <v>135741.69</v>
          </cell>
          <cell r="J21">
            <v>404547.97000000003</v>
          </cell>
          <cell r="K21">
            <v>173513.46</v>
          </cell>
          <cell r="L21">
            <v>4800.18</v>
          </cell>
          <cell r="M21">
            <v>10500.06</v>
          </cell>
          <cell r="N21">
            <v>707474.84000000008</v>
          </cell>
          <cell r="O21">
            <v>2051733.61</v>
          </cell>
          <cell r="P21">
            <v>774287.25</v>
          </cell>
          <cell r="Q21">
            <v>2355459.46</v>
          </cell>
          <cell r="R21">
            <v>8783.39</v>
          </cell>
          <cell r="U21">
            <v>311695.62</v>
          </cell>
          <cell r="V21">
            <v>3802085.6900000004</v>
          </cell>
          <cell r="W21">
            <v>1553126.33</v>
          </cell>
          <cell r="X21">
            <v>400</v>
          </cell>
          <cell r="Y21">
            <v>151960</v>
          </cell>
          <cell r="AB21">
            <v>1724728.1400000001</v>
          </cell>
        </row>
        <row r="23">
          <cell r="F23">
            <v>10133511.859999999</v>
          </cell>
          <cell r="H23">
            <v>192977.2</v>
          </cell>
          <cell r="I23">
            <v>2902660</v>
          </cell>
          <cell r="J23">
            <v>1959612.92</v>
          </cell>
          <cell r="K23">
            <v>2300000</v>
          </cell>
          <cell r="N23">
            <v>692624.09000000008</v>
          </cell>
          <cell r="O23">
            <v>662746</v>
          </cell>
          <cell r="P23">
            <v>234455.09</v>
          </cell>
          <cell r="Q23">
            <v>1713388.91</v>
          </cell>
          <cell r="R23">
            <v>973789.61</v>
          </cell>
          <cell r="U23">
            <v>2184645</v>
          </cell>
          <cell r="V23">
            <v>256600</v>
          </cell>
          <cell r="W23">
            <v>374737.3</v>
          </cell>
          <cell r="X23">
            <v>352000</v>
          </cell>
          <cell r="Y23">
            <v>2362790.5700000003</v>
          </cell>
          <cell r="AB23">
            <v>1058816</v>
          </cell>
        </row>
        <row r="24">
          <cell r="F24">
            <v>620000</v>
          </cell>
          <cell r="H24">
            <v>2068280</v>
          </cell>
          <cell r="I24">
            <v>500000</v>
          </cell>
          <cell r="K24">
            <v>849772.04</v>
          </cell>
          <cell r="O24">
            <v>2584753</v>
          </cell>
          <cell r="P24">
            <v>960000</v>
          </cell>
          <cell r="Q24">
            <v>655075</v>
          </cell>
          <cell r="R24">
            <v>7302986</v>
          </cell>
          <cell r="U24">
            <v>6502004</v>
          </cell>
          <cell r="W24">
            <v>727768</v>
          </cell>
          <cell r="X24">
            <v>1300000</v>
          </cell>
          <cell r="Y24">
            <v>1731100</v>
          </cell>
        </row>
        <row r="25">
          <cell r="J25">
            <v>189541</v>
          </cell>
          <cell r="N25">
            <v>79845192.930000007</v>
          </cell>
          <cell r="O25">
            <v>69059673.670000002</v>
          </cell>
          <cell r="P25">
            <v>5396902.0700000003</v>
          </cell>
          <cell r="Q25">
            <v>1181271.78</v>
          </cell>
          <cell r="U25">
            <v>147709.25</v>
          </cell>
          <cell r="X25">
            <v>952400</v>
          </cell>
        </row>
        <row r="27">
          <cell r="F27">
            <v>138750</v>
          </cell>
          <cell r="Q27">
            <v>385200</v>
          </cell>
          <cell r="R27">
            <v>318160</v>
          </cell>
          <cell r="AB27">
            <v>24600</v>
          </cell>
        </row>
        <row r="29">
          <cell r="I29">
            <v>127792284.79000001</v>
          </cell>
          <cell r="J29">
            <v>3767507.2</v>
          </cell>
          <cell r="AB29">
            <v>508493.37</v>
          </cell>
        </row>
        <row r="31">
          <cell r="O31">
            <v>1981667.07</v>
          </cell>
          <cell r="P31">
            <v>125931</v>
          </cell>
          <cell r="Q31">
            <v>51073.13</v>
          </cell>
          <cell r="U31">
            <v>1084824.94</v>
          </cell>
          <cell r="X31">
            <v>733238.55</v>
          </cell>
          <cell r="Y31">
            <v>23363628.680000003</v>
          </cell>
        </row>
        <row r="32">
          <cell r="I32">
            <v>1822806</v>
          </cell>
          <cell r="J32">
            <v>305000</v>
          </cell>
          <cell r="N32">
            <v>140000</v>
          </cell>
          <cell r="P32">
            <v>270000</v>
          </cell>
          <cell r="R32">
            <v>8000</v>
          </cell>
          <cell r="U32">
            <v>76635</v>
          </cell>
          <cell r="V32">
            <v>6868</v>
          </cell>
          <cell r="Y32">
            <v>130000</v>
          </cell>
          <cell r="AB32">
            <v>100000</v>
          </cell>
        </row>
        <row r="33">
          <cell r="P33">
            <v>196742.2</v>
          </cell>
          <cell r="Q33">
            <v>112781.35</v>
          </cell>
          <cell r="R33">
            <v>26295</v>
          </cell>
          <cell r="V33">
            <v>1526713.54</v>
          </cell>
          <cell r="X33">
            <v>267105.8</v>
          </cell>
        </row>
        <row r="34">
          <cell r="F34">
            <v>237638.55000000002</v>
          </cell>
          <cell r="H34">
            <v>454668.67</v>
          </cell>
          <cell r="I34">
            <v>1699284.52</v>
          </cell>
          <cell r="J34">
            <v>17810</v>
          </cell>
          <cell r="K34">
            <v>167760</v>
          </cell>
          <cell r="M34">
            <v>807.8</v>
          </cell>
          <cell r="N34">
            <v>404692.83</v>
          </cell>
          <cell r="O34">
            <v>304261.82999999996</v>
          </cell>
          <cell r="P34">
            <v>237219.03</v>
          </cell>
          <cell r="Q34">
            <v>892226.25</v>
          </cell>
          <cell r="R34">
            <v>7526751</v>
          </cell>
          <cell r="U34">
            <v>269520.78000000003</v>
          </cell>
          <cell r="V34">
            <v>1034311.14</v>
          </cell>
          <cell r="W34">
            <v>744509.73</v>
          </cell>
          <cell r="X34">
            <v>787837.70000000007</v>
          </cell>
          <cell r="Y34">
            <v>965611.36</v>
          </cell>
          <cell r="Z34">
            <v>110.6</v>
          </cell>
          <cell r="AB34">
            <v>684287.09000000008</v>
          </cell>
        </row>
      </sheetData>
      <sheetData sheetId="6">
        <row r="5">
          <cell r="M5">
            <v>730835464.62999964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39"/>
  <sheetViews>
    <sheetView showGridLines="0" zoomScaleNormal="100" workbookViewId="0">
      <selection activeCell="X8" sqref="X8"/>
    </sheetView>
  </sheetViews>
  <sheetFormatPr defaultColWidth="7.1796875" defaultRowHeight="15.6" outlineLevelRow="1" outlineLevelCol="1" x14ac:dyDescent="0.35"/>
  <cols>
    <col min="1" max="2" width="2.1796875" style="2" customWidth="1"/>
    <col min="3" max="3" width="4.54296875" style="2" customWidth="1"/>
    <col min="4" max="4" width="16.453125" style="2" customWidth="1"/>
    <col min="5" max="6" width="9.6328125" style="2" hidden="1" customWidth="1" outlineLevel="1"/>
    <col min="7" max="7" width="9.6328125" style="2" hidden="1" customWidth="1" outlineLevel="1" collapsed="1"/>
    <col min="8" max="9" width="9.6328125" style="2" hidden="1" customWidth="1"/>
    <col min="10" max="12" width="9.1796875" style="2" hidden="1" customWidth="1"/>
    <col min="13" max="16" width="8.1796875" style="2" hidden="1" customWidth="1"/>
    <col min="17" max="18" width="9" style="2" hidden="1" customWidth="1"/>
    <col min="19" max="19" width="9" style="2" customWidth="1"/>
    <col min="20" max="20" width="8.1796875" style="2" customWidth="1"/>
    <col min="21" max="21" width="7.453125" style="2" customWidth="1"/>
    <col min="22" max="22" width="9.36328125" style="2" customWidth="1"/>
    <col min="23" max="23" width="7.6328125" style="2" bestFit="1" customWidth="1"/>
    <col min="24" max="24" width="9.54296875" style="2" bestFit="1" customWidth="1"/>
    <col min="25" max="25" width="7.1796875" style="2"/>
    <col min="26" max="26" width="7.36328125" style="2" bestFit="1" customWidth="1"/>
    <col min="27" max="16384" width="7.1796875" style="2"/>
  </cols>
  <sheetData>
    <row r="2" spans="2:26" ht="20.399999999999999" x14ac:dyDescent="0.35">
      <c r="B2" s="1" t="s">
        <v>0</v>
      </c>
    </row>
    <row r="3" spans="2:26" x14ac:dyDescent="0.35">
      <c r="V3" s="3"/>
    </row>
    <row r="4" spans="2:26" s="4" customFormat="1" ht="24" customHeight="1" x14ac:dyDescent="0.35">
      <c r="B4" s="96"/>
      <c r="C4" s="97"/>
      <c r="D4" s="98"/>
      <c r="E4" s="94" t="s">
        <v>1</v>
      </c>
      <c r="F4" s="94" t="s">
        <v>2</v>
      </c>
      <c r="G4" s="94" t="s">
        <v>3</v>
      </c>
      <c r="H4" s="94" t="s">
        <v>4</v>
      </c>
      <c r="I4" s="94" t="s">
        <v>116</v>
      </c>
      <c r="J4" s="104" t="s">
        <v>132</v>
      </c>
      <c r="K4" s="93" t="s">
        <v>151</v>
      </c>
      <c r="L4" s="93" t="s">
        <v>168</v>
      </c>
      <c r="M4" s="93" t="s">
        <v>169</v>
      </c>
      <c r="N4" s="93" t="s">
        <v>172</v>
      </c>
      <c r="O4" s="93" t="s">
        <v>180</v>
      </c>
      <c r="P4" s="93" t="s">
        <v>190</v>
      </c>
      <c r="Q4" s="93" t="s">
        <v>197</v>
      </c>
      <c r="R4" s="93" t="s">
        <v>203</v>
      </c>
      <c r="S4" s="93" t="s">
        <v>214</v>
      </c>
      <c r="T4" s="102" t="s">
        <v>5</v>
      </c>
      <c r="U4" s="103"/>
      <c r="V4" s="94" t="s">
        <v>204</v>
      </c>
    </row>
    <row r="5" spans="2:26" s="4" customFormat="1" ht="24" customHeight="1" x14ac:dyDescent="0.35">
      <c r="B5" s="99"/>
      <c r="C5" s="100"/>
      <c r="D5" s="101"/>
      <c r="E5" s="95"/>
      <c r="F5" s="95"/>
      <c r="G5" s="95"/>
      <c r="H5" s="95"/>
      <c r="I5" s="95"/>
      <c r="J5" s="105"/>
      <c r="K5" s="93"/>
      <c r="L5" s="93"/>
      <c r="M5" s="93"/>
      <c r="N5" s="93"/>
      <c r="O5" s="93"/>
      <c r="P5" s="93"/>
      <c r="Q5" s="93"/>
      <c r="R5" s="93"/>
      <c r="S5" s="93"/>
      <c r="T5" s="84" t="s">
        <v>6</v>
      </c>
      <c r="U5" s="5" t="s">
        <v>7</v>
      </c>
      <c r="V5" s="95"/>
    </row>
    <row r="6" spans="2:26" s="7" customFormat="1" ht="24" customHeight="1" x14ac:dyDescent="0.35">
      <c r="B6" s="109" t="s">
        <v>8</v>
      </c>
      <c r="C6" s="110"/>
      <c r="D6" s="111"/>
      <c r="E6" s="6">
        <v>77655.210021000006</v>
      </c>
      <c r="F6" s="6">
        <f>E37</f>
        <v>68000.528204000002</v>
      </c>
      <c r="G6" s="6">
        <f>F37</f>
        <v>62417.791620000004</v>
      </c>
      <c r="H6" s="6">
        <f>G37</f>
        <v>69046.058727000011</v>
      </c>
      <c r="I6" s="45">
        <v>68342</v>
      </c>
      <c r="J6" s="67">
        <v>71229</v>
      </c>
      <c r="K6" s="59">
        <v>66881</v>
      </c>
      <c r="L6" s="59">
        <v>70445</v>
      </c>
      <c r="M6" s="45">
        <f>74526+0.4</f>
        <v>74526.399999999994</v>
      </c>
      <c r="N6" s="59">
        <f>M37</f>
        <v>69895.833627999993</v>
      </c>
      <c r="O6" s="59">
        <v>76806</v>
      </c>
      <c r="P6" s="59">
        <f>78388+0.4</f>
        <v>78388.399999999994</v>
      </c>
      <c r="Q6" s="59">
        <v>82619</v>
      </c>
      <c r="R6" s="59">
        <v>80071</v>
      </c>
      <c r="S6" s="59">
        <f>72768-0.4</f>
        <v>72767.600000000006</v>
      </c>
      <c r="T6" s="79" t="s">
        <v>9</v>
      </c>
      <c r="U6" s="83" t="s">
        <v>10</v>
      </c>
      <c r="V6" s="6">
        <v>81700</v>
      </c>
    </row>
    <row r="7" spans="2:26" s="7" customFormat="1" ht="24" customHeight="1" x14ac:dyDescent="0.35">
      <c r="B7" s="109" t="s">
        <v>11</v>
      </c>
      <c r="C7" s="110"/>
      <c r="D7" s="111"/>
      <c r="E7" s="6">
        <f>E8-E23</f>
        <v>-9654.6818170000024</v>
      </c>
      <c r="F7" s="6">
        <f t="shared" ref="F7:H7" si="0">F8-F23</f>
        <v>-5582.7365840000011</v>
      </c>
      <c r="G7" s="6">
        <f t="shared" si="0"/>
        <v>6628.2671070000015</v>
      </c>
      <c r="H7" s="6">
        <f t="shared" si="0"/>
        <v>2129.6826299999993</v>
      </c>
      <c r="I7" s="56">
        <f t="shared" ref="I7:S7" si="1">I8-I23</f>
        <v>2887.313121000001</v>
      </c>
      <c r="J7" s="67">
        <f t="shared" si="1"/>
        <v>-4347.9888740000042</v>
      </c>
      <c r="K7" s="59">
        <f t="shared" si="1"/>
        <v>3564.4979489999987</v>
      </c>
      <c r="L7" s="59">
        <f t="shared" si="1"/>
        <v>4081.0429850000046</v>
      </c>
      <c r="M7" s="59">
        <f t="shared" si="1"/>
        <v>-4630.5663720000011</v>
      </c>
      <c r="N7" s="59">
        <f t="shared" si="1"/>
        <v>6909.9923270000018</v>
      </c>
      <c r="O7" s="59">
        <f t="shared" si="1"/>
        <v>1582.3935120000006</v>
      </c>
      <c r="P7" s="59">
        <f t="shared" si="1"/>
        <v>4230.2088750000021</v>
      </c>
      <c r="Q7" s="59">
        <f t="shared" si="1"/>
        <v>-2548.0577380000004</v>
      </c>
      <c r="R7" s="59">
        <f t="shared" si="1"/>
        <v>-7302.9816180000016</v>
      </c>
      <c r="S7" s="59">
        <f t="shared" si="1"/>
        <v>-2140.4377279999999</v>
      </c>
      <c r="T7" s="79" t="s">
        <v>10</v>
      </c>
      <c r="U7" s="78" t="s">
        <v>12</v>
      </c>
      <c r="V7" s="9">
        <f>V8-V23</f>
        <v>-11072.893777000001</v>
      </c>
      <c r="Z7" s="13"/>
    </row>
    <row r="8" spans="2:26" s="7" customFormat="1" ht="24" customHeight="1" x14ac:dyDescent="0.35">
      <c r="B8" s="8"/>
      <c r="C8" s="106" t="s">
        <v>13</v>
      </c>
      <c r="D8" s="108"/>
      <c r="E8" s="9">
        <f t="shared" ref="E8:T8" si="2">SUM(E9:E22)</f>
        <v>14265.636422999998</v>
      </c>
      <c r="F8" s="9">
        <f t="shared" si="2"/>
        <v>5759.9322120000006</v>
      </c>
      <c r="G8" s="9">
        <f t="shared" si="2"/>
        <v>10627.619850000001</v>
      </c>
      <c r="H8" s="49">
        <f t="shared" si="2"/>
        <v>10742.281859999999</v>
      </c>
      <c r="I8" s="57">
        <f t="shared" si="2"/>
        <v>9551.313121000001</v>
      </c>
      <c r="J8" s="57">
        <f t="shared" si="2"/>
        <v>5391.1040589999993</v>
      </c>
      <c r="K8" s="60">
        <f t="shared" si="2"/>
        <v>6391.7903639999986</v>
      </c>
      <c r="L8" s="60">
        <f t="shared" si="2"/>
        <v>10239.015548000003</v>
      </c>
      <c r="M8" s="60">
        <f t="shared" si="2"/>
        <v>7481.3435879999997</v>
      </c>
      <c r="N8" s="60">
        <f t="shared" si="2"/>
        <v>9152.0416570000016</v>
      </c>
      <c r="O8" s="60">
        <f t="shared" si="2"/>
        <v>9967.3504160000011</v>
      </c>
      <c r="P8" s="60">
        <f t="shared" si="2"/>
        <v>13195.374625000002</v>
      </c>
      <c r="Q8" s="60">
        <f t="shared" si="2"/>
        <v>5601.1196550000004</v>
      </c>
      <c r="R8" s="60">
        <f t="shared" si="2"/>
        <v>9199.5538779999988</v>
      </c>
      <c r="S8" s="60">
        <f t="shared" si="2"/>
        <v>3452.521401</v>
      </c>
      <c r="T8" s="60">
        <f t="shared" si="2"/>
        <v>-5747.0324769999988</v>
      </c>
      <c r="U8" s="61">
        <f t="shared" ref="U8:U36" si="3">IF(E8=0,0,T8/ABS(E8))</f>
        <v>-0.40285847098516087</v>
      </c>
      <c r="V8" s="9">
        <f>SUM(V9:V22)</f>
        <v>4369.0035799999996</v>
      </c>
    </row>
    <row r="9" spans="2:26" ht="19.95" hidden="1" customHeight="1" outlineLevel="1" x14ac:dyDescent="0.35">
      <c r="B9" s="11"/>
      <c r="C9" s="76" t="s">
        <v>14</v>
      </c>
      <c r="D9" s="12" t="s">
        <v>15</v>
      </c>
      <c r="E9" s="13">
        <f>SUM('[1]Sheet2 (3)'!F8,'[1]Sheet2 (3)'!H8:N8)/10000</f>
        <v>9809.19319</v>
      </c>
      <c r="F9" s="13">
        <f>SUM('[1]Sheet2 (3)'!O8:U8)/10000</f>
        <v>2416.0162490000002</v>
      </c>
      <c r="G9" s="13">
        <f>SUM('[1]Sheet2 (3)'!V8:AB8)/10000</f>
        <v>2340.098066</v>
      </c>
      <c r="H9" s="47">
        <f>SUM('Sheet2 (5)'!AC8:AI8)/10000</f>
        <v>4332.8829880000003</v>
      </c>
      <c r="I9" s="58">
        <f>SUM('Sheet2 (5)'!AJ8:AO8)/10000</f>
        <v>2373.7674230000002</v>
      </c>
      <c r="J9" s="68">
        <f>SUM('Sheet2 (5)'!AP8:AT8)/10000</f>
        <v>3379.6692270000003</v>
      </c>
      <c r="K9" s="74">
        <f>SUM('Sheet2 (5)'!AU8:AZ8)/10000</f>
        <v>2772.4691929999994</v>
      </c>
      <c r="L9" s="74">
        <f>SUM('Sheet2 (5)'!BA8:BF8)/10000</f>
        <v>6158.5539590000008</v>
      </c>
      <c r="M9" s="74">
        <f>SUM('Sheet2 (5)'!BG8:BM8)/10000</f>
        <v>3659.8985579999999</v>
      </c>
      <c r="N9" s="86">
        <f>SUM('Sheet2 (5)'!BN8:BQ8)/10000</f>
        <v>3275.822635</v>
      </c>
      <c r="O9" s="86">
        <f>SUM('Sheet2 (5)'!BR8:BW8)/10000</f>
        <v>5436.7052440000007</v>
      </c>
      <c r="P9" s="86">
        <f>SUM('Sheet2 (5)'!BX8:CC8)/10000</f>
        <v>6243.4004610000002</v>
      </c>
      <c r="Q9" s="86">
        <f>SUM('Sheet2 (5)'!CD8:CI8)/10000</f>
        <v>2504.6799599999999</v>
      </c>
      <c r="R9" s="86">
        <f>SUM('Sheet2 (5)'!CJ8:CO8)/10000</f>
        <v>3255.2398380000004</v>
      </c>
      <c r="S9" s="86">
        <f>SUM('Sheet2 (5)'!CP8:CU8)/10000</f>
        <v>602.93119300000001</v>
      </c>
      <c r="T9" s="85">
        <f>S9-R9</f>
        <v>-2652.3086450000005</v>
      </c>
      <c r="U9" s="14">
        <f t="shared" si="3"/>
        <v>-0.27039009158305716</v>
      </c>
      <c r="V9" s="75">
        <f>SUM('Sheet2 (5)'!CO8:CU8)/10000</f>
        <v>626.11312099999986</v>
      </c>
    </row>
    <row r="10" spans="2:26" ht="19.95" hidden="1" customHeight="1" outlineLevel="1" x14ac:dyDescent="0.35">
      <c r="B10" s="11"/>
      <c r="C10" s="76" t="s">
        <v>16</v>
      </c>
      <c r="D10" s="12" t="s">
        <v>17</v>
      </c>
      <c r="E10" s="13">
        <f>SUM('[1]Sheet2 (3)'!F9,'[1]Sheet2 (3)'!H9:N9)/10000</f>
        <v>471.05911500000002</v>
      </c>
      <c r="F10" s="13">
        <f>SUM('[1]Sheet2 (3)'!O9:U9)/10000</f>
        <v>142.06907899999999</v>
      </c>
      <c r="G10" s="13">
        <f>SUM('[1]Sheet2 (3)'!V9:AB9)/10000</f>
        <v>115.310446</v>
      </c>
      <c r="H10" s="47">
        <f>SUM('Sheet2 (5)'!AC9:AI9)/10000</f>
        <v>447.65079000000003</v>
      </c>
      <c r="I10" s="58">
        <f>SUM('Sheet2 (5)'!AJ9:AO9)/10000</f>
        <v>102.82072599999999</v>
      </c>
      <c r="J10" s="68">
        <f>SUM('Sheet2 (5)'!AP9:AT9)/10000</f>
        <v>81.179113999999998</v>
      </c>
      <c r="K10" s="74">
        <f>SUM('Sheet2 (5)'!AU9:AZ9)/10000</f>
        <v>436.38649600000002</v>
      </c>
      <c r="L10" s="74">
        <f>SUM('Sheet2 (5)'!BA9:BF9)/10000</f>
        <v>67.775092000000001</v>
      </c>
      <c r="M10" s="74">
        <f>SUM('Sheet2 (5)'!BG9:BM9)/10000</f>
        <v>168.427392</v>
      </c>
      <c r="N10" s="86">
        <f>SUM('Sheet2 (5)'!BN9:BQ9)/10000</f>
        <v>46.354886999999998</v>
      </c>
      <c r="O10" s="86">
        <f>SUM('Sheet2 (5)'!BR9:BW9)/10000</f>
        <v>39.397084</v>
      </c>
      <c r="P10" s="86">
        <f>SUM('Sheet2 (5)'!BX9:CC9)/10000</f>
        <v>650.34261200000014</v>
      </c>
      <c r="Q10" s="86">
        <f>SUM('Sheet2 (5)'!CD9:CI9)/10000</f>
        <v>84.569664000000003</v>
      </c>
      <c r="R10" s="86">
        <f>SUM('Sheet2 (5)'!CJ9:CO9)/10000</f>
        <v>157.174881</v>
      </c>
      <c r="S10" s="86">
        <f>SUM('Sheet2 (5)'!CP9:CU9)/10000</f>
        <v>99.975104999999999</v>
      </c>
      <c r="T10" s="85">
        <f t="shared" ref="T10:T36" si="4">S10-R10</f>
        <v>-57.199776</v>
      </c>
      <c r="U10" s="14">
        <f t="shared" si="3"/>
        <v>-0.12142802076974989</v>
      </c>
      <c r="V10" s="75">
        <f>SUM('Sheet2 (5)'!CO9:CU9)/10000</f>
        <v>111.49534399999999</v>
      </c>
    </row>
    <row r="11" spans="2:26" ht="19.95" hidden="1" customHeight="1" outlineLevel="1" x14ac:dyDescent="0.35">
      <c r="B11" s="11"/>
      <c r="C11" s="76" t="s">
        <v>18</v>
      </c>
      <c r="D11" s="12" t="s">
        <v>19</v>
      </c>
      <c r="E11" s="13">
        <f>SUM('[1]Sheet2 (3)'!F10,'[1]Sheet2 (3)'!H10:N10)/10000</f>
        <v>47.786720000000003</v>
      </c>
      <c r="F11" s="13">
        <f>SUM('[1]Sheet2 (3)'!O10:U10)/10000</f>
        <v>17.697633</v>
      </c>
      <c r="G11" s="13">
        <f>SUM('[1]Sheet2 (3)'!V10:AB10)/10000</f>
        <v>59.72452899999999</v>
      </c>
      <c r="H11" s="47">
        <f>SUM('Sheet2 (5)'!AC10:AI10)/10000</f>
        <v>21.09084</v>
      </c>
      <c r="I11" s="58">
        <f>SUM('Sheet2 (5)'!AJ10:AO10)/10000</f>
        <v>10</v>
      </c>
      <c r="J11" s="68">
        <f>SUM('Sheet2 (5)'!AP10:AT10)/10000</f>
        <v>21.754953</v>
      </c>
      <c r="K11" s="74">
        <f>SUM('Sheet2 (5)'!AU10:AZ10)/10000</f>
        <v>13.066405</v>
      </c>
      <c r="L11" s="74">
        <f>SUM('Sheet2 (5)'!BA10:BF10)/10000</f>
        <v>43.742168000000007</v>
      </c>
      <c r="M11" s="74">
        <f>SUM('Sheet2 (5)'!BG10:BM10)/10000</f>
        <v>130.32246800000001</v>
      </c>
      <c r="N11" s="86">
        <f>SUM('Sheet2 (5)'!BN10:BQ10)/10000</f>
        <v>18.53556</v>
      </c>
      <c r="O11" s="86">
        <f>SUM('Sheet2 (5)'!BR10:BW10)/10000</f>
        <v>41.679248999999999</v>
      </c>
      <c r="P11" s="86">
        <f>SUM('Sheet2 (5)'!BX10:CC10)/10000</f>
        <v>139.44843800000001</v>
      </c>
      <c r="Q11" s="86">
        <f>SUM('Sheet2 (5)'!CD10:CI10)/10000</f>
        <v>11.594583000000002</v>
      </c>
      <c r="R11" s="86">
        <f>SUM('Sheet2 (5)'!CJ10:CO10)/10000</f>
        <v>40.691621999999995</v>
      </c>
      <c r="S11" s="86">
        <f>SUM('Sheet2 (5)'!CP10:CU10)/10000</f>
        <v>41.153061999999998</v>
      </c>
      <c r="T11" s="85">
        <f t="shared" si="4"/>
        <v>0.46144000000000318</v>
      </c>
      <c r="U11" s="14">
        <f t="shared" si="3"/>
        <v>9.6562392229473624E-3</v>
      </c>
      <c r="V11" s="75">
        <f>SUM('Sheet2 (5)'!CO10:CU10)/10000</f>
        <v>45.444454</v>
      </c>
      <c r="X11" s="46"/>
    </row>
    <row r="12" spans="2:26" ht="19.95" hidden="1" customHeight="1" outlineLevel="1" x14ac:dyDescent="0.35">
      <c r="B12" s="11"/>
      <c r="C12" s="76" t="s">
        <v>20</v>
      </c>
      <c r="D12" s="12" t="s">
        <v>21</v>
      </c>
      <c r="E12" s="13">
        <f>SUM('[1]Sheet2 (3)'!F11,'[1]Sheet2 (3)'!H11:N11)/10000</f>
        <v>56.314737000000001</v>
      </c>
      <c r="F12" s="13">
        <f>SUM('[1]Sheet2 (3)'!O11:U11)/10000</f>
        <v>70.368461999999994</v>
      </c>
      <c r="G12" s="13">
        <f>SUM('[1]Sheet2 (3)'!V11:AB11)/10000</f>
        <v>28.949704000000004</v>
      </c>
      <c r="H12" s="47">
        <f>SUM('Sheet2 (5)'!AC11:AI11)/10000</f>
        <v>52.212454000000001</v>
      </c>
      <c r="I12" s="58">
        <f>SUM('Sheet2 (5)'!AJ11:AO11)/10000</f>
        <v>64.508432000000013</v>
      </c>
      <c r="J12" s="68">
        <f>SUM('Sheet2 (5)'!AP11:AT11)/10000</f>
        <v>18.190439999999999</v>
      </c>
      <c r="K12" s="74">
        <f>SUM('Sheet2 (5)'!AU11:AZ11)/10000</f>
        <v>50.881900000000002</v>
      </c>
      <c r="L12" s="74">
        <f>SUM('Sheet2 (5)'!BA11:BF11)/10000</f>
        <v>37.007076999999995</v>
      </c>
      <c r="M12" s="74">
        <f>SUM('Sheet2 (5)'!BG11:BM11)/10000</f>
        <v>88.513423000000003</v>
      </c>
      <c r="N12" s="86">
        <f>SUM('Sheet2 (5)'!BN11:BQ11)/10000</f>
        <v>13.016751000000001</v>
      </c>
      <c r="O12" s="86">
        <f>SUM('Sheet2 (5)'!BR11:BW11)/10000</f>
        <v>31.343855999999999</v>
      </c>
      <c r="P12" s="86">
        <f>SUM('Sheet2 (5)'!BX11:CC11)/10000</f>
        <v>45.464195999999994</v>
      </c>
      <c r="Q12" s="86">
        <f>SUM('Sheet2 (5)'!CD11:CI11)/10000</f>
        <v>50.182204000000006</v>
      </c>
      <c r="R12" s="86">
        <f>SUM('Sheet2 (5)'!CJ11:CO11)/10000</f>
        <v>93.466750000000005</v>
      </c>
      <c r="S12" s="86">
        <f>SUM('Sheet2 (5)'!CP11:CU11)/10000</f>
        <v>28.758890999999998</v>
      </c>
      <c r="T12" s="85">
        <f t="shared" si="4"/>
        <v>-64.707859000000013</v>
      </c>
      <c r="U12" s="14">
        <f t="shared" si="3"/>
        <v>-1.1490395311621542</v>
      </c>
      <c r="V12" s="75">
        <f>SUM('Sheet2 (5)'!CO11:CU11)/10000</f>
        <v>37.640491000000004</v>
      </c>
    </row>
    <row r="13" spans="2:26" ht="19.95" hidden="1" customHeight="1" outlineLevel="1" x14ac:dyDescent="0.35">
      <c r="B13" s="11"/>
      <c r="C13" s="76" t="s">
        <v>22</v>
      </c>
      <c r="D13" s="12" t="s">
        <v>23</v>
      </c>
      <c r="E13" s="13">
        <f>SUM('[1]Sheet2 (3)'!F12,'[1]Sheet2 (3)'!H12:N12)/10000</f>
        <v>0</v>
      </c>
      <c r="F13" s="13">
        <f>SUM('[1]Sheet2 (3)'!O12:U12)/10000</f>
        <v>0</v>
      </c>
      <c r="G13" s="13">
        <f>SUM('[1]Sheet2 (3)'!V12:AB12)/10000</f>
        <v>0</v>
      </c>
      <c r="H13" s="47">
        <f>SUM('Sheet2 (5)'!AC12:AI12)/10000</f>
        <v>0</v>
      </c>
      <c r="I13" s="58">
        <f>SUM('Sheet2 (5)'!AJ12:AO12)/10000</f>
        <v>0</v>
      </c>
      <c r="J13" s="68">
        <f>SUM('Sheet2 (5)'!AP12:AT12)/10000</f>
        <v>0</v>
      </c>
      <c r="K13" s="74">
        <f>SUM('Sheet2 (5)'!AU12:AZ12)/10000</f>
        <v>0</v>
      </c>
      <c r="L13" s="74">
        <f>SUM('Sheet2 (5)'!BA12:BF12)/10000</f>
        <v>0</v>
      </c>
      <c r="M13" s="74">
        <f>SUM('Sheet2 (5)'!BG12:BM12)/10000</f>
        <v>0</v>
      </c>
      <c r="N13" s="86">
        <f>SUM('Sheet2 (5)'!BN12:BQ12)/10000</f>
        <v>0</v>
      </c>
      <c r="O13" s="86">
        <f>SUM('Sheet2 (5)'!BR12:BW12)/10000</f>
        <v>0</v>
      </c>
      <c r="P13" s="86">
        <f>SUM('Sheet2 (5)'!BX12:CC12)/10000</f>
        <v>0</v>
      </c>
      <c r="Q13" s="86">
        <f>SUM('Sheet2 (5)'!CD12:CI12)/10000</f>
        <v>0</v>
      </c>
      <c r="R13" s="86">
        <f>SUM('Sheet2 (5)'!CJ12:CO12)/10000</f>
        <v>0</v>
      </c>
      <c r="S13" s="86">
        <f>SUM('Sheet2 (5)'!CP12:CU12)/10000</f>
        <v>0</v>
      </c>
      <c r="T13" s="85">
        <f t="shared" si="4"/>
        <v>0</v>
      </c>
      <c r="U13" s="14">
        <f t="shared" si="3"/>
        <v>0</v>
      </c>
      <c r="V13" s="75">
        <f>SUM('Sheet2 (5)'!CO12:CU12)/10000</f>
        <v>0</v>
      </c>
    </row>
    <row r="14" spans="2:26" ht="19.95" hidden="1" customHeight="1" outlineLevel="1" x14ac:dyDescent="0.35">
      <c r="B14" s="11"/>
      <c r="C14" s="76" t="s">
        <v>24</v>
      </c>
      <c r="D14" s="12" t="s">
        <v>25</v>
      </c>
      <c r="E14" s="13">
        <f>SUM('[1]Sheet2 (3)'!F13,'[1]Sheet2 (3)'!H13:N13)/10000</f>
        <v>65.161030000000011</v>
      </c>
      <c r="F14" s="13">
        <f>SUM('[1]Sheet2 (3)'!O13:U13)/10000</f>
        <v>63.657060000000008</v>
      </c>
      <c r="G14" s="13">
        <f>SUM('[1]Sheet2 (3)'!V13:AB13)/10000</f>
        <v>135.51437300000001</v>
      </c>
      <c r="H14" s="47">
        <f>SUM('Sheet2 (5)'!AC13:AI13)/10000</f>
        <v>5.5663819999999999</v>
      </c>
      <c r="I14" s="58">
        <f>SUM('Sheet2 (5)'!AJ13:AO13)/10000</f>
        <v>177.04888300000002</v>
      </c>
      <c r="J14" s="68">
        <f>SUM('Sheet2 (5)'!AP13:AT13)/10000</f>
        <v>61.407237000000002</v>
      </c>
      <c r="K14" s="74">
        <f>SUM('Sheet2 (5)'!AU13:AZ13)/10000</f>
        <v>15.233948999999999</v>
      </c>
      <c r="L14" s="74">
        <f>SUM('Sheet2 (5)'!BA13:BF13)/10000</f>
        <v>74.225061999999994</v>
      </c>
      <c r="M14" s="74">
        <f>SUM('Sheet2 (5)'!BG13:BM13)/10000</f>
        <v>20.989391999999999</v>
      </c>
      <c r="N14" s="86">
        <f>SUM('Sheet2 (5)'!BN13:BQ13)/10000</f>
        <v>178.48218899999998</v>
      </c>
      <c r="O14" s="86">
        <f>SUM('Sheet2 (5)'!BR13:BW13)/10000</f>
        <v>6.1196470000000005</v>
      </c>
      <c r="P14" s="86">
        <f>SUM('Sheet2 (5)'!BX13:CC13)/10000</f>
        <v>146.702943</v>
      </c>
      <c r="Q14" s="86">
        <f>SUM('Sheet2 (5)'!CD13:CI13)/10000</f>
        <v>12.872233999999999</v>
      </c>
      <c r="R14" s="86">
        <f>SUM('Sheet2 (5)'!CJ13:CO13)/10000</f>
        <v>242.91905299999993</v>
      </c>
      <c r="S14" s="86">
        <f>SUM('Sheet2 (5)'!CP13:CU13)/10000</f>
        <v>10.061401</v>
      </c>
      <c r="T14" s="85">
        <f t="shared" si="4"/>
        <v>-232.85765199999994</v>
      </c>
      <c r="U14" s="14">
        <f t="shared" si="3"/>
        <v>-3.5735723023408301</v>
      </c>
      <c r="V14" s="75">
        <f>SUM('Sheet2 (5)'!CO13:CU13)/10000</f>
        <v>10.258751</v>
      </c>
    </row>
    <row r="15" spans="2:26" ht="19.95" hidden="1" customHeight="1" outlineLevel="1" x14ac:dyDescent="0.35">
      <c r="B15" s="11"/>
      <c r="C15" s="76" t="s">
        <v>26</v>
      </c>
      <c r="D15" s="12" t="s">
        <v>27</v>
      </c>
      <c r="E15" s="13">
        <f>SUM('[1]Sheet2 (3)'!F14,'[1]Sheet2 (3)'!H14:N14)/10000</f>
        <v>70.974683999999996</v>
      </c>
      <c r="F15" s="13">
        <f>SUM('[1]Sheet2 (3)'!O14:U14)/10000</f>
        <v>96.437263999999985</v>
      </c>
      <c r="G15" s="13">
        <f>SUM('[1]Sheet2 (3)'!V14:AB14)/10000</f>
        <v>2063.9287759999997</v>
      </c>
      <c r="H15" s="47">
        <f>SUM('Sheet2 (5)'!AC14:AI14)/10000</f>
        <v>69.323080000000004</v>
      </c>
      <c r="I15" s="58">
        <f>SUM('Sheet2 (5)'!AJ14:AO14)/10000</f>
        <v>34.043703999999998</v>
      </c>
      <c r="J15" s="68">
        <f>SUM('Sheet2 (5)'!AP14:AT14)/10000</f>
        <v>24.794833999999998</v>
      </c>
      <c r="K15" s="74">
        <f>SUM('Sheet2 (5)'!AU14:AZ14)/10000</f>
        <v>136.28185200000001</v>
      </c>
      <c r="L15" s="74">
        <f>SUM('Sheet2 (5)'!BA14:BF14)/10000</f>
        <v>92.628816</v>
      </c>
      <c r="M15" s="74">
        <f>SUM('Sheet2 (5)'!BG14:BM14)/10000</f>
        <v>282.38109600000001</v>
      </c>
      <c r="N15" s="86">
        <f>SUM('Sheet2 (5)'!BN14:BQ14)/10000</f>
        <v>157.50646599999996</v>
      </c>
      <c r="O15" s="86">
        <f>SUM('Sheet2 (5)'!BR14:BW14)/10000</f>
        <v>57.020993000000004</v>
      </c>
      <c r="P15" s="86">
        <f>SUM('Sheet2 (5)'!BX14:CC14)/10000</f>
        <v>139.38056999999998</v>
      </c>
      <c r="Q15" s="86">
        <f>SUM('Sheet2 (5)'!CD14:CI14)/10000</f>
        <v>147.48594900000001</v>
      </c>
      <c r="R15" s="86">
        <f>SUM('Sheet2 (5)'!CJ14:CO14)/10000</f>
        <v>302.52249399999999</v>
      </c>
      <c r="S15" s="86">
        <f>SUM('Sheet2 (5)'!CP14:CU14)/10000</f>
        <v>54.747358999999996</v>
      </c>
      <c r="T15" s="85">
        <f t="shared" si="4"/>
        <v>-247.77513500000001</v>
      </c>
      <c r="U15" s="14">
        <f t="shared" si="3"/>
        <v>-3.4910354091890006</v>
      </c>
      <c r="V15" s="75">
        <f>SUM('Sheet2 (5)'!CO14:CU14)/10000</f>
        <v>56.169359</v>
      </c>
    </row>
    <row r="16" spans="2:26" ht="19.95" hidden="1" customHeight="1" outlineLevel="1" x14ac:dyDescent="0.35">
      <c r="B16" s="11"/>
      <c r="C16" s="76" t="s">
        <v>28</v>
      </c>
      <c r="D16" s="12" t="s">
        <v>29</v>
      </c>
      <c r="E16" s="13">
        <f>SUM('[1]Sheet2 (3)'!F15,'[1]Sheet2 (3)'!H15:N15)/10000</f>
        <v>3447.4701229999996</v>
      </c>
      <c r="F16" s="13">
        <f>SUM('[1]Sheet2 (3)'!O15:U15)/10000</f>
        <v>2265.0777859999998</v>
      </c>
      <c r="G16" s="13">
        <f>SUM('[1]Sheet2 (3)'!V15:AB15)/10000</f>
        <v>5049.9300030000004</v>
      </c>
      <c r="H16" s="47">
        <f>SUM('Sheet2 (5)'!AC15:AI15)/10000</f>
        <v>4897.8008180000006</v>
      </c>
      <c r="I16" s="58">
        <f>SUM('Sheet2 (5)'!AJ15:AO15)/10000</f>
        <v>6057.7854859999998</v>
      </c>
      <c r="J16" s="68">
        <f>SUM('Sheet2 (5)'!AP15:AT15)/10000</f>
        <v>1658.8612479999999</v>
      </c>
      <c r="K16" s="74">
        <f>SUM('Sheet2 (5)'!AU15:AZ15)/10000</f>
        <v>2834.4722189999998</v>
      </c>
      <c r="L16" s="74">
        <f>SUM('Sheet2 (5)'!BA15:BF15)/10000</f>
        <v>1971.048325</v>
      </c>
      <c r="M16" s="74">
        <f>SUM('Sheet2 (5)'!BG15:BM15)/10000</f>
        <v>2606.6583630000005</v>
      </c>
      <c r="N16" s="86">
        <f>SUM('Sheet2 (5)'!BN15:BQ15)/10000</f>
        <v>5195.6080999999995</v>
      </c>
      <c r="O16" s="86">
        <f>SUM('Sheet2 (5)'!BR15:BW15)/10000</f>
        <v>3604.0524510000005</v>
      </c>
      <c r="P16" s="86">
        <f>SUM('Sheet2 (5)'!BX15:CC15)/10000</f>
        <v>4861.5459729999993</v>
      </c>
      <c r="Q16" s="86">
        <f>SUM('Sheet2 (5)'!CD15:CI15)/10000</f>
        <v>1690.4885059999999</v>
      </c>
      <c r="R16" s="86">
        <f>SUM('Sheet2 (5)'!CJ15:CO15)/10000</f>
        <v>4837.7547589999986</v>
      </c>
      <c r="S16" s="86">
        <f>SUM('Sheet2 (5)'!CP15:CU15)/10000</f>
        <v>2279.7844890000001</v>
      </c>
      <c r="T16" s="85">
        <f t="shared" si="4"/>
        <v>-2557.9702699999984</v>
      </c>
      <c r="U16" s="14">
        <f t="shared" si="3"/>
        <v>-0.74198475367033623</v>
      </c>
      <c r="V16" s="75">
        <f>SUM('Sheet2 (5)'!CO15:CU15)/10000</f>
        <v>3012.1849899999997</v>
      </c>
    </row>
    <row r="17" spans="2:22" ht="19.95" hidden="1" customHeight="1" outlineLevel="1" x14ac:dyDescent="0.35">
      <c r="B17" s="11"/>
      <c r="C17" s="76" t="s">
        <v>30</v>
      </c>
      <c r="D17" s="12" t="s">
        <v>31</v>
      </c>
      <c r="E17" s="13">
        <f>SUM('[1]Sheet2 (3)'!F16,'[1]Sheet2 (3)'!H16:N16)/10000</f>
        <v>28.064932000000002</v>
      </c>
      <c r="F17" s="13">
        <f>SUM('[1]Sheet2 (3)'!O16:U16)/10000</f>
        <v>40.739547999999999</v>
      </c>
      <c r="G17" s="13">
        <f>SUM('[1]Sheet2 (3)'!V16:AB16)/10000</f>
        <v>11.402576</v>
      </c>
      <c r="H17" s="47">
        <f>SUM('Sheet2 (5)'!AC16:AI16)/10000</f>
        <v>5.5484400000000003</v>
      </c>
      <c r="I17" s="58">
        <f>SUM('Sheet2 (5)'!AJ16:AO16)/10000</f>
        <v>5.3969800000000001</v>
      </c>
      <c r="J17" s="68">
        <f>SUM('Sheet2 (5)'!AP16:AT16)/10000</f>
        <v>8.7100899999999992</v>
      </c>
      <c r="K17" s="74">
        <f>SUM('Sheet2 (5)'!AU16:AZ16)/10000</f>
        <v>4.3200000000000002E-2</v>
      </c>
      <c r="L17" s="74">
        <f>SUM('Sheet2 (5)'!BA16:BF16)/10000</f>
        <v>8.9716480000000001</v>
      </c>
      <c r="M17" s="74">
        <f>SUM('Sheet2 (5)'!BG16:BM16)/10000</f>
        <v>7.6754240000000005</v>
      </c>
      <c r="N17" s="86">
        <f>SUM('Sheet2 (5)'!BN16:BQ16)/10000</f>
        <v>14.165535999999999</v>
      </c>
      <c r="O17" s="86">
        <f>SUM('Sheet2 (5)'!BR16:BW16)/10000</f>
        <v>18.399623999999999</v>
      </c>
      <c r="P17" s="86">
        <f>SUM('Sheet2 (5)'!BX16:CC16)/10000</f>
        <v>9.9709219999999998</v>
      </c>
      <c r="Q17" s="86">
        <f>SUM('Sheet2 (5)'!CD16:CI16)/10000</f>
        <v>18.431601999999998</v>
      </c>
      <c r="R17" s="86">
        <f>SUM('Sheet2 (5)'!CJ16:CO16)/10000</f>
        <v>7.7982479999999992</v>
      </c>
      <c r="S17" s="86">
        <f>SUM('Sheet2 (5)'!CP16:CU16)/10000</f>
        <v>1.162048</v>
      </c>
      <c r="T17" s="85">
        <f t="shared" si="4"/>
        <v>-6.6361999999999988</v>
      </c>
      <c r="U17" s="14">
        <f t="shared" si="3"/>
        <v>-0.23645879491174246</v>
      </c>
      <c r="V17" s="75">
        <f>SUM('Sheet2 (5)'!CO16:CU16)/10000</f>
        <v>8.8282959999999999</v>
      </c>
    </row>
    <row r="18" spans="2:22" ht="19.95" hidden="1" customHeight="1" outlineLevel="1" x14ac:dyDescent="0.35">
      <c r="B18" s="11"/>
      <c r="C18" s="76" t="s">
        <v>32</v>
      </c>
      <c r="D18" s="12" t="s">
        <v>33</v>
      </c>
      <c r="E18" s="13">
        <f>SUM('[1]Sheet2 (3)'!F17,'[1]Sheet2 (3)'!H17:N17)/10000</f>
        <v>60.042795999999996</v>
      </c>
      <c r="F18" s="13">
        <f>SUM('[1]Sheet2 (3)'!O17:U17)/10000</f>
        <v>0</v>
      </c>
      <c r="G18" s="13">
        <f>SUM('[1]Sheet2 (3)'!V17:AB17)/10000</f>
        <v>1.0760190000000001</v>
      </c>
      <c r="H18" s="47">
        <f>SUM('Sheet2 (5)'!AC17:AI17)/10000</f>
        <v>0</v>
      </c>
      <c r="I18" s="58">
        <f>SUM('Sheet2 (5)'!AJ17:AO17)/10000</f>
        <v>0</v>
      </c>
      <c r="J18" s="68">
        <f>SUM('Sheet2 (5)'!AP17:AT17)/10000</f>
        <v>0</v>
      </c>
      <c r="K18" s="74">
        <f>SUM('Sheet2 (5)'!AU17:AZ17)/10000</f>
        <v>0.1152</v>
      </c>
      <c r="L18" s="74">
        <f>SUM('Sheet2 (5)'!BA17:BF17)/10000</f>
        <v>0</v>
      </c>
      <c r="M18" s="74">
        <f>SUM('Sheet2 (5)'!BG17:BM17)/10000</f>
        <v>12.002483</v>
      </c>
      <c r="N18" s="86">
        <f>SUM('Sheet2 (5)'!BN17:BQ17)/10000</f>
        <v>82.783199999999994</v>
      </c>
      <c r="O18" s="86">
        <f>SUM('Sheet2 (5)'!BR17:BW17)/10000</f>
        <v>0</v>
      </c>
      <c r="P18" s="86">
        <f>SUM('Sheet2 (5)'!BX17:CC17)/10000</f>
        <v>0</v>
      </c>
      <c r="Q18" s="86">
        <f>SUM('Sheet2 (5)'!CD17:CI17)/10000</f>
        <v>0</v>
      </c>
      <c r="R18" s="86">
        <f>SUM('Sheet2 (5)'!CJ17:CO17)/10000</f>
        <v>0</v>
      </c>
      <c r="S18" s="86">
        <f>SUM('Sheet2 (5)'!CP17:CU17)/10000</f>
        <v>0</v>
      </c>
      <c r="T18" s="85">
        <f t="shared" si="4"/>
        <v>0</v>
      </c>
      <c r="U18" s="14">
        <f t="shared" si="3"/>
        <v>0</v>
      </c>
      <c r="V18" s="75">
        <f>SUM('Sheet2 (5)'!CO17:CU17)/10000</f>
        <v>0</v>
      </c>
    </row>
    <row r="19" spans="2:22" ht="19.95" hidden="1" customHeight="1" outlineLevel="1" x14ac:dyDescent="0.35">
      <c r="B19" s="11"/>
      <c r="C19" s="76" t="s">
        <v>34</v>
      </c>
      <c r="D19" s="12" t="s">
        <v>35</v>
      </c>
      <c r="E19" s="13">
        <f>SUM('[1]Sheet2 (3)'!F18,'[1]Sheet2 (3)'!H18:N18)/10000</f>
        <v>0</v>
      </c>
      <c r="F19" s="13">
        <f>SUM('[1]Sheet2 (3)'!O18:U18)/10000</f>
        <v>0</v>
      </c>
      <c r="G19" s="13">
        <f>SUM('[1]Sheet2 (3)'!V18:AB18)/10000</f>
        <v>0.25948000000000004</v>
      </c>
      <c r="H19" s="47">
        <f>SUM('Sheet2 (5)'!AC18:AI18)/10000</f>
        <v>0.22206399999999998</v>
      </c>
      <c r="I19" s="58">
        <f>SUM('Sheet2 (5)'!AJ18:AO18)/10000</f>
        <v>0.117781</v>
      </c>
      <c r="J19" s="68">
        <f>SUM('Sheet2 (5)'!AP18:AT18)/10000</f>
        <v>0.39711299999999999</v>
      </c>
      <c r="K19" s="74">
        <f>SUM('Sheet2 (5)'!AU18:AZ18)/10000</f>
        <v>0.34503299999999998</v>
      </c>
      <c r="L19" s="74">
        <f>SUM('Sheet2 (5)'!BA18:BF18)/10000</f>
        <v>5.3703330000000005</v>
      </c>
      <c r="M19" s="74">
        <f>SUM('Sheet2 (5)'!BG18:BM18)/10000</f>
        <v>0.19184299999999999</v>
      </c>
      <c r="N19" s="86">
        <f>SUM('Sheet2 (5)'!BN18:BQ18)/10000</f>
        <v>0.39602200000000004</v>
      </c>
      <c r="O19" s="86">
        <f>SUM('Sheet2 (5)'!BR18:BW18)/10000</f>
        <v>0.26802600000000004</v>
      </c>
      <c r="P19" s="86">
        <f>SUM('Sheet2 (5)'!BX18:CC18)/10000</f>
        <v>0.54527099999999995</v>
      </c>
      <c r="Q19" s="86">
        <f>SUM('Sheet2 (5)'!CD18:CI18)/10000</f>
        <v>0.52005499999999993</v>
      </c>
      <c r="R19" s="86">
        <f>SUM('Sheet2 (5)'!CJ18:CO18)/10000</f>
        <v>6.7099000000000006E-2</v>
      </c>
      <c r="S19" s="86">
        <f>SUM('Sheet2 (5)'!CP18:CU18)/10000</f>
        <v>0.15737799999999999</v>
      </c>
      <c r="T19" s="85">
        <f t="shared" si="4"/>
        <v>9.0278999999999984E-2</v>
      </c>
      <c r="U19" s="14">
        <f t="shared" si="3"/>
        <v>0</v>
      </c>
      <c r="V19" s="75">
        <f>SUM('Sheet2 (5)'!CO18:CU18)/10000</f>
        <v>0.17916600000000002</v>
      </c>
    </row>
    <row r="20" spans="2:22" ht="19.95" hidden="1" customHeight="1" outlineLevel="1" x14ac:dyDescent="0.35">
      <c r="B20" s="11"/>
      <c r="C20" s="76" t="s">
        <v>36</v>
      </c>
      <c r="D20" s="15" t="s">
        <v>37</v>
      </c>
      <c r="E20" s="13">
        <f>SUM('[1]Sheet2 (3)'!F19,'[1]Sheet2 (3)'!H19:N19)/10000</f>
        <v>58.479329000000007</v>
      </c>
      <c r="F20" s="13">
        <f>SUM('[1]Sheet2 (3)'!O19:U19)/10000</f>
        <v>70.194466999999989</v>
      </c>
      <c r="G20" s="13">
        <f>SUM('[1]Sheet2 (3)'!V19:AB19)/10000</f>
        <v>44.345851999999994</v>
      </c>
      <c r="H20" s="47">
        <f>SUM('Sheet2 (5)'!AC19:AI19)/10000</f>
        <v>143.102259</v>
      </c>
      <c r="I20" s="58">
        <f>SUM('Sheet2 (5)'!AJ19:AO19)/10000</f>
        <v>50.626066000000002</v>
      </c>
      <c r="J20" s="68">
        <f>SUM('Sheet2 (5)'!AP19:AT19)/10000</f>
        <v>20.014619</v>
      </c>
      <c r="K20" s="74">
        <f>SUM('Sheet2 (5)'!AU19:AZ19)/10000</f>
        <v>41.140706999999992</v>
      </c>
      <c r="L20" s="74">
        <f>SUM('Sheet2 (5)'!BA19:BF19)/10000</f>
        <v>138.959915</v>
      </c>
      <c r="M20" s="74">
        <f>SUM('Sheet2 (5)'!BG19:BM19)/10000</f>
        <v>104.66426</v>
      </c>
      <c r="N20" s="86">
        <f>SUM('Sheet2 (5)'!BN19:BQ19)/10000</f>
        <v>2.9555179999999996</v>
      </c>
      <c r="O20" s="86">
        <f>SUM('Sheet2 (5)'!BR19:BW19)/10000</f>
        <v>71.322846999999996</v>
      </c>
      <c r="P20" s="86">
        <f>SUM('Sheet2 (5)'!BX19:CC19)/10000</f>
        <v>70.520521000000002</v>
      </c>
      <c r="Q20" s="86">
        <f>SUM('Sheet2 (5)'!CD19:CI19)/10000</f>
        <v>493.76254999999998</v>
      </c>
      <c r="R20" s="86">
        <f>SUM('Sheet2 (5)'!CJ19:CO19)/10000</f>
        <v>34.598936999999999</v>
      </c>
      <c r="S20" s="86">
        <f>SUM('Sheet2 (5)'!CP19:CU19)/10000</f>
        <v>59.910637999999992</v>
      </c>
      <c r="T20" s="85">
        <f t="shared" si="4"/>
        <v>25.311700999999992</v>
      </c>
      <c r="U20" s="14">
        <f t="shared" si="3"/>
        <v>0.43283159080022943</v>
      </c>
      <c r="V20" s="75">
        <f>SUM('Sheet2 (5)'!CO19:CU19)/10000</f>
        <v>71.012613999999985</v>
      </c>
    </row>
    <row r="21" spans="2:22" ht="19.95" hidden="1" customHeight="1" outlineLevel="1" x14ac:dyDescent="0.35">
      <c r="B21" s="11"/>
      <c r="C21" s="76" t="s">
        <v>38</v>
      </c>
      <c r="D21" s="15" t="s">
        <v>39</v>
      </c>
      <c r="E21" s="13">
        <f>SUM('[1]Sheet2 (3)'!F20,'[1]Sheet2 (3)'!H20:N20)/10000</f>
        <v>0</v>
      </c>
      <c r="F21" s="13">
        <f>SUM('[1]Sheet2 (3)'!O20:U20)/10000</f>
        <v>27.478730999999993</v>
      </c>
      <c r="G21" s="13">
        <f>SUM('[1]Sheet2 (3)'!V20:AB20)/10000</f>
        <v>53.850009999999997</v>
      </c>
      <c r="H21" s="47">
        <f>SUM('Sheet2 (5)'!AC20:AI20)/10000</f>
        <v>49.301992999999996</v>
      </c>
      <c r="I21" s="58">
        <f>SUM('Sheet2 (5)'!AJ20:AO20)/10000</f>
        <v>84.445059999999998</v>
      </c>
      <c r="J21" s="68">
        <f>SUM('Sheet2 (5)'!AP20:AT20)/10000</f>
        <v>35.336310999999995</v>
      </c>
      <c r="K21" s="74">
        <f>SUM('Sheet2 (5)'!AU20:AZ20)/10000</f>
        <v>30.417447999999997</v>
      </c>
      <c r="L21" s="74">
        <f>SUM('Sheet2 (5)'!BA20:BF20)/10000</f>
        <v>51.536919999999995</v>
      </c>
      <c r="M21" s="74">
        <f>SUM('Sheet2 (5)'!BG20:BM20)/10000</f>
        <v>141.53792099999998</v>
      </c>
      <c r="N21" s="86">
        <f>SUM('Sheet2 (5)'!BN20:BQ20)/10000</f>
        <v>32.280867000000001</v>
      </c>
      <c r="O21" s="86">
        <f>SUM('Sheet2 (5)'!BR20:BW20)/10000</f>
        <v>61.073006999999997</v>
      </c>
      <c r="P21" s="86">
        <f>SUM('Sheet2 (5)'!BX20:CC20)/10000</f>
        <v>52.375415000000004</v>
      </c>
      <c r="Q21" s="86">
        <f>SUM('Sheet2 (5)'!CD20:CI20)/10000</f>
        <v>83.131333000000012</v>
      </c>
      <c r="R21" s="86">
        <f>SUM('Sheet2 (5)'!CJ20:CO20)/10000</f>
        <v>67.808165000000002</v>
      </c>
      <c r="S21" s="86">
        <f>SUM('Sheet2 (5)'!CP20:CU20)/10000</f>
        <v>10.966680999999999</v>
      </c>
      <c r="T21" s="85">
        <f t="shared" si="4"/>
        <v>-56.841484000000001</v>
      </c>
      <c r="U21" s="14">
        <f t="shared" si="3"/>
        <v>0</v>
      </c>
      <c r="V21" s="75">
        <f>SUM('Sheet2 (5)'!CO20:CU20)/10000</f>
        <v>34.676206999999998</v>
      </c>
    </row>
    <row r="22" spans="2:22" ht="19.95" hidden="1" customHeight="1" outlineLevel="1" x14ac:dyDescent="0.35">
      <c r="B22" s="16"/>
      <c r="C22" s="76" t="s">
        <v>40</v>
      </c>
      <c r="D22" s="12" t="s">
        <v>41</v>
      </c>
      <c r="E22" s="13">
        <f>SUM('[1]Sheet2 (3)'!F21,'[1]Sheet2 (3)'!H21:N21)/10000</f>
        <v>151.08976700000002</v>
      </c>
      <c r="F22" s="13">
        <f>SUM('[1]Sheet2 (3)'!O21:U21)/10000</f>
        <v>550.19593299999997</v>
      </c>
      <c r="G22" s="13">
        <f>SUM('[1]Sheet2 (3)'!V21:AB21)/10000</f>
        <v>723.23001599999998</v>
      </c>
      <c r="H22" s="47">
        <f>SUM('Sheet2 (5)'!AC21:AI21)/10000</f>
        <v>717.57975199999998</v>
      </c>
      <c r="I22" s="58">
        <f>SUM('Sheet2 (5)'!AJ21:AO21)/10000</f>
        <v>590.75257999999997</v>
      </c>
      <c r="J22" s="68">
        <f>SUM('Sheet2 (5)'!AP21:AT21)/10000</f>
        <v>80.788872999999995</v>
      </c>
      <c r="K22" s="74">
        <f>SUM('Sheet2 (5)'!AU21:AZ21)/10000</f>
        <v>60.936762000000002</v>
      </c>
      <c r="L22" s="74">
        <f>SUM('Sheet2 (5)'!BA21:BF21)/10000</f>
        <v>1589.1962330000001</v>
      </c>
      <c r="M22" s="74">
        <f>SUM('Sheet2 (5)'!BG21:BM21)/10000</f>
        <v>258.08096499999999</v>
      </c>
      <c r="N22" s="86">
        <f>SUM('Sheet2 (5)'!BN21:BQ21)/10000</f>
        <v>134.133926</v>
      </c>
      <c r="O22" s="86">
        <f>SUM('Sheet2 (5)'!BR21:BW21)/10000</f>
        <v>599.968388</v>
      </c>
      <c r="P22" s="86">
        <f>SUM('Sheet2 (5)'!BX21:CC21)/10000</f>
        <v>835.67730300000005</v>
      </c>
      <c r="Q22" s="86">
        <f>SUM('Sheet2 (5)'!CD21:CI21)/10000</f>
        <v>503.40101499999992</v>
      </c>
      <c r="R22" s="86">
        <f>SUM('Sheet2 (5)'!CJ21:CO21)/10000</f>
        <v>159.512032</v>
      </c>
      <c r="S22" s="86">
        <f>SUM('Sheet2 (5)'!CP21:CU21)/10000</f>
        <v>262.91315600000001</v>
      </c>
      <c r="T22" s="85">
        <f t="shared" si="4"/>
        <v>103.40112400000001</v>
      </c>
      <c r="U22" s="14">
        <f t="shared" si="3"/>
        <v>0.68436880970238045</v>
      </c>
      <c r="V22" s="75">
        <f>SUM('Sheet2 (5)'!CO21:CU21)/10000</f>
        <v>355.000787</v>
      </c>
    </row>
    <row r="23" spans="2:22" s="7" customFormat="1" ht="24" customHeight="1" collapsed="1" x14ac:dyDescent="0.35">
      <c r="B23" s="17"/>
      <c r="C23" s="106" t="s">
        <v>42</v>
      </c>
      <c r="D23" s="108"/>
      <c r="E23" s="9">
        <f>SUM(E24:E36)</f>
        <v>23920.318240000001</v>
      </c>
      <c r="F23" s="9">
        <f>SUM(F24:F36)</f>
        <v>11342.668796000002</v>
      </c>
      <c r="G23" s="9">
        <f>SUM(G24:G36)</f>
        <v>3999.3527429999999</v>
      </c>
      <c r="H23" s="49">
        <f>SUM(H24:H36)</f>
        <v>8612.5992299999998</v>
      </c>
      <c r="I23" s="57">
        <v>6664</v>
      </c>
      <c r="J23" s="69">
        <f>SUM('Sheet2 (5)'!AP22:AT22)/10000</f>
        <v>9739.0929330000035</v>
      </c>
      <c r="K23" s="60">
        <f>SUM('Sheet2 (5)'!AU22:AZ22)/10000</f>
        <v>2827.2924149999999</v>
      </c>
      <c r="L23" s="60">
        <f>SUM('Sheet2 (5)'!BA22:BF22)/10000</f>
        <v>6157.9725629999984</v>
      </c>
      <c r="M23" s="60">
        <f>SUM('Sheet2 (5)'!BG22:BM22)/10000</f>
        <v>12111.909960000001</v>
      </c>
      <c r="N23" s="60">
        <f>SUM('Sheet2 (5)'!BN22:BQ22)/10000</f>
        <v>2242.0493299999998</v>
      </c>
      <c r="O23" s="60">
        <f>SUM('Sheet2 (5)'!BR22:BW22)/10000</f>
        <v>8384.9569040000006</v>
      </c>
      <c r="P23" s="72">
        <f>SUM('Sheet2 (5)'!BX22:CC22)/10000</f>
        <v>8965.1657500000001</v>
      </c>
      <c r="Q23" s="89">
        <f>SUM('Sheet2 (5)'!CD22:CI22)/10000</f>
        <v>8149.1773930000008</v>
      </c>
      <c r="R23" s="89">
        <f>SUM('Sheet2 (5)'!CJ22:CO22)/10000</f>
        <v>16502.535496</v>
      </c>
      <c r="S23" s="89">
        <f>SUM('Sheet2 (5)'!CP22:CU22)/10000</f>
        <v>5592.9591289999998</v>
      </c>
      <c r="T23" s="72">
        <f t="shared" si="4"/>
        <v>-10909.576367000001</v>
      </c>
      <c r="U23" s="10">
        <f t="shared" si="3"/>
        <v>-0.45607990067443188</v>
      </c>
      <c r="V23" s="6">
        <f>SUM('Sheet2 (5)'!CO22:CU22)/10000</f>
        <v>15441.897357000002</v>
      </c>
    </row>
    <row r="24" spans="2:22" ht="19.95" customHeight="1" x14ac:dyDescent="0.35">
      <c r="B24" s="11"/>
      <c r="C24" s="24" t="s">
        <v>14</v>
      </c>
      <c r="D24" s="12" t="s">
        <v>102</v>
      </c>
      <c r="E24" s="13">
        <f>SUM('[1]Sheet2 (3)'!F23,'[1]Sheet2 (3)'!H23:N23)/10000</f>
        <v>1818.1386069999996</v>
      </c>
      <c r="F24" s="13">
        <f>SUM('[1]Sheet2 (3)'!O23:U23)/10000</f>
        <v>576.9024609999999</v>
      </c>
      <c r="G24" s="13">
        <f>SUM('[1]Sheet2 (3)'!V23:AB23)/10000</f>
        <v>440.49438700000002</v>
      </c>
      <c r="H24" s="47">
        <f>SUM('Sheet2 (5)'!AC23:AI23)/10000</f>
        <v>4880.6525030000003</v>
      </c>
      <c r="I24" s="58">
        <f>(SUM('Sheet2 (5)'!AJ23:AO23))/10000</f>
        <v>3446.9097869999996</v>
      </c>
      <c r="J24" s="70">
        <f>SUM('Sheet2 (5)'!AP23:AT23)/10000</f>
        <v>1228.648281</v>
      </c>
      <c r="K24" s="62">
        <f>SUM('Sheet2 (5)'!AU23:AZ23)/10000</f>
        <v>1766.0401220000003</v>
      </c>
      <c r="L24" s="62">
        <f>SUM('Sheet2 (5)'!BA23:BF23)/10000</f>
        <v>1039.7659189999995</v>
      </c>
      <c r="M24" s="62">
        <f>SUM('Sheet2 (5)'!BG23:BM23)/10000</f>
        <v>4517.3872929999989</v>
      </c>
      <c r="N24" s="62">
        <f>SUM('Sheet2 (5)'!BN23:BQ23)/10000</f>
        <v>1085.2895510000001</v>
      </c>
      <c r="O24" s="62">
        <f>SUM('Sheet2 (5)'!BR23:BW23)/10000</f>
        <v>1342.8435830000001</v>
      </c>
      <c r="P24" s="85">
        <f>SUM('Sheet2 (5)'!BX23:CC23)/10000</f>
        <v>1039.685563</v>
      </c>
      <c r="Q24" s="86">
        <f>SUM('Sheet2 (5)'!CD23:CI23)/10000</f>
        <v>2720.579154</v>
      </c>
      <c r="R24" s="86">
        <f>SUM('Sheet2 (5)'!CJ23:CO23)/10000</f>
        <v>4242.8395129999999</v>
      </c>
      <c r="S24" s="86">
        <f>SUM('Sheet2 (5)'!CP23:CU23)/10000</f>
        <v>673.61783500000001</v>
      </c>
      <c r="T24" s="85">
        <f t="shared" si="4"/>
        <v>-3569.2216779999999</v>
      </c>
      <c r="U24" s="14">
        <f t="shared" si="3"/>
        <v>-1.9631185786706089</v>
      </c>
      <c r="V24" s="75">
        <f>SUM('Sheet2 (5)'!CO23:CU23)/10000</f>
        <v>744.07135199999993</v>
      </c>
    </row>
    <row r="25" spans="2:22" ht="19.95" customHeight="1" x14ac:dyDescent="0.35">
      <c r="B25" s="11"/>
      <c r="C25" s="24" t="s">
        <v>16</v>
      </c>
      <c r="D25" s="12" t="s">
        <v>43</v>
      </c>
      <c r="E25" s="13">
        <f>SUM('[1]Sheet2 (3)'!F24,'[1]Sheet2 (3)'!H24:N24)/10000</f>
        <v>403.805204</v>
      </c>
      <c r="F25" s="13">
        <f>SUM('[1]Sheet2 (3)'!O24:U24)/10000</f>
        <v>1800.4818</v>
      </c>
      <c r="G25" s="13">
        <f>SUM('[1]Sheet2 (3)'!V24:AB24)/10000</f>
        <v>375.88679999999999</v>
      </c>
      <c r="H25" s="47">
        <f>SUM('Sheet2 (5)'!AC24:AI24)/10000</f>
        <v>2133.3461000000002</v>
      </c>
      <c r="I25" s="58">
        <f>(SUM('Sheet2 (5)'!AJ24:AO24))/10000</f>
        <v>1803.070082</v>
      </c>
      <c r="J25" s="70">
        <v>59</v>
      </c>
      <c r="K25" s="62">
        <f>SUM('Sheet2 (5)'!AU24:AZ24)/10000</f>
        <v>65.230400000000003</v>
      </c>
      <c r="L25" s="62">
        <f>SUM('Sheet2 (5)'!BA24:BF24)/10000</f>
        <v>320.45609999999999</v>
      </c>
      <c r="M25" s="62">
        <f>SUM('Sheet2 (5)'!BG24:BM24)/10000</f>
        <v>1236.2393</v>
      </c>
      <c r="N25" s="62">
        <f>SUM('Sheet2 (5)'!BN24:BQ24)/10000</f>
        <v>324.02280000000002</v>
      </c>
      <c r="O25" s="62">
        <f>SUM('Sheet2 (5)'!BR24:BW24)/10000</f>
        <v>781.14599999999996</v>
      </c>
      <c r="P25" s="85">
        <f>SUM('Sheet2 (5)'!BX24:CC24)/10000</f>
        <v>618.99</v>
      </c>
      <c r="Q25" s="86">
        <f>SUM('Sheet2 (5)'!CD24:CI24)/10000</f>
        <v>771.90300000000002</v>
      </c>
      <c r="R25" s="86">
        <f>SUM('Sheet2 (5)'!CJ24:CO24)/10000</f>
        <v>1171.2668060000001</v>
      </c>
      <c r="S25" s="86">
        <f>SUM('Sheet2 (5)'!CP24:CU24)/10000</f>
        <v>1248.8277</v>
      </c>
      <c r="T25" s="85">
        <f t="shared" si="4"/>
        <v>77.560893999999962</v>
      </c>
      <c r="U25" s="14">
        <f t="shared" si="3"/>
        <v>0.19207502338181842</v>
      </c>
      <c r="V25" s="75">
        <f>SUM('Sheet2 (5)'!CO24:CU24)/10000</f>
        <v>1575.870406</v>
      </c>
    </row>
    <row r="26" spans="2:22" ht="19.95" customHeight="1" x14ac:dyDescent="0.35">
      <c r="B26" s="11"/>
      <c r="C26" s="24" t="s">
        <v>18</v>
      </c>
      <c r="D26" s="12" t="s">
        <v>44</v>
      </c>
      <c r="E26" s="13">
        <f>SUM('[1]Sheet2 (3)'!F25,'[1]Sheet2 (3)'!H25:N25)/10000</f>
        <v>8003.4733930000011</v>
      </c>
      <c r="F26" s="13">
        <f>SUM('[1]Sheet2 (3)'!O25:U25)/10000</f>
        <v>7578.5556770000012</v>
      </c>
      <c r="G26" s="13">
        <f>SUM('[1]Sheet2 (3)'!V25:AB25)/10000</f>
        <v>95.24</v>
      </c>
      <c r="H26" s="47">
        <f>SUM('Sheet2 (5)'!AC25:AI25)/10000</f>
        <v>67.344999999999999</v>
      </c>
      <c r="I26" s="58">
        <f>(SUM('Sheet2 (5)'!AJ25:AO25))/10000</f>
        <v>79.010292000000007</v>
      </c>
      <c r="J26" s="70">
        <f>SUM('Sheet2 (5)'!AP25:AT25)/10000</f>
        <v>8011.3374209999993</v>
      </c>
      <c r="K26" s="62">
        <f>SUM('Sheet2 (5)'!AU25:AZ25)/10000</f>
        <v>344.54500000000002</v>
      </c>
      <c r="L26" s="62">
        <f>SUM('Sheet2 (5)'!BA25:BF25)/10000</f>
        <v>616.19869599999993</v>
      </c>
      <c r="M26" s="62">
        <f>SUM('Sheet2 (5)'!BG25:BM25)/10000</f>
        <v>26.10604</v>
      </c>
      <c r="N26" s="62">
        <f>SUM('Sheet2 (5)'!BN25:BQ25)/10000</f>
        <v>0</v>
      </c>
      <c r="O26" s="62">
        <f>SUM('Sheet2 (5)'!BR25:BW25)/10000</f>
        <v>4730.4020480000008</v>
      </c>
      <c r="P26" s="85">
        <f>SUM('Sheet2 (5)'!BX25:CC25)/10000</f>
        <v>341.07982600000008</v>
      </c>
      <c r="Q26" s="86">
        <f>SUM('Sheet2 (5)'!CD25:CI25)/10000</f>
        <v>6.9749999999999996</v>
      </c>
      <c r="R26" s="86">
        <f>SUM('Sheet2 (5)'!CJ25:CO25)/10000</f>
        <v>8698.8017490000002</v>
      </c>
      <c r="S26" s="86">
        <f>SUM('Sheet2 (5)'!CP25:CU25)/10000</f>
        <v>125.565546</v>
      </c>
      <c r="T26" s="85">
        <f t="shared" si="4"/>
        <v>-8573.2362030000004</v>
      </c>
      <c r="U26" s="14">
        <f t="shared" si="3"/>
        <v>-1.0711894426360342</v>
      </c>
      <c r="V26" s="75">
        <f>SUM('Sheet2 (5)'!CO25:CU25)/10000</f>
        <v>8821.6672949999993</v>
      </c>
    </row>
    <row r="27" spans="2:22" ht="19.95" customHeight="1" x14ac:dyDescent="0.35">
      <c r="B27" s="11"/>
      <c r="C27" s="24" t="s">
        <v>20</v>
      </c>
      <c r="D27" s="12" t="s">
        <v>45</v>
      </c>
      <c r="E27" s="13">
        <f>SUM('[1]Sheet2 (3)'!F26,'[1]Sheet2 (3)'!H26:N26)/10000</f>
        <v>0</v>
      </c>
      <c r="F27" s="13">
        <f>SUM('[1]Sheet2 (3)'!O26:U26)/10000</f>
        <v>0</v>
      </c>
      <c r="G27" s="13">
        <f>SUM('[1]Sheet2 (3)'!V26:AB26)/10000</f>
        <v>0</v>
      </c>
      <c r="H27" s="47">
        <f>SUM('Sheet2 (5)'!AC26:AI26)/10000</f>
        <v>0</v>
      </c>
      <c r="I27" s="58">
        <f>(SUM('Sheet2 (5)'!AJ26:AO26))/10000</f>
        <v>0</v>
      </c>
      <c r="J27" s="70">
        <f>SUM('Sheet2 (5)'!AP26:AU26)/10000</f>
        <v>53.620399999999997</v>
      </c>
      <c r="K27" s="62">
        <f>SUM('Sheet2 (5)'!AU26:AZ26)/10000</f>
        <v>5.28</v>
      </c>
      <c r="L27" s="62">
        <f>SUM('Sheet2 (5)'!BA26:BF26)/10000</f>
        <v>2.95</v>
      </c>
      <c r="M27" s="62">
        <f>SUM('Sheet2 (5)'!BG26:BM26)/10000</f>
        <v>0</v>
      </c>
      <c r="N27" s="62">
        <f>SUM('Sheet2 (5)'!BN26:BQ26)/10000</f>
        <v>0</v>
      </c>
      <c r="O27" s="62">
        <f>SUM('Sheet2 (5)'!BR26:BW26)/10000</f>
        <v>32.527500000000003</v>
      </c>
      <c r="P27" s="85">
        <f>SUM('Sheet2 (5)'!BX26:CC26)/10000</f>
        <v>661.78769199999999</v>
      </c>
      <c r="Q27" s="86">
        <f>SUM('Sheet2 (5)'!CD26:CI26)/10000</f>
        <v>240</v>
      </c>
      <c r="R27" s="86">
        <f>SUM('Sheet2 (5)'!CJ26:CO26)/10000</f>
        <v>38.743759999999995</v>
      </c>
      <c r="S27" s="86">
        <f>SUM('Sheet2 (5)'!CP26:CU26)/10000</f>
        <v>408.90805</v>
      </c>
      <c r="T27" s="85">
        <f t="shared" si="4"/>
        <v>370.16428999999999</v>
      </c>
      <c r="U27" s="14">
        <f t="shared" si="3"/>
        <v>0</v>
      </c>
      <c r="V27" s="75">
        <f>SUM('Sheet2 (5)'!CO26:CU26)/10000</f>
        <v>408.90805</v>
      </c>
    </row>
    <row r="28" spans="2:22" ht="19.95" customHeight="1" x14ac:dyDescent="0.35">
      <c r="B28" s="11"/>
      <c r="C28" s="24" t="s">
        <v>22</v>
      </c>
      <c r="D28" s="12" t="s">
        <v>46</v>
      </c>
      <c r="E28" s="13"/>
      <c r="F28" s="13"/>
      <c r="G28" s="13"/>
      <c r="H28" s="47">
        <f>SUM('Sheet2 (5)'!AC27:AI27)/10000</f>
        <v>16.4391</v>
      </c>
      <c r="I28" s="58">
        <f>(SUM('Sheet2 (5)'!AJ27:AO27))/10000</f>
        <v>0</v>
      </c>
      <c r="J28" s="70">
        <f>SUM('Sheet2 (5)'!AP27:AT27)/10000</f>
        <v>0</v>
      </c>
      <c r="K28" s="62">
        <f>SUM('Sheet2 (5)'!AU27:AZ27)/10000</f>
        <v>0</v>
      </c>
      <c r="L28" s="62">
        <f>SUM('Sheet2 (5)'!BA27:BF27)/10000</f>
        <v>61.061999999999998</v>
      </c>
      <c r="M28" s="62">
        <f>SUM('Sheet2 (5)'!BG27:BM27)/10000</f>
        <v>5.157</v>
      </c>
      <c r="N28" s="62">
        <f>SUM('Sheet2 (5)'!BN27:BQ27)/10000</f>
        <v>12.32</v>
      </c>
      <c r="O28" s="62">
        <f>SUM('Sheet2 (5)'!BR27:BW27)/10000</f>
        <v>0</v>
      </c>
      <c r="P28" s="85">
        <f>SUM('Sheet2 (5)'!BX27:CC27)/10000</f>
        <v>64.477320999999989</v>
      </c>
      <c r="Q28" s="86">
        <f>SUM('Sheet2 (5)'!CD27:CI27)/10000</f>
        <v>13.038500000000001</v>
      </c>
      <c r="R28" s="86">
        <f>SUM('Sheet2 (5)'!CJ27:CO27)/10000</f>
        <v>0</v>
      </c>
      <c r="S28" s="86">
        <f>SUM('Sheet2 (5)'!CP27:CU27)/10000</f>
        <v>20.135999999999999</v>
      </c>
      <c r="T28" s="85">
        <f t="shared" si="4"/>
        <v>20.135999999999999</v>
      </c>
      <c r="U28" s="14">
        <f t="shared" si="3"/>
        <v>0</v>
      </c>
      <c r="V28" s="75">
        <f>SUM('Sheet2 (5)'!CO27:CU27)/10000</f>
        <v>20.135999999999999</v>
      </c>
    </row>
    <row r="29" spans="2:22" ht="19.95" customHeight="1" x14ac:dyDescent="0.35">
      <c r="B29" s="11"/>
      <c r="C29" s="24" t="s">
        <v>24</v>
      </c>
      <c r="D29" s="12" t="s">
        <v>47</v>
      </c>
      <c r="E29" s="13"/>
      <c r="F29" s="13"/>
      <c r="G29" s="13"/>
      <c r="H29" s="47">
        <f>SUM('Sheet2 (5)'!AC28:AI28)/10000</f>
        <v>0</v>
      </c>
      <c r="I29" s="58">
        <f>(SUM('Sheet2 (5)'!AJ28:AO28))/10000</f>
        <v>5.6945300000000003</v>
      </c>
      <c r="J29" s="70">
        <f>SUM('Sheet2 (5)'!AP28:AT28)/10000</f>
        <v>24.878748000000002</v>
      </c>
      <c r="K29" s="62">
        <f>SUM('Sheet2 (5)'!AU28:AZ28)/10000</f>
        <v>39.380288</v>
      </c>
      <c r="L29" s="62">
        <f>SUM('Sheet2 (5)'!BA28:BF28)/10000</f>
        <v>6.9838199999999997</v>
      </c>
      <c r="M29" s="62">
        <f>SUM('Sheet2 (5)'!BG28:BM28)/10000</f>
        <v>160.36714499999999</v>
      </c>
      <c r="N29" s="62">
        <f>SUM('Sheet2 (5)'!BN28:BQ28)/10000</f>
        <v>0</v>
      </c>
      <c r="O29" s="62">
        <f>SUM('Sheet2 (5)'!BR28:BW28)/10000</f>
        <v>50.482465999999995</v>
      </c>
      <c r="P29" s="85">
        <f>SUM('Sheet2 (5)'!BX28:CC28)/10000</f>
        <v>56.610105000000004</v>
      </c>
      <c r="Q29" s="86">
        <f>SUM('Sheet2 (5)'!CD28:CI28)/10000</f>
        <v>18.238</v>
      </c>
      <c r="R29" s="86">
        <f>SUM('Sheet2 (5)'!CJ28:CO28)/10000</f>
        <v>62.392439000000003</v>
      </c>
      <c r="S29" s="86">
        <f>SUM('Sheet2 (5)'!CP28:CU28)/10000</f>
        <v>26.54682</v>
      </c>
      <c r="T29" s="85">
        <f t="shared" si="4"/>
        <v>-35.845618999999999</v>
      </c>
      <c r="U29" s="14">
        <f t="shared" si="3"/>
        <v>0</v>
      </c>
      <c r="V29" s="75">
        <f>SUM('Sheet2 (5)'!CO28:CU28)/10000</f>
        <v>26.54682</v>
      </c>
    </row>
    <row r="30" spans="2:22" ht="19.95" customHeight="1" x14ac:dyDescent="0.35">
      <c r="B30" s="11"/>
      <c r="C30" s="24" t="s">
        <v>26</v>
      </c>
      <c r="D30" s="15" t="s">
        <v>108</v>
      </c>
      <c r="E30" s="13"/>
      <c r="F30" s="13"/>
      <c r="G30" s="13"/>
      <c r="H30" s="47">
        <f>SUM('Sheet2 (5)'!AC29:AI29)/10000</f>
        <v>782.78320300000007</v>
      </c>
      <c r="I30" s="58">
        <f>(SUM('Sheet2 (5)'!AJ29:AO29))/10000</f>
        <v>0</v>
      </c>
      <c r="J30" s="70">
        <f>SUM('Sheet2 (5)'!AP29:AT29)/10000</f>
        <v>0.16150599999999998</v>
      </c>
      <c r="K30" s="62">
        <f>SUM('Sheet2 (5)'!AU29:AZ29)/10000</f>
        <v>9.17225</v>
      </c>
      <c r="L30" s="62">
        <f>SUM('Sheet2 (5)'!BA29:BF29)/10000</f>
        <v>41.755852000000004</v>
      </c>
      <c r="M30" s="62">
        <f>SUM('Sheet2 (5)'!BG29:BM29)/10000</f>
        <v>1479.262097</v>
      </c>
      <c r="N30" s="62">
        <f>SUM('Sheet2 (5)'!BN29:BQ29)/10000</f>
        <v>0</v>
      </c>
      <c r="O30" s="62">
        <f>SUM('Sheet2 (5)'!BR29:BW29)/10000</f>
        <v>1.332422</v>
      </c>
      <c r="P30" s="85">
        <f>SUM('Sheet2 (5)'!BX29:CC29)/10000</f>
        <v>5.2459229999999994</v>
      </c>
      <c r="Q30" s="86">
        <f>SUM('Sheet2 (5)'!CD29:CI29)/10000</f>
        <v>3077.1549880000002</v>
      </c>
      <c r="R30" s="86">
        <f>SUM('Sheet2 (5)'!CJ29:CO29)/10000</f>
        <v>0</v>
      </c>
      <c r="S30" s="86">
        <f>SUM('Sheet2 (5)'!CP29:CU29)/10000</f>
        <v>9.1923509999999986</v>
      </c>
      <c r="T30" s="85">
        <f t="shared" si="4"/>
        <v>9.1923509999999986</v>
      </c>
      <c r="U30" s="14">
        <f t="shared" si="3"/>
        <v>0</v>
      </c>
      <c r="V30" s="75">
        <f>SUM('Sheet2 (5)'!CO29:CU29)/10000</f>
        <v>9.1923509999999986</v>
      </c>
    </row>
    <row r="31" spans="2:22" ht="19.95" customHeight="1" x14ac:dyDescent="0.35">
      <c r="B31" s="11"/>
      <c r="C31" s="24" t="s">
        <v>28</v>
      </c>
      <c r="D31" s="15" t="s">
        <v>125</v>
      </c>
      <c r="E31" s="13">
        <f>SUM('[1]Sheet2 (3)'!F27,'[1]Sheet2 (3)'!H27:N27)/10000</f>
        <v>13.875</v>
      </c>
      <c r="F31" s="13">
        <f>SUM('[1]Sheet2 (3)'!O27:U27)/10000</f>
        <v>70.335999999999999</v>
      </c>
      <c r="G31" s="13">
        <f>SUM('[1]Sheet2 (3)'!V27:AB27)/10000</f>
        <v>2.46</v>
      </c>
      <c r="H31" s="47">
        <f>SUM('Sheet2 (5)'!AC30:AI30)/10000</f>
        <v>112.75453200000001</v>
      </c>
      <c r="I31" s="58">
        <f>(SUM('Sheet2 (5)'!AJ30:AO30))/10000</f>
        <v>252.730298</v>
      </c>
      <c r="J31" s="70">
        <f>SUM('Sheet2 (5)'!AP30:AT30)/10000</f>
        <v>98.131236000000001</v>
      </c>
      <c r="K31" s="62">
        <f>SUM('Sheet2 (5)'!AU30:AZ30)/10000</f>
        <v>167.91894500000001</v>
      </c>
      <c r="L31" s="62">
        <f>SUM('Sheet2 (5)'!BA30:BF30)/10000</f>
        <v>2836.8819990000002</v>
      </c>
      <c r="M31" s="62">
        <f>SUM('Sheet2 (5)'!BG30:BM30)/10000</f>
        <v>1516.827397</v>
      </c>
      <c r="N31" s="62">
        <f>SUM('Sheet2 (5)'!BN30:BQ30)/10000</f>
        <v>646.74546899999996</v>
      </c>
      <c r="O31" s="62">
        <f>SUM('Sheet2 (5)'!BR30:BW30)/10000</f>
        <v>170.442847</v>
      </c>
      <c r="P31" s="85">
        <f>SUM('Sheet2 (5)'!BX30:CC30)/10000</f>
        <v>4174.4319230000001</v>
      </c>
      <c r="Q31" s="86">
        <f>SUM('Sheet2 (5)'!CD30:CI30)/10000</f>
        <v>283.13108999999997</v>
      </c>
      <c r="R31" s="86">
        <f>SUM('Sheet2 (5)'!CJ30:CO30)/10000</f>
        <v>625.27118800000005</v>
      </c>
      <c r="S31" s="86">
        <f>SUM('Sheet2 (5)'!CP30:CU30)/10000</f>
        <v>1749.0625749999999</v>
      </c>
      <c r="T31" s="85">
        <f t="shared" si="4"/>
        <v>1123.7913869999998</v>
      </c>
      <c r="U31" s="14">
        <f t="shared" si="3"/>
        <v>80.993973837837814</v>
      </c>
      <c r="V31" s="75">
        <f>SUM('Sheet2 (5)'!CO30:CU30)/10000</f>
        <v>2099.096963</v>
      </c>
    </row>
    <row r="32" spans="2:22" ht="19.95" customHeight="1" x14ac:dyDescent="0.35">
      <c r="B32" s="11"/>
      <c r="C32" s="24" t="s">
        <v>30</v>
      </c>
      <c r="D32" s="15" t="s">
        <v>111</v>
      </c>
      <c r="E32" s="13">
        <f>SUM('[1]Sheet2 (3)'!F29,'[1]Sheet2 (3)'!H29:N29)/10000</f>
        <v>13155.979199000001</v>
      </c>
      <c r="F32" s="13">
        <f>SUM('[1]Sheet2 (3)'!O29:U29)/10000</f>
        <v>0</v>
      </c>
      <c r="G32" s="13">
        <f>SUM('[1]Sheet2 (3)'!V29:AB29)/10000</f>
        <v>50.849336999999998</v>
      </c>
      <c r="H32" s="47">
        <f>SUM('Sheet2 (5)'!AC31:AI31)/10000</f>
        <v>0</v>
      </c>
      <c r="I32" s="58">
        <f>(SUM('Sheet2 (5)'!AJ31:AO31))/10000</f>
        <v>222.01370699999998</v>
      </c>
      <c r="J32" s="70">
        <v>119</v>
      </c>
      <c r="K32" s="62">
        <f>SUM('Sheet2 (5)'!AU31:AZ31)/10000</f>
        <v>20.283488000000002</v>
      </c>
      <c r="L32" s="62">
        <f>SUM('Sheet2 (5)'!BA31:BF31)/10000</f>
        <v>517.09163699999999</v>
      </c>
      <c r="M32" s="62">
        <f>SUM('Sheet2 (5)'!BG31:BM31)/10000</f>
        <v>350.45854100000003</v>
      </c>
      <c r="N32" s="62">
        <f>SUM('Sheet2 (5)'!BN31:BQ31)/10000</f>
        <v>0.03</v>
      </c>
      <c r="O32" s="62">
        <f>SUM('Sheet2 (5)'!BR31:BW31)/10000</f>
        <v>79.686145999999994</v>
      </c>
      <c r="P32" s="85">
        <f>SUM('Sheet2 (5)'!BX31:CC31)/10000</f>
        <v>870.98910799999999</v>
      </c>
      <c r="Q32" s="86">
        <f>SUM('Sheet2 (5)'!CD31:CI31)/10000</f>
        <v>144.822811</v>
      </c>
      <c r="R32" s="86">
        <f>SUM('Sheet2 (5)'!CJ31:CO31)/10000</f>
        <v>563.45346799999993</v>
      </c>
      <c r="S32" s="86">
        <f>SUM('Sheet2 (5)'!CP31:CU31)/10000</f>
        <v>141.560474</v>
      </c>
      <c r="T32" s="85">
        <f t="shared" si="4"/>
        <v>-421.89299399999993</v>
      </c>
      <c r="U32" s="14">
        <f>IF(E32=0,0,T32/ABS(E32))</f>
        <v>-3.2068536109578862E-2</v>
      </c>
      <c r="V32" s="75">
        <f>SUM('Sheet2 (5)'!CO31:CU31)/10000</f>
        <v>490.57625200000007</v>
      </c>
    </row>
    <row r="33" spans="2:22" ht="19.95" customHeight="1" x14ac:dyDescent="0.35">
      <c r="B33" s="11"/>
      <c r="C33" s="26" t="s">
        <v>128</v>
      </c>
      <c r="D33" s="15" t="s">
        <v>127</v>
      </c>
      <c r="E33" s="13">
        <f>SUM('[1]Sheet2 (3)'!F31,'[1]Sheet2 (3)'!H31:N31)/10000</f>
        <v>0</v>
      </c>
      <c r="F33" s="13">
        <f>SUM('[1]Sheet2 (3)'!O31:U31)/10000</f>
        <v>324.34961400000003</v>
      </c>
      <c r="G33" s="13">
        <f>SUM('[1]Sheet2 (3)'!V31:AB31)/10000</f>
        <v>2409.6867230000003</v>
      </c>
      <c r="H33" s="47">
        <f>SUM('Sheet2 (5)'!AC32:AI32)/10000</f>
        <v>161.14635699999999</v>
      </c>
      <c r="I33" s="58">
        <f>(SUM('Sheet2 (5)'!AJ32:AO32))/10000</f>
        <v>79.277017999999998</v>
      </c>
      <c r="J33" s="70">
        <v>83</v>
      </c>
      <c r="K33" s="62">
        <f>SUM('Sheet2 (5)'!AU32:AZ32)/10000</f>
        <v>64.036068999999998</v>
      </c>
      <c r="L33" s="62">
        <f>SUM('Sheet2 (5)'!BA32:BF32)/10000</f>
        <v>89.378644999999977</v>
      </c>
      <c r="M33" s="62">
        <f>SUM('Sheet2 (5)'!BG32:BM32)/10000</f>
        <v>106.23997299999999</v>
      </c>
      <c r="N33" s="62">
        <f>SUM('Sheet2 (5)'!BN32:BQ32)/10000</f>
        <v>0</v>
      </c>
      <c r="O33" s="62">
        <f>SUM('Sheet2 (5)'!BR32:BW32)/10000</f>
        <v>31.056856000000007</v>
      </c>
      <c r="P33" s="85">
        <f>SUM('Sheet2 (5)'!BX32:CC32)/10000</f>
        <v>123.09182999999999</v>
      </c>
      <c r="Q33" s="86">
        <f>SUM('Sheet2 (5)'!CD32:CI32)/10000</f>
        <v>60.207159000000011</v>
      </c>
      <c r="R33" s="86">
        <f>SUM('Sheet2 (5)'!CJ32:CO32)/10000</f>
        <v>42.49566699999999</v>
      </c>
      <c r="S33" s="86">
        <f>SUM('Sheet2 (5)'!CP32:CU32)/10000</f>
        <v>191.41866500000012</v>
      </c>
      <c r="T33" s="85">
        <f t="shared" si="4"/>
        <v>148.92299800000012</v>
      </c>
      <c r="U33" s="14">
        <f t="shared" si="3"/>
        <v>0</v>
      </c>
      <c r="V33" s="75">
        <f>SUM('Sheet2 (5)'!CO32:CU32)/10000</f>
        <v>193.67983000000012</v>
      </c>
    </row>
    <row r="34" spans="2:22" ht="19.5" customHeight="1" x14ac:dyDescent="0.35">
      <c r="B34" s="11"/>
      <c r="C34" s="26" t="s">
        <v>129</v>
      </c>
      <c r="D34" s="15" t="s">
        <v>112</v>
      </c>
      <c r="E34" s="13">
        <f>SUM('[1]Sheet2 (3)'!F32,'[1]Sheet2 (3)'!H32:N32)/10000</f>
        <v>226.78059999999999</v>
      </c>
      <c r="F34" s="13">
        <f>SUM('[1]Sheet2 (3)'!O32:U32)/10000</f>
        <v>35.463500000000003</v>
      </c>
      <c r="G34" s="13">
        <f>SUM('[1]Sheet2 (3)'!V32:AB32)/10000</f>
        <v>23.686800000000002</v>
      </c>
      <c r="H34" s="47">
        <f>SUM('Sheet2 (5)'!AC33:AI33)/10000</f>
        <v>0</v>
      </c>
      <c r="I34" s="58">
        <f>(SUM('Sheet2 (5)'!AJ33:AO33))/10000</f>
        <v>97.549509</v>
      </c>
      <c r="J34" s="70">
        <f>SUM('Sheet2 (5)'!AP33:AT33)/10000</f>
        <v>5.9827719999999998</v>
      </c>
      <c r="K34" s="62">
        <f>SUM('Sheet2 (5)'!AU33:AZ33)/10000</f>
        <v>0.8772620000000001</v>
      </c>
      <c r="L34" s="62">
        <f>SUM('Sheet2 (5)'!BA33:BF33)/10000</f>
        <v>441.41212899999999</v>
      </c>
      <c r="M34" s="62">
        <f>SUM('Sheet2 (5)'!BG33:BM33)/10000</f>
        <v>339.31746600000002</v>
      </c>
      <c r="N34" s="62">
        <f>SUM('Sheet2 (5)'!BN33:BQ33)/10000</f>
        <v>0</v>
      </c>
      <c r="O34" s="62">
        <f>SUM('Sheet2 (5)'!BR33:BW33)/10000</f>
        <v>29.376603999999997</v>
      </c>
      <c r="P34" s="85">
        <f>SUM('Sheet2 (5)'!BX33:CC33)/10000</f>
        <v>268.69393600000001</v>
      </c>
      <c r="Q34" s="86">
        <f>SUM('Sheet2 (5)'!CD33:CI33)/10000</f>
        <v>664.67640600000004</v>
      </c>
      <c r="R34" s="86">
        <f>SUM('Sheet2 (5)'!CJ33:CO33)/10000</f>
        <v>1002.7884339999999</v>
      </c>
      <c r="S34" s="86">
        <f>SUM('Sheet2 (5)'!CP33:CU33)/10000</f>
        <v>124.401779</v>
      </c>
      <c r="T34" s="85">
        <f t="shared" si="4"/>
        <v>-878.38665499999991</v>
      </c>
      <c r="U34" s="14">
        <f t="shared" si="3"/>
        <v>-3.8732883456521412</v>
      </c>
      <c r="V34" s="75">
        <f>SUM('Sheet2 (5)'!CO33:CU33)/10000</f>
        <v>175.121421</v>
      </c>
    </row>
    <row r="35" spans="2:22" ht="19.95" customHeight="1" x14ac:dyDescent="0.35">
      <c r="B35" s="11"/>
      <c r="C35" s="26" t="s">
        <v>130</v>
      </c>
      <c r="D35" s="15" t="s">
        <v>113</v>
      </c>
      <c r="E35" s="13">
        <f>SUM('[1]Sheet2 (3)'!F33,'[1]Sheet2 (3)'!H33:N33)/10000</f>
        <v>0</v>
      </c>
      <c r="F35" s="13">
        <f>SUM('[1]Sheet2 (3)'!O33:U33)/10000</f>
        <v>33.581855000000004</v>
      </c>
      <c r="G35" s="13">
        <f>SUM('[1]Sheet2 (3)'!V33:AB33)/10000</f>
        <v>179.381934</v>
      </c>
      <c r="H35" s="47">
        <f>SUM('Sheet2 (5)'!AC34:AI34)/10000</f>
        <v>0</v>
      </c>
      <c r="I35" s="58">
        <f>(SUM('Sheet2 (5)'!AJ34:AO34))/10000</f>
        <v>114.2</v>
      </c>
      <c r="J35" s="70">
        <f>SUM('Sheet2 (5)'!AP34:AT34)/10000</f>
        <v>0</v>
      </c>
      <c r="K35" s="62">
        <f>SUM('Sheet2 (5)'!AU34:AZ34)/10000</f>
        <v>0</v>
      </c>
      <c r="L35" s="62">
        <f>SUM('Sheet2 (5)'!BA34:BF34)/10000</f>
        <v>38.710788000000001</v>
      </c>
      <c r="M35" s="62">
        <f>SUM('Sheet2 (5)'!BG34:BM34)/10000</f>
        <v>539.86229200000002</v>
      </c>
      <c r="N35" s="62">
        <f>SUM('Sheet2 (5)'!BN34:BQ34)/10000</f>
        <v>94.232268000000005</v>
      </c>
      <c r="O35" s="62">
        <f>SUM('Sheet2 (5)'!BR34:BW34)/10000</f>
        <v>19.4252</v>
      </c>
      <c r="P35" s="85">
        <f>SUM('Sheet2 (5)'!BX34:CC34)/10000</f>
        <v>125.54652800000001</v>
      </c>
      <c r="Q35" s="86">
        <f>SUM('Sheet2 (5)'!CD34:CI34)/10000</f>
        <v>59.45</v>
      </c>
      <c r="R35" s="86">
        <f>SUM('Sheet2 (5)'!CJ34:CO34)/10000</f>
        <v>33.247540000000001</v>
      </c>
      <c r="S35" s="86">
        <f>SUM('Sheet2 (5)'!CP34:CU34)/10000</f>
        <v>586.39524700000004</v>
      </c>
      <c r="T35" s="85">
        <f t="shared" si="4"/>
        <v>553.14770700000008</v>
      </c>
      <c r="U35" s="14">
        <f t="shared" si="3"/>
        <v>0</v>
      </c>
      <c r="V35" s="75">
        <f>SUM('Sheet2 (5)'!CO34:CU34)/10000</f>
        <v>586.39524700000004</v>
      </c>
    </row>
    <row r="36" spans="2:22" ht="19.95" customHeight="1" x14ac:dyDescent="0.35">
      <c r="B36" s="11"/>
      <c r="C36" s="26" t="s">
        <v>131</v>
      </c>
      <c r="D36" s="12" t="s">
        <v>109</v>
      </c>
      <c r="E36" s="13">
        <f>SUM('[1]Sheet2 (3)'!F34,'[1]Sheet2 (3)'!H34:N34)/10000</f>
        <v>298.26623699999999</v>
      </c>
      <c r="F36" s="13">
        <f>SUM('[1]Sheet2 (3)'!O34:U34)/10000</f>
        <v>922.99788899999987</v>
      </c>
      <c r="G36" s="13">
        <f>SUM('[1]Sheet2 (3)'!V34:AB34)/10000</f>
        <v>421.66676200000001</v>
      </c>
      <c r="H36" s="47">
        <f>SUM('Sheet2 (5)'!AC35:AI35)/10000</f>
        <v>458.13243499999999</v>
      </c>
      <c r="I36" s="58">
        <f>(SUM('Sheet2 (5)'!AJ35:AO35))/10000</f>
        <v>564.01389099999994</v>
      </c>
      <c r="J36" s="70">
        <f>SUM('Sheet2 (5)'!AP35:AT35)/10000</f>
        <v>55.871471</v>
      </c>
      <c r="K36" s="62">
        <f>SUM('Sheet2 (5)'!AU35:AZ35)/10000</f>
        <v>344.52859100000001</v>
      </c>
      <c r="L36" s="62">
        <f>SUM('Sheet2 (5)'!BA35:BF35)/10000</f>
        <v>145.32497800000002</v>
      </c>
      <c r="M36" s="62">
        <f>SUM('Sheet2 (5)'!BG35:BM35)/10000</f>
        <v>1834.685416</v>
      </c>
      <c r="N36" s="62">
        <f>SUM('Sheet2 (5)'!BN35:BQ35)/10000</f>
        <v>79.409242000000006</v>
      </c>
      <c r="O36" s="62">
        <f>SUM('Sheet2 (5)'!BR35:BW35)/10000</f>
        <v>1116.235232</v>
      </c>
      <c r="P36" s="85">
        <f>SUM('Sheet2 (5)'!BX35:CC35)/10000</f>
        <v>614.53599500000007</v>
      </c>
      <c r="Q36" s="86">
        <f>SUM('Sheet2 (5)'!CD35:CI35)/10000</f>
        <v>89.001284999999996</v>
      </c>
      <c r="R36" s="86">
        <f>SUM('Sheet2 (5)'!CJ35:CO35)/10000</f>
        <v>21.234931999999993</v>
      </c>
      <c r="S36" s="86">
        <f>SUM('Sheet2 (5)'!CP35:CU35)/10000</f>
        <v>287.32608700000003</v>
      </c>
      <c r="T36" s="85">
        <f t="shared" si="4"/>
        <v>266.09115500000001</v>
      </c>
      <c r="U36" s="14">
        <f t="shared" si="3"/>
        <v>0.8921263019119392</v>
      </c>
      <c r="V36" s="75">
        <f>SUM('Sheet2 (5)'!CO35:CU35)/10000</f>
        <v>290.63537000000002</v>
      </c>
    </row>
    <row r="37" spans="2:22" s="7" customFormat="1" ht="24" customHeight="1" x14ac:dyDescent="0.35">
      <c r="B37" s="106" t="s">
        <v>48</v>
      </c>
      <c r="C37" s="107"/>
      <c r="D37" s="108"/>
      <c r="E37" s="9">
        <f>E6+E7</f>
        <v>68000.528204000002</v>
      </c>
      <c r="F37" s="9">
        <f t="shared" ref="F37:S37" si="5">F6+F7</f>
        <v>62417.791620000004</v>
      </c>
      <c r="G37" s="9">
        <f t="shared" si="5"/>
        <v>69046.058727000011</v>
      </c>
      <c r="H37" s="9">
        <f t="shared" si="5"/>
        <v>71175.741357000006</v>
      </c>
      <c r="I37" s="48">
        <f t="shared" si="5"/>
        <v>71229.313120999999</v>
      </c>
      <c r="J37" s="71">
        <f t="shared" si="5"/>
        <v>66881.011125999998</v>
      </c>
      <c r="K37" s="60">
        <f t="shared" si="5"/>
        <v>70445.497948999997</v>
      </c>
      <c r="L37" s="60">
        <f t="shared" si="5"/>
        <v>74526.042985000007</v>
      </c>
      <c r="M37" s="60">
        <f t="shared" si="5"/>
        <v>69895.833627999993</v>
      </c>
      <c r="N37" s="60">
        <f t="shared" si="5"/>
        <v>76805.825954999993</v>
      </c>
      <c r="O37" s="60">
        <f t="shared" si="5"/>
        <v>78388.393511999995</v>
      </c>
      <c r="P37" s="60">
        <f t="shared" si="5"/>
        <v>82618.608874999991</v>
      </c>
      <c r="Q37" s="60">
        <f t="shared" si="5"/>
        <v>80070.942261999997</v>
      </c>
      <c r="R37" s="60">
        <f t="shared" si="5"/>
        <v>72768.018381999995</v>
      </c>
      <c r="S37" s="60">
        <f t="shared" si="5"/>
        <v>70627.162272000001</v>
      </c>
      <c r="T37" s="73" t="s">
        <v>49</v>
      </c>
      <c r="U37" s="18" t="s">
        <v>10</v>
      </c>
      <c r="V37" s="9">
        <f t="shared" ref="V37" si="6">V6+V7</f>
        <v>70627.106222999995</v>
      </c>
    </row>
    <row r="39" spans="2:22" x14ac:dyDescent="0.35"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</row>
  </sheetData>
  <mergeCells count="23">
    <mergeCell ref="P4:P5"/>
    <mergeCell ref="B37:D37"/>
    <mergeCell ref="Q4:Q5"/>
    <mergeCell ref="C8:D8"/>
    <mergeCell ref="C23:D23"/>
    <mergeCell ref="B6:D6"/>
    <mergeCell ref="B7:D7"/>
    <mergeCell ref="S4:S5"/>
    <mergeCell ref="R4:R5"/>
    <mergeCell ref="V4:V5"/>
    <mergeCell ref="B4:D5"/>
    <mergeCell ref="E4:E5"/>
    <mergeCell ref="F4:F5"/>
    <mergeCell ref="G4:G5"/>
    <mergeCell ref="H4:H5"/>
    <mergeCell ref="T4:U4"/>
    <mergeCell ref="I4:I5"/>
    <mergeCell ref="J4:J5"/>
    <mergeCell ref="K4:K5"/>
    <mergeCell ref="L4:L5"/>
    <mergeCell ref="M4:M5"/>
    <mergeCell ref="N4:N5"/>
    <mergeCell ref="O4:O5"/>
  </mergeCells>
  <phoneticPr fontId="7" type="noConversion"/>
  <conditionalFormatting sqref="W5:XFD5 A1:F5 T5:U5 A9:F22 A37:B37 A8:C8 E8:F8 A24:F31 A23:C23 E23:F23 A6:B7 E6:F6 A32:I36 X7:XFD36 T1:XFD4 T6:XFD6 A38:XFD1048576 U8:V8 E7:V7 E37:XFD37 T9:V36">
    <cfRule type="cellIs" dxfId="3" priority="6" operator="lessThan">
      <formula>0</formula>
    </cfRule>
  </conditionalFormatting>
  <conditionalFormatting sqref="G9:H22 G24:H31 J24:P36 G23:P23 G1:S6 G8:T8">
    <cfRule type="cellIs" dxfId="2" priority="5" operator="lessThan">
      <formula>0</formula>
    </cfRule>
  </conditionalFormatting>
  <conditionalFormatting sqref="I9:S9 I10:P22 Q10:S36">
    <cfRule type="cellIs" dxfId="1" priority="4" operator="lessThan">
      <formula>0</formula>
    </cfRule>
  </conditionalFormatting>
  <conditionalFormatting sqref="I24:I31">
    <cfRule type="cellIs" dxfId="0" priority="3" operator="lessThan">
      <formula>0</formula>
    </cfRule>
  </conditionalFormatting>
  <pageMargins left="0.7" right="0.7" top="0.75" bottom="0.75" header="0.3" footer="0.3"/>
  <pageSetup paperSize="9" orientation="portrait" r:id="rId1"/>
  <ignoredErrors>
    <ignoredError sqref="U24 T37:U37 E31:G31 E37 E24:H24 E36:G36 E25:G27 E33:G35 C9:C10 C11:C15 C16:C22 C24:C36" numberStoredAsText="1"/>
    <ignoredError sqref="U9:U10 I11 H12 H14:I21 H28:I28 H30 J27 J9:J22 U22 K11:K21 U25:U35 L14:L21 K25:L35 M24:M36 U14:U21 U11:U13 M11:M13 M14:M21 N24:N36 N10:N22 P14:P36 O14:O21 O12:O13 O22 O24:O36 Q11:Q36 R25:R35 R20:R21 S25:S35 S9:S22 R12:R17 R11 R18:R19 V14:V19" formulaRange="1"/>
    <ignoredError sqref="U8 U2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B36"/>
  <sheetViews>
    <sheetView showGridLines="0" workbookViewId="0">
      <pane xSplit="1" topLeftCell="CP1" activePane="topRight" state="frozen"/>
      <selection pane="topRight" activeCell="E4" sqref="E4:CU36"/>
    </sheetView>
  </sheetViews>
  <sheetFormatPr defaultColWidth="7.1796875" defaultRowHeight="15.6" x14ac:dyDescent="0.35"/>
  <cols>
    <col min="1" max="2" width="2.1796875" style="2" customWidth="1"/>
    <col min="3" max="3" width="3.08984375" style="2" customWidth="1"/>
    <col min="4" max="4" width="18.1796875" style="2" customWidth="1"/>
    <col min="5" max="44" width="14.81640625" style="2" customWidth="1"/>
    <col min="45" max="45" width="14.90625" style="2" customWidth="1"/>
    <col min="46" max="56" width="14.81640625" style="2" customWidth="1"/>
    <col min="57" max="57" width="13.90625" style="2" customWidth="1"/>
    <col min="58" max="58" width="14.90625" style="2" customWidth="1"/>
    <col min="59" max="64" width="13.90625" style="2" customWidth="1"/>
    <col min="65" max="65" width="14.1796875" style="2" customWidth="1"/>
    <col min="66" max="66" width="14.81640625" style="2" customWidth="1"/>
    <col min="67" max="67" width="14.36328125" style="2" customWidth="1"/>
    <col min="68" max="68" width="14.6328125" style="2" customWidth="1"/>
    <col min="69" max="69" width="15" style="2" customWidth="1"/>
    <col min="70" max="79" width="15.08984375" style="2" customWidth="1"/>
    <col min="80" max="80" width="15.1796875" style="2" customWidth="1"/>
    <col min="81" max="81" width="15.08984375" style="2" customWidth="1"/>
    <col min="82" max="97" width="14.08984375" style="2" customWidth="1"/>
    <col min="98" max="101" width="15.08984375" style="2" customWidth="1"/>
    <col min="102" max="16384" width="7.1796875" style="2"/>
  </cols>
  <sheetData>
    <row r="2" spans="2:106" ht="20.399999999999999" x14ac:dyDescent="0.35">
      <c r="B2" s="81" t="s">
        <v>162</v>
      </c>
      <c r="C2" s="81"/>
      <c r="D2" s="81"/>
      <c r="E2" s="3"/>
      <c r="F2" s="82"/>
      <c r="G2" s="82"/>
      <c r="H2" s="82"/>
    </row>
    <row r="3" spans="2:106" x14ac:dyDescent="0.35">
      <c r="AP3" s="3" t="s">
        <v>50</v>
      </c>
    </row>
    <row r="4" spans="2:106" ht="18" customHeight="1" x14ac:dyDescent="0.35">
      <c r="B4" s="20"/>
      <c r="C4" s="21"/>
      <c r="D4" s="22"/>
      <c r="E4" s="23" t="s">
        <v>51</v>
      </c>
      <c r="F4" s="24" t="s">
        <v>52</v>
      </c>
      <c r="G4" s="24" t="s">
        <v>53</v>
      </c>
      <c r="H4" s="24" t="s">
        <v>54</v>
      </c>
      <c r="I4" s="24" t="s">
        <v>55</v>
      </c>
      <c r="J4" s="24" t="s">
        <v>56</v>
      </c>
      <c r="K4" s="24" t="s">
        <v>57</v>
      </c>
      <c r="L4" s="24" t="s">
        <v>58</v>
      </c>
      <c r="M4" s="23" t="s">
        <v>59</v>
      </c>
      <c r="N4" s="24" t="s">
        <v>60</v>
      </c>
      <c r="O4" s="24" t="s">
        <v>61</v>
      </c>
      <c r="P4" s="24" t="s">
        <v>62</v>
      </c>
      <c r="Q4" s="24" t="s">
        <v>63</v>
      </c>
      <c r="R4" s="25" t="s">
        <v>64</v>
      </c>
      <c r="S4" s="26" t="s">
        <v>65</v>
      </c>
      <c r="T4" s="26" t="s">
        <v>66</v>
      </c>
      <c r="U4" s="26" t="s">
        <v>67</v>
      </c>
      <c r="V4" s="26" t="s">
        <v>68</v>
      </c>
      <c r="W4" s="26" t="s">
        <v>69</v>
      </c>
      <c r="X4" s="25" t="s">
        <v>70</v>
      </c>
      <c r="Y4" s="25" t="s">
        <v>71</v>
      </c>
      <c r="Z4" s="25" t="s">
        <v>72</v>
      </c>
      <c r="AA4" s="25" t="s">
        <v>73</v>
      </c>
      <c r="AB4" s="25" t="s">
        <v>74</v>
      </c>
      <c r="AC4" s="25" t="s">
        <v>75</v>
      </c>
      <c r="AD4" s="25" t="s">
        <v>76</v>
      </c>
      <c r="AE4" s="25" t="s">
        <v>77</v>
      </c>
      <c r="AF4" s="25" t="s">
        <v>78</v>
      </c>
      <c r="AG4" s="25" t="s">
        <v>79</v>
      </c>
      <c r="AH4" s="25" t="s">
        <v>80</v>
      </c>
      <c r="AI4" s="25" t="s">
        <v>81</v>
      </c>
      <c r="AJ4" s="25" t="s">
        <v>82</v>
      </c>
      <c r="AK4" s="25" t="s">
        <v>83</v>
      </c>
      <c r="AL4" s="25" t="s">
        <v>84</v>
      </c>
      <c r="AM4" s="25" t="s">
        <v>85</v>
      </c>
      <c r="AN4" s="25" t="s">
        <v>114</v>
      </c>
      <c r="AO4" s="50" t="s">
        <v>115</v>
      </c>
      <c r="AP4" s="50" t="s">
        <v>117</v>
      </c>
      <c r="AQ4" s="50" t="s">
        <v>118</v>
      </c>
      <c r="AR4" s="50" t="s">
        <v>119</v>
      </c>
      <c r="AS4" s="50" t="s">
        <v>120</v>
      </c>
      <c r="AT4" s="50" t="s">
        <v>126</v>
      </c>
      <c r="AU4" s="50" t="s">
        <v>121</v>
      </c>
      <c r="AV4" s="50" t="s">
        <v>122</v>
      </c>
      <c r="AW4" s="50" t="s">
        <v>123</v>
      </c>
      <c r="AX4" s="50" t="s">
        <v>133</v>
      </c>
      <c r="AY4" s="50" t="s">
        <v>150</v>
      </c>
      <c r="AZ4" s="50" t="s">
        <v>134</v>
      </c>
      <c r="BA4" s="66" t="s">
        <v>135</v>
      </c>
      <c r="BB4" s="66" t="s">
        <v>152</v>
      </c>
      <c r="BC4" s="66" t="s">
        <v>153</v>
      </c>
      <c r="BD4" s="66" t="s">
        <v>154</v>
      </c>
      <c r="BE4" s="66" t="s">
        <v>155</v>
      </c>
      <c r="BF4" s="66" t="s">
        <v>156</v>
      </c>
      <c r="BG4" s="66" t="s">
        <v>157</v>
      </c>
      <c r="BH4" s="66" t="s">
        <v>158</v>
      </c>
      <c r="BI4" s="66" t="s">
        <v>159</v>
      </c>
      <c r="BJ4" s="66" t="s">
        <v>160</v>
      </c>
      <c r="BK4" s="66" t="s">
        <v>161</v>
      </c>
      <c r="BL4" s="66" t="s">
        <v>163</v>
      </c>
      <c r="BM4" s="66" t="s">
        <v>164</v>
      </c>
      <c r="BN4" s="66" t="s">
        <v>165</v>
      </c>
      <c r="BO4" s="66" t="s">
        <v>166</v>
      </c>
      <c r="BP4" s="66" t="s">
        <v>167</v>
      </c>
      <c r="BQ4" s="66" t="s">
        <v>170</v>
      </c>
      <c r="BR4" s="66" t="s">
        <v>171</v>
      </c>
      <c r="BS4" s="66" t="s">
        <v>173</v>
      </c>
      <c r="BT4" s="66" t="s">
        <v>174</v>
      </c>
      <c r="BU4" s="66" t="s">
        <v>175</v>
      </c>
      <c r="BV4" s="66" t="s">
        <v>176</v>
      </c>
      <c r="BW4" s="66" t="s">
        <v>177</v>
      </c>
      <c r="BX4" s="66" t="s">
        <v>178</v>
      </c>
      <c r="BY4" s="66" t="s">
        <v>181</v>
      </c>
      <c r="BZ4" s="66" t="s">
        <v>182</v>
      </c>
      <c r="CA4" s="66" t="s">
        <v>183</v>
      </c>
      <c r="CB4" s="66" t="s">
        <v>185</v>
      </c>
      <c r="CC4" s="66" t="s">
        <v>184</v>
      </c>
      <c r="CD4" s="66" t="s">
        <v>186</v>
      </c>
      <c r="CE4" s="66" t="s">
        <v>187</v>
      </c>
      <c r="CF4" s="66" t="s">
        <v>188</v>
      </c>
      <c r="CG4" s="66" t="s">
        <v>189</v>
      </c>
      <c r="CH4" s="66" t="s">
        <v>195</v>
      </c>
      <c r="CI4" s="66" t="s">
        <v>196</v>
      </c>
      <c r="CJ4" s="66" t="s">
        <v>191</v>
      </c>
      <c r="CK4" s="66" t="s">
        <v>192</v>
      </c>
      <c r="CL4" s="66" t="s">
        <v>193</v>
      </c>
      <c r="CM4" s="66" t="s">
        <v>194</v>
      </c>
      <c r="CN4" s="66" t="s">
        <v>198</v>
      </c>
      <c r="CO4" s="66" t="s">
        <v>199</v>
      </c>
      <c r="CP4" s="66" t="s">
        <v>200</v>
      </c>
      <c r="CQ4" s="66" t="s">
        <v>201</v>
      </c>
      <c r="CR4" s="66" t="s">
        <v>202</v>
      </c>
      <c r="CS4" s="66" t="s">
        <v>205</v>
      </c>
      <c r="CT4" s="66" t="s">
        <v>212</v>
      </c>
      <c r="CU4" s="66" t="s">
        <v>213</v>
      </c>
      <c r="CV4" s="66" t="s">
        <v>206</v>
      </c>
      <c r="CW4" s="66" t="s">
        <v>207</v>
      </c>
      <c r="CX4" s="66" t="s">
        <v>208</v>
      </c>
      <c r="CY4" s="66" t="s">
        <v>208</v>
      </c>
      <c r="CZ4" s="66" t="s">
        <v>209</v>
      </c>
      <c r="DA4" s="66" t="s">
        <v>210</v>
      </c>
      <c r="DB4" s="66" t="s">
        <v>211</v>
      </c>
    </row>
    <row r="5" spans="2:106" ht="18" customHeight="1" x14ac:dyDescent="0.35">
      <c r="B5" s="12" t="s">
        <v>86</v>
      </c>
      <c r="C5" s="12"/>
      <c r="D5" s="12"/>
      <c r="E5" s="27">
        <f>905516002.35+59235527.27</f>
        <v>964751529.62</v>
      </c>
      <c r="F5" s="28">
        <f>717316572.94</f>
        <v>717316572.94000006</v>
      </c>
      <c r="G5" s="28">
        <f>E5</f>
        <v>964751529.62</v>
      </c>
      <c r="H5" s="28">
        <f t="shared" ref="H5:AP5" si="0">G36</f>
        <v>810727018.61999989</v>
      </c>
      <c r="I5" s="28">
        <f t="shared" si="0"/>
        <v>836245710.17999983</v>
      </c>
      <c r="J5" s="28">
        <f t="shared" si="0"/>
        <v>734257452.00999975</v>
      </c>
      <c r="K5" s="28">
        <f t="shared" si="0"/>
        <v>717464222.08999968</v>
      </c>
      <c r="L5" s="28">
        <f t="shared" si="0"/>
        <v>729743891.70999968</v>
      </c>
      <c r="M5" s="28">
        <f t="shared" si="0"/>
        <v>730835464.62999964</v>
      </c>
      <c r="N5" s="28">
        <f t="shared" si="0"/>
        <v>731920811.17999971</v>
      </c>
      <c r="O5" s="28">
        <f t="shared" si="0"/>
        <v>653562162.56999969</v>
      </c>
      <c r="P5" s="28">
        <f t="shared" si="0"/>
        <v>589362551.86999965</v>
      </c>
      <c r="Q5" s="28">
        <f t="shared" si="0"/>
        <v>588065223.31999958</v>
      </c>
      <c r="R5" s="28">
        <f t="shared" si="0"/>
        <v>591690731.93999958</v>
      </c>
      <c r="S5" s="28">
        <f t="shared" si="0"/>
        <v>589751464.05999959</v>
      </c>
      <c r="T5" s="28">
        <f t="shared" si="0"/>
        <v>592461066.85999954</v>
      </c>
      <c r="U5" s="28">
        <f t="shared" si="0"/>
        <v>592487130.88999951</v>
      </c>
      <c r="V5" s="28">
        <f t="shared" si="0"/>
        <v>595843307.80999947</v>
      </c>
      <c r="W5" s="28">
        <f t="shared" si="0"/>
        <v>614587525.54999948</v>
      </c>
      <c r="X5" s="28">
        <f t="shared" si="0"/>
        <v>644008650.40999949</v>
      </c>
      <c r="Y5" s="28">
        <f t="shared" si="0"/>
        <v>647508943.35999954</v>
      </c>
      <c r="Z5" s="28">
        <f t="shared" si="0"/>
        <v>645636811.43999946</v>
      </c>
      <c r="AA5" s="28">
        <f t="shared" si="0"/>
        <v>649117723.11999941</v>
      </c>
      <c r="AB5" s="28">
        <f t="shared" si="0"/>
        <v>655873503.94999945</v>
      </c>
      <c r="AC5" s="28">
        <f t="shared" si="0"/>
        <v>662125978.8799994</v>
      </c>
      <c r="AD5" s="28">
        <f t="shared" si="0"/>
        <v>664531317.92999947</v>
      </c>
      <c r="AE5" s="28">
        <f t="shared" si="0"/>
        <v>688138726.91999948</v>
      </c>
      <c r="AF5" s="28">
        <f t="shared" si="0"/>
        <v>707772393.7699995</v>
      </c>
      <c r="AG5" s="28">
        <f t="shared" si="0"/>
        <v>698818170.60999954</v>
      </c>
      <c r="AH5" s="28">
        <f t="shared" si="0"/>
        <v>701090167.16999948</v>
      </c>
      <c r="AI5" s="28">
        <f t="shared" si="0"/>
        <v>703278764.09999943</v>
      </c>
      <c r="AJ5" s="28">
        <f t="shared" si="0"/>
        <v>683422805.17999935</v>
      </c>
      <c r="AK5" s="28">
        <f t="shared" si="0"/>
        <v>683861817.29999936</v>
      </c>
      <c r="AL5" s="28">
        <f t="shared" si="0"/>
        <v>688730970.59999931</v>
      </c>
      <c r="AM5" s="28">
        <f t="shared" si="0"/>
        <v>685261015.14999926</v>
      </c>
      <c r="AN5" s="28">
        <f t="shared" si="0"/>
        <v>684964257.02999926</v>
      </c>
      <c r="AO5" s="34">
        <f t="shared" si="0"/>
        <v>699117630.30999923</v>
      </c>
      <c r="AP5" s="53">
        <f t="shared" si="0"/>
        <v>712291245.24999917</v>
      </c>
      <c r="AQ5" s="53">
        <f t="shared" ref="AQ5:AV5" si="1">AP36</f>
        <v>719532676.47999918</v>
      </c>
      <c r="AR5" s="53">
        <f t="shared" si="1"/>
        <v>654953259.76999915</v>
      </c>
      <c r="AS5" s="53">
        <f t="shared" si="1"/>
        <v>651343870.03999913</v>
      </c>
      <c r="AT5" s="53">
        <f t="shared" si="1"/>
        <v>660689503.43999922</v>
      </c>
      <c r="AU5" s="53">
        <f t="shared" si="1"/>
        <v>668811356.50999928</v>
      </c>
      <c r="AV5" s="53">
        <f t="shared" si="1"/>
        <v>674725932.6099993</v>
      </c>
      <c r="AW5" s="53">
        <f t="shared" ref="AW5:BB5" si="2">AV36</f>
        <v>682394370.87999928</v>
      </c>
      <c r="AX5" s="53">
        <f t="shared" si="2"/>
        <v>690917344.79999936</v>
      </c>
      <c r="AY5" s="53">
        <f t="shared" si="2"/>
        <v>698722637.75999928</v>
      </c>
      <c r="AZ5" s="53">
        <f t="shared" si="2"/>
        <v>702991221.13999927</v>
      </c>
      <c r="BA5" s="53">
        <f t="shared" si="2"/>
        <v>704456335.99999928</v>
      </c>
      <c r="BB5" s="53">
        <f t="shared" si="2"/>
        <v>717365059.26999927</v>
      </c>
      <c r="BC5" s="53">
        <f t="shared" ref="BC5:BH5" si="3">BB36</f>
        <v>682939577.01999927</v>
      </c>
      <c r="BD5" s="53">
        <f t="shared" si="3"/>
        <v>685918011.42999923</v>
      </c>
      <c r="BE5" s="53">
        <f t="shared" si="3"/>
        <v>699270799.11999917</v>
      </c>
      <c r="BF5" s="53">
        <f>BE36</f>
        <v>703554081.67999911</v>
      </c>
      <c r="BG5" s="53">
        <f t="shared" si="3"/>
        <v>745266765.84999907</v>
      </c>
      <c r="BH5" s="53">
        <f t="shared" si="3"/>
        <v>747976742.33999908</v>
      </c>
      <c r="BI5" s="53">
        <f t="shared" ref="BI5:BN5" si="4">BH36</f>
        <v>755277127.75999904</v>
      </c>
      <c r="BJ5" s="53">
        <f t="shared" si="4"/>
        <v>743608246.67999899</v>
      </c>
      <c r="BK5" s="53">
        <f t="shared" si="4"/>
        <v>746927007.51999903</v>
      </c>
      <c r="BL5" s="53">
        <f t="shared" si="4"/>
        <v>749335398.09999907</v>
      </c>
      <c r="BM5" s="53">
        <f t="shared" si="4"/>
        <v>735782775.56999898</v>
      </c>
      <c r="BN5" s="53">
        <f t="shared" si="4"/>
        <v>698961102.12999892</v>
      </c>
      <c r="BO5" s="53">
        <f t="shared" ref="BO5:BT5" si="5">BN36</f>
        <v>744858436.51999891</v>
      </c>
      <c r="BP5" s="53">
        <f t="shared" si="5"/>
        <v>754114117.7799989</v>
      </c>
      <c r="BQ5" s="53">
        <f t="shared" si="5"/>
        <v>761452135.72999883</v>
      </c>
      <c r="BR5" s="53">
        <f t="shared" si="5"/>
        <v>768061025.3999989</v>
      </c>
      <c r="BS5" s="53">
        <f t="shared" si="5"/>
        <v>740141826.59999895</v>
      </c>
      <c r="BT5" s="53">
        <f t="shared" si="5"/>
        <v>743186043.33999896</v>
      </c>
      <c r="BU5" s="53">
        <f t="shared" ref="BU5:BZ5" si="6">BT36</f>
        <v>763119683.20999897</v>
      </c>
      <c r="BV5" s="53">
        <f t="shared" si="6"/>
        <v>768656960.80999899</v>
      </c>
      <c r="BW5" s="53">
        <f t="shared" si="6"/>
        <v>771123612.63999903</v>
      </c>
      <c r="BX5" s="53">
        <f t="shared" si="6"/>
        <v>783884960.51999903</v>
      </c>
      <c r="BY5" s="53">
        <f t="shared" si="6"/>
        <v>786254026.13999903</v>
      </c>
      <c r="BZ5" s="53">
        <f t="shared" si="6"/>
        <v>792340736.58999896</v>
      </c>
      <c r="CA5" s="53">
        <f t="shared" ref="CA5:CF5" si="7">BZ36</f>
        <v>798276722.08999896</v>
      </c>
      <c r="CB5" s="53">
        <f t="shared" si="7"/>
        <v>822687816.90999901</v>
      </c>
      <c r="CC5" s="53">
        <f t="shared" si="7"/>
        <v>833754301.13999903</v>
      </c>
      <c r="CD5" s="53">
        <f t="shared" si="7"/>
        <v>826187049.26999903</v>
      </c>
      <c r="CE5" s="53">
        <f t="shared" si="7"/>
        <v>818430971.92999899</v>
      </c>
      <c r="CF5" s="53">
        <f t="shared" si="7"/>
        <v>794318631.22999907</v>
      </c>
      <c r="CG5" s="53">
        <f t="shared" ref="CG5:CL5" si="8">CF36</f>
        <v>790875557.89999902</v>
      </c>
      <c r="CH5" s="53">
        <f t="shared" si="8"/>
        <v>789435352.22999907</v>
      </c>
      <c r="CI5" s="53">
        <f t="shared" si="8"/>
        <v>793749302.38999915</v>
      </c>
      <c r="CJ5" s="53">
        <f t="shared" si="8"/>
        <v>800706471.88999915</v>
      </c>
      <c r="CK5" s="53">
        <f t="shared" si="8"/>
        <v>807970486.79999912</v>
      </c>
      <c r="CL5" s="53">
        <f t="shared" si="8"/>
        <v>831120786.99999905</v>
      </c>
      <c r="CM5" s="53">
        <f t="shared" ref="CM5:CR5" si="9">CL36</f>
        <v>801410177.24999905</v>
      </c>
      <c r="CN5" s="53">
        <f t="shared" si="9"/>
        <v>811578856.1899991</v>
      </c>
      <c r="CO5" s="53">
        <f t="shared" si="9"/>
        <v>817001216.19999909</v>
      </c>
      <c r="CP5" s="53">
        <f t="shared" si="9"/>
        <v>727676655.70999908</v>
      </c>
      <c r="CQ5" s="53">
        <f t="shared" si="9"/>
        <v>715181664.92999911</v>
      </c>
      <c r="CR5" s="53">
        <f t="shared" si="9"/>
        <v>711870343.47999918</v>
      </c>
      <c r="CS5" s="53">
        <f>CR36</f>
        <v>706469507.76999915</v>
      </c>
      <c r="CT5" s="53">
        <f>CS36</f>
        <v>708362470.40999913</v>
      </c>
      <c r="CU5" s="53">
        <f>CT36</f>
        <v>713719386.00999916</v>
      </c>
      <c r="CV5" s="53">
        <f>CU36</f>
        <v>706272278.42999923</v>
      </c>
      <c r="CW5" s="42"/>
      <c r="CX5" s="42"/>
      <c r="CY5" s="42"/>
      <c r="CZ5" s="42"/>
      <c r="DA5" s="42"/>
      <c r="DB5" s="42"/>
    </row>
    <row r="6" spans="2:106" ht="18" customHeight="1" x14ac:dyDescent="0.35">
      <c r="B6" s="12" t="s">
        <v>87</v>
      </c>
      <c r="C6" s="12"/>
      <c r="D6" s="12"/>
      <c r="E6" s="28"/>
      <c r="F6" s="28"/>
      <c r="G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34"/>
      <c r="AP6" s="53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  <c r="CK6" s="42"/>
      <c r="CL6" s="42"/>
      <c r="CM6" s="42"/>
      <c r="CN6" s="42"/>
      <c r="CO6" s="42"/>
      <c r="CP6" s="42"/>
      <c r="CQ6" s="42"/>
      <c r="CR6" s="42"/>
      <c r="CS6" s="42"/>
      <c r="CT6" s="42"/>
      <c r="CU6" s="42"/>
      <c r="CV6" s="42"/>
      <c r="CW6" s="42"/>
      <c r="CX6" s="42"/>
      <c r="CY6" s="42"/>
      <c r="CZ6" s="42"/>
      <c r="DA6" s="42"/>
      <c r="DB6" s="42"/>
    </row>
    <row r="7" spans="2:106" ht="18" customHeight="1" x14ac:dyDescent="0.35">
      <c r="B7" s="29"/>
      <c r="C7" s="30" t="s">
        <v>13</v>
      </c>
      <c r="D7" s="30"/>
      <c r="E7" s="31">
        <v>66476261.659999989</v>
      </c>
      <c r="F7" s="28">
        <f>SUM(F8:F17)</f>
        <v>45347968.82</v>
      </c>
      <c r="G7" s="28">
        <f t="shared" ref="G7:G14" si="10">SUM(E7:F7)</f>
        <v>111824230.47999999</v>
      </c>
      <c r="H7" s="28">
        <f t="shared" ref="H7:CV7" si="11">SUM(H8:H21)</f>
        <v>28235889.43</v>
      </c>
      <c r="I7" s="32">
        <f t="shared" si="11"/>
        <v>33918687.140000001</v>
      </c>
      <c r="J7" s="32">
        <f t="shared" si="11"/>
        <v>11104308.17</v>
      </c>
      <c r="K7" s="32">
        <f t="shared" si="11"/>
        <v>15597201.660000002</v>
      </c>
      <c r="L7" s="32">
        <f t="shared" si="11"/>
        <v>1091572.92</v>
      </c>
      <c r="M7" s="32">
        <f t="shared" si="11"/>
        <v>1086154.3500000001</v>
      </c>
      <c r="N7" s="32">
        <f t="shared" si="11"/>
        <v>6274581.7399999993</v>
      </c>
      <c r="O7" s="32">
        <f t="shared" si="11"/>
        <v>10558182.66</v>
      </c>
      <c r="P7" s="32">
        <f t="shared" si="11"/>
        <v>6918548.6600000001</v>
      </c>
      <c r="Q7" s="32">
        <f t="shared" si="11"/>
        <v>9159944.3500000015</v>
      </c>
      <c r="R7" s="32">
        <f t="shared" si="11"/>
        <v>14365038.729999999</v>
      </c>
      <c r="S7" s="32">
        <f t="shared" si="11"/>
        <v>2709602.8</v>
      </c>
      <c r="T7" s="32">
        <f t="shared" si="11"/>
        <v>26064.03</v>
      </c>
      <c r="U7" s="32">
        <f t="shared" si="11"/>
        <v>13861940.889999997</v>
      </c>
      <c r="V7" s="32">
        <f t="shared" si="11"/>
        <v>21568710.420000002</v>
      </c>
      <c r="W7" s="32">
        <f t="shared" si="11"/>
        <v>31268139.890000001</v>
      </c>
      <c r="X7" s="32">
        <f t="shared" si="11"/>
        <v>7892875</v>
      </c>
      <c r="Y7" s="32">
        <f t="shared" si="11"/>
        <v>26680998.689999994</v>
      </c>
      <c r="Z7" s="32">
        <f t="shared" si="11"/>
        <v>3481022.28</v>
      </c>
      <c r="AA7" s="32">
        <f t="shared" si="11"/>
        <v>6755780.8300000001</v>
      </c>
      <c r="AB7" s="32">
        <f t="shared" si="11"/>
        <v>8628671.3900000006</v>
      </c>
      <c r="AC7" s="32">
        <f t="shared" si="11"/>
        <v>10918474.07</v>
      </c>
      <c r="AD7" s="32">
        <f t="shared" si="11"/>
        <v>29160343.199999999</v>
      </c>
      <c r="AE7" s="32">
        <f t="shared" si="11"/>
        <v>31331404.959999997</v>
      </c>
      <c r="AF7" s="32">
        <f t="shared" si="11"/>
        <v>18308451.979999997</v>
      </c>
      <c r="AG7" s="32">
        <f t="shared" si="11"/>
        <v>2272006.56</v>
      </c>
      <c r="AH7" s="32">
        <f t="shared" si="11"/>
        <v>2188596.9299999997</v>
      </c>
      <c r="AI7" s="32">
        <f t="shared" si="11"/>
        <v>13243540.899999999</v>
      </c>
      <c r="AJ7" s="32">
        <f t="shared" si="11"/>
        <v>7238804.0100000007</v>
      </c>
      <c r="AK7" s="32">
        <f t="shared" si="11"/>
        <v>11450927.299999999</v>
      </c>
      <c r="AL7" s="32">
        <f t="shared" si="11"/>
        <v>14172048.389999999</v>
      </c>
      <c r="AM7" s="32">
        <f t="shared" si="11"/>
        <v>15834690.700000001</v>
      </c>
      <c r="AN7" s="32">
        <f t="shared" si="11"/>
        <v>14153373.280000001</v>
      </c>
      <c r="AO7" s="51">
        <f t="shared" si="11"/>
        <v>32663287.530000001</v>
      </c>
      <c r="AP7" s="51">
        <f t="shared" si="11"/>
        <v>7857677.7599999979</v>
      </c>
      <c r="AQ7" s="51">
        <f t="shared" si="11"/>
        <v>16384897.18</v>
      </c>
      <c r="AR7" s="51">
        <f t="shared" si="11"/>
        <v>7843147.6000000006</v>
      </c>
      <c r="AS7" s="51">
        <f t="shared" si="11"/>
        <v>13697336.690000003</v>
      </c>
      <c r="AT7" s="51">
        <f t="shared" si="11"/>
        <v>8127981.3599999994</v>
      </c>
      <c r="AU7" s="51">
        <f t="shared" si="11"/>
        <v>16483466.139999999</v>
      </c>
      <c r="AV7" s="51">
        <f t="shared" si="11"/>
        <v>10249082.5</v>
      </c>
      <c r="AW7" s="51">
        <f t="shared" si="11"/>
        <v>10454836.329999998</v>
      </c>
      <c r="AX7" s="51">
        <f t="shared" si="11"/>
        <v>13039408.43</v>
      </c>
      <c r="AY7" s="51">
        <f t="shared" si="11"/>
        <v>4268583.379999999</v>
      </c>
      <c r="AZ7" s="51">
        <f t="shared" si="11"/>
        <v>9422526.8600000013</v>
      </c>
      <c r="BA7" s="65">
        <f t="shared" si="11"/>
        <v>16776575.390000001</v>
      </c>
      <c r="BB7" s="65">
        <f t="shared" si="11"/>
        <v>10640037.050000003</v>
      </c>
      <c r="BC7" s="65">
        <f t="shared" si="11"/>
        <v>9507870.5</v>
      </c>
      <c r="BD7" s="65">
        <f t="shared" si="11"/>
        <v>15596880.279999997</v>
      </c>
      <c r="BE7" s="65">
        <f t="shared" si="11"/>
        <v>4283287.6500000004</v>
      </c>
      <c r="BF7" s="65">
        <f t="shared" si="11"/>
        <v>45585504.609999999</v>
      </c>
      <c r="BG7" s="65">
        <f t="shared" si="11"/>
        <v>15400229.539999997</v>
      </c>
      <c r="BH7" s="65">
        <f t="shared" si="11"/>
        <v>12407940.65</v>
      </c>
      <c r="BI7" s="65">
        <f t="shared" si="11"/>
        <v>7968805.2499999991</v>
      </c>
      <c r="BJ7" s="65">
        <f t="shared" si="11"/>
        <v>17481845.560000002</v>
      </c>
      <c r="BK7" s="65">
        <v>2408452.58</v>
      </c>
      <c r="BL7" s="65">
        <f t="shared" si="11"/>
        <v>3947108.9200000009</v>
      </c>
      <c r="BM7" s="65">
        <f t="shared" si="11"/>
        <v>15199053.379999999</v>
      </c>
      <c r="BN7" s="65">
        <f t="shared" si="11"/>
        <v>51936403.359999992</v>
      </c>
      <c r="BO7" s="65">
        <f t="shared" si="11"/>
        <v>16451538.970000003</v>
      </c>
      <c r="BP7" s="65">
        <f t="shared" si="11"/>
        <v>16515901.670000002</v>
      </c>
      <c r="BQ7" s="65">
        <f t="shared" si="11"/>
        <v>6616572.5700000003</v>
      </c>
      <c r="BR7" s="65">
        <f t="shared" si="11"/>
        <v>24879864.849999998</v>
      </c>
      <c r="BS7" s="65">
        <f t="shared" si="11"/>
        <v>8769314.8399999999</v>
      </c>
      <c r="BT7" s="65">
        <f t="shared" si="11"/>
        <v>23916578.839999996</v>
      </c>
      <c r="BU7" s="65">
        <f t="shared" si="11"/>
        <v>15652914.910000004</v>
      </c>
      <c r="BV7" s="65">
        <f t="shared" si="11"/>
        <v>2466741.83</v>
      </c>
      <c r="BW7" s="65">
        <f t="shared" si="11"/>
        <v>23988088.890000001</v>
      </c>
      <c r="BX7" s="65">
        <f t="shared" si="11"/>
        <v>29598671.839999996</v>
      </c>
      <c r="BY7" s="65">
        <f t="shared" si="11"/>
        <v>9992659.4199999999</v>
      </c>
      <c r="BZ7" s="65">
        <f t="shared" si="11"/>
        <v>13327425.42</v>
      </c>
      <c r="CA7" s="65">
        <f t="shared" si="11"/>
        <v>57001646.210000001</v>
      </c>
      <c r="CB7" s="65">
        <f t="shared" si="11"/>
        <v>11066789.369999999</v>
      </c>
      <c r="CC7" s="65">
        <f t="shared" si="11"/>
        <v>10966553.99</v>
      </c>
      <c r="CD7" s="65">
        <f t="shared" si="11"/>
        <v>12206537.75</v>
      </c>
      <c r="CE7" s="65">
        <f t="shared" si="11"/>
        <v>12598982.859999999</v>
      </c>
      <c r="CF7" s="65">
        <f t="shared" si="11"/>
        <v>3849013.01</v>
      </c>
      <c r="CG7" s="65">
        <f t="shared" si="11"/>
        <v>9721643.9500000011</v>
      </c>
      <c r="CH7" s="65">
        <f t="shared" si="11"/>
        <v>4315609.59</v>
      </c>
      <c r="CI7" s="65">
        <f t="shared" si="11"/>
        <v>13319409.389999999</v>
      </c>
      <c r="CJ7" s="65">
        <f t="shared" si="11"/>
        <v>14568245.800000001</v>
      </c>
      <c r="CK7" s="65">
        <f t="shared" si="11"/>
        <v>33391500.800000001</v>
      </c>
      <c r="CL7" s="65">
        <f t="shared" si="11"/>
        <v>9094505.3500000015</v>
      </c>
      <c r="CM7" s="65">
        <f t="shared" si="11"/>
        <v>20354086.980000004</v>
      </c>
      <c r="CN7" s="65">
        <f t="shared" si="11"/>
        <v>5422378.0600000005</v>
      </c>
      <c r="CO7" s="65">
        <f t="shared" si="11"/>
        <v>9164821.7899999991</v>
      </c>
      <c r="CP7" s="65">
        <f t="shared" si="11"/>
        <v>8483677</v>
      </c>
      <c r="CQ7" s="65">
        <f t="shared" si="11"/>
        <v>3433958.3299999996</v>
      </c>
      <c r="CR7" s="65">
        <f t="shared" si="11"/>
        <v>6007943.3700000001</v>
      </c>
      <c r="CS7" s="65">
        <f t="shared" si="11"/>
        <v>6035483.7600000007</v>
      </c>
      <c r="CT7" s="65">
        <f t="shared" si="11"/>
        <v>5357020.8400000008</v>
      </c>
      <c r="CU7" s="65">
        <f t="shared" si="11"/>
        <v>5207130.71</v>
      </c>
      <c r="CV7" s="65">
        <f t="shared" si="11"/>
        <v>0</v>
      </c>
      <c r="CW7" s="42"/>
      <c r="CX7" s="42"/>
      <c r="CY7" s="42"/>
      <c r="CZ7" s="42"/>
      <c r="DA7" s="42"/>
      <c r="DB7" s="42"/>
    </row>
    <row r="8" spans="2:106" ht="18" customHeight="1" x14ac:dyDescent="0.35">
      <c r="B8" s="11"/>
      <c r="C8" s="24" t="s">
        <v>136</v>
      </c>
      <c r="D8" s="15" t="s">
        <v>215</v>
      </c>
      <c r="E8" s="28"/>
      <c r="F8" s="31">
        <f>20532838.22+24815130.6</f>
        <v>45347968.82</v>
      </c>
      <c r="G8" s="28">
        <f t="shared" si="10"/>
        <v>45347968.82</v>
      </c>
      <c r="H8" s="28">
        <f>1783149.13+3837952.58+18302144.6</f>
        <v>23923246.310000002</v>
      </c>
      <c r="I8" s="28">
        <f>9081278.22</f>
        <v>9081278.2200000007</v>
      </c>
      <c r="J8" s="28">
        <f>3293050.79+208542.34+4531437.56</f>
        <v>8033030.6899999995</v>
      </c>
      <c r="K8" s="31">
        <f>9372821.82+64559.12+252052.64</f>
        <v>9689433.5800000001</v>
      </c>
      <c r="L8" s="31"/>
      <c r="M8" s="28"/>
      <c r="N8" s="28">
        <f>2016974.28</f>
        <v>2016974.28</v>
      </c>
      <c r="O8" s="33">
        <f>4402335.53</f>
        <v>4402335.53</v>
      </c>
      <c r="P8" s="33">
        <v>4191291.8</v>
      </c>
      <c r="Q8" s="28">
        <f>286.27+2588304.22</f>
        <v>2588590.4900000002</v>
      </c>
      <c r="R8" s="28">
        <f>393.62+1242900.23+8616876.5</f>
        <v>9860170.3499999996</v>
      </c>
      <c r="S8" s="28">
        <f>1073.52+7900</f>
        <v>8973.52</v>
      </c>
      <c r="T8" s="28"/>
      <c r="U8" s="28">
        <v>3108800.8</v>
      </c>
      <c r="V8" s="28">
        <f>691.34+6842031.35</f>
        <v>6842722.6899999995</v>
      </c>
      <c r="W8" s="28">
        <v>8932418.7799999993</v>
      </c>
      <c r="X8" s="28">
        <v>932964.98</v>
      </c>
      <c r="Y8" s="28">
        <v>4669466.2</v>
      </c>
      <c r="Z8" s="28"/>
      <c r="AA8" s="28"/>
      <c r="AB8" s="28">
        <v>2023408.01</v>
      </c>
      <c r="AC8" s="28">
        <f>19870.16+4466528.14</f>
        <v>4486398.3</v>
      </c>
      <c r="AD8" s="28">
        <f>21260000+4892695.46</f>
        <v>26152695.460000001</v>
      </c>
      <c r="AE8" s="28">
        <f>970477.17+1854336.35</f>
        <v>2824813.52</v>
      </c>
      <c r="AF8" s="28">
        <v>5302004.88</v>
      </c>
      <c r="AG8" s="28"/>
      <c r="AH8" s="28"/>
      <c r="AI8" s="28">
        <v>4562917.72</v>
      </c>
      <c r="AJ8" s="28">
        <v>3289114.3</v>
      </c>
      <c r="AK8" s="28">
        <v>5602438.1600000001</v>
      </c>
      <c r="AL8" s="28">
        <v>2751104.41</v>
      </c>
      <c r="AM8" s="28">
        <f>988699.69+5628243.54+733181.82</f>
        <v>7350125.0500000007</v>
      </c>
      <c r="AN8" s="28">
        <v>239455</v>
      </c>
      <c r="AO8" s="34">
        <v>4505437.3099999996</v>
      </c>
      <c r="AP8" s="53">
        <v>4400631.12</v>
      </c>
      <c r="AQ8" s="53">
        <v>13032787.75</v>
      </c>
      <c r="AR8" s="53">
        <v>6533097.4400000004</v>
      </c>
      <c r="AS8" s="53">
        <v>9830175.9600000009</v>
      </c>
      <c r="AT8" s="53"/>
      <c r="AU8" s="53">
        <v>6685203</v>
      </c>
      <c r="AV8" s="53">
        <f>933206.49+3148385.23+17000</f>
        <v>4098591.7199999997</v>
      </c>
      <c r="AW8" s="53">
        <f>445521.73+7915468.53</f>
        <v>8360990.2599999998</v>
      </c>
      <c r="AX8" s="53">
        <f>49473.95+5221034.96</f>
        <v>5270508.91</v>
      </c>
      <c r="AY8" s="53">
        <v>711300</v>
      </c>
      <c r="AZ8" s="53">
        <f>2572098.04+26000</f>
        <v>2598098.04</v>
      </c>
      <c r="BA8" s="53">
        <v>4850882</v>
      </c>
      <c r="BB8" s="53">
        <f>779.5+8467802.82+26209.33</f>
        <v>8494791.6500000004</v>
      </c>
      <c r="BC8" s="53">
        <v>7416200.879999999</v>
      </c>
      <c r="BD8" s="53">
        <f>12615266.81</f>
        <v>12615266.810000001</v>
      </c>
      <c r="BE8" s="53"/>
      <c r="BF8" s="53">
        <f>4245868.66+23962529.59</f>
        <v>28208398.25</v>
      </c>
      <c r="BG8" s="53">
        <v>8692681.2999999989</v>
      </c>
      <c r="BH8" s="53">
        <f>595945.05+6233228.95</f>
        <v>6829174</v>
      </c>
      <c r="BI8" s="53">
        <v>3431351.3</v>
      </c>
      <c r="BJ8" s="53">
        <v>10600880.359999999</v>
      </c>
      <c r="BK8" s="53">
        <v>53000</v>
      </c>
      <c r="BL8" s="53">
        <v>902000</v>
      </c>
      <c r="BM8" s="53">
        <v>6089898.6199999992</v>
      </c>
      <c r="BN8" s="53">
        <v>8099504.7000000002</v>
      </c>
      <c r="BO8" s="53">
        <f>10940526.98</f>
        <v>10940526.98</v>
      </c>
      <c r="BP8" s="53">
        <v>13718194.670000002</v>
      </c>
      <c r="BQ8" s="53"/>
      <c r="BR8" s="53">
        <v>11486892.1</v>
      </c>
      <c r="BS8" s="53">
        <v>4692838.41</v>
      </c>
      <c r="BT8" s="53">
        <v>11167312.93</v>
      </c>
      <c r="BU8" s="53">
        <f>608134.05+10775455.71</f>
        <v>11383589.760000002</v>
      </c>
      <c r="BV8" s="53"/>
      <c r="BW8" s="53">
        <v>15636419.24</v>
      </c>
      <c r="BX8" s="53">
        <f>20540.05+18199975.68</f>
        <v>18220515.73</v>
      </c>
      <c r="BY8" s="53">
        <f>1513.56+7086752.61</f>
        <v>7088266.1699999999</v>
      </c>
      <c r="BZ8" s="53">
        <v>10074191.25</v>
      </c>
      <c r="CA8" s="53">
        <f>19052005.72+3280038.91</f>
        <v>22332044.629999999</v>
      </c>
      <c r="CB8" s="53"/>
      <c r="CC8" s="53">
        <v>4718986.83</v>
      </c>
      <c r="CD8" s="53">
        <f>1051839.44+5945009.22</f>
        <v>6996848.6600000001</v>
      </c>
      <c r="CE8" s="53">
        <v>5886621.3700000001</v>
      </c>
      <c r="CF8" s="53">
        <v>883219.67</v>
      </c>
      <c r="CG8" s="88">
        <v>6716898.6500000004</v>
      </c>
      <c r="CH8" s="53">
        <f>89332.22+100446.72</f>
        <v>189778.94</v>
      </c>
      <c r="CI8" s="53">
        <v>4373432.3100000005</v>
      </c>
      <c r="CJ8" s="53">
        <v>7389295.1500000004</v>
      </c>
      <c r="CK8" s="53">
        <f>6322022.32+4597921.75+238569.62</f>
        <v>11158513.689999999</v>
      </c>
      <c r="CL8" s="53">
        <v>3148251.05</v>
      </c>
      <c r="CM8" s="53">
        <v>10624519.210000001</v>
      </c>
      <c r="CN8" s="53"/>
      <c r="CO8" s="53">
        <v>231819.28</v>
      </c>
      <c r="CP8" s="53">
        <v>2729055.9699999997</v>
      </c>
      <c r="CQ8" s="53">
        <v>967233.32000000007</v>
      </c>
      <c r="CR8" s="53">
        <v>384754.33999999997</v>
      </c>
      <c r="CS8" s="53">
        <v>1016090.1</v>
      </c>
      <c r="CT8" s="53">
        <v>5618</v>
      </c>
      <c r="CU8" s="53">
        <v>926560.2</v>
      </c>
      <c r="CV8" s="53"/>
      <c r="CW8" s="42"/>
      <c r="CX8" s="42"/>
      <c r="CY8" s="42"/>
      <c r="CZ8" s="42"/>
      <c r="DA8" s="42"/>
      <c r="DB8" s="42"/>
    </row>
    <row r="9" spans="2:106" ht="18" customHeight="1" x14ac:dyDescent="0.35">
      <c r="B9" s="11"/>
      <c r="C9" s="24" t="s">
        <v>137</v>
      </c>
      <c r="D9" s="12" t="s">
        <v>88</v>
      </c>
      <c r="E9" s="28"/>
      <c r="F9" s="28"/>
      <c r="G9" s="28">
        <f t="shared" si="10"/>
        <v>0</v>
      </c>
      <c r="H9" s="28">
        <v>184938.36</v>
      </c>
      <c r="I9" s="28">
        <v>208344.32000000001</v>
      </c>
      <c r="J9" s="34">
        <f>106468.47+272934.56</f>
        <v>379403.03</v>
      </c>
      <c r="K9" s="31">
        <v>3800000</v>
      </c>
      <c r="L9" s="35"/>
      <c r="M9" s="36"/>
      <c r="N9" s="28">
        <v>137905.44</v>
      </c>
      <c r="O9" s="28">
        <f>201009.8</f>
        <v>201009.8</v>
      </c>
      <c r="P9" s="28">
        <f>212212.32+110235.84</f>
        <v>322448.16000000003</v>
      </c>
      <c r="Q9" s="28">
        <f>358527.48+16992</f>
        <v>375519.48</v>
      </c>
      <c r="R9" s="28">
        <f>149860+191615.2</f>
        <v>341475.2</v>
      </c>
      <c r="S9" s="28"/>
      <c r="T9" s="28"/>
      <c r="U9" s="28">
        <f>151982.4+28212.48+43.27</f>
        <v>180238.15</v>
      </c>
      <c r="V9" s="28">
        <f>37287+12879.4</f>
        <v>50166.400000000001</v>
      </c>
      <c r="W9" s="28">
        <f>239644.8+2323.41</f>
        <v>241968.21</v>
      </c>
      <c r="X9" s="28">
        <f>247216.2+234.29</f>
        <v>247450.49000000002</v>
      </c>
      <c r="Y9" s="28">
        <f>58562+27007.6</f>
        <v>85569.600000000006</v>
      </c>
      <c r="Z9" s="28"/>
      <c r="AA9" s="28"/>
      <c r="AB9" s="28">
        <f>413291.36+114658.4</f>
        <v>527949.76</v>
      </c>
      <c r="AC9" s="28">
        <f>44700+174657.5</f>
        <v>219357.5</v>
      </c>
      <c r="AD9" s="28">
        <f>83905+41403.72</f>
        <v>125308.72</v>
      </c>
      <c r="AE9" s="28">
        <v>77582.080000000002</v>
      </c>
      <c r="AF9" s="28">
        <f>47342.4+66028.8+3700000</f>
        <v>3813371.2</v>
      </c>
      <c r="AG9" s="28"/>
      <c r="AH9" s="28"/>
      <c r="AI9" s="28">
        <v>240888.4</v>
      </c>
      <c r="AJ9" s="28">
        <f>36084+229564.08</f>
        <v>265648.07999999996</v>
      </c>
      <c r="AK9" s="28">
        <f>7912.8+31018</f>
        <v>38930.800000000003</v>
      </c>
      <c r="AL9" s="28">
        <f>8203.2+120508.64</f>
        <v>128711.84</v>
      </c>
      <c r="AM9" s="28">
        <f>419099.2+79788</f>
        <v>498887.2</v>
      </c>
      <c r="AN9" s="28"/>
      <c r="AO9" s="34">
        <f>48232.56+47796.78</f>
        <v>96029.34</v>
      </c>
      <c r="AP9" s="53">
        <f>271308.6+315368</f>
        <v>586676.6</v>
      </c>
      <c r="AQ9" s="53">
        <f>7895.4+24780</f>
        <v>32675.4</v>
      </c>
      <c r="AR9" s="53">
        <f>111776.74+3000</f>
        <v>114776.74</v>
      </c>
      <c r="AS9" s="53">
        <f>33982.4+43680</f>
        <v>77662.399999999994</v>
      </c>
      <c r="AT9" s="53"/>
      <c r="AU9" s="53">
        <f>480357.6+174190.8</f>
        <v>654548.39999999991</v>
      </c>
      <c r="AV9" s="53">
        <f>167050.16+187833+3000000</f>
        <v>3354883.16</v>
      </c>
      <c r="AW9" s="53">
        <v>173738.4</v>
      </c>
      <c r="AX9" s="53">
        <f>180695</f>
        <v>180695</v>
      </c>
      <c r="AY9" s="53"/>
      <c r="AZ9" s="53"/>
      <c r="BA9" s="53">
        <v>40000</v>
      </c>
      <c r="BB9" s="53">
        <v>198682.04</v>
      </c>
      <c r="BC9" s="53">
        <f>113106.88+2344.36</f>
        <v>115451.24</v>
      </c>
      <c r="BD9" s="53">
        <v>126939.24</v>
      </c>
      <c r="BE9" s="53"/>
      <c r="BF9" s="53">
        <v>196678.39999999999</v>
      </c>
      <c r="BG9" s="53">
        <v>147916.6</v>
      </c>
      <c r="BH9" s="53">
        <f>5217.42+350013+586245.53</f>
        <v>941475.95</v>
      </c>
      <c r="BI9" s="53">
        <v>232863.37</v>
      </c>
      <c r="BJ9" s="53">
        <v>49150</v>
      </c>
      <c r="BK9" s="53"/>
      <c r="BL9" s="53"/>
      <c r="BM9" s="53">
        <v>312868</v>
      </c>
      <c r="BN9" s="53">
        <v>190797.87</v>
      </c>
      <c r="BO9" s="53">
        <v>157277.4</v>
      </c>
      <c r="BP9" s="53">
        <v>115473.59999999999</v>
      </c>
      <c r="BQ9" s="53"/>
      <c r="BR9" s="53"/>
      <c r="BS9" s="53">
        <v>152634.24000000002</v>
      </c>
      <c r="BT9" s="53">
        <v>80166</v>
      </c>
      <c r="BU9" s="53">
        <v>139078.79999999999</v>
      </c>
      <c r="BV9" s="53"/>
      <c r="BW9" s="53">
        <v>22091.8</v>
      </c>
      <c r="BX9" s="53">
        <f>287585.25+5000000</f>
        <v>5287585.25</v>
      </c>
      <c r="BY9" s="53">
        <f>472555.54+135037.68</f>
        <v>607593.22</v>
      </c>
      <c r="BZ9" s="53">
        <v>107169.49</v>
      </c>
      <c r="CA9" s="53">
        <f>70145.76+8147.77</f>
        <v>78293.53</v>
      </c>
      <c r="CB9" s="53">
        <v>240362.61</v>
      </c>
      <c r="CC9" s="53">
        <f>17624.64+164797.38</f>
        <v>182422.02000000002</v>
      </c>
      <c r="CD9" s="53">
        <v>72914.740000000005</v>
      </c>
      <c r="CE9" s="53">
        <f>118788.48+48173.54</f>
        <v>166962.01999999999</v>
      </c>
      <c r="CF9" s="53">
        <f>163621.88+71233.2</f>
        <v>234855.08000000002</v>
      </c>
      <c r="CG9" s="53">
        <f>84653.79+26000</f>
        <v>110653.79</v>
      </c>
      <c r="CH9" s="53"/>
      <c r="CI9" s="53">
        <f>94185.91+166125.1</f>
        <v>260311.01</v>
      </c>
      <c r="CJ9" s="53">
        <f>103527.58+148601.72</f>
        <v>252129.3</v>
      </c>
      <c r="CK9" s="53">
        <f>57615.6+240409.88</f>
        <v>298025.48</v>
      </c>
      <c r="CL9" s="53">
        <f>47170.8+429064.2</f>
        <v>476235</v>
      </c>
      <c r="CM9" s="53">
        <f>127123.6+115708.97</f>
        <v>242832.57</v>
      </c>
      <c r="CN9" s="53">
        <v>187324.07</v>
      </c>
      <c r="CO9" s="53">
        <f>81432.79+33769.6</f>
        <v>115202.38999999998</v>
      </c>
      <c r="CP9" s="53">
        <v>145313.62</v>
      </c>
      <c r="CQ9" s="53">
        <v>65868.62</v>
      </c>
      <c r="CR9" s="53">
        <v>119771.87</v>
      </c>
      <c r="CS9" s="53">
        <v>183746.67</v>
      </c>
      <c r="CT9" s="53">
        <v>336664.79</v>
      </c>
      <c r="CU9" s="53">
        <f>93814.52+54570.96</f>
        <v>148385.48000000001</v>
      </c>
      <c r="CV9" s="53"/>
      <c r="CW9" s="42"/>
      <c r="CX9" s="42"/>
      <c r="CY9" s="42"/>
      <c r="CZ9" s="42"/>
      <c r="DA9" s="42"/>
      <c r="DB9" s="42"/>
    </row>
    <row r="10" spans="2:106" ht="18" customHeight="1" x14ac:dyDescent="0.35">
      <c r="B10" s="11"/>
      <c r="C10" s="24" t="s">
        <v>138</v>
      </c>
      <c r="D10" s="12" t="s">
        <v>89</v>
      </c>
      <c r="E10" s="28"/>
      <c r="F10" s="28"/>
      <c r="G10" s="28">
        <f t="shared" si="10"/>
        <v>0</v>
      </c>
      <c r="H10" s="28"/>
      <c r="I10" s="28">
        <v>31500</v>
      </c>
      <c r="J10" s="28">
        <v>391367.2</v>
      </c>
      <c r="K10" s="37"/>
      <c r="L10" s="37"/>
      <c r="M10" s="28"/>
      <c r="N10" s="28">
        <v>55000</v>
      </c>
      <c r="O10" s="28">
        <v>62313.1</v>
      </c>
      <c r="P10" s="28"/>
      <c r="Q10" s="28">
        <f>68599.2</f>
        <v>68599.199999999997</v>
      </c>
      <c r="R10" s="28"/>
      <c r="S10" s="28"/>
      <c r="T10" s="38">
        <v>26064.03</v>
      </c>
      <c r="U10" s="38">
        <v>20000</v>
      </c>
      <c r="V10" s="28">
        <v>365262.56</v>
      </c>
      <c r="W10" s="28">
        <v>26430.3</v>
      </c>
      <c r="X10" s="28">
        <v>182062.07999999999</v>
      </c>
      <c r="Y10" s="28">
        <v>23490.35</v>
      </c>
      <c r="Z10" s="28"/>
      <c r="AA10" s="28"/>
      <c r="AB10" s="28"/>
      <c r="AC10" s="28">
        <v>13990</v>
      </c>
      <c r="AD10" s="28">
        <v>151718.39999999999</v>
      </c>
      <c r="AE10" s="28"/>
      <c r="AF10" s="28">
        <v>18100</v>
      </c>
      <c r="AG10" s="28"/>
      <c r="AH10" s="28"/>
      <c r="AI10" s="28">
        <v>27100</v>
      </c>
      <c r="AJ10" s="28"/>
      <c r="AK10" s="28"/>
      <c r="AL10" s="28">
        <v>100000</v>
      </c>
      <c r="AM10" s="28"/>
      <c r="AN10" s="28"/>
      <c r="AO10" s="34"/>
      <c r="AP10" s="53"/>
      <c r="AQ10" s="53"/>
      <c r="AR10" s="53"/>
      <c r="AS10" s="53">
        <v>89561.52</v>
      </c>
      <c r="AT10" s="53">
        <v>127988.01</v>
      </c>
      <c r="AU10" s="53">
        <v>23000</v>
      </c>
      <c r="AV10" s="53">
        <v>31614.05</v>
      </c>
      <c r="AW10" s="53">
        <v>49050</v>
      </c>
      <c r="AX10" s="53">
        <v>27000</v>
      </c>
      <c r="AY10" s="53"/>
      <c r="AZ10" s="53"/>
      <c r="BA10" s="53">
        <v>72051.850000000006</v>
      </c>
      <c r="BB10" s="53"/>
      <c r="BC10" s="53">
        <v>2923.05</v>
      </c>
      <c r="BD10" s="53">
        <f>257698.52+19992.1</f>
        <v>277690.62</v>
      </c>
      <c r="BE10" s="53"/>
      <c r="BF10" s="53">
        <v>84756.160000000003</v>
      </c>
      <c r="BG10" s="53">
        <v>276356.08</v>
      </c>
      <c r="BH10" s="53">
        <v>219265.38</v>
      </c>
      <c r="BI10" s="53">
        <v>213554.72</v>
      </c>
      <c r="BJ10" s="53">
        <v>521623.2</v>
      </c>
      <c r="BK10" s="53"/>
      <c r="BL10" s="53"/>
      <c r="BM10" s="53">
        <v>72425.3</v>
      </c>
      <c r="BN10" s="53">
        <f>29241.6</f>
        <v>29241.599999999999</v>
      </c>
      <c r="BO10" s="53">
        <v>125000</v>
      </c>
      <c r="BP10" s="53">
        <v>31114</v>
      </c>
      <c r="BQ10" s="53"/>
      <c r="BR10" s="53">
        <v>69204</v>
      </c>
      <c r="BS10" s="53">
        <v>24792.36</v>
      </c>
      <c r="BT10" s="53"/>
      <c r="BU10" s="53"/>
      <c r="BV10" s="87" t="s">
        <v>179</v>
      </c>
      <c r="BW10" s="53">
        <v>322796.13</v>
      </c>
      <c r="BX10" s="53">
        <v>22264.32</v>
      </c>
      <c r="BY10" s="53">
        <f>111853.46+193108.78</f>
        <v>304962.24</v>
      </c>
      <c r="BZ10" s="53">
        <v>233744.66</v>
      </c>
      <c r="CA10" s="53">
        <v>730056.69000000006</v>
      </c>
      <c r="CB10" s="53"/>
      <c r="CC10" s="53">
        <v>103456.47</v>
      </c>
      <c r="CD10" s="53">
        <v>33064.18</v>
      </c>
      <c r="CE10" s="53">
        <v>45123.17</v>
      </c>
      <c r="CF10" s="53"/>
      <c r="CG10" s="53">
        <v>37758.480000000003</v>
      </c>
      <c r="CH10" s="53"/>
      <c r="CI10" s="53"/>
      <c r="CJ10" s="53">
        <v>30665.06</v>
      </c>
      <c r="CK10" s="53">
        <v>36707.300000000003</v>
      </c>
      <c r="CL10" s="53">
        <v>81009.58</v>
      </c>
      <c r="CM10" s="53">
        <v>215620.36</v>
      </c>
      <c r="CN10" s="53"/>
      <c r="CO10" s="53">
        <v>42913.919999999998</v>
      </c>
      <c r="CP10" s="53">
        <v>60084.12</v>
      </c>
      <c r="CQ10" s="53">
        <v>100</v>
      </c>
      <c r="CR10" s="53"/>
      <c r="CS10" s="53">
        <f>151346.5+200000</f>
        <v>351346.5</v>
      </c>
      <c r="CT10" s="53"/>
      <c r="CU10" s="53"/>
      <c r="CV10" s="53"/>
      <c r="CW10" s="42"/>
      <c r="CX10" s="42"/>
      <c r="CY10" s="42"/>
      <c r="CZ10" s="42"/>
      <c r="DA10" s="42"/>
      <c r="DB10" s="42"/>
    </row>
    <row r="11" spans="2:106" ht="18" customHeight="1" x14ac:dyDescent="0.35">
      <c r="B11" s="11">
        <v>43941</v>
      </c>
      <c r="C11" s="24" t="s">
        <v>139</v>
      </c>
      <c r="D11" s="12" t="s">
        <v>90</v>
      </c>
      <c r="E11" s="28"/>
      <c r="F11" s="28"/>
      <c r="G11" s="28">
        <f t="shared" si="10"/>
        <v>0</v>
      </c>
      <c r="H11" s="28"/>
      <c r="I11" s="28">
        <v>121284</v>
      </c>
      <c r="J11" s="28">
        <v>171369.84</v>
      </c>
      <c r="K11" s="28">
        <f>135039.15</f>
        <v>135039.15</v>
      </c>
      <c r="L11" s="28">
        <v>24820</v>
      </c>
      <c r="M11" s="28"/>
      <c r="N11" s="28">
        <v>110634.38</v>
      </c>
      <c r="O11" s="28">
        <v>208180.2</v>
      </c>
      <c r="P11" s="28">
        <v>127305.5</v>
      </c>
      <c r="Q11" s="28">
        <v>60057.08</v>
      </c>
      <c r="R11" s="28">
        <v>122400</v>
      </c>
      <c r="S11" s="28"/>
      <c r="T11" s="28"/>
      <c r="U11" s="28">
        <v>185741.84</v>
      </c>
      <c r="V11" s="28"/>
      <c r="W11" s="28">
        <v>29273.38</v>
      </c>
      <c r="X11" s="28">
        <v>57970.66</v>
      </c>
      <c r="Y11" s="28">
        <v>163482</v>
      </c>
      <c r="Z11" s="28"/>
      <c r="AA11" s="28"/>
      <c r="AB11" s="28">
        <v>38771</v>
      </c>
      <c r="AC11" s="28">
        <v>66686</v>
      </c>
      <c r="AD11" s="28">
        <v>107708.08</v>
      </c>
      <c r="AE11" s="28">
        <v>128698.2</v>
      </c>
      <c r="AF11" s="28">
        <v>135548.26</v>
      </c>
      <c r="AG11" s="28"/>
      <c r="AH11" s="28"/>
      <c r="AI11" s="28">
        <v>83484</v>
      </c>
      <c r="AJ11" s="28">
        <v>74900.960000000006</v>
      </c>
      <c r="AK11" s="28">
        <f>314423</f>
        <v>314423</v>
      </c>
      <c r="AL11" s="28">
        <v>62178.9</v>
      </c>
      <c r="AM11" s="28">
        <v>151675.46</v>
      </c>
      <c r="AN11" s="28"/>
      <c r="AO11" s="34">
        <f>18350+23556</f>
        <v>41906</v>
      </c>
      <c r="AP11" s="53">
        <v>8969.7999999999993</v>
      </c>
      <c r="AQ11" s="53">
        <v>31222.6</v>
      </c>
      <c r="AR11" s="53">
        <v>1</v>
      </c>
      <c r="AS11" s="53">
        <f>13115+128596</f>
        <v>141711</v>
      </c>
      <c r="AT11" s="53"/>
      <c r="AU11" s="53">
        <v>226745</v>
      </c>
      <c r="AV11" s="53"/>
      <c r="AW11" s="53">
        <v>16082</v>
      </c>
      <c r="AX11" s="53">
        <v>220525</v>
      </c>
      <c r="AY11" s="53"/>
      <c r="AZ11" s="53">
        <v>45467</v>
      </c>
      <c r="BA11" s="53">
        <v>92797.94</v>
      </c>
      <c r="BB11" s="53">
        <f>13.18+118457.2</f>
        <v>118470.37999999999</v>
      </c>
      <c r="BC11" s="53">
        <v>82192.36</v>
      </c>
      <c r="BD11" s="53">
        <v>73494.36</v>
      </c>
      <c r="BE11" s="53"/>
      <c r="BF11" s="53">
        <v>3115.73</v>
      </c>
      <c r="BG11" s="53">
        <v>191361.97999999998</v>
      </c>
      <c r="BH11" s="53">
        <v>143951.12</v>
      </c>
      <c r="BI11" s="53">
        <v>52308</v>
      </c>
      <c r="BJ11" s="53">
        <v>386554.86</v>
      </c>
      <c r="BK11" s="53"/>
      <c r="BL11" s="53"/>
      <c r="BM11" s="53">
        <v>110958.27</v>
      </c>
      <c r="BN11" s="53">
        <v>83248.5</v>
      </c>
      <c r="BO11" s="53">
        <v>31874.690000000002</v>
      </c>
      <c r="BP11" s="53">
        <v>15044.32</v>
      </c>
      <c r="BQ11" s="53"/>
      <c r="BR11" s="53">
        <v>50001</v>
      </c>
      <c r="BS11" s="53">
        <v>116000</v>
      </c>
      <c r="BT11" s="53">
        <v>71821.760000000009</v>
      </c>
      <c r="BU11" s="53">
        <v>409.8</v>
      </c>
      <c r="BV11" s="53"/>
      <c r="BW11" s="53">
        <v>75206</v>
      </c>
      <c r="BX11" s="53">
        <v>23142</v>
      </c>
      <c r="BY11" s="53">
        <v>81719</v>
      </c>
      <c r="BZ11" s="42"/>
      <c r="CA11" s="53">
        <f>326.04+205656.52</f>
        <v>205982.56</v>
      </c>
      <c r="CB11" s="53"/>
      <c r="CC11" s="53">
        <v>143798.39999999999</v>
      </c>
      <c r="CD11" s="53">
        <v>41505.880000000005</v>
      </c>
      <c r="CE11" s="53"/>
      <c r="CF11" s="53">
        <v>28166.400000000001</v>
      </c>
      <c r="CG11" s="53">
        <v>285958.24</v>
      </c>
      <c r="CH11" s="53"/>
      <c r="CI11" s="53">
        <v>146191.52000000002</v>
      </c>
      <c r="CJ11" s="53">
        <v>144647.94</v>
      </c>
      <c r="CK11" s="53">
        <v>144406.72</v>
      </c>
      <c r="CL11" s="53">
        <v>190739.72</v>
      </c>
      <c r="CM11" s="53">
        <v>366057.12</v>
      </c>
      <c r="CN11" s="53"/>
      <c r="CO11" s="53">
        <v>88816</v>
      </c>
      <c r="CP11" s="53">
        <v>51926.759999999995</v>
      </c>
      <c r="CQ11" s="53">
        <v>56951.33</v>
      </c>
      <c r="CR11" s="53"/>
      <c r="CS11" s="53">
        <v>125183</v>
      </c>
      <c r="CT11" s="53"/>
      <c r="CU11" s="53">
        <v>53527.82</v>
      </c>
      <c r="CV11" s="53"/>
      <c r="CW11" s="42"/>
      <c r="CX11" s="42"/>
      <c r="CY11" s="42"/>
      <c r="CZ11" s="42"/>
      <c r="DA11" s="42"/>
      <c r="DB11" s="42"/>
    </row>
    <row r="12" spans="2:106" ht="18" customHeight="1" x14ac:dyDescent="0.35">
      <c r="B12" s="11"/>
      <c r="C12" s="24" t="s">
        <v>140</v>
      </c>
      <c r="D12" s="12" t="s">
        <v>91</v>
      </c>
      <c r="E12" s="28"/>
      <c r="F12" s="28"/>
      <c r="G12" s="28">
        <f t="shared" si="10"/>
        <v>0</v>
      </c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34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3"/>
      <c r="BV12" s="53"/>
      <c r="BW12" s="53"/>
      <c r="BX12" s="53"/>
      <c r="BY12" s="53"/>
      <c r="BZ12" s="42"/>
      <c r="CA12" s="53"/>
      <c r="CB12" s="53"/>
      <c r="CC12" s="53"/>
      <c r="CD12" s="53"/>
      <c r="CE12" s="53"/>
      <c r="CF12" s="53"/>
      <c r="CG12" s="53"/>
      <c r="CH12" s="53"/>
      <c r="CI12" s="53"/>
      <c r="CJ12" s="53"/>
      <c r="CK12" s="53"/>
      <c r="CL12" s="53"/>
      <c r="CM12" s="53"/>
      <c r="CN12" s="53"/>
      <c r="CO12" s="53"/>
      <c r="CP12" s="53"/>
      <c r="CQ12" s="53"/>
      <c r="CR12" s="53"/>
      <c r="CS12" s="53"/>
      <c r="CT12" s="53"/>
      <c r="CU12" s="53"/>
      <c r="CV12" s="53"/>
      <c r="CW12" s="42"/>
      <c r="CX12" s="42"/>
      <c r="CY12" s="42"/>
      <c r="CZ12" s="42"/>
      <c r="DA12" s="42"/>
      <c r="DB12" s="42"/>
    </row>
    <row r="13" spans="2:106" ht="18" customHeight="1" x14ac:dyDescent="0.35">
      <c r="B13" s="11"/>
      <c r="C13" s="24" t="s">
        <v>141</v>
      </c>
      <c r="D13" s="12" t="s">
        <v>92</v>
      </c>
      <c r="E13" s="28"/>
      <c r="F13" s="28"/>
      <c r="G13" s="28">
        <f t="shared" si="10"/>
        <v>0</v>
      </c>
      <c r="H13" s="28">
        <v>518628.02</v>
      </c>
      <c r="I13" s="28">
        <v>111703.9</v>
      </c>
      <c r="J13" s="33">
        <v>5126.1499999999996</v>
      </c>
      <c r="K13" s="33"/>
      <c r="L13" s="33"/>
      <c r="M13" s="28"/>
      <c r="N13" s="28">
        <f>16152.23</f>
        <v>16152.23</v>
      </c>
      <c r="O13" s="28">
        <v>5406.75</v>
      </c>
      <c r="P13" s="28">
        <v>785.66</v>
      </c>
      <c r="Q13" s="28">
        <v>95268.01</v>
      </c>
      <c r="R13" s="28">
        <v>509674.77</v>
      </c>
      <c r="S13" s="28">
        <v>1314.22</v>
      </c>
      <c r="T13" s="28"/>
      <c r="U13" s="28">
        <v>24121.190000000002</v>
      </c>
      <c r="V13" s="28">
        <v>873897.45</v>
      </c>
      <c r="W13" s="39">
        <v>590.25</v>
      </c>
      <c r="X13" s="28">
        <v>6292.23</v>
      </c>
      <c r="Y13" s="28">
        <v>345846.15</v>
      </c>
      <c r="Z13" s="28">
        <v>3264.21</v>
      </c>
      <c r="AA13" s="28">
        <v>2075.7800000000002</v>
      </c>
      <c r="AB13" s="28">
        <v>123177.66</v>
      </c>
      <c r="AC13" s="28">
        <v>9019.7099999999991</v>
      </c>
      <c r="AD13" s="28">
        <v>11494.279999999999</v>
      </c>
      <c r="AE13" s="28">
        <v>23453.08</v>
      </c>
      <c r="AF13" s="28">
        <v>5820.68</v>
      </c>
      <c r="AG13" s="28"/>
      <c r="AH13" s="28">
        <v>1385.85</v>
      </c>
      <c r="AI13" s="28">
        <v>4490.22</v>
      </c>
      <c r="AJ13" s="28">
        <v>32641.480000000003</v>
      </c>
      <c r="AK13" s="28">
        <v>828403.93</v>
      </c>
      <c r="AL13" s="28">
        <v>12976.06</v>
      </c>
      <c r="AM13" s="33">
        <v>286807.52</v>
      </c>
      <c r="AN13" s="28">
        <v>605997.86</v>
      </c>
      <c r="AO13" s="34">
        <v>3661.98</v>
      </c>
      <c r="AP13" s="53">
        <v>68308.88</v>
      </c>
      <c r="AQ13" s="53">
        <v>17850.89</v>
      </c>
      <c r="AR13" s="53">
        <v>17298.240000000002</v>
      </c>
      <c r="AS13" s="53">
        <v>504284.14</v>
      </c>
      <c r="AT13" s="53">
        <v>6330.2199999999993</v>
      </c>
      <c r="AU13" s="53">
        <v>59965.74</v>
      </c>
      <c r="AV13" s="53">
        <v>55721.619999999995</v>
      </c>
      <c r="AW13" s="53">
        <v>15336.04</v>
      </c>
      <c r="AX13" s="53">
        <v>13559.34</v>
      </c>
      <c r="AY13" s="53">
        <v>6472.59</v>
      </c>
      <c r="AZ13" s="53">
        <v>1284.1600000000001</v>
      </c>
      <c r="BA13" s="53">
        <v>707711.39999999991</v>
      </c>
      <c r="BB13" s="53">
        <v>7511.5</v>
      </c>
      <c r="BC13" s="53">
        <v>11737.489999999998</v>
      </c>
      <c r="BD13" s="53">
        <v>4055.86</v>
      </c>
      <c r="BE13" s="53">
        <v>6193.46</v>
      </c>
      <c r="BF13" s="53">
        <v>5040.91</v>
      </c>
      <c r="BG13" s="53">
        <v>3868.54</v>
      </c>
      <c r="BH13" s="53">
        <v>3667.07</v>
      </c>
      <c r="BI13" s="53">
        <v>48920.59</v>
      </c>
      <c r="BJ13" s="53">
        <v>94484.479999999996</v>
      </c>
      <c r="BK13" s="53">
        <v>6590.9400000000005</v>
      </c>
      <c r="BL13" s="80">
        <v>8819.7999999999993</v>
      </c>
      <c r="BM13" s="53">
        <v>43542.5</v>
      </c>
      <c r="BN13" s="53">
        <v>1284.1599999999999</v>
      </c>
      <c r="BO13" s="53">
        <v>1025861.38</v>
      </c>
      <c r="BP13" s="53">
        <v>738680.81999999983</v>
      </c>
      <c r="BQ13" s="53">
        <v>18995.53</v>
      </c>
      <c r="BR13" s="53">
        <v>16698.89</v>
      </c>
      <c r="BS13" s="53">
        <v>15153.84</v>
      </c>
      <c r="BT13" s="53">
        <v>4251.2800000000007</v>
      </c>
      <c r="BU13" s="53">
        <v>14681.36</v>
      </c>
      <c r="BV13" s="53">
        <v>7588.369999999999</v>
      </c>
      <c r="BW13" s="53">
        <v>2822.73</v>
      </c>
      <c r="BX13" s="53">
        <v>36574.589999999997</v>
      </c>
      <c r="BY13" s="53">
        <v>3653.0699999999997</v>
      </c>
      <c r="BZ13" s="53">
        <v>7514.55</v>
      </c>
      <c r="CA13" s="53">
        <v>852235.3</v>
      </c>
      <c r="CB13" s="53">
        <v>20997.25</v>
      </c>
      <c r="CC13" s="53">
        <v>546054.66999999993</v>
      </c>
      <c r="CD13" s="53">
        <v>5044.8900000000003</v>
      </c>
      <c r="CE13" s="53">
        <v>14408.539999999999</v>
      </c>
      <c r="CF13" s="53">
        <v>71676.12</v>
      </c>
      <c r="CG13" s="53">
        <v>13172.509999999998</v>
      </c>
      <c r="CH13" s="53">
        <v>9278.43</v>
      </c>
      <c r="CI13" s="53">
        <v>15141.849999999999</v>
      </c>
      <c r="CJ13" s="53">
        <v>1050574.5799999998</v>
      </c>
      <c r="CK13" s="53">
        <v>29685.98</v>
      </c>
      <c r="CL13" s="53">
        <v>1872.39</v>
      </c>
      <c r="CM13" s="53">
        <v>1337415.24</v>
      </c>
      <c r="CN13" s="53">
        <v>7668.8399999999992</v>
      </c>
      <c r="CO13" s="53">
        <v>1973.4999999999998</v>
      </c>
      <c r="CP13" s="53">
        <v>32035.530000000002</v>
      </c>
      <c r="CQ13" s="53">
        <v>3160.54</v>
      </c>
      <c r="CR13" s="53">
        <v>4281.53</v>
      </c>
      <c r="CS13" s="53">
        <v>53830.75</v>
      </c>
      <c r="CT13" s="53">
        <v>5229.8700000000008</v>
      </c>
      <c r="CU13" s="53">
        <v>2075.79</v>
      </c>
      <c r="CV13" s="53"/>
      <c r="CW13" s="42"/>
      <c r="CX13" s="42"/>
      <c r="CY13" s="42"/>
      <c r="CZ13" s="42"/>
      <c r="DA13" s="42"/>
      <c r="DB13" s="42"/>
    </row>
    <row r="14" spans="2:106" ht="18" customHeight="1" x14ac:dyDescent="0.35">
      <c r="B14" s="11"/>
      <c r="C14" s="24" t="s">
        <v>142</v>
      </c>
      <c r="D14" s="12" t="s">
        <v>93</v>
      </c>
      <c r="E14" s="28"/>
      <c r="F14" s="28"/>
      <c r="G14" s="28">
        <f t="shared" si="10"/>
        <v>0</v>
      </c>
      <c r="H14" s="28">
        <v>42097.120000000003</v>
      </c>
      <c r="I14" s="28">
        <f>155842.8</f>
        <v>155842.79999999999</v>
      </c>
      <c r="J14" s="33">
        <v>174857.96</v>
      </c>
      <c r="K14" s="33">
        <f>148786.68+94487.2</f>
        <v>243273.88</v>
      </c>
      <c r="L14" s="33"/>
      <c r="M14" s="28"/>
      <c r="N14" s="28">
        <f>62830.28+30844.8</f>
        <v>93675.08</v>
      </c>
      <c r="O14" s="28">
        <f>203656.32+39384</f>
        <v>243040.32</v>
      </c>
      <c r="P14" s="28">
        <v>105943.67999999999</v>
      </c>
      <c r="Q14" s="28">
        <v>166212.79999999999</v>
      </c>
      <c r="R14" s="28">
        <v>222780.79999999999</v>
      </c>
      <c r="S14" s="28">
        <v>50515.199999999997</v>
      </c>
      <c r="T14" s="28"/>
      <c r="U14" s="28">
        <v>175879.84</v>
      </c>
      <c r="V14" s="28">
        <v>240364.79999999999</v>
      </c>
      <c r="W14" s="28">
        <v>52828.480000000003</v>
      </c>
      <c r="X14" s="28">
        <v>109440</v>
      </c>
      <c r="Y14" s="28">
        <f>27187.6+15877138.85</f>
        <v>15904326.449999999</v>
      </c>
      <c r="Z14" s="28">
        <v>14930</v>
      </c>
      <c r="AA14" s="40">
        <v>4162610.31</v>
      </c>
      <c r="AB14" s="28">
        <v>154787.72</v>
      </c>
      <c r="AC14" s="28">
        <v>228018.4</v>
      </c>
      <c r="AD14" s="28">
        <v>138989.20000000001</v>
      </c>
      <c r="AE14" s="28">
        <v>23040</v>
      </c>
      <c r="AF14" s="28">
        <v>46080</v>
      </c>
      <c r="AG14" s="28"/>
      <c r="AH14" s="28"/>
      <c r="AI14" s="28">
        <v>257103.2</v>
      </c>
      <c r="AJ14" s="28">
        <v>91332.2</v>
      </c>
      <c r="AK14" s="28">
        <v>31220.2</v>
      </c>
      <c r="AL14" s="28">
        <v>62148</v>
      </c>
      <c r="AM14" s="28">
        <v>114975.84</v>
      </c>
      <c r="AN14" s="28">
        <v>10348</v>
      </c>
      <c r="AO14" s="34">
        <v>30412.799999999999</v>
      </c>
      <c r="AP14" s="53">
        <v>61806.1</v>
      </c>
      <c r="AQ14" s="53">
        <v>14448</v>
      </c>
      <c r="AR14" s="53">
        <v>42438.720000000001</v>
      </c>
      <c r="AS14" s="53">
        <v>107958.39999999999</v>
      </c>
      <c r="AT14" s="53">
        <v>21297.119999999999</v>
      </c>
      <c r="AU14" s="53">
        <v>237987.8</v>
      </c>
      <c r="AV14" s="53">
        <v>335151.92</v>
      </c>
      <c r="AW14" s="53">
        <f>281310.8+185566.56</f>
        <v>466877.36</v>
      </c>
      <c r="AX14" s="53">
        <f>36124+51588</f>
        <v>87712</v>
      </c>
      <c r="AY14" s="53"/>
      <c r="AZ14" s="53">
        <f>113365.28+121724.16</f>
        <v>235089.44</v>
      </c>
      <c r="BA14" s="53">
        <v>421936.31999999995</v>
      </c>
      <c r="BB14" s="53">
        <v>384</v>
      </c>
      <c r="BC14" s="53">
        <f>159596.16+50000</f>
        <v>209596.16</v>
      </c>
      <c r="BD14" s="53">
        <f>98894.4+43242.4</f>
        <v>142136.79999999999</v>
      </c>
      <c r="BE14" s="53"/>
      <c r="BF14" s="53">
        <f>85170.88+17064+50000</f>
        <v>152234.88</v>
      </c>
      <c r="BG14" s="53">
        <f>379040.7+158502.5</f>
        <v>537543.19999999995</v>
      </c>
      <c r="BH14" s="53">
        <f>147110.4+335859.8</f>
        <v>482970.19999999995</v>
      </c>
      <c r="BI14" s="53">
        <f>170679.22+250360.6</f>
        <v>421039.82</v>
      </c>
      <c r="BJ14" s="53">
        <f>479068.08+91069</f>
        <v>570137.08000000007</v>
      </c>
      <c r="BK14" s="53">
        <v>58569.599999999999</v>
      </c>
      <c r="BL14" s="80">
        <v>107166.56</v>
      </c>
      <c r="BM14" s="53">
        <f>236293.68+410090.82</f>
        <v>646384.5</v>
      </c>
      <c r="BN14" s="53">
        <f>702331.74+116029.44+41299.2+24312.08</f>
        <v>883972.45999999985</v>
      </c>
      <c r="BO14" s="53">
        <f>300359.4+81446.4</f>
        <v>381805.80000000005</v>
      </c>
      <c r="BP14" s="53">
        <f>196486.4+112800</f>
        <v>309286.40000000002</v>
      </c>
      <c r="BQ14" s="53"/>
      <c r="BR14" s="53">
        <v>118423.19</v>
      </c>
      <c r="BS14" s="53">
        <f>180720.62+90758.4</f>
        <v>271479.02</v>
      </c>
      <c r="BT14" s="53">
        <f>42698.4+82036.8</f>
        <v>124735.20000000001</v>
      </c>
      <c r="BU14" s="53"/>
      <c r="BV14" s="53"/>
      <c r="BW14" s="53">
        <v>55572.52</v>
      </c>
      <c r="BX14" s="53">
        <f>60174.48+342285.22</f>
        <v>402459.69999999995</v>
      </c>
      <c r="BY14" s="53">
        <v>148853.20000000001</v>
      </c>
      <c r="BZ14" s="53">
        <f>235060.94+177625</f>
        <v>412685.94</v>
      </c>
      <c r="CA14" s="53">
        <v>125269.81999999999</v>
      </c>
      <c r="CB14" s="53">
        <v>19197.64</v>
      </c>
      <c r="CC14" s="53">
        <f>79077.58+206261.82</f>
        <v>285339.40000000002</v>
      </c>
      <c r="CD14" s="53">
        <f>473621.65+186236.8</f>
        <v>659858.44999999995</v>
      </c>
      <c r="CE14" s="53">
        <f>41705.28+6384</f>
        <v>48089.279999999999</v>
      </c>
      <c r="CF14" s="53">
        <f>231942.88+39000</f>
        <v>270942.88</v>
      </c>
      <c r="CG14" s="53">
        <f>17281.44+114127.68</f>
        <v>131409.12</v>
      </c>
      <c r="CH14" s="53"/>
      <c r="CI14" s="53">
        <f>182522.4+182037.36</f>
        <v>364559.76</v>
      </c>
      <c r="CJ14" s="53">
        <f>48352.52+248625.94</f>
        <v>296978.46000000002</v>
      </c>
      <c r="CK14" s="87">
        <f>6210+289456.46</f>
        <v>295666.46000000002</v>
      </c>
      <c r="CL14" s="53">
        <f>308069.24+1733576.3</f>
        <v>2041645.54</v>
      </c>
      <c r="CM14" s="53">
        <f>136747.2+239967.28</f>
        <v>376714.48</v>
      </c>
      <c r="CN14" s="53"/>
      <c r="CO14" s="53">
        <v>14220</v>
      </c>
      <c r="CP14" s="53">
        <v>214499.03999999998</v>
      </c>
      <c r="CQ14" s="53">
        <v>160947.68</v>
      </c>
      <c r="CR14" s="53">
        <v>40111</v>
      </c>
      <c r="CS14" s="53">
        <v>100</v>
      </c>
      <c r="CT14" s="53"/>
      <c r="CU14" s="53">
        <v>131815.87</v>
      </c>
      <c r="CV14" s="53"/>
      <c r="CW14" s="42"/>
      <c r="CX14" s="42"/>
      <c r="CY14" s="42"/>
      <c r="CZ14" s="42"/>
      <c r="DA14" s="42"/>
      <c r="DB14" s="42"/>
    </row>
    <row r="15" spans="2:106" ht="18" customHeight="1" x14ac:dyDescent="0.35">
      <c r="B15" s="11"/>
      <c r="C15" s="24" t="s">
        <v>143</v>
      </c>
      <c r="D15" s="12" t="s">
        <v>94</v>
      </c>
      <c r="E15" s="28"/>
      <c r="F15" s="28"/>
      <c r="G15" s="28"/>
      <c r="H15" s="28">
        <f>1728214.16+660227.9</f>
        <v>2388442.06</v>
      </c>
      <c r="I15" s="28">
        <f>1515110.29+1670010.44+16120564.52+4571705.21+189904.07</f>
        <v>24067294.530000001</v>
      </c>
      <c r="J15" s="33">
        <f>1171078.04+93081.6+226265</f>
        <v>1490424.6400000001</v>
      </c>
      <c r="K15" s="33">
        <f>1141392.63+355285.9</f>
        <v>1496678.5299999998</v>
      </c>
      <c r="L15" s="33">
        <v>1061952.74</v>
      </c>
      <c r="M15" s="28">
        <v>1075654.29</v>
      </c>
      <c r="N15" s="28">
        <f>1339254.44+1555000</f>
        <v>2894254.44</v>
      </c>
      <c r="O15" s="28">
        <f>1249925.59+1985943.12</f>
        <v>3235868.71</v>
      </c>
      <c r="P15" s="28">
        <v>1277946.58</v>
      </c>
      <c r="Q15" s="28">
        <f>1618630.51+1770500</f>
        <v>3389130.51</v>
      </c>
      <c r="R15" s="28">
        <f>1767531.69+1182411.89</f>
        <v>2949943.58</v>
      </c>
      <c r="S15" s="28">
        <v>2430324.38</v>
      </c>
      <c r="T15" s="28"/>
      <c r="U15" s="28">
        <f>4799987.39+4567576.71</f>
        <v>9367564.0999999996</v>
      </c>
      <c r="V15" s="28">
        <f>5440779.58+3705500+125486.43</f>
        <v>9271766.0099999998</v>
      </c>
      <c r="W15" s="28">
        <f>5230520.34+13675830.22+1498215</f>
        <v>20404565.560000002</v>
      </c>
      <c r="X15" s="28">
        <f>5262497.88+282235+510000</f>
        <v>6054732.8799999999</v>
      </c>
      <c r="Y15" s="28">
        <f>4516590.33+621067</f>
        <v>5137657.33</v>
      </c>
      <c r="Z15" s="28">
        <v>3462371.03</v>
      </c>
      <c r="AA15" s="28">
        <v>2565474.2400000002</v>
      </c>
      <c r="AB15" s="28">
        <f>2361732.98+1241000</f>
        <v>3602732.98</v>
      </c>
      <c r="AC15" s="28">
        <f>2353750.6+2121890</f>
        <v>4475640.5999999996</v>
      </c>
      <c r="AD15" s="28">
        <f>1978986.85+201000</f>
        <v>2179986.85</v>
      </c>
      <c r="AE15" s="28">
        <f>26067112.39+1692092</f>
        <v>27759204.390000001</v>
      </c>
      <c r="AF15" s="28">
        <f>2635017.84+4443942.15+464517.03</f>
        <v>7543477.0200000005</v>
      </c>
      <c r="AG15" s="28"/>
      <c r="AH15" s="28">
        <v>2186337.2999999998</v>
      </c>
      <c r="AI15" s="28">
        <f>1809987+3023375.02</f>
        <v>4833362.0199999996</v>
      </c>
      <c r="AJ15" s="28">
        <f>1948447.63+1196231.34</f>
        <v>3144678.9699999997</v>
      </c>
      <c r="AK15" s="28">
        <f>3559375.22+575000</f>
        <v>4134375.22</v>
      </c>
      <c r="AL15" s="28">
        <f>9906010.9+670295</f>
        <v>10576305.9</v>
      </c>
      <c r="AM15" s="28">
        <f>5479255.52+1612033.55</f>
        <v>7091289.0699999994</v>
      </c>
      <c r="AN15" s="28">
        <v>13177760.550000001</v>
      </c>
      <c r="AO15" s="34">
        <f>8478841.11+183000+13791604.04</f>
        <v>22453445.149999999</v>
      </c>
      <c r="AP15" s="53">
        <v>2265657.5699999998</v>
      </c>
      <c r="AQ15" s="53">
        <f>869079.39+2281000</f>
        <v>3150079.39</v>
      </c>
      <c r="AR15" s="53">
        <f>676945.12+367132.39</f>
        <v>1044077.51</v>
      </c>
      <c r="AS15" s="53">
        <f>974119.66+1221129.56</f>
        <v>2195249.2200000002</v>
      </c>
      <c r="AT15" s="53">
        <v>7933548.79</v>
      </c>
      <c r="AU15" s="53">
        <f>1344359.85+6841398</f>
        <v>8185757.8499999996</v>
      </c>
      <c r="AV15" s="53">
        <f>951593.04+946035</f>
        <v>1897628.04</v>
      </c>
      <c r="AW15" s="53">
        <f>675082.31+549626.08</f>
        <v>1224708.3900000001</v>
      </c>
      <c r="AX15" s="53">
        <f>740199.66+3427736.4+1551490.45+1500000</f>
        <v>7219426.5099999998</v>
      </c>
      <c r="AY15" s="53">
        <v>3532890.51</v>
      </c>
      <c r="AZ15" s="53">
        <f>4197676.53+2086634.36</f>
        <v>6284310.8900000006</v>
      </c>
      <c r="BA15" s="53">
        <f>1250645.29+4401338.62</f>
        <v>5651983.9100000001</v>
      </c>
      <c r="BB15" s="53">
        <f>80000+1266454.45+152682.11</f>
        <v>1499136.56</v>
      </c>
      <c r="BC15" s="53">
        <v>1522659.74</v>
      </c>
      <c r="BD15" s="53">
        <f>1816735.83+292609.19</f>
        <v>2109345.02</v>
      </c>
      <c r="BE15" s="53">
        <v>4216385.28</v>
      </c>
      <c r="BF15" s="53">
        <f>2435457.86+2275514.88</f>
        <v>4710972.74</v>
      </c>
      <c r="BG15" s="53">
        <f>2080100.17+2910052.14</f>
        <v>4990152.3100000005</v>
      </c>
      <c r="BH15" s="53">
        <f>1104388.96+1884747</f>
        <v>2989135.96</v>
      </c>
      <c r="BI15" s="53">
        <f>1751808.36+970429.8</f>
        <v>2722238.16</v>
      </c>
      <c r="BJ15" s="53">
        <f>3611848.39+765000</f>
        <v>4376848.3900000006</v>
      </c>
      <c r="BK15" s="53">
        <v>2278411.17</v>
      </c>
      <c r="BL15" s="80">
        <f>2143849.24+23433</f>
        <v>2167282.2400000002</v>
      </c>
      <c r="BM15" s="53">
        <f>2640463.34+3902052.06</f>
        <v>6542515.4000000004</v>
      </c>
      <c r="BN15" s="53">
        <f>3258959.46+4341819+18587828.13+16244004.57</f>
        <v>42432611.159999996</v>
      </c>
      <c r="BO15" s="53">
        <v>1626390.47</v>
      </c>
      <c r="BP15" s="53">
        <f>1164882+50000+153270</f>
        <v>1368152</v>
      </c>
      <c r="BQ15" s="53">
        <v>6528927.3700000001</v>
      </c>
      <c r="BR15" s="53">
        <f>1400782.01+6835357.46</f>
        <v>8236139.4699999997</v>
      </c>
      <c r="BS15" s="53">
        <f>1766887.46+1109590</f>
        <v>2876477.46</v>
      </c>
      <c r="BT15" s="53">
        <f>10622199.55+1506637.82</f>
        <v>12128837.370000001</v>
      </c>
      <c r="BU15" s="53">
        <f>2292079.81+614320</f>
        <v>2906399.81</v>
      </c>
      <c r="BV15" s="53">
        <v>2438756.85</v>
      </c>
      <c r="BW15" s="53">
        <f>1970974.36+5482939.19</f>
        <v>7453913.5500000007</v>
      </c>
      <c r="BX15" s="53">
        <f>1408481.35+3568500</f>
        <v>4976981.3499999996</v>
      </c>
      <c r="BY15" s="53">
        <f>993920.96+200000</f>
        <v>1193920.96</v>
      </c>
      <c r="BZ15" s="53">
        <f>1015993.2+320000</f>
        <v>1335993.2</v>
      </c>
      <c r="CA15" s="53">
        <f>1655312.25+23018688.89+166319.99+1411604.57</f>
        <v>26251925.699999999</v>
      </c>
      <c r="CB15" s="53">
        <v>10707276.199999999</v>
      </c>
      <c r="CC15" s="53">
        <f>2318486.32+1830876</f>
        <v>4149362.32</v>
      </c>
      <c r="CD15" s="53">
        <f>1189548.72+2500868.7+398261.91</f>
        <v>4088679.33</v>
      </c>
      <c r="CE15" s="53">
        <f>1460410.61+524837</f>
        <v>1985247.61</v>
      </c>
      <c r="CF15" s="53">
        <v>2118018.62</v>
      </c>
      <c r="CG15" s="53">
        <f>1740216.43+354827.03</f>
        <v>2095043.46</v>
      </c>
      <c r="CH15" s="53">
        <f>150000+3952644.44</f>
        <v>4102644.44</v>
      </c>
      <c r="CI15" s="53">
        <f>606713+1908538.6</f>
        <v>2515251.6</v>
      </c>
      <c r="CJ15" s="53">
        <f>3176020+1406403.84</f>
        <v>4582423.84</v>
      </c>
      <c r="CK15" s="53">
        <f>655000.32+1499266.08+19099819.95</f>
        <v>21254086.349999998</v>
      </c>
      <c r="CL15" s="53">
        <f>565657+2347997.36</f>
        <v>2913654.36</v>
      </c>
      <c r="CM15" s="53">
        <f>1850847.36+5238850.8</f>
        <v>7089698.1600000001</v>
      </c>
      <c r="CN15" s="53">
        <v>5213679.87</v>
      </c>
      <c r="CO15" s="53">
        <f>2554000+4770005.01</f>
        <v>7324005.0099999998</v>
      </c>
      <c r="CP15" s="53">
        <f>4175124+972261.17</f>
        <v>5147385.17</v>
      </c>
      <c r="CQ15" s="53">
        <f>300000+1363282.15</f>
        <v>1663282.15</v>
      </c>
      <c r="CR15" s="53">
        <f>440000+3075763.97</f>
        <v>3515763.97</v>
      </c>
      <c r="CS15" s="53">
        <f>540531.5+3125108.79</f>
        <v>3665640.29</v>
      </c>
      <c r="CT15" s="53">
        <f>31500+4962408.36</f>
        <v>4993908.3600000003</v>
      </c>
      <c r="CU15" s="53">
        <f>1870500+1941364.95</f>
        <v>3811864.95</v>
      </c>
      <c r="CV15" s="53"/>
      <c r="CW15" s="42"/>
      <c r="CX15" s="42"/>
      <c r="CY15" s="42"/>
      <c r="CZ15" s="42"/>
      <c r="DA15" s="42"/>
      <c r="DB15" s="42"/>
    </row>
    <row r="16" spans="2:106" ht="18" customHeight="1" x14ac:dyDescent="0.35">
      <c r="B16" s="11"/>
      <c r="C16" s="24" t="s">
        <v>144</v>
      </c>
      <c r="D16" s="12" t="s">
        <v>95</v>
      </c>
      <c r="E16" s="28"/>
      <c r="F16" s="28"/>
      <c r="G16" s="28">
        <f>SUM(E16:F16)</f>
        <v>0</v>
      </c>
      <c r="H16" s="28">
        <v>230249.32</v>
      </c>
      <c r="I16" s="28">
        <v>5040</v>
      </c>
      <c r="J16" s="28">
        <v>45360</v>
      </c>
      <c r="K16" s="28"/>
      <c r="L16" s="28"/>
      <c r="M16" s="28"/>
      <c r="N16" s="28"/>
      <c r="O16" s="28">
        <v>103204.8</v>
      </c>
      <c r="P16" s="28">
        <v>45360</v>
      </c>
      <c r="Q16" s="28"/>
      <c r="R16" s="28">
        <v>40355.199999999997</v>
      </c>
      <c r="S16" s="28">
        <v>218475.48</v>
      </c>
      <c r="T16" s="28"/>
      <c r="U16" s="28"/>
      <c r="V16" s="28"/>
      <c r="W16" s="28"/>
      <c r="X16" s="28"/>
      <c r="Y16" s="28">
        <v>40634.080000000002</v>
      </c>
      <c r="Z16" s="28"/>
      <c r="AA16" s="28"/>
      <c r="AB16" s="28">
        <v>73391.679999999993</v>
      </c>
      <c r="AC16" s="28"/>
      <c r="AD16" s="28"/>
      <c r="AE16" s="28">
        <v>15168</v>
      </c>
      <c r="AF16" s="28"/>
      <c r="AG16" s="28"/>
      <c r="AH16" s="28"/>
      <c r="AI16" s="28">
        <v>40316.400000000001</v>
      </c>
      <c r="AJ16" s="28">
        <v>35657.800000000003</v>
      </c>
      <c r="AK16" s="28"/>
      <c r="AL16" s="28">
        <v>13080</v>
      </c>
      <c r="AM16" s="28">
        <v>5232</v>
      </c>
      <c r="AN16" s="28"/>
      <c r="AO16" s="34"/>
      <c r="AP16" s="53">
        <v>14880</v>
      </c>
      <c r="AQ16" s="53">
        <v>36990</v>
      </c>
      <c r="AR16" s="53"/>
      <c r="AS16" s="53">
        <v>35230.9</v>
      </c>
      <c r="AT16" s="53"/>
      <c r="AU16" s="53"/>
      <c r="AV16" s="53"/>
      <c r="AW16" s="53"/>
      <c r="AX16" s="53"/>
      <c r="AY16" s="53"/>
      <c r="AZ16" s="53">
        <v>432</v>
      </c>
      <c r="BA16" s="53"/>
      <c r="BB16" s="53"/>
      <c r="BC16" s="53">
        <v>4011.84</v>
      </c>
      <c r="BD16" s="53">
        <v>5724</v>
      </c>
      <c r="BE16" s="53"/>
      <c r="BF16" s="53">
        <v>79980.639999999999</v>
      </c>
      <c r="BG16" s="53"/>
      <c r="BH16" s="53">
        <v>24000</v>
      </c>
      <c r="BI16" s="53"/>
      <c r="BJ16" s="53">
        <v>32050.240000000002</v>
      </c>
      <c r="BK16" s="53"/>
      <c r="BL16" s="80">
        <v>864</v>
      </c>
      <c r="BM16" s="53">
        <v>19840</v>
      </c>
      <c r="BN16" s="53">
        <v>40719.360000000001</v>
      </c>
      <c r="BO16" s="53"/>
      <c r="BP16" s="53">
        <v>99936</v>
      </c>
      <c r="BQ16" s="53">
        <v>1000</v>
      </c>
      <c r="BR16" s="53">
        <v>115121.84</v>
      </c>
      <c r="BS16" s="53">
        <v>2265.6</v>
      </c>
      <c r="BT16" s="53">
        <f>8467.6+11400</f>
        <v>19867.599999999999</v>
      </c>
      <c r="BU16" s="53">
        <v>240</v>
      </c>
      <c r="BV16" s="53"/>
      <c r="BW16" s="53">
        <v>46501.2</v>
      </c>
      <c r="BX16" s="53">
        <v>14600</v>
      </c>
      <c r="BY16" s="53">
        <v>4320</v>
      </c>
      <c r="BZ16" s="53">
        <v>34300</v>
      </c>
      <c r="CA16" s="53"/>
      <c r="CB16" s="53"/>
      <c r="CC16" s="53">
        <v>46489.22</v>
      </c>
      <c r="CD16" s="53"/>
      <c r="CE16" s="53"/>
      <c r="CF16" s="53"/>
      <c r="CG16" s="53"/>
      <c r="CH16" s="53"/>
      <c r="CI16" s="53">
        <v>184316.02</v>
      </c>
      <c r="CJ16" s="53"/>
      <c r="CK16" s="53"/>
      <c r="CL16" s="53">
        <v>1320</v>
      </c>
      <c r="CM16" s="53"/>
      <c r="CN16" s="53"/>
      <c r="CO16" s="53">
        <v>76662.48</v>
      </c>
      <c r="CP16" s="53">
        <v>1200</v>
      </c>
      <c r="CQ16" s="53"/>
      <c r="CR16" s="53"/>
      <c r="CS16" s="53">
        <v>10420.48</v>
      </c>
      <c r="CT16" s="53"/>
      <c r="CU16" s="53"/>
      <c r="CV16" s="53"/>
      <c r="CW16" s="42"/>
      <c r="CX16" s="42"/>
      <c r="CY16" s="42"/>
      <c r="CZ16" s="42"/>
      <c r="DA16" s="42"/>
      <c r="DB16" s="42"/>
    </row>
    <row r="17" spans="2:106" ht="18" customHeight="1" x14ac:dyDescent="0.35">
      <c r="B17" s="11"/>
      <c r="C17" s="24" t="s">
        <v>145</v>
      </c>
      <c r="D17" s="12" t="s">
        <v>96</v>
      </c>
      <c r="E17" s="28"/>
      <c r="F17" s="28"/>
      <c r="G17" s="28">
        <f>SUM(E17:F17)</f>
        <v>0</v>
      </c>
      <c r="H17" s="28">
        <v>600427.96</v>
      </c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>
        <v>10760.19</v>
      </c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34"/>
      <c r="AP17" s="53"/>
      <c r="AQ17" s="53"/>
      <c r="AR17" s="53"/>
      <c r="AS17" s="53"/>
      <c r="AT17" s="53"/>
      <c r="AU17" s="53"/>
      <c r="AV17" s="53">
        <v>1152</v>
      </c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80">
        <v>120024.83</v>
      </c>
      <c r="BI17" s="53"/>
      <c r="BJ17" s="53"/>
      <c r="BK17" s="53"/>
      <c r="BL17" s="80"/>
      <c r="BM17" s="53"/>
      <c r="BN17" s="53"/>
      <c r="BO17" s="53">
        <v>827832</v>
      </c>
      <c r="BP17" s="53"/>
      <c r="BQ17" s="53"/>
      <c r="BR17" s="53"/>
      <c r="BS17" s="53"/>
      <c r="BT17" s="53"/>
      <c r="BU17" s="53"/>
      <c r="BV17" s="53"/>
      <c r="BW17" s="53"/>
      <c r="BX17" s="53"/>
      <c r="BY17" s="53"/>
      <c r="BZ17" s="42"/>
      <c r="CA17" s="53"/>
      <c r="CB17" s="53"/>
      <c r="CC17" s="53"/>
      <c r="CD17" s="53"/>
      <c r="CE17" s="53"/>
      <c r="CF17" s="53"/>
      <c r="CG17" s="53"/>
      <c r="CH17" s="53"/>
      <c r="CI17" s="53"/>
      <c r="CJ17" s="53"/>
      <c r="CK17" s="53"/>
      <c r="CL17" s="53"/>
      <c r="CM17" s="53"/>
      <c r="CN17" s="53"/>
      <c r="CO17" s="53"/>
      <c r="CP17" s="53"/>
      <c r="CQ17" s="53"/>
      <c r="CR17" s="53"/>
      <c r="CS17" s="53"/>
      <c r="CT17" s="53"/>
      <c r="CU17" s="53"/>
      <c r="CV17" s="53"/>
      <c r="CW17" s="42"/>
      <c r="CX17" s="42"/>
      <c r="CY17" s="42"/>
      <c r="CZ17" s="42"/>
      <c r="DA17" s="42"/>
      <c r="DB17" s="42"/>
    </row>
    <row r="18" spans="2:106" ht="18" customHeight="1" x14ac:dyDescent="0.35">
      <c r="B18" s="11"/>
      <c r="C18" s="24" t="s">
        <v>146</v>
      </c>
      <c r="D18" s="12" t="s">
        <v>97</v>
      </c>
      <c r="E18" s="28"/>
      <c r="G18" s="28">
        <f>SUM(E18:F18)</f>
        <v>0</v>
      </c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>
        <v>135.18</v>
      </c>
      <c r="X18" s="28">
        <v>516.88</v>
      </c>
      <c r="Y18" s="28">
        <v>381.56</v>
      </c>
      <c r="Z18" s="41">
        <v>457.04</v>
      </c>
      <c r="AA18" s="28"/>
      <c r="AB18" s="28">
        <v>1104.1400000000001</v>
      </c>
      <c r="AC18" s="28"/>
      <c r="AD18" s="28"/>
      <c r="AE18" s="28">
        <v>516.88</v>
      </c>
      <c r="AF18" s="28">
        <v>636.16</v>
      </c>
      <c r="AG18" s="28"/>
      <c r="AH18" s="28">
        <v>873.77</v>
      </c>
      <c r="AI18" s="28">
        <v>193.83</v>
      </c>
      <c r="AJ18" s="28"/>
      <c r="AK18" s="28"/>
      <c r="AL18" s="28">
        <v>437.28</v>
      </c>
      <c r="AM18" s="28"/>
      <c r="AN18" s="28"/>
      <c r="AO18" s="34">
        <v>740.53</v>
      </c>
      <c r="AP18" s="53">
        <v>201.78</v>
      </c>
      <c r="AQ18" s="53"/>
      <c r="AR18" s="53">
        <v>525.13</v>
      </c>
      <c r="AS18" s="53">
        <v>785.26</v>
      </c>
      <c r="AT18" s="53">
        <v>2458.96</v>
      </c>
      <c r="AU18" s="53">
        <v>316.25</v>
      </c>
      <c r="AV18" s="53">
        <v>427.42</v>
      </c>
      <c r="AW18" s="53">
        <v>809.12</v>
      </c>
      <c r="AX18" s="53">
        <v>294.22000000000003</v>
      </c>
      <c r="AY18" s="53">
        <v>1364.76</v>
      </c>
      <c r="AZ18" s="53">
        <v>238.56</v>
      </c>
      <c r="BA18" s="53">
        <v>50516.88</v>
      </c>
      <c r="BB18" s="53">
        <v>516.88</v>
      </c>
      <c r="BD18" s="53">
        <v>1141.1199999999999</v>
      </c>
      <c r="BE18" s="53">
        <v>872.41</v>
      </c>
      <c r="BF18" s="53">
        <v>656.04</v>
      </c>
      <c r="BG18" s="53"/>
      <c r="BH18" s="53">
        <v>0.01</v>
      </c>
      <c r="BI18" s="53">
        <v>1200.75</v>
      </c>
      <c r="BJ18" s="53"/>
      <c r="BK18" s="53"/>
      <c r="BL18" s="80"/>
      <c r="BM18" s="53">
        <v>717.67</v>
      </c>
      <c r="BN18" s="53">
        <v>295.32000000000005</v>
      </c>
      <c r="BO18" s="53">
        <v>517.14</v>
      </c>
      <c r="BP18" s="53"/>
      <c r="BQ18" s="53">
        <v>3147.76</v>
      </c>
      <c r="BR18" s="53"/>
      <c r="BS18" s="53">
        <v>223.65</v>
      </c>
      <c r="BT18" s="53">
        <v>531.83000000000004</v>
      </c>
      <c r="BU18" s="53">
        <v>839.33</v>
      </c>
      <c r="BV18" s="53">
        <v>396.61</v>
      </c>
      <c r="BW18" s="53">
        <v>688.84</v>
      </c>
      <c r="BX18" s="53">
        <v>1289.22</v>
      </c>
      <c r="BY18" s="53">
        <v>1317.05</v>
      </c>
      <c r="BZ18" s="53">
        <v>435.61</v>
      </c>
      <c r="CA18" s="53">
        <v>515.89</v>
      </c>
      <c r="CB18" s="53">
        <v>1135.31</v>
      </c>
      <c r="CC18" s="53">
        <v>759.63</v>
      </c>
      <c r="CD18" s="53"/>
      <c r="CE18" s="53">
        <v>1883.13</v>
      </c>
      <c r="CF18" s="53">
        <v>1409.78</v>
      </c>
      <c r="CG18" s="53">
        <v>1540.86</v>
      </c>
      <c r="CH18" s="53">
        <v>366.78</v>
      </c>
      <c r="CI18" s="53"/>
      <c r="CJ18" s="53">
        <v>303.52999999999997</v>
      </c>
      <c r="CK18" s="53"/>
      <c r="CL18" s="53"/>
      <c r="CM18" s="53"/>
      <c r="CN18" s="53">
        <v>149.58000000000001</v>
      </c>
      <c r="CO18" s="53">
        <v>217.88</v>
      </c>
      <c r="CP18" s="53">
        <v>940.32</v>
      </c>
      <c r="CQ18" s="53"/>
      <c r="CR18" s="53"/>
      <c r="CS18" s="53">
        <v>228.62</v>
      </c>
      <c r="CT18" s="53">
        <v>29.82</v>
      </c>
      <c r="CU18" s="53">
        <v>375.02</v>
      </c>
      <c r="CV18" s="53"/>
      <c r="CW18" s="42"/>
      <c r="CX18" s="42"/>
      <c r="CY18" s="42"/>
      <c r="CZ18" s="42"/>
      <c r="DA18" s="42"/>
      <c r="DB18" s="42"/>
    </row>
    <row r="19" spans="2:106" ht="18" customHeight="1" x14ac:dyDescent="0.35">
      <c r="B19" s="11"/>
      <c r="C19" s="24" t="s">
        <v>147</v>
      </c>
      <c r="D19" s="12" t="s">
        <v>98</v>
      </c>
      <c r="E19" s="34"/>
      <c r="F19" s="42"/>
      <c r="G19" s="36"/>
      <c r="H19" s="28">
        <v>273540.81</v>
      </c>
      <c r="I19" s="28">
        <v>657.68</v>
      </c>
      <c r="J19" s="33">
        <v>8820.69</v>
      </c>
      <c r="K19" s="33">
        <v>59263.060000000005</v>
      </c>
      <c r="L19" s="33"/>
      <c r="M19" s="28"/>
      <c r="N19" s="28">
        <f>10003.7+232507.35</f>
        <v>242511.05000000002</v>
      </c>
      <c r="O19" s="28">
        <v>45089.84</v>
      </c>
      <c r="P19" s="28">
        <v>73180.03</v>
      </c>
      <c r="Q19" s="28">
        <v>56363.28</v>
      </c>
      <c r="R19" s="28">
        <f>5043.2+291789.75</f>
        <v>296832.95</v>
      </c>
      <c r="S19" s="28"/>
      <c r="T19" s="28"/>
      <c r="U19" s="28">
        <v>230478.57</v>
      </c>
      <c r="V19" s="28">
        <v>56785.25</v>
      </c>
      <c r="W19" s="28">
        <v>26219.18</v>
      </c>
      <c r="X19" s="28">
        <v>148786.30000000002</v>
      </c>
      <c r="Y19" s="28">
        <v>118753.10999999999</v>
      </c>
      <c r="Z19" s="28"/>
      <c r="AA19" s="28"/>
      <c r="AB19" s="28">
        <v>92914.679999999978</v>
      </c>
      <c r="AC19" s="28">
        <v>44810.720000000001</v>
      </c>
      <c r="AD19" s="28">
        <v>12347.25</v>
      </c>
      <c r="AE19" s="28">
        <v>26214.83</v>
      </c>
      <c r="AF19" s="28">
        <f>6255.35+1143509.56</f>
        <v>1149764.9100000001</v>
      </c>
      <c r="AG19" s="28"/>
      <c r="AH19" s="28"/>
      <c r="AI19" s="28">
        <v>197884.87999999998</v>
      </c>
      <c r="AJ19" s="28">
        <v>86723.15</v>
      </c>
      <c r="AK19" s="28">
        <v>164304.77000000002</v>
      </c>
      <c r="AL19" s="28">
        <v>3417.5099999999998</v>
      </c>
      <c r="AM19" s="28">
        <v>69601.710000000006</v>
      </c>
      <c r="AN19" s="28"/>
      <c r="AO19" s="34">
        <v>182213.52</v>
      </c>
      <c r="AP19" s="53">
        <v>118354.46</v>
      </c>
      <c r="AQ19" s="53">
        <v>6403.7900000000009</v>
      </c>
      <c r="AR19" s="53">
        <v>14484.060000000001</v>
      </c>
      <c r="AS19" s="53">
        <v>60903.88</v>
      </c>
      <c r="AT19" s="53"/>
      <c r="AU19" s="53">
        <f>28300.3+151244.61</f>
        <v>179544.90999999997</v>
      </c>
      <c r="AV19" s="53">
        <v>68277.75</v>
      </c>
      <c r="AW19" s="53">
        <v>96451.78</v>
      </c>
      <c r="AX19" s="53">
        <v>4725.34</v>
      </c>
      <c r="AY19" s="53"/>
      <c r="AZ19" s="53">
        <v>62407.289999999994</v>
      </c>
      <c r="BA19" s="53">
        <v>128505.38999999998</v>
      </c>
      <c r="BB19" s="53">
        <f>1665.91+175009.78</f>
        <v>176675.69</v>
      </c>
      <c r="BC19" s="53">
        <v>69406.570000000007</v>
      </c>
      <c r="BD19" s="53">
        <v>26110.13</v>
      </c>
      <c r="BE19" s="53">
        <v>6774</v>
      </c>
      <c r="BF19" s="53">
        <f>805721.65+176405.72</f>
        <v>982127.37</v>
      </c>
      <c r="BG19" s="53">
        <v>38331.279999999999</v>
      </c>
      <c r="BH19" s="53">
        <v>111605.95999999999</v>
      </c>
      <c r="BI19" s="53">
        <v>252511.05</v>
      </c>
      <c r="BJ19" s="53">
        <v>297764.19</v>
      </c>
      <c r="BK19" s="53"/>
      <c r="BL19" s="80">
        <v>170730.6</v>
      </c>
      <c r="BM19" s="53">
        <v>175699.52</v>
      </c>
      <c r="BN19" s="53">
        <v>3324.32</v>
      </c>
      <c r="BO19" s="53">
        <v>8789.02</v>
      </c>
      <c r="BP19" s="53">
        <v>17441.839999999997</v>
      </c>
      <c r="BQ19" s="53"/>
      <c r="BR19" s="53">
        <v>358939.54000000004</v>
      </c>
      <c r="BS19" s="53">
        <v>169600.5</v>
      </c>
      <c r="BT19" s="53">
        <v>10025.719999999999</v>
      </c>
      <c r="BU19" s="53">
        <v>45513.979999999996</v>
      </c>
      <c r="BV19" s="53"/>
      <c r="BW19" s="53">
        <v>129148.73000000001</v>
      </c>
      <c r="BX19" s="53">
        <f>258947.42+40586.63</f>
        <v>299534.05</v>
      </c>
      <c r="BY19" s="53">
        <v>17508.650000000001</v>
      </c>
      <c r="BZ19" s="53">
        <v>4844.92</v>
      </c>
      <c r="CA19" s="53">
        <f>256620.24+89918.12</f>
        <v>346538.36</v>
      </c>
      <c r="CB19" s="53">
        <v>12741</v>
      </c>
      <c r="CC19" s="53">
        <v>24038.23</v>
      </c>
      <c r="CD19" s="53">
        <v>57738.74</v>
      </c>
      <c r="CE19" s="53">
        <f>3923030.08+271393.06</f>
        <v>4194423.1399999997</v>
      </c>
      <c r="CF19" s="53">
        <v>200672.56000000003</v>
      </c>
      <c r="CG19" s="53">
        <v>43665.9</v>
      </c>
      <c r="CH19" s="53"/>
      <c r="CI19" s="53">
        <v>441125.16</v>
      </c>
      <c r="CJ19" s="53">
        <v>138586.71000000002</v>
      </c>
      <c r="CK19" s="53">
        <v>92452.959999999992</v>
      </c>
      <c r="CL19" s="53">
        <v>1905.43</v>
      </c>
      <c r="CM19" s="53">
        <v>2024.51</v>
      </c>
      <c r="CN19" s="53"/>
      <c r="CO19" s="53">
        <v>111019.76</v>
      </c>
      <c r="CP19" s="53">
        <v>10342.720000000001</v>
      </c>
      <c r="CQ19" s="53">
        <f>107828.36+230820.56</f>
        <v>338648.92</v>
      </c>
      <c r="CR19" s="53">
        <v>73368.56</v>
      </c>
      <c r="CS19" s="53">
        <v>127503.71999999997</v>
      </c>
      <c r="CT19" s="53"/>
      <c r="CU19" s="53">
        <v>49242.460000000006</v>
      </c>
      <c r="CV19" s="53"/>
      <c r="CW19" s="42"/>
      <c r="CX19" s="42"/>
      <c r="CY19" s="42"/>
      <c r="CZ19" s="42"/>
      <c r="DA19" s="42"/>
      <c r="DB19" s="42"/>
    </row>
    <row r="20" spans="2:106" ht="18" customHeight="1" x14ac:dyDescent="0.35">
      <c r="B20" s="11"/>
      <c r="C20" s="24" t="s">
        <v>148</v>
      </c>
      <c r="D20" s="15" t="s">
        <v>99</v>
      </c>
      <c r="E20" s="34"/>
      <c r="F20" s="42"/>
      <c r="G20" s="36"/>
      <c r="H20" s="28"/>
      <c r="I20" s="28"/>
      <c r="J20" s="33"/>
      <c r="K20" s="33"/>
      <c r="L20" s="33"/>
      <c r="M20" s="28"/>
      <c r="N20" s="28"/>
      <c r="O20" s="28"/>
      <c r="P20" s="28"/>
      <c r="Q20" s="28">
        <v>4744.0400000000009</v>
      </c>
      <c r="R20" s="28">
        <v>12622.49</v>
      </c>
      <c r="S20" s="28"/>
      <c r="T20" s="28"/>
      <c r="U20" s="28">
        <v>257420.77999999997</v>
      </c>
      <c r="V20" s="28">
        <v>65659.570000000007</v>
      </c>
      <c r="W20" s="28">
        <v>584.24</v>
      </c>
      <c r="X20" s="28">
        <v>141498.31</v>
      </c>
      <c r="Y20" s="28">
        <v>39431.86</v>
      </c>
      <c r="Z20" s="28"/>
      <c r="AA20" s="28">
        <v>25620.5</v>
      </c>
      <c r="AB20" s="28">
        <v>265705.62</v>
      </c>
      <c r="AC20" s="28">
        <v>880.84</v>
      </c>
      <c r="AD20" s="28">
        <v>56105.77</v>
      </c>
      <c r="AE20" s="28">
        <v>147272.97999999998</v>
      </c>
      <c r="AF20" s="28">
        <v>131775.22</v>
      </c>
      <c r="AG20" s="28"/>
      <c r="AH20" s="28"/>
      <c r="AI20" s="28">
        <v>156985.12</v>
      </c>
      <c r="AJ20" s="28">
        <v>29108.79</v>
      </c>
      <c r="AK20" s="28">
        <v>147500.43</v>
      </c>
      <c r="AL20" s="28">
        <v>327278.31</v>
      </c>
      <c r="AM20" s="28">
        <v>174706.49</v>
      </c>
      <c r="AN20" s="28">
        <v>105244.64</v>
      </c>
      <c r="AO20" s="34">
        <v>60611.939999999995</v>
      </c>
      <c r="AP20" s="53">
        <v>317587.92999999993</v>
      </c>
      <c r="AQ20" s="53">
        <v>1913.85</v>
      </c>
      <c r="AR20" s="53">
        <v>21110.07</v>
      </c>
      <c r="AS20" s="53">
        <v>3863.2599999999998</v>
      </c>
      <c r="AT20" s="53">
        <v>8888</v>
      </c>
      <c r="AU20" s="53">
        <v>151284</v>
      </c>
      <c r="AV20" s="53">
        <v>443.67</v>
      </c>
      <c r="AW20" s="53">
        <v>7983.3</v>
      </c>
      <c r="AX20" s="53">
        <v>4463.53</v>
      </c>
      <c r="AY20" s="53">
        <v>16555.5</v>
      </c>
      <c r="AZ20" s="53">
        <v>123444.48</v>
      </c>
      <c r="BA20" s="53">
        <v>143782.63</v>
      </c>
      <c r="BB20" s="53">
        <v>66431.22</v>
      </c>
      <c r="BC20" s="53">
        <v>31977.680000000004</v>
      </c>
      <c r="BD20" s="53">
        <v>86325.95</v>
      </c>
      <c r="BE20" s="53">
        <v>4511.16</v>
      </c>
      <c r="BF20" s="53">
        <v>182340.56</v>
      </c>
      <c r="BG20" s="53">
        <v>355318.12</v>
      </c>
      <c r="BH20" s="53">
        <v>375345.14</v>
      </c>
      <c r="BI20" s="53">
        <v>383698.64</v>
      </c>
      <c r="BJ20" s="53">
        <v>94956.299999999988</v>
      </c>
      <c r="BK20" s="53">
        <v>11880.869999999999</v>
      </c>
      <c r="BL20" s="80">
        <v>94067.12</v>
      </c>
      <c r="BM20" s="53">
        <v>100113.01999999999</v>
      </c>
      <c r="BN20" s="53">
        <v>153120.68</v>
      </c>
      <c r="BO20" s="53">
        <v>84726.829999999987</v>
      </c>
      <c r="BP20" s="53">
        <v>30959.25</v>
      </c>
      <c r="BQ20" s="53">
        <v>54001.91</v>
      </c>
      <c r="BR20" s="53">
        <v>199478.64</v>
      </c>
      <c r="BS20" s="53">
        <v>3789.47</v>
      </c>
      <c r="BT20" s="53">
        <v>194060.25</v>
      </c>
      <c r="BU20" s="53">
        <v>12903.560000000001</v>
      </c>
      <c r="BV20" s="53">
        <v>20000</v>
      </c>
      <c r="BW20" s="53">
        <v>180498.15</v>
      </c>
      <c r="BX20" s="53">
        <v>52615.83</v>
      </c>
      <c r="BY20" s="53">
        <v>1932.78</v>
      </c>
      <c r="BZ20" s="53">
        <v>47215.83</v>
      </c>
      <c r="CA20" s="53">
        <v>67709.08</v>
      </c>
      <c r="CB20" s="53">
        <v>65079.360000000001</v>
      </c>
      <c r="CC20" s="53">
        <v>289201.27</v>
      </c>
      <c r="CD20" s="53">
        <v>246009.16999999998</v>
      </c>
      <c r="CE20" s="53">
        <v>197473.6</v>
      </c>
      <c r="CF20" s="53">
        <v>31022.52</v>
      </c>
      <c r="CG20" s="53">
        <v>164601.14000000001</v>
      </c>
      <c r="CH20" s="53">
        <v>9461</v>
      </c>
      <c r="CI20" s="53">
        <v>182745.9</v>
      </c>
      <c r="CJ20" s="53">
        <v>245453.75</v>
      </c>
      <c r="CK20" s="53">
        <v>52427.310000000005</v>
      </c>
      <c r="CL20" s="53">
        <v>130315.05000000002</v>
      </c>
      <c r="CM20" s="53">
        <v>12790.279999999999</v>
      </c>
      <c r="CN20" s="53"/>
      <c r="CO20" s="53">
        <v>237095.26</v>
      </c>
      <c r="CP20" s="53">
        <v>3284.0199999999995</v>
      </c>
      <c r="CQ20" s="53">
        <v>2852.14</v>
      </c>
      <c r="CR20" s="53">
        <v>15716.279999999999</v>
      </c>
      <c r="CS20" s="53">
        <v>18435.25</v>
      </c>
      <c r="CT20" s="53"/>
      <c r="CU20" s="53">
        <v>69379.12</v>
      </c>
      <c r="CV20" s="53"/>
      <c r="CW20" s="42"/>
      <c r="CX20" s="42"/>
      <c r="CY20" s="42"/>
      <c r="CZ20" s="42"/>
      <c r="DA20" s="42"/>
      <c r="DB20" s="42"/>
    </row>
    <row r="21" spans="2:106" ht="18" customHeight="1" x14ac:dyDescent="0.35">
      <c r="B21" s="11"/>
      <c r="C21" s="24" t="s">
        <v>149</v>
      </c>
      <c r="D21" s="12" t="s">
        <v>100</v>
      </c>
      <c r="E21" s="34"/>
      <c r="F21" s="42"/>
      <c r="G21" s="36"/>
      <c r="H21" s="28">
        <f>9002.29+65317.18</f>
        <v>74319.47</v>
      </c>
      <c r="I21" s="28">
        <f>0.05+1173.97+132408+2160-0.33</f>
        <v>135741.69</v>
      </c>
      <c r="J21" s="33">
        <f>326316.9+46695.07+31536</f>
        <v>404547.97000000003</v>
      </c>
      <c r="K21" s="33">
        <f>62593.28+110920.18</f>
        <v>173513.46</v>
      </c>
      <c r="L21" s="33">
        <v>4800.18</v>
      </c>
      <c r="M21" s="28">
        <f>10500+0.06</f>
        <v>10500.06</v>
      </c>
      <c r="N21" s="28">
        <f>100000+200000+1050.81+3+300000+100+106321.03</f>
        <v>707474.84000000008</v>
      </c>
      <c r="O21" s="28">
        <f>2042818.96+162.59+100+8652.06</f>
        <v>2051733.61</v>
      </c>
      <c r="P21" s="28">
        <f>636410.89+3384+14347.36+90000+30145</f>
        <v>774287.25</v>
      </c>
      <c r="Q21" s="28">
        <f>51073.13+240000+64428.09+1999958.24</f>
        <v>2355459.46</v>
      </c>
      <c r="R21" s="28">
        <f>3715.39+5068</f>
        <v>8783.39</v>
      </c>
      <c r="S21" s="28"/>
      <c r="T21" s="28"/>
      <c r="U21" s="28">
        <f>4760+253648+8527.62+4760+40000</f>
        <v>311695.62</v>
      </c>
      <c r="V21" s="28">
        <f>1205.53+568000+50000+0.31+3182879.85</f>
        <v>3802085.6900000004</v>
      </c>
      <c r="W21" s="28">
        <f>50000+0.83+800+23242.48-4760+1483843.02</f>
        <v>1553126.33</v>
      </c>
      <c r="X21" s="28">
        <f>200+200</f>
        <v>400</v>
      </c>
      <c r="Y21" s="28">
        <f>1760+150000+200</f>
        <v>151960</v>
      </c>
      <c r="Z21" s="28"/>
      <c r="AA21" s="28"/>
      <c r="AB21" s="28">
        <f>24864.1+100000+100+1599764.04</f>
        <v>1724728.1400000001</v>
      </c>
      <c r="AC21" s="28">
        <f>3336+141486+10000+100+1218750</f>
        <v>1373672</v>
      </c>
      <c r="AD21" s="28">
        <f>150000+744.8+25060+200+41663.59+6320.8</f>
        <v>223989.18999999997</v>
      </c>
      <c r="AE21" s="28">
        <f>235521+4320+65400+200</f>
        <v>305441</v>
      </c>
      <c r="AF21" s="28">
        <f>86356.01+4513.67+71000+3.97</f>
        <v>161873.65</v>
      </c>
      <c r="AG21" s="28">
        <f>2027063.59+244942.97</f>
        <v>2272006.56</v>
      </c>
      <c r="AH21" s="28">
        <v>0.01</v>
      </c>
      <c r="AI21" s="28">
        <f>0.34+9000+171967.61+10077.72+5208.01+3521.03+7589.56+35832.86+750009.53+383.2+471219+1344006.25+30000</f>
        <v>2838815.11</v>
      </c>
      <c r="AJ21" s="28">
        <f>3760+77430+50205.1+0.07+50000+200+7403.11</f>
        <v>188998.28</v>
      </c>
      <c r="AK21" s="28">
        <f>0.19+39473+95912.28+5000+40000+0.07+8945.25</f>
        <v>189330.79</v>
      </c>
      <c r="AL21" s="28">
        <f>128008.41+6157.68+244.09</f>
        <v>134410.18</v>
      </c>
      <c r="AM21" s="28">
        <f>4243.77+2000+3141.26+26005.26+56000+0.07</f>
        <v>91390.360000000015</v>
      </c>
      <c r="AN21" s="28">
        <f>14567+0.23</f>
        <v>14567.23</v>
      </c>
      <c r="AO21" s="34">
        <f>0.2+3732.66+200+0.11+3240+5281655.99</f>
        <v>5288828.96</v>
      </c>
      <c r="AP21" s="53">
        <f>14603.5+0.02</f>
        <v>14603.52</v>
      </c>
      <c r="AQ21" s="53">
        <f>41663.59+10972+7789.92+100</f>
        <v>60525.509999999995</v>
      </c>
      <c r="AR21" s="53">
        <f>39090+16248.69</f>
        <v>55338.69</v>
      </c>
      <c r="AS21" s="53">
        <f>27274+581621.5+5000+36055.25</f>
        <v>649950.75</v>
      </c>
      <c r="AT21" s="53">
        <v>27470.26</v>
      </c>
      <c r="AU21" s="53">
        <f>65437.07+12142+0.41+481.79+1051.92</f>
        <v>79113.19</v>
      </c>
      <c r="AV21" s="53">
        <f>350000+46948.74+7684.33+0.1+557.98</f>
        <v>405191.14999999997</v>
      </c>
      <c r="AW21" s="53">
        <f>25785+5530.85+5000+0.03+6493.8</f>
        <v>42809.68</v>
      </c>
      <c r="AX21" s="53">
        <f>3250+7048.5+200+0.08</f>
        <v>10498.58</v>
      </c>
      <c r="AY21" s="53">
        <v>0.02</v>
      </c>
      <c r="AZ21" s="53">
        <f>1000+848+44157+25750</f>
        <v>71755</v>
      </c>
      <c r="BA21" s="53">
        <f>100000+1101755.14+3408429.92+6222+0.01</f>
        <v>4616407.0699999994</v>
      </c>
      <c r="BB21" s="53">
        <f>5984.5+25857.92+39847.56+5446.16+300.99</f>
        <v>77437.13</v>
      </c>
      <c r="BC21" s="53">
        <v>41713.49</v>
      </c>
      <c r="BD21" s="53">
        <f>101.8+42562.01+35385.6+50000+600.96</f>
        <v>128650.37000000001</v>
      </c>
      <c r="BE21" s="53">
        <f>0.04+48551.3</f>
        <v>48551.340000000004</v>
      </c>
      <c r="BF21" s="53">
        <f>50957.31+85878.06+55490.64+64200+8781749.14+1578.65+2+1923939.56+15407.57</f>
        <v>10979202.930000002</v>
      </c>
      <c r="BG21" s="53">
        <f>118451.1+0.77+38148+100+10000+0.26</f>
        <v>166700.13</v>
      </c>
      <c r="BH21" s="53">
        <f>75060+10000+27815.03+14250+40000+200</f>
        <v>167325.03</v>
      </c>
      <c r="BI21" s="53">
        <f>521.52+186071.37+14725.96+300+7500</f>
        <v>209118.84999999998</v>
      </c>
      <c r="BJ21" s="53">
        <f>601.8+350000+45230.25+30000+400+31164.41</f>
        <v>457396.45999999996</v>
      </c>
      <c r="BK21" s="53"/>
      <c r="BL21" s="80">
        <f>390335.5+105843.1</f>
        <v>496178.6</v>
      </c>
      <c r="BM21" s="53">
        <f>81620+77921.56+909249+300+10000+5000.02</f>
        <v>1084090.58</v>
      </c>
      <c r="BN21" s="53">
        <f>16111.73+1971.5+200</f>
        <v>18283.23</v>
      </c>
      <c r="BO21" s="53">
        <f>1210937.26+30000</f>
        <v>1240937.26</v>
      </c>
      <c r="BP21" s="53">
        <f>68513.59+3105.18</f>
        <v>71618.76999999999</v>
      </c>
      <c r="BQ21" s="53">
        <v>10500</v>
      </c>
      <c r="BR21" s="53">
        <f>2837.45+164+75400+4150564.73</f>
        <v>4228966.18</v>
      </c>
      <c r="BS21" s="53">
        <f>332467.2+111593.09</f>
        <v>444060.29000000004</v>
      </c>
      <c r="BT21" s="53">
        <f>10696+104272.9</f>
        <v>114968.9</v>
      </c>
      <c r="BU21" s="53">
        <f>24084.38+25174.13+1100000</f>
        <v>1149258.51</v>
      </c>
      <c r="BV21" s="53"/>
      <c r="BW21" s="53">
        <f>62230+200</f>
        <v>62430</v>
      </c>
      <c r="BX21" s="53">
        <f>1200+259809.8+100</f>
        <v>261109.8</v>
      </c>
      <c r="BY21" s="53">
        <f>50692+487000+791.8+129.28</f>
        <v>538613.08000000007</v>
      </c>
      <c r="BZ21" s="53">
        <f>4890+1173.97+1063266</f>
        <v>1069329.97</v>
      </c>
      <c r="CA21" s="53">
        <f>4088.5+249+1.26+72432.31+8940.06+5428555.41+496808.11</f>
        <v>6011074.6500000004</v>
      </c>
      <c r="CB21" s="53"/>
      <c r="CC21" s="53">
        <f>2390.6+318684.46+100+2595.83+152874.64</f>
        <v>476645.53</v>
      </c>
      <c r="CD21" s="53">
        <v>4873.7099999999991</v>
      </c>
      <c r="CE21" s="53">
        <f>38148+603+20000</f>
        <v>58751</v>
      </c>
      <c r="CF21" s="53">
        <f>8829.38+100+100</f>
        <v>9029.3799999999992</v>
      </c>
      <c r="CG21" s="53">
        <f>1000+6060+62640+50000+600+641.8</f>
        <v>120941.8</v>
      </c>
      <c r="CH21" s="53">
        <v>4080</v>
      </c>
      <c r="CI21" s="53">
        <f>18585.9+4000001.3+10300+807447.06</f>
        <v>4836334.26</v>
      </c>
      <c r="CJ21" s="53">
        <f>160000+100+126818.68+60000+90268.8</f>
        <v>437187.48</v>
      </c>
      <c r="CK21" s="53">
        <f>5729.09+1740+21959.46+100</f>
        <v>29528.55</v>
      </c>
      <c r="CL21" s="53">
        <f>56211.53+24847+26498.7</f>
        <v>107557.23</v>
      </c>
      <c r="CM21" s="53">
        <f>4160.69+17254.36+50000+15000</f>
        <v>86415.05</v>
      </c>
      <c r="CN21" s="53">
        <v>13555.7</v>
      </c>
      <c r="CO21" s="53">
        <f>80000+25328.24+1418.92+555241.25+258787.9+100</f>
        <v>920876.31</v>
      </c>
      <c r="CP21" s="53">
        <f>10000+100+11194.8+66314.93</f>
        <v>87609.73</v>
      </c>
      <c r="CQ21" s="53">
        <f>42154.06+1600+1059.57+80000+100+50000</f>
        <v>174913.63</v>
      </c>
      <c r="CR21" s="53">
        <v>1854175.82</v>
      </c>
      <c r="CS21" s="53">
        <f>50060.23+23870.89+5000.03+200+163827.23+240000</f>
        <v>482958.38</v>
      </c>
      <c r="CT21" s="53">
        <v>15570</v>
      </c>
      <c r="CU21" s="53">
        <f>300+5000+8604</f>
        <v>13904</v>
      </c>
      <c r="CV21" s="53"/>
      <c r="CW21" s="42"/>
      <c r="CX21" s="42"/>
      <c r="CY21" s="42"/>
      <c r="CZ21" s="42"/>
      <c r="DA21" s="42"/>
      <c r="DB21" s="42"/>
    </row>
    <row r="22" spans="2:106" ht="18" customHeight="1" x14ac:dyDescent="0.35">
      <c r="B22" s="11"/>
      <c r="C22" s="30" t="s">
        <v>42</v>
      </c>
      <c r="D22" s="30"/>
      <c r="E22" s="32">
        <f>SUM(E23:E35)</f>
        <v>254675691.06999999</v>
      </c>
      <c r="F22" s="43">
        <f>SUM(F23:F35)</f>
        <v>11173050.41</v>
      </c>
      <c r="G22" s="32">
        <f t="shared" ref="G22:G28" si="12">E22+F22</f>
        <v>265848741.47999999</v>
      </c>
      <c r="H22" s="32">
        <f t="shared" ref="H22:AY22" si="13">SUM(H23:H35)</f>
        <v>2717197.87</v>
      </c>
      <c r="I22" s="32">
        <f t="shared" si="13"/>
        <v>135906945.31</v>
      </c>
      <c r="J22" s="32">
        <f t="shared" si="13"/>
        <v>27897538.09</v>
      </c>
      <c r="K22" s="32">
        <f t="shared" si="13"/>
        <v>3317532.04</v>
      </c>
      <c r="L22" s="32">
        <f t="shared" si="13"/>
        <v>0</v>
      </c>
      <c r="M22" s="32">
        <f t="shared" si="13"/>
        <v>807.8</v>
      </c>
      <c r="N22" s="32">
        <f t="shared" si="13"/>
        <v>84633230.350000009</v>
      </c>
      <c r="O22" s="32">
        <f t="shared" si="13"/>
        <v>74757793.359999999</v>
      </c>
      <c r="P22" s="32">
        <f t="shared" si="13"/>
        <v>8215877.2100000009</v>
      </c>
      <c r="Q22" s="32">
        <f t="shared" si="13"/>
        <v>5534435.7300000004</v>
      </c>
      <c r="R22" s="32">
        <f t="shared" si="13"/>
        <v>16304306.609999999</v>
      </c>
      <c r="S22" s="32">
        <f t="shared" si="13"/>
        <v>0</v>
      </c>
      <c r="T22" s="32">
        <f t="shared" si="13"/>
        <v>0</v>
      </c>
      <c r="U22" s="32">
        <f t="shared" si="13"/>
        <v>10505763.969999999</v>
      </c>
      <c r="V22" s="32">
        <f t="shared" si="13"/>
        <v>2824492.68</v>
      </c>
      <c r="W22" s="32">
        <f t="shared" si="13"/>
        <v>1847015.03</v>
      </c>
      <c r="X22" s="32">
        <f t="shared" si="13"/>
        <v>4392582.05</v>
      </c>
      <c r="Y22" s="32">
        <f t="shared" si="13"/>
        <v>28553130.610000003</v>
      </c>
      <c r="Z22" s="32">
        <f t="shared" si="13"/>
        <v>110.6</v>
      </c>
      <c r="AA22" s="32">
        <f t="shared" si="13"/>
        <v>0</v>
      </c>
      <c r="AB22" s="32">
        <f t="shared" si="13"/>
        <v>2376196.46</v>
      </c>
      <c r="AC22" s="32">
        <f t="shared" si="13"/>
        <v>8513135.0199999996</v>
      </c>
      <c r="AD22" s="32">
        <f t="shared" si="13"/>
        <v>5552934.21</v>
      </c>
      <c r="AE22" s="32">
        <f t="shared" si="13"/>
        <v>11697738.109999999</v>
      </c>
      <c r="AF22" s="32">
        <f t="shared" si="13"/>
        <v>27262675.140000001</v>
      </c>
      <c r="AG22" s="32">
        <f t="shared" si="13"/>
        <v>10</v>
      </c>
      <c r="AH22" s="32">
        <f t="shared" si="13"/>
        <v>0</v>
      </c>
      <c r="AI22" s="32">
        <f t="shared" si="13"/>
        <v>33099499.820000004</v>
      </c>
      <c r="AJ22" s="32">
        <f t="shared" si="13"/>
        <v>6799791.8900000006</v>
      </c>
      <c r="AK22" s="32">
        <f t="shared" si="13"/>
        <v>6581774</v>
      </c>
      <c r="AL22" s="32">
        <f t="shared" si="13"/>
        <v>17642003.84</v>
      </c>
      <c r="AM22" s="32">
        <f t="shared" si="13"/>
        <v>16131448.819999998</v>
      </c>
      <c r="AN22" s="32">
        <f t="shared" si="13"/>
        <v>0</v>
      </c>
      <c r="AO22" s="51">
        <f t="shared" si="13"/>
        <v>19489672.59</v>
      </c>
      <c r="AP22" s="51">
        <f t="shared" si="13"/>
        <v>616246.53</v>
      </c>
      <c r="AQ22" s="51">
        <f t="shared" si="13"/>
        <v>80964313.890000015</v>
      </c>
      <c r="AR22" s="51">
        <f t="shared" si="13"/>
        <v>11452537.330000002</v>
      </c>
      <c r="AS22" s="51">
        <f t="shared" si="13"/>
        <v>4351703.29</v>
      </c>
      <c r="AT22" s="51">
        <f t="shared" si="13"/>
        <v>6128.2899999999972</v>
      </c>
      <c r="AU22" s="51">
        <f t="shared" si="13"/>
        <v>10568890.039999999</v>
      </c>
      <c r="AV22" s="51">
        <f t="shared" si="13"/>
        <v>2580644.23</v>
      </c>
      <c r="AW22" s="51">
        <f t="shared" si="13"/>
        <v>1931862.41</v>
      </c>
      <c r="AX22" s="51">
        <f t="shared" si="13"/>
        <v>5234115.47</v>
      </c>
      <c r="AY22" s="65">
        <f t="shared" si="13"/>
        <v>0</v>
      </c>
      <c r="AZ22" s="65">
        <f t="shared" ref="AZ22:CV22" si="14">SUM(AZ23:AZ35)</f>
        <v>7957412</v>
      </c>
      <c r="BA22" s="65">
        <f t="shared" si="14"/>
        <v>3867852.12</v>
      </c>
      <c r="BB22" s="65">
        <f t="shared" si="14"/>
        <v>45065519.29999999</v>
      </c>
      <c r="BC22" s="65">
        <f t="shared" si="14"/>
        <v>6529436.0899999971</v>
      </c>
      <c r="BD22" s="65">
        <f t="shared" si="14"/>
        <v>2244092.59</v>
      </c>
      <c r="BE22" s="65">
        <f t="shared" si="14"/>
        <v>5.09</v>
      </c>
      <c r="BF22" s="65">
        <f t="shared" si="14"/>
        <v>3872820.4399999995</v>
      </c>
      <c r="BG22" s="65">
        <f t="shared" si="14"/>
        <v>12690253.049999999</v>
      </c>
      <c r="BH22" s="65">
        <f t="shared" si="14"/>
        <v>5107555.2300000004</v>
      </c>
      <c r="BI22" s="65">
        <f t="shared" si="14"/>
        <v>19637686.329999998</v>
      </c>
      <c r="BJ22" s="65">
        <f t="shared" si="14"/>
        <v>14163084.720000003</v>
      </c>
      <c r="BK22" s="65">
        <f t="shared" si="14"/>
        <v>62</v>
      </c>
      <c r="BL22" s="65">
        <f t="shared" si="14"/>
        <v>17499731.449999996</v>
      </c>
      <c r="BM22" s="65">
        <f t="shared" si="14"/>
        <v>52020726.820000008</v>
      </c>
      <c r="BN22" s="65">
        <f t="shared" si="14"/>
        <v>6039068.9699999997</v>
      </c>
      <c r="BO22" s="65">
        <f t="shared" si="14"/>
        <v>7195857.71</v>
      </c>
      <c r="BP22" s="65">
        <f t="shared" si="14"/>
        <v>9177883.7199999988</v>
      </c>
      <c r="BQ22" s="65">
        <f t="shared" si="14"/>
        <v>7682.8999999999987</v>
      </c>
      <c r="BR22" s="65">
        <f t="shared" si="14"/>
        <v>52799063.649999999</v>
      </c>
      <c r="BS22" s="65">
        <f t="shared" si="14"/>
        <v>5725098.0999999996</v>
      </c>
      <c r="BT22" s="65">
        <f t="shared" si="14"/>
        <v>3982938.9699999997</v>
      </c>
      <c r="BU22" s="65">
        <f t="shared" si="14"/>
        <v>10115637.310000001</v>
      </c>
      <c r="BV22" s="65">
        <f t="shared" si="14"/>
        <v>90</v>
      </c>
      <c r="BW22" s="65">
        <f t="shared" si="14"/>
        <v>11226741.01</v>
      </c>
      <c r="BX22" s="65">
        <f t="shared" si="14"/>
        <v>27229606.219999999</v>
      </c>
      <c r="BY22" s="65">
        <f t="shared" si="14"/>
        <v>3905948.9699999997</v>
      </c>
      <c r="BZ22" s="65">
        <f t="shared" si="14"/>
        <v>7391439.9200000009</v>
      </c>
      <c r="CA22" s="65">
        <f t="shared" si="14"/>
        <v>32590551.389999997</v>
      </c>
      <c r="CB22" s="65">
        <f t="shared" si="14"/>
        <v>305.14</v>
      </c>
      <c r="CC22" s="65">
        <f t="shared" si="14"/>
        <v>18533805.859999999</v>
      </c>
      <c r="CD22" s="65">
        <f t="shared" si="14"/>
        <v>19962615.089999996</v>
      </c>
      <c r="CE22" s="65">
        <f t="shared" si="14"/>
        <v>36711323.560000002</v>
      </c>
      <c r="CF22" s="65">
        <f t="shared" si="14"/>
        <v>7292086.3400000008</v>
      </c>
      <c r="CG22" s="65">
        <f t="shared" si="14"/>
        <v>11161849.620000001</v>
      </c>
      <c r="CH22" s="65">
        <f t="shared" si="14"/>
        <v>1659.43</v>
      </c>
      <c r="CI22" s="65">
        <f t="shared" si="14"/>
        <v>6362239.8900000006</v>
      </c>
      <c r="CJ22" s="65">
        <f t="shared" si="14"/>
        <v>7304230.8900000006</v>
      </c>
      <c r="CK22" s="65">
        <f t="shared" si="14"/>
        <v>10241200.6</v>
      </c>
      <c r="CL22" s="65">
        <f t="shared" si="14"/>
        <v>38805115.100000001</v>
      </c>
      <c r="CM22" s="65">
        <f t="shared" si="14"/>
        <v>10185408.040000001</v>
      </c>
      <c r="CN22" s="65">
        <f t="shared" si="14"/>
        <v>18.05</v>
      </c>
      <c r="CO22" s="65">
        <f t="shared" si="14"/>
        <v>98489382.280000001</v>
      </c>
      <c r="CP22" s="65">
        <f t="shared" si="14"/>
        <v>20978667.780000001</v>
      </c>
      <c r="CQ22" s="65">
        <f t="shared" si="14"/>
        <v>6745279.7800000003</v>
      </c>
      <c r="CR22" s="65">
        <f t="shared" si="14"/>
        <v>11408779.079999998</v>
      </c>
      <c r="CS22" s="65">
        <f t="shared" si="14"/>
        <v>4142521.12</v>
      </c>
      <c r="CT22" s="65">
        <f t="shared" si="14"/>
        <v>105.24</v>
      </c>
      <c r="CU22" s="65">
        <f t="shared" si="14"/>
        <v>12654238.289999999</v>
      </c>
      <c r="CV22" s="65">
        <f t="shared" si="14"/>
        <v>0</v>
      </c>
      <c r="CW22" s="42"/>
      <c r="CX22" s="42"/>
      <c r="CY22" s="42"/>
      <c r="CZ22" s="42"/>
      <c r="DA22" s="42"/>
      <c r="DB22" s="42"/>
    </row>
    <row r="23" spans="2:106" ht="18" customHeight="1" x14ac:dyDescent="0.35">
      <c r="B23" s="11"/>
      <c r="C23" s="24" t="s">
        <v>101</v>
      </c>
      <c r="D23" s="12" t="s">
        <v>102</v>
      </c>
      <c r="E23" s="28">
        <v>4483766.2</v>
      </c>
      <c r="F23" s="28">
        <f>25000+10108511.86</f>
        <v>10133511.859999999</v>
      </c>
      <c r="G23" s="28">
        <f t="shared" si="12"/>
        <v>14617278.059999999</v>
      </c>
      <c r="H23" s="28">
        <f>7250+1757+672+474+954+180+1584+205+617.7+292+1405.8+1055.7+780+1150+116600+58000</f>
        <v>192977.2</v>
      </c>
      <c r="I23" s="28">
        <f>6400+2619060+277200+1822806</f>
        <v>4725466</v>
      </c>
      <c r="J23" s="28">
        <f>324886.9+1236559.92+398166.1+305000</f>
        <v>2264612.92</v>
      </c>
      <c r="K23" s="28">
        <f>1500000+800000</f>
        <v>2300000</v>
      </c>
      <c r="L23" s="28"/>
      <c r="M23" s="28"/>
      <c r="N23" s="28">
        <f>201600+457024.09+34000+140000</f>
        <v>832624.09000000008</v>
      </c>
      <c r="O23" s="28">
        <f>26670+115368+176188+44520+300000</f>
        <v>662746</v>
      </c>
      <c r="P23" s="28">
        <f>30960+19130+2365.09+107000+56000+19000+270000</f>
        <v>504455.08999999997</v>
      </c>
      <c r="Q23" s="28">
        <f>150000+396071.45+89040+938477.46+120000+19800</f>
        <v>1713388.91</v>
      </c>
      <c r="R23" s="28">
        <f>958389.61+15400+8000</f>
        <v>981789.61</v>
      </c>
      <c r="S23" s="28"/>
      <c r="T23" s="28"/>
      <c r="U23" s="33">
        <f>1156490+52500+43000+31025+60000+570000+250000+21630+76635</f>
        <v>2261280</v>
      </c>
      <c r="V23" s="28">
        <f>256600+6868</f>
        <v>263468</v>
      </c>
      <c r="W23" s="28">
        <f>253648+121089.3</f>
        <v>374737.3</v>
      </c>
      <c r="X23" s="28">
        <v>352000</v>
      </c>
      <c r="Y23" s="28">
        <f>104461.08+142000+568000+393298.5+479848.72+277461.07+262621.2+135100+130000</f>
        <v>2492790.5700000003</v>
      </c>
      <c r="Z23" s="28"/>
      <c r="AA23" s="28"/>
      <c r="AB23" s="28">
        <f>790000+268816+100000</f>
        <v>1158816</v>
      </c>
      <c r="AC23" s="28">
        <f>68210+1373613.28+425000+49483</f>
        <v>1916306.28</v>
      </c>
      <c r="AD23" s="28"/>
      <c r="AE23" s="28">
        <f>10071563.45+61000+10000</f>
        <v>10142563.449999999</v>
      </c>
      <c r="AF23" s="28">
        <f>1445347.68+1080725.65+6196365.12</f>
        <v>8722438.4499999993</v>
      </c>
      <c r="AG23" s="31"/>
      <c r="AH23" s="28"/>
      <c r="AI23" s="28">
        <f>4921752.36+1975517+6417947.49+14710000</f>
        <v>28025216.850000001</v>
      </c>
      <c r="AJ23" s="28">
        <f>579525+309060.54</f>
        <v>888585.54</v>
      </c>
      <c r="AK23" s="28">
        <f>2237585.62+286000</f>
        <v>2523585.62</v>
      </c>
      <c r="AL23" s="28">
        <f>14949.44+3660271.77+84862.4</f>
        <v>3760083.61</v>
      </c>
      <c r="AM23" s="28">
        <f>6757245.85+3248500</f>
        <v>10005745.85</v>
      </c>
      <c r="AN23" s="28"/>
      <c r="AO23" s="34">
        <f>14965097.25+600000+1726000</f>
        <v>17291097.25</v>
      </c>
      <c r="AP23" s="34">
        <f>24223.03+590736</f>
        <v>614959.03</v>
      </c>
      <c r="AQ23" s="34">
        <v>758122.37</v>
      </c>
      <c r="AR23" s="53">
        <f>7831093.43</f>
        <v>7831093.4299999997</v>
      </c>
      <c r="AS23" s="53">
        <v>3082307.98</v>
      </c>
      <c r="AT23" s="53"/>
      <c r="AU23" s="53">
        <f>6959605.43+691500+2287938.02</f>
        <v>9939043.4499999993</v>
      </c>
      <c r="AV23" s="53">
        <v>733360.39</v>
      </c>
      <c r="AW23" s="53">
        <v>836715.74</v>
      </c>
      <c r="AX23" s="63">
        <v>5142392.97</v>
      </c>
      <c r="AY23" s="42"/>
      <c r="AZ23" s="64">
        <v>1008888.67</v>
      </c>
      <c r="BA23" s="64">
        <f>2614667.65-322284.11</f>
        <v>2292383.54</v>
      </c>
      <c r="BB23" s="64">
        <v>1122687.55</v>
      </c>
      <c r="BC23" s="64">
        <v>5055257.5699999975</v>
      </c>
      <c r="BD23" s="64">
        <v>984898.44000000006</v>
      </c>
      <c r="BE23" s="64"/>
      <c r="BF23" s="64">
        <v>942432.08999999973</v>
      </c>
      <c r="BG23" s="64">
        <v>1633246.26</v>
      </c>
      <c r="BH23" s="64">
        <v>1981435.8599999999</v>
      </c>
      <c r="BI23" s="64">
        <v>462292.91000000009</v>
      </c>
      <c r="BJ23" s="64">
        <v>2238258</v>
      </c>
      <c r="BK23" s="64"/>
      <c r="BL23" s="64">
        <v>16723961.699999997</v>
      </c>
      <c r="BM23" s="64">
        <v>22134678.199999999</v>
      </c>
      <c r="BN23" s="64">
        <v>1999019.3699999999</v>
      </c>
      <c r="BO23" s="64">
        <v>6235862.8399999999</v>
      </c>
      <c r="BP23" s="64">
        <v>2618013.2999999998</v>
      </c>
      <c r="BQ23" s="42"/>
      <c r="BR23" s="64">
        <v>180100</v>
      </c>
      <c r="BS23" s="64">
        <v>2557758.7799999998</v>
      </c>
      <c r="BT23" s="64">
        <v>3502910.92</v>
      </c>
      <c r="BU23" s="64">
        <v>4817925.7600000007</v>
      </c>
      <c r="BV23" s="64"/>
      <c r="BW23" s="64">
        <v>2369740.37</v>
      </c>
      <c r="BX23" s="64">
        <v>578822</v>
      </c>
      <c r="BY23" s="64">
        <v>1628773.02</v>
      </c>
      <c r="BZ23" s="64">
        <v>247759.03</v>
      </c>
      <c r="CA23" s="64">
        <v>412506.2</v>
      </c>
      <c r="CB23" s="64"/>
      <c r="CC23" s="64">
        <f>7496686.15+32309.23</f>
        <v>7528995.3800000008</v>
      </c>
      <c r="CD23" s="53">
        <v>13729816.699999997</v>
      </c>
      <c r="CE23" s="53">
        <f>13482157.39-9500000</f>
        <v>3982157.3900000006</v>
      </c>
      <c r="CF23" s="53">
        <v>1146677.6300000001</v>
      </c>
      <c r="CG23" s="53">
        <v>4242903.4000000004</v>
      </c>
      <c r="CH23" s="53"/>
      <c r="CI23" s="53">
        <f>3833474.18+270762.24</f>
        <v>4104236.42</v>
      </c>
      <c r="CJ23" s="53">
        <v>1802198.61</v>
      </c>
      <c r="CK23" s="53">
        <v>4480398.08</v>
      </c>
      <c r="CL23" s="53">
        <v>28420197.469999999</v>
      </c>
      <c r="CM23" s="53">
        <v>7021065.7999999998</v>
      </c>
      <c r="CN23" s="53"/>
      <c r="CO23" s="53">
        <f>674540.97+29994.2</f>
        <v>704535.16999999993</v>
      </c>
      <c r="CP23" s="53">
        <v>1196942.79</v>
      </c>
      <c r="CQ23" s="53">
        <f>599.9+1971587.48-59.04</f>
        <v>1972128.3399999999</v>
      </c>
      <c r="CR23" s="53">
        <v>850922.82999999984</v>
      </c>
      <c r="CS23" s="53"/>
      <c r="CT23" s="53"/>
      <c r="CU23" s="53">
        <v>2716184.3899999997</v>
      </c>
      <c r="CV23" s="53"/>
      <c r="CW23" s="42"/>
      <c r="CX23" s="42"/>
      <c r="CY23" s="42"/>
      <c r="CZ23" s="42"/>
      <c r="DA23" s="42"/>
      <c r="DB23" s="42"/>
    </row>
    <row r="24" spans="2:106" ht="18" customHeight="1" x14ac:dyDescent="0.35">
      <c r="B24" s="11"/>
      <c r="C24" s="24" t="s">
        <v>16</v>
      </c>
      <c r="D24" s="12" t="s">
        <v>103</v>
      </c>
      <c r="E24" s="28">
        <v>1361852.02</v>
      </c>
      <c r="F24" s="28">
        <f>620000</f>
        <v>620000</v>
      </c>
      <c r="G24" s="28">
        <f t="shared" si="12"/>
        <v>1981852.02</v>
      </c>
      <c r="H24" s="28">
        <f>2000000+280+2000+59000+7000</f>
        <v>2068280</v>
      </c>
      <c r="I24" s="28">
        <v>500000</v>
      </c>
      <c r="J24" s="28"/>
      <c r="K24" s="28">
        <v>849772.04</v>
      </c>
      <c r="L24" s="28"/>
      <c r="M24" s="28"/>
      <c r="N24" s="28"/>
      <c r="O24" s="28">
        <f>2084753+500000</f>
        <v>2584753</v>
      </c>
      <c r="P24" s="28">
        <f>210000+750000</f>
        <v>960000</v>
      </c>
      <c r="Q24" s="28">
        <v>655075</v>
      </c>
      <c r="R24" s="28">
        <f>6520000+782986</f>
        <v>7302986</v>
      </c>
      <c r="S24" s="28"/>
      <c r="T24" s="28"/>
      <c r="U24" s="33">
        <f>6442004+60000</f>
        <v>6502004</v>
      </c>
      <c r="V24" s="28"/>
      <c r="W24" s="28">
        <f>339000+160068+120000+108700</f>
        <v>727768</v>
      </c>
      <c r="X24" s="28">
        <v>1300000</v>
      </c>
      <c r="Y24" s="28">
        <f>100000+700000+422600+350300+158200</f>
        <v>1731100</v>
      </c>
      <c r="Z24" s="28"/>
      <c r="AA24" s="28"/>
      <c r="AB24" s="28"/>
      <c r="AC24" s="28">
        <v>4838980</v>
      </c>
      <c r="AD24" s="28">
        <f>1590000+1500000+650000</f>
        <v>3740000</v>
      </c>
      <c r="AE24" s="28">
        <f>102400+88000</f>
        <v>190400</v>
      </c>
      <c r="AF24" s="28">
        <f>8585060</f>
        <v>8585060</v>
      </c>
      <c r="AG24" s="28"/>
      <c r="AH24" s="28"/>
      <c r="AI24" s="28">
        <v>3979021</v>
      </c>
      <c r="AJ24" s="28">
        <f>3256372</f>
        <v>3256372</v>
      </c>
      <c r="AK24" s="28">
        <v>2752260</v>
      </c>
      <c r="AL24" s="28">
        <f>8350068.82</f>
        <v>8350068.8200000003</v>
      </c>
      <c r="AM24" s="28">
        <v>3372000</v>
      </c>
      <c r="AN24" s="28"/>
      <c r="AO24" s="34">
        <v>300000</v>
      </c>
      <c r="AP24" s="34"/>
      <c r="AQ24" s="34"/>
      <c r="AR24" s="53">
        <v>197000</v>
      </c>
      <c r="AS24" s="53">
        <v>390000</v>
      </c>
      <c r="AT24" s="53"/>
      <c r="AU24" s="53">
        <v>212000</v>
      </c>
      <c r="AV24" s="53"/>
      <c r="AW24" s="53">
        <v>277104</v>
      </c>
      <c r="AX24" s="63"/>
      <c r="AY24" s="42"/>
      <c r="AZ24" s="64">
        <v>163200</v>
      </c>
      <c r="BA24" s="64">
        <v>600000</v>
      </c>
      <c r="BB24" s="64">
        <v>1390561</v>
      </c>
      <c r="BC24" s="64">
        <v>914000</v>
      </c>
      <c r="BD24" s="64"/>
      <c r="BE24" s="64"/>
      <c r="BF24" s="64">
        <v>300000</v>
      </c>
      <c r="BG24" s="64">
        <v>74488</v>
      </c>
      <c r="BH24" s="64">
        <v>300000</v>
      </c>
      <c r="BI24" s="64">
        <v>7039000</v>
      </c>
      <c r="BJ24" s="64">
        <v>3090000</v>
      </c>
      <c r="BK24" s="64"/>
      <c r="BL24" s="64"/>
      <c r="BM24" s="64">
        <v>1858905</v>
      </c>
      <c r="BN24" s="64">
        <v>2418000</v>
      </c>
      <c r="BO24" s="64">
        <v>822228</v>
      </c>
      <c r="BP24" s="64"/>
      <c r="BQ24" s="42"/>
      <c r="BR24" s="64">
        <v>5004360</v>
      </c>
      <c r="BS24" s="64"/>
      <c r="BT24" s="64">
        <v>445000</v>
      </c>
      <c r="BU24" s="64">
        <v>1862100</v>
      </c>
      <c r="BV24" s="64"/>
      <c r="BW24" s="64">
        <v>500000</v>
      </c>
      <c r="BX24" s="64"/>
      <c r="BY24" s="64"/>
      <c r="BZ24" s="64">
        <v>4323745</v>
      </c>
      <c r="CA24" s="64">
        <v>1086760</v>
      </c>
      <c r="CB24" s="64"/>
      <c r="CC24" s="64">
        <v>779395</v>
      </c>
      <c r="CD24" s="53">
        <v>4655830</v>
      </c>
      <c r="CE24" s="53"/>
      <c r="CF24" s="53">
        <v>1000000</v>
      </c>
      <c r="CG24" s="53">
        <v>2018200</v>
      </c>
      <c r="CH24" s="53"/>
      <c r="CI24" s="53">
        <v>45000</v>
      </c>
      <c r="CJ24" s="53">
        <v>4138795</v>
      </c>
      <c r="CK24" s="53">
        <v>540000</v>
      </c>
      <c r="CL24" s="53">
        <v>918000</v>
      </c>
      <c r="CM24" s="53">
        <v>2845446</v>
      </c>
      <c r="CN24" s="53"/>
      <c r="CO24" s="53">
        <v>3270427.06</v>
      </c>
      <c r="CP24" s="53">
        <v>232300</v>
      </c>
      <c r="CQ24" s="53">
        <v>16000</v>
      </c>
      <c r="CR24" s="53">
        <v>6481000</v>
      </c>
      <c r="CS24" s="53">
        <v>3040000</v>
      </c>
      <c r="CT24" s="53"/>
      <c r="CU24" s="53">
        <v>2718977</v>
      </c>
      <c r="CV24" s="53"/>
      <c r="CW24" s="42"/>
      <c r="CX24" s="42"/>
      <c r="CY24" s="42"/>
      <c r="CZ24" s="42"/>
      <c r="DA24" s="42"/>
      <c r="DB24" s="42"/>
    </row>
    <row r="25" spans="2:106" ht="18" customHeight="1" x14ac:dyDescent="0.35">
      <c r="B25" s="11"/>
      <c r="C25" s="24" t="s">
        <v>18</v>
      </c>
      <c r="D25" s="12" t="s">
        <v>104</v>
      </c>
      <c r="E25" s="28">
        <v>151943011.47</v>
      </c>
      <c r="F25" s="28"/>
      <c r="G25" s="28">
        <f t="shared" si="12"/>
        <v>151943011.47</v>
      </c>
      <c r="H25" s="28"/>
      <c r="J25" s="28">
        <v>189541</v>
      </c>
      <c r="K25" s="28"/>
      <c r="L25" s="28"/>
      <c r="M25" s="28"/>
      <c r="N25" s="28">
        <f>51641174.81+28204018.12</f>
        <v>79845192.930000007</v>
      </c>
      <c r="O25" s="28">
        <f>35637272.51+33422401.16</f>
        <v>69059673.670000002</v>
      </c>
      <c r="P25" s="28">
        <f>146600+823567.31+2353115.8+30800+2042818.96</f>
        <v>5396902.0700000003</v>
      </c>
      <c r="Q25" s="28">
        <f>1920+1179351.78</f>
        <v>1181271.78</v>
      </c>
      <c r="R25" s="28"/>
      <c r="S25" s="28"/>
      <c r="T25" s="28"/>
      <c r="U25" s="33">
        <f>16466.7+125000+6242.55</f>
        <v>147709.25</v>
      </c>
      <c r="V25" s="28"/>
      <c r="W25" s="28"/>
      <c r="X25" s="28">
        <v>952400</v>
      </c>
      <c r="Y25" s="28"/>
      <c r="Z25" s="28"/>
      <c r="AA25" s="28"/>
      <c r="AB25" s="28"/>
      <c r="AC25" s="28"/>
      <c r="AD25" s="28"/>
      <c r="AE25" s="28">
        <v>502500</v>
      </c>
      <c r="AF25" s="28"/>
      <c r="AH25" s="28"/>
      <c r="AI25" s="28">
        <f>65000+105950</f>
        <v>170950</v>
      </c>
      <c r="AJ25" s="28"/>
      <c r="AK25" s="28">
        <v>563758.42000000004</v>
      </c>
      <c r="AL25" s="28">
        <v>81344.5</v>
      </c>
      <c r="AM25" s="28">
        <v>145000</v>
      </c>
      <c r="AN25" s="28"/>
      <c r="AO25" s="34"/>
      <c r="AP25" s="34"/>
      <c r="AQ25" s="34">
        <f>4524348.02+45618991.66+28789302.23</f>
        <v>78932641.909999996</v>
      </c>
      <c r="AR25" s="53">
        <f>164563.86+1016168.44</f>
        <v>1180732.2999999998</v>
      </c>
      <c r="AS25" s="53"/>
      <c r="AT25" s="53"/>
      <c r="AU25" s="53"/>
      <c r="AV25" s="53"/>
      <c r="AW25" s="53">
        <v>45450</v>
      </c>
      <c r="AX25" s="63"/>
      <c r="AY25" s="42"/>
      <c r="AZ25" s="64">
        <v>3400000</v>
      </c>
      <c r="BA25" s="64"/>
      <c r="BB25" s="64">
        <f>523185.48+5467254.3</f>
        <v>5990439.7799999993</v>
      </c>
      <c r="BC25" s="64"/>
      <c r="BD25" s="64"/>
      <c r="BE25" s="64"/>
      <c r="BF25" s="64">
        <v>171547.18</v>
      </c>
      <c r="BG25" s="64"/>
      <c r="BH25" s="64"/>
      <c r="BI25" s="64">
        <f>32000+227900</f>
        <v>259900</v>
      </c>
      <c r="BJ25" s="64"/>
      <c r="BK25" s="64"/>
      <c r="BL25" s="64">
        <v>1160.4000000000001</v>
      </c>
      <c r="BM25" s="64"/>
      <c r="BN25" s="64"/>
      <c r="BO25" s="64"/>
      <c r="BP25" s="64"/>
      <c r="BQ25" s="42"/>
      <c r="BR25" s="64">
        <f>47257273.39+11737.09</f>
        <v>47269010.480000004</v>
      </c>
      <c r="BS25" s="64"/>
      <c r="BT25" s="64">
        <v>35010</v>
      </c>
      <c r="BU25" s="64"/>
      <c r="BV25" s="64"/>
      <c r="BW25" s="64"/>
      <c r="BX25" s="64"/>
      <c r="BY25" s="64">
        <v>388836.62</v>
      </c>
      <c r="BZ25" s="64"/>
      <c r="CA25" s="64">
        <v>3021961.6400000006</v>
      </c>
      <c r="CB25" s="64"/>
      <c r="CC25" s="64"/>
      <c r="CD25" s="53"/>
      <c r="CE25" s="53"/>
      <c r="CF25" s="53"/>
      <c r="CG25" s="53"/>
      <c r="CH25" s="53"/>
      <c r="CI25" s="53">
        <v>69750</v>
      </c>
      <c r="CJ25" s="53"/>
      <c r="CK25" s="53">
        <v>27000</v>
      </c>
      <c r="CL25" s="53"/>
      <c r="CM25" s="53"/>
      <c r="CN25" s="53"/>
      <c r="CO25" s="53">
        <f>62180012.9+24735107.56+45897.03</f>
        <v>86961017.489999995</v>
      </c>
      <c r="CP25" s="53">
        <v>279396</v>
      </c>
      <c r="CQ25" s="53"/>
      <c r="CR25" s="53"/>
      <c r="CS25" s="53"/>
      <c r="CT25" s="53"/>
      <c r="CU25" s="53">
        <v>976259.46</v>
      </c>
      <c r="CV25" s="53"/>
      <c r="CW25" s="42"/>
      <c r="CX25" s="42"/>
      <c r="CY25" s="42"/>
      <c r="CZ25" s="42"/>
      <c r="DA25" s="42"/>
      <c r="DB25" s="42"/>
    </row>
    <row r="26" spans="2:106" ht="18" customHeight="1" x14ac:dyDescent="0.35">
      <c r="B26" s="11"/>
      <c r="C26" s="24" t="s">
        <v>20</v>
      </c>
      <c r="D26" s="12" t="s">
        <v>105</v>
      </c>
      <c r="E26" s="28">
        <v>47594</v>
      </c>
      <c r="F26" s="28"/>
      <c r="G26" s="28">
        <f t="shared" si="12"/>
        <v>47594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33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34"/>
      <c r="AP26" s="34"/>
      <c r="AQ26" s="34"/>
      <c r="AR26" s="53">
        <v>535904</v>
      </c>
      <c r="AS26" s="53"/>
      <c r="AT26" s="53"/>
      <c r="AU26" s="53">
        <v>300</v>
      </c>
      <c r="AV26" s="53">
        <v>52500</v>
      </c>
      <c r="AW26" s="53"/>
      <c r="AX26" s="63"/>
      <c r="AY26" s="42"/>
      <c r="AZ26" s="64"/>
      <c r="BA26" s="64"/>
      <c r="BB26" s="64"/>
      <c r="BC26" s="64"/>
      <c r="BD26" s="64"/>
      <c r="BE26" s="64"/>
      <c r="BF26" s="64">
        <v>29500</v>
      </c>
      <c r="BG26" s="64"/>
      <c r="BH26" s="64"/>
      <c r="BI26" s="64"/>
      <c r="BJ26" s="64"/>
      <c r="BK26" s="64"/>
      <c r="BL26" s="64"/>
      <c r="BM26" s="64"/>
      <c r="BN26" s="64"/>
      <c r="BO26" s="64"/>
      <c r="BP26" s="64"/>
      <c r="BQ26" s="42"/>
      <c r="BR26" s="64"/>
      <c r="BS26" s="64">
        <v>325275</v>
      </c>
      <c r="BT26" s="64"/>
      <c r="BU26" s="64"/>
      <c r="BV26" s="64"/>
      <c r="BW26" s="64"/>
      <c r="BX26" s="64">
        <v>6617876.9199999999</v>
      </c>
      <c r="BY26" s="64"/>
      <c r="BZ26" s="64"/>
      <c r="CA26" s="64"/>
      <c r="CB26" s="64"/>
      <c r="CC26" s="64"/>
      <c r="CD26" s="53"/>
      <c r="CE26" s="53"/>
      <c r="CF26" s="53">
        <v>2400000</v>
      </c>
      <c r="CG26" s="53"/>
      <c r="CH26" s="53"/>
      <c r="CI26" s="53"/>
      <c r="CJ26" s="53"/>
      <c r="CK26" s="53"/>
      <c r="CL26" s="53">
        <v>187437.6</v>
      </c>
      <c r="CM26" s="53">
        <v>200000</v>
      </c>
      <c r="CN26" s="53"/>
      <c r="CO26" s="53"/>
      <c r="CP26" s="53">
        <v>124080.5</v>
      </c>
      <c r="CQ26" s="53">
        <v>5800</v>
      </c>
      <c r="CR26" s="53"/>
      <c r="CS26" s="53"/>
      <c r="CT26" s="53"/>
      <c r="CU26" s="53">
        <v>3959200</v>
      </c>
      <c r="CV26" s="53"/>
      <c r="CW26" s="42"/>
      <c r="CX26" s="42"/>
      <c r="CY26" s="42"/>
      <c r="CZ26" s="42"/>
      <c r="DA26" s="42"/>
      <c r="DB26" s="42"/>
    </row>
    <row r="27" spans="2:106" ht="18" customHeight="1" x14ac:dyDescent="0.35">
      <c r="B27" s="11"/>
      <c r="C27" s="24" t="s">
        <v>22</v>
      </c>
      <c r="D27" s="12" t="s">
        <v>106</v>
      </c>
      <c r="E27" s="28">
        <v>0</v>
      </c>
      <c r="F27" s="28">
        <f>138750</f>
        <v>138750</v>
      </c>
      <c r="G27" s="28">
        <f t="shared" si="12"/>
        <v>138750</v>
      </c>
      <c r="H27" s="28"/>
      <c r="I27" s="28"/>
      <c r="J27" s="28"/>
      <c r="K27" s="28"/>
      <c r="L27" s="28"/>
      <c r="M27" s="28"/>
      <c r="N27" s="28"/>
      <c r="O27" s="28"/>
      <c r="P27" s="28"/>
      <c r="Q27" s="28">
        <v>385200</v>
      </c>
      <c r="R27" s="28">
        <v>318160</v>
      </c>
      <c r="S27" s="28"/>
      <c r="T27" s="28"/>
      <c r="U27" s="33"/>
      <c r="V27" s="28"/>
      <c r="W27" s="28"/>
      <c r="X27" s="28"/>
      <c r="Y27" s="28"/>
      <c r="Z27" s="28"/>
      <c r="AA27" s="28"/>
      <c r="AB27" s="28">
        <v>24600</v>
      </c>
      <c r="AC27" s="28"/>
      <c r="AD27" s="28"/>
      <c r="AE27" s="28"/>
      <c r="AF27" s="28">
        <v>99000</v>
      </c>
      <c r="AG27" s="28"/>
      <c r="AH27" s="28"/>
      <c r="AI27" s="28">
        <v>65391</v>
      </c>
      <c r="AJ27" s="28"/>
      <c r="AK27" s="28"/>
      <c r="AL27" s="28"/>
      <c r="AM27" s="28"/>
      <c r="AN27" s="28"/>
      <c r="AO27" s="34"/>
      <c r="AP27" s="34"/>
      <c r="AQ27" s="34"/>
      <c r="AR27" s="53"/>
      <c r="AS27" s="53"/>
      <c r="AT27" s="53"/>
      <c r="AU27" s="53"/>
      <c r="AV27" s="53"/>
      <c r="AW27" s="53"/>
      <c r="AX27" s="63"/>
      <c r="AY27" s="42"/>
      <c r="AZ27" s="64"/>
      <c r="BA27" s="64"/>
      <c r="BB27" s="64"/>
      <c r="BC27" s="64"/>
      <c r="BD27" s="64"/>
      <c r="BE27" s="64"/>
      <c r="BF27" s="64">
        <v>610620</v>
      </c>
      <c r="BG27" s="64"/>
      <c r="BH27" s="64"/>
      <c r="BI27" s="64">
        <v>51570</v>
      </c>
      <c r="BJ27" s="64"/>
      <c r="BK27" s="64"/>
      <c r="BL27" s="64"/>
      <c r="BM27" s="64"/>
      <c r="BN27" s="64">
        <v>34200</v>
      </c>
      <c r="BO27" s="64"/>
      <c r="BP27" s="64">
        <v>89000</v>
      </c>
      <c r="BQ27" s="42"/>
      <c r="BR27" s="64"/>
      <c r="BS27" s="64"/>
      <c r="BT27" s="64"/>
      <c r="BU27" s="64"/>
      <c r="BV27" s="64"/>
      <c r="BW27" s="64"/>
      <c r="BX27" s="64">
        <v>584200</v>
      </c>
      <c r="BY27" s="64">
        <v>5280</v>
      </c>
      <c r="BZ27" s="64">
        <v>8400</v>
      </c>
      <c r="CA27" s="64"/>
      <c r="CB27" s="64"/>
      <c r="CC27" s="64">
        <v>46893.21</v>
      </c>
      <c r="CD27" s="53"/>
      <c r="CE27" s="53">
        <v>80100</v>
      </c>
      <c r="CF27" s="53"/>
      <c r="CG27" s="53">
        <v>50285</v>
      </c>
      <c r="CH27" s="53"/>
      <c r="CI27" s="53"/>
      <c r="CJ27" s="53"/>
      <c r="CK27" s="53"/>
      <c r="CL27" s="53"/>
      <c r="CM27" s="53"/>
      <c r="CN27" s="53"/>
      <c r="CO27" s="53"/>
      <c r="CP27" s="53">
        <v>51360</v>
      </c>
      <c r="CQ27" s="53"/>
      <c r="CR27" s="53"/>
      <c r="CS27" s="53"/>
      <c r="CT27" s="53"/>
      <c r="CU27" s="53">
        <v>150000</v>
      </c>
      <c r="CV27" s="53"/>
      <c r="CW27" s="42"/>
      <c r="CX27" s="42"/>
      <c r="CY27" s="42"/>
      <c r="CZ27" s="42"/>
      <c r="DA27" s="42"/>
      <c r="DB27" s="42"/>
    </row>
    <row r="28" spans="2:106" ht="18" customHeight="1" x14ac:dyDescent="0.35">
      <c r="B28" s="11"/>
      <c r="C28" s="24" t="s">
        <v>24</v>
      </c>
      <c r="D28" s="12" t="s">
        <v>107</v>
      </c>
      <c r="E28" s="28">
        <v>79500</v>
      </c>
      <c r="F28" s="28">
        <f>15600+27550</f>
        <v>43150</v>
      </c>
      <c r="G28" s="28">
        <f t="shared" si="12"/>
        <v>122650</v>
      </c>
      <c r="H28" s="28">
        <v>1272</v>
      </c>
      <c r="I28" s="28"/>
      <c r="J28" s="28"/>
      <c r="K28" s="28"/>
      <c r="L28" s="28"/>
      <c r="M28" s="28"/>
      <c r="N28" s="28"/>
      <c r="O28" s="28"/>
      <c r="P28" s="28">
        <f>27550+767077.82</f>
        <v>794627.82</v>
      </c>
      <c r="Q28" s="28">
        <f>83502.25+31100</f>
        <v>114602.25</v>
      </c>
      <c r="R28" s="28">
        <v>148325</v>
      </c>
      <c r="S28" s="28"/>
      <c r="T28" s="28"/>
      <c r="U28" s="33">
        <v>240425</v>
      </c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>
        <v>56945.3</v>
      </c>
      <c r="AM28" s="28"/>
      <c r="AN28" s="28"/>
      <c r="AO28" s="34"/>
      <c r="AP28" s="34"/>
      <c r="AQ28" s="34">
        <v>214202.48</v>
      </c>
      <c r="AR28" s="53">
        <v>34585</v>
      </c>
      <c r="AS28" s="53"/>
      <c r="AT28" s="53"/>
      <c r="AU28" s="53"/>
      <c r="AV28" s="53">
        <v>39635</v>
      </c>
      <c r="AW28" s="53">
        <v>169374.74</v>
      </c>
      <c r="AX28" s="63"/>
      <c r="AY28" s="42"/>
      <c r="AZ28" s="64">
        <v>184793.14</v>
      </c>
      <c r="BA28" s="64"/>
      <c r="BB28" s="64"/>
      <c r="BC28" s="64"/>
      <c r="BD28" s="64"/>
      <c r="BE28" s="64"/>
      <c r="BF28" s="64">
        <v>69838.2</v>
      </c>
      <c r="BG28" s="64"/>
      <c r="BH28" s="64"/>
      <c r="BI28" s="64">
        <v>1584093.17</v>
      </c>
      <c r="BJ28" s="64"/>
      <c r="BK28" s="64"/>
      <c r="BL28" s="64">
        <v>19578.28</v>
      </c>
      <c r="BM28" s="64"/>
      <c r="BN28" s="64"/>
      <c r="BO28" s="64"/>
      <c r="BP28" s="64"/>
      <c r="BQ28" s="42"/>
      <c r="BR28" s="64">
        <v>6000</v>
      </c>
      <c r="BS28" s="64">
        <v>411924.66</v>
      </c>
      <c r="BT28" s="64"/>
      <c r="BU28" s="64">
        <v>49700</v>
      </c>
      <c r="BV28" s="64"/>
      <c r="BW28" s="64">
        <v>37200</v>
      </c>
      <c r="BX28" s="64"/>
      <c r="BY28" s="64">
        <v>314664.75</v>
      </c>
      <c r="BZ28" s="64">
        <v>17000</v>
      </c>
      <c r="CA28" s="64"/>
      <c r="CB28" s="64"/>
      <c r="CC28" s="64">
        <v>234436.3</v>
      </c>
      <c r="CD28" s="53"/>
      <c r="CE28" s="53"/>
      <c r="CF28" s="53">
        <v>150000</v>
      </c>
      <c r="CG28" s="53">
        <v>15000</v>
      </c>
      <c r="CH28" s="53"/>
      <c r="CI28" s="53">
        <v>17380</v>
      </c>
      <c r="CJ28" s="53"/>
      <c r="CK28" s="53">
        <v>623924.39</v>
      </c>
      <c r="CL28" s="53"/>
      <c r="CM28" s="53"/>
      <c r="CN28" s="53"/>
      <c r="CO28" s="53"/>
      <c r="CP28" s="53"/>
      <c r="CQ28" s="53">
        <v>30965</v>
      </c>
      <c r="CR28" s="53"/>
      <c r="CS28" s="53">
        <v>209253.2</v>
      </c>
      <c r="CT28" s="53"/>
      <c r="CU28" s="53">
        <v>25250</v>
      </c>
      <c r="CV28" s="53"/>
      <c r="CW28" s="42"/>
      <c r="CX28" s="42"/>
      <c r="CY28" s="42"/>
      <c r="CZ28" s="42"/>
      <c r="DA28" s="42"/>
      <c r="DB28" s="42"/>
    </row>
    <row r="29" spans="2:106" ht="18" customHeight="1" x14ac:dyDescent="0.35">
      <c r="B29" s="11"/>
      <c r="C29" s="24" t="s">
        <v>26</v>
      </c>
      <c r="D29" s="15" t="s">
        <v>108</v>
      </c>
      <c r="E29" s="28"/>
      <c r="F29" s="28"/>
      <c r="G29" s="28"/>
      <c r="H29" s="28"/>
      <c r="I29" s="28">
        <v>127792284.79000001</v>
      </c>
      <c r="J29" s="28">
        <v>3767507.2</v>
      </c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33"/>
      <c r="V29" s="28"/>
      <c r="W29" s="28"/>
      <c r="X29" s="28"/>
      <c r="Y29" s="28"/>
      <c r="Z29" s="28"/>
      <c r="AA29" s="28"/>
      <c r="AB29" s="28">
        <v>508493.37</v>
      </c>
      <c r="AC29" s="28"/>
      <c r="AD29" s="28">
        <v>262468.28000000003</v>
      </c>
      <c r="AE29" s="28">
        <v>108864.27</v>
      </c>
      <c r="AF29" s="28">
        <v>7456499.4800000004</v>
      </c>
      <c r="AG29" s="28"/>
      <c r="AH29" s="28"/>
      <c r="AI29" s="28"/>
      <c r="AJ29" s="28"/>
      <c r="AK29" s="28"/>
      <c r="AL29" s="28"/>
      <c r="AM29" s="28"/>
      <c r="AN29" s="28"/>
      <c r="AO29" s="34"/>
      <c r="AP29" s="34"/>
      <c r="AQ29" s="34">
        <v>1615.06</v>
      </c>
      <c r="AR29" s="53"/>
      <c r="AS29" s="53"/>
      <c r="AT29" s="53"/>
      <c r="AU29" s="53"/>
      <c r="AV29" s="53"/>
      <c r="AW29" s="53"/>
      <c r="AX29" s="63">
        <v>91722.5</v>
      </c>
      <c r="AY29" s="42"/>
      <c r="AZ29" s="64"/>
      <c r="BA29" s="64"/>
      <c r="BB29" s="64"/>
      <c r="BC29" s="64"/>
      <c r="BD29" s="64"/>
      <c r="BE29" s="64"/>
      <c r="BF29" s="64">
        <v>417558.52</v>
      </c>
      <c r="BG29" s="64">
        <v>2393.61</v>
      </c>
      <c r="BH29" s="64"/>
      <c r="BI29" s="64">
        <v>9272753.8900000006</v>
      </c>
      <c r="BJ29" s="64">
        <v>5517473.4700000007</v>
      </c>
      <c r="BK29" s="64"/>
      <c r="BL29" s="64"/>
      <c r="BM29" s="64"/>
      <c r="BN29" s="64"/>
      <c r="BO29" s="64"/>
      <c r="BP29" s="64"/>
      <c r="BQ29" s="42"/>
      <c r="BR29" s="64">
        <v>1931.8</v>
      </c>
      <c r="BS29" s="64"/>
      <c r="BT29" s="64"/>
      <c r="BU29" s="64"/>
      <c r="BV29" s="64"/>
      <c r="BW29" s="64">
        <v>11392.42</v>
      </c>
      <c r="BX29" s="64">
        <v>41656.67</v>
      </c>
      <c r="BY29" s="64"/>
      <c r="BZ29" s="64">
        <v>9307.0300000000007</v>
      </c>
      <c r="CA29" s="64"/>
      <c r="CB29" s="64"/>
      <c r="CC29" s="64">
        <f>1.2+1494.33</f>
        <v>1495.53</v>
      </c>
      <c r="CD29" s="53"/>
      <c r="CE29" s="53">
        <v>25950336.280000001</v>
      </c>
      <c r="CF29" s="53"/>
      <c r="CG29" s="53">
        <v>4821213.5999999996</v>
      </c>
      <c r="CH29" s="53"/>
      <c r="CI29" s="53"/>
      <c r="CJ29" s="53"/>
      <c r="CK29" s="53"/>
      <c r="CL29" s="53"/>
      <c r="CM29" s="53"/>
      <c r="CN29" s="53"/>
      <c r="CO29" s="53"/>
      <c r="CP29" s="53"/>
      <c r="CQ29" s="53"/>
      <c r="CR29" s="53">
        <v>87682.31</v>
      </c>
      <c r="CS29" s="53"/>
      <c r="CT29" s="53"/>
      <c r="CU29" s="53">
        <v>4241.2</v>
      </c>
      <c r="CV29" s="53"/>
      <c r="CW29" s="42"/>
      <c r="CX29" s="42"/>
      <c r="CY29" s="42"/>
      <c r="CZ29" s="42"/>
      <c r="DA29" s="42"/>
      <c r="DB29" s="42"/>
    </row>
    <row r="30" spans="2:106" ht="18" customHeight="1" x14ac:dyDescent="0.35">
      <c r="B30" s="11"/>
      <c r="C30" s="24" t="s">
        <v>28</v>
      </c>
      <c r="D30" s="15" t="s">
        <v>125</v>
      </c>
      <c r="E30" s="28"/>
      <c r="F30" s="28"/>
      <c r="G30" s="28"/>
      <c r="H30" s="28"/>
      <c r="I30" s="28">
        <v>1189910</v>
      </c>
      <c r="J30" s="28">
        <v>21658066.969999999</v>
      </c>
      <c r="K30" s="28"/>
      <c r="L30" s="28"/>
      <c r="M30" s="28"/>
      <c r="N30" s="28">
        <v>3550720.5</v>
      </c>
      <c r="O30" s="28">
        <f>164691.79+1981667.07</f>
        <v>2146358.86</v>
      </c>
      <c r="P30" s="28">
        <v>125931</v>
      </c>
      <c r="Q30" s="28">
        <f>428817.06+51073.13</f>
        <v>479890.19</v>
      </c>
      <c r="R30" s="28"/>
      <c r="S30" s="28"/>
      <c r="T30" s="28"/>
      <c r="U30" s="33">
        <f>194280.15+207570.79+19000+663974</f>
        <v>1084824.94</v>
      </c>
      <c r="V30" s="28"/>
      <c r="W30" s="28"/>
      <c r="X30" s="55">
        <v>733238.55</v>
      </c>
      <c r="Y30" s="28">
        <f>23210921.26+152707.42</f>
        <v>23363628.680000003</v>
      </c>
      <c r="Z30" s="28"/>
      <c r="AA30" s="28"/>
      <c r="AB30" s="28"/>
      <c r="AC30" s="28"/>
      <c r="AD30" s="28"/>
      <c r="AE30" s="28">
        <f>58591.32</f>
        <v>58591.32</v>
      </c>
      <c r="AF30" s="28">
        <f>22560+1046394</f>
        <v>1068954</v>
      </c>
      <c r="AG30" s="28"/>
      <c r="AH30" s="28"/>
      <c r="AI30" s="28"/>
      <c r="AJ30" s="28"/>
      <c r="AK30" s="28"/>
      <c r="AL30" s="28">
        <v>900641.98</v>
      </c>
      <c r="AM30" s="28">
        <f>1183942+363715</f>
        <v>1547657</v>
      </c>
      <c r="AN30" s="28"/>
      <c r="AO30" s="34">
        <f>1554+77450</f>
        <v>79004</v>
      </c>
      <c r="AP30" s="34"/>
      <c r="AQ30" s="34">
        <v>891843.95</v>
      </c>
      <c r="AR30" s="53">
        <v>89468.41</v>
      </c>
      <c r="AS30" s="53"/>
      <c r="AT30" s="53"/>
      <c r="AU30" s="53"/>
      <c r="AV30" s="53">
        <v>1679189.45</v>
      </c>
      <c r="AW30" s="53"/>
      <c r="AX30" s="63"/>
      <c r="AY30" s="42"/>
      <c r="AZ30" s="64"/>
      <c r="BA30" s="64"/>
      <c r="BB30" s="64">
        <v>27462792.990000002</v>
      </c>
      <c r="BC30" s="64"/>
      <c r="BD30" s="64"/>
      <c r="BE30" s="64"/>
      <c r="BF30" s="64">
        <v>906027</v>
      </c>
      <c r="BG30" s="64"/>
      <c r="BH30" s="64"/>
      <c r="BI30" s="64"/>
      <c r="BJ30" s="64"/>
      <c r="BK30" s="64"/>
      <c r="BL30" s="64"/>
      <c r="BM30" s="64">
        <f>2382378+12785895.97</f>
        <v>15168273.970000001</v>
      </c>
      <c r="BN30" s="64"/>
      <c r="BO30" s="64"/>
      <c r="BP30" s="64">
        <v>6467454.6899999995</v>
      </c>
      <c r="BQ30" s="42"/>
      <c r="BR30" s="64"/>
      <c r="BS30" s="64">
        <v>1704428.47</v>
      </c>
      <c r="BT30" s="64"/>
      <c r="BU30" s="64"/>
      <c r="BV30" s="64"/>
      <c r="BW30" s="64"/>
      <c r="BX30" s="64">
        <v>14159721.899999999</v>
      </c>
      <c r="BY30" s="64"/>
      <c r="BZ30" s="64"/>
      <c r="CA30" s="64">
        <v>27584597.329999998</v>
      </c>
      <c r="CB30" s="64"/>
      <c r="CC30" s="64"/>
      <c r="CD30" s="53">
        <v>74151.63</v>
      </c>
      <c r="CE30" s="53">
        <v>1085410</v>
      </c>
      <c r="CF30" s="53">
        <v>990331.27</v>
      </c>
      <c r="CG30" s="53"/>
      <c r="CH30" s="53"/>
      <c r="CI30" s="53">
        <f>521236+160182</f>
        <v>681418</v>
      </c>
      <c r="CJ30" s="53"/>
      <c r="CK30" s="53">
        <f>512284+2240084</f>
        <v>2752368</v>
      </c>
      <c r="CL30" s="53"/>
      <c r="CM30" s="53"/>
      <c r="CN30" s="53"/>
      <c r="CO30" s="53">
        <v>3500343.8800000004</v>
      </c>
      <c r="CP30" s="53">
        <v>16687203.23</v>
      </c>
      <c r="CQ30" s="53"/>
      <c r="CR30" s="53"/>
      <c r="CS30" s="53">
        <v>462373.88</v>
      </c>
      <c r="CT30" s="53"/>
      <c r="CU30" s="53">
        <v>341048.64</v>
      </c>
      <c r="CV30" s="53"/>
      <c r="CW30" s="42"/>
      <c r="CX30" s="42"/>
      <c r="CY30" s="42"/>
      <c r="CZ30" s="42"/>
      <c r="DA30" s="42"/>
      <c r="DB30" s="42"/>
    </row>
    <row r="31" spans="2:106" ht="18" customHeight="1" x14ac:dyDescent="0.35">
      <c r="B31" s="11"/>
      <c r="C31" s="24" t="s">
        <v>30</v>
      </c>
      <c r="D31" s="15" t="s">
        <v>111</v>
      </c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33"/>
      <c r="V31" s="28"/>
      <c r="W31" s="28"/>
      <c r="X31" s="37"/>
      <c r="Y31" s="28"/>
      <c r="Z31" s="28"/>
      <c r="AA31" s="28"/>
      <c r="AB31" s="54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>
        <v>439274.11</v>
      </c>
      <c r="AN31" s="28"/>
      <c r="AO31" s="34">
        <v>1780862.96</v>
      </c>
      <c r="AP31" s="34"/>
      <c r="AQ31" s="34"/>
      <c r="AR31" s="53">
        <v>332955</v>
      </c>
      <c r="AS31" s="53">
        <v>853655.31</v>
      </c>
      <c r="AT31" s="53"/>
      <c r="AU31" s="53">
        <v>182840.91</v>
      </c>
      <c r="AV31" s="53">
        <v>300</v>
      </c>
      <c r="AW31" s="53"/>
      <c r="AX31" s="63"/>
      <c r="AY31" s="42"/>
      <c r="AZ31" s="64">
        <v>19693.97</v>
      </c>
      <c r="BA31" s="64">
        <v>269509.96999999997</v>
      </c>
      <c r="BB31" s="64">
        <v>3584290.11</v>
      </c>
      <c r="BC31" s="64">
        <v>190216.14</v>
      </c>
      <c r="BD31" s="64">
        <v>1126900.1499999999</v>
      </c>
      <c r="BE31" s="64"/>
      <c r="BF31" s="64"/>
      <c r="BG31" s="64"/>
      <c r="BH31" s="64">
        <v>671537.14</v>
      </c>
      <c r="BI31" s="64"/>
      <c r="BJ31" s="64"/>
      <c r="BK31" s="64"/>
      <c r="BL31" s="64">
        <v>634451.06999999995</v>
      </c>
      <c r="BM31" s="64">
        <v>2198597.2000000002</v>
      </c>
      <c r="BN31" s="64">
        <v>300</v>
      </c>
      <c r="BO31" s="64"/>
      <c r="BP31" s="64"/>
      <c r="BQ31" s="42"/>
      <c r="BR31" s="64">
        <v>244700</v>
      </c>
      <c r="BS31" s="64">
        <v>498199.88</v>
      </c>
      <c r="BT31" s="64"/>
      <c r="BU31" s="64">
        <v>53961.58</v>
      </c>
      <c r="BV31" s="64"/>
      <c r="BW31" s="64"/>
      <c r="BX31" s="64">
        <v>2384074.14</v>
      </c>
      <c r="BY31" s="64">
        <v>195598.4</v>
      </c>
      <c r="BZ31" s="64"/>
      <c r="CA31" s="64"/>
      <c r="CB31" s="64"/>
      <c r="CC31" s="64">
        <v>6130218.54</v>
      </c>
      <c r="CD31" s="53"/>
      <c r="CE31" s="53"/>
      <c r="CF31" s="53">
        <v>1067329.5000000002</v>
      </c>
      <c r="CG31" s="53">
        <v>10555.41</v>
      </c>
      <c r="CH31" s="53"/>
      <c r="CI31" s="53">
        <v>370343.2</v>
      </c>
      <c r="CJ31" s="53">
        <v>362601.74</v>
      </c>
      <c r="CK31" s="53">
        <v>1737295.16</v>
      </c>
      <c r="CL31" s="53">
        <v>44480</v>
      </c>
      <c r="CM31" s="53"/>
      <c r="CN31" s="53"/>
      <c r="CO31" s="53">
        <v>3490157.7800000003</v>
      </c>
      <c r="CP31" s="53"/>
      <c r="CQ31" s="53">
        <f>107870-5800</f>
        <v>102070</v>
      </c>
      <c r="CR31" s="53">
        <v>1014108.1699999999</v>
      </c>
      <c r="CS31" s="53"/>
      <c r="CT31" s="53"/>
      <c r="CU31" s="53">
        <v>299426.57</v>
      </c>
      <c r="CV31" s="53"/>
      <c r="CW31" s="42"/>
      <c r="CX31" s="42"/>
      <c r="CY31" s="42"/>
      <c r="CZ31" s="42"/>
      <c r="DA31" s="42"/>
      <c r="DB31" s="42"/>
    </row>
    <row r="32" spans="2:106" ht="18" customHeight="1" x14ac:dyDescent="0.35">
      <c r="B32" s="11"/>
      <c r="C32" s="24" t="s">
        <v>32</v>
      </c>
      <c r="D32" s="15" t="s">
        <v>124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>
        <v>196742.2</v>
      </c>
      <c r="Q32" s="28">
        <v>112781.35</v>
      </c>
      <c r="R32" s="28">
        <v>26295</v>
      </c>
      <c r="S32" s="28"/>
      <c r="T32" s="28"/>
      <c r="U32" s="28"/>
      <c r="V32" s="28">
        <v>1526713.54</v>
      </c>
      <c r="W32" s="28"/>
      <c r="X32" s="28">
        <v>267105.8</v>
      </c>
      <c r="Y32" s="28"/>
      <c r="Z32" s="28"/>
      <c r="AA32" s="28"/>
      <c r="AB32" s="28"/>
      <c r="AC32" s="28">
        <v>909787.04</v>
      </c>
      <c r="AD32" s="28"/>
      <c r="AE32" s="28">
        <f>452644.07+91588</f>
        <v>544232.07000000007</v>
      </c>
      <c r="AF32" s="28"/>
      <c r="AG32" s="28"/>
      <c r="AH32" s="28"/>
      <c r="AI32" s="28">
        <v>157444.46</v>
      </c>
      <c r="AJ32" s="28">
        <v>554636.57999999996</v>
      </c>
      <c r="AK32" s="28"/>
      <c r="AL32" s="28">
        <f>164018.6+74115</f>
        <v>238133.6</v>
      </c>
      <c r="AM32" s="28"/>
      <c r="AN32" s="28"/>
      <c r="AO32" s="34"/>
      <c r="AP32" s="34"/>
      <c r="AQ32" s="34"/>
      <c r="AR32" s="53">
        <v>831300.67</v>
      </c>
      <c r="AS32" s="53"/>
      <c r="AT32" s="53"/>
      <c r="AU32" s="53">
        <v>58886.819999999992</v>
      </c>
      <c r="AV32" s="53">
        <v>4800</v>
      </c>
      <c r="AW32" s="53">
        <v>572515.53</v>
      </c>
      <c r="AX32" s="63"/>
      <c r="AY32" s="42"/>
      <c r="AZ32" s="64">
        <v>4158.34</v>
      </c>
      <c r="BA32" s="64">
        <v>593148.18000000005</v>
      </c>
      <c r="BB32" s="64"/>
      <c r="BC32" s="64">
        <v>285230.69999999984</v>
      </c>
      <c r="BD32" s="64"/>
      <c r="BE32" s="64"/>
      <c r="BF32" s="64">
        <v>15407.57</v>
      </c>
      <c r="BG32" s="64">
        <v>368133.6</v>
      </c>
      <c r="BH32" s="64"/>
      <c r="BI32" s="64">
        <v>323488.29000000004</v>
      </c>
      <c r="BJ32" s="64"/>
      <c r="BK32" s="64"/>
      <c r="BL32" s="64"/>
      <c r="BM32" s="64">
        <v>370777.83999999991</v>
      </c>
      <c r="BN32" s="64"/>
      <c r="BO32" s="64"/>
      <c r="BP32" s="64"/>
      <c r="BQ32" s="42"/>
      <c r="BR32" s="64"/>
      <c r="BS32" s="64">
        <v>227487.56000000003</v>
      </c>
      <c r="BT32" s="64"/>
      <c r="BU32" s="64">
        <v>83081</v>
      </c>
      <c r="BV32" s="64"/>
      <c r="BW32" s="64"/>
      <c r="BX32" s="64">
        <v>827031.60999999987</v>
      </c>
      <c r="BY32" s="64">
        <v>21825.64</v>
      </c>
      <c r="BZ32" s="64">
        <v>382061.05000000005</v>
      </c>
      <c r="CA32" s="64"/>
      <c r="CB32" s="64"/>
      <c r="CC32" s="64"/>
      <c r="CD32" s="53">
        <v>231719.69999999995</v>
      </c>
      <c r="CE32" s="53"/>
      <c r="CF32" s="53">
        <v>370351.89000000013</v>
      </c>
      <c r="CG32" s="53"/>
      <c r="CH32" s="53"/>
      <c r="CI32" s="53"/>
      <c r="CJ32" s="53">
        <v>401345.0199999999</v>
      </c>
      <c r="CK32" s="53"/>
      <c r="CL32" s="53">
        <v>1000</v>
      </c>
      <c r="CM32" s="53"/>
      <c r="CN32" s="53"/>
      <c r="CO32" s="53">
        <v>22611.65</v>
      </c>
      <c r="CP32" s="53">
        <v>1680014.1400000013</v>
      </c>
      <c r="CQ32" s="53"/>
      <c r="CR32" s="53">
        <v>234172.5100000001</v>
      </c>
      <c r="CS32" s="53"/>
      <c r="CT32" s="53"/>
      <c r="CU32" s="53"/>
      <c r="CV32" s="53"/>
      <c r="CW32" s="42"/>
      <c r="CX32" s="42"/>
      <c r="CY32" s="42"/>
      <c r="CZ32" s="42"/>
      <c r="DA32" s="42"/>
      <c r="DB32" s="42"/>
    </row>
    <row r="33" spans="2:106" ht="18" customHeight="1" x14ac:dyDescent="0.35">
      <c r="B33" s="11"/>
      <c r="C33" s="24" t="s">
        <v>34</v>
      </c>
      <c r="D33" s="15" t="s">
        <v>112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>
        <f>353902.23</f>
        <v>353902.23</v>
      </c>
      <c r="AM33" s="28">
        <v>621592.86</v>
      </c>
      <c r="AN33" s="28"/>
      <c r="AO33" s="34"/>
      <c r="AP33" s="34"/>
      <c r="AQ33" s="34"/>
      <c r="AR33" s="53">
        <v>59827.72</v>
      </c>
      <c r="AS33" s="53"/>
      <c r="AT33" s="53"/>
      <c r="AU33" s="53"/>
      <c r="AV33" s="53"/>
      <c r="AW33" s="53"/>
      <c r="AX33" s="63"/>
      <c r="AY33" s="42"/>
      <c r="AZ33" s="64">
        <v>8772.6200000000008</v>
      </c>
      <c r="BA33" s="64"/>
      <c r="BB33" s="64">
        <v>4349512.34</v>
      </c>
      <c r="BC33" s="64"/>
      <c r="BD33" s="64"/>
      <c r="BE33" s="64"/>
      <c r="BF33" s="64">
        <v>64608.95</v>
      </c>
      <c r="BG33" s="64"/>
      <c r="BH33" s="64">
        <v>1545.4</v>
      </c>
      <c r="BI33" s="64">
        <v>109027.03</v>
      </c>
      <c r="BJ33" s="64">
        <v>7891.05</v>
      </c>
      <c r="BK33" s="64"/>
      <c r="BL33" s="64"/>
      <c r="BM33" s="64">
        <v>3274711.18</v>
      </c>
      <c r="BN33" s="64"/>
      <c r="BO33" s="64"/>
      <c r="BP33" s="64"/>
      <c r="BQ33" s="42"/>
      <c r="BR33" s="64">
        <v>19136</v>
      </c>
      <c r="BS33" s="64"/>
      <c r="BT33" s="64"/>
      <c r="BU33" s="64">
        <v>263432.57</v>
      </c>
      <c r="BV33" s="64"/>
      <c r="BW33" s="64">
        <v>11197.47</v>
      </c>
      <c r="BX33" s="64">
        <v>1752441.8000000003</v>
      </c>
      <c r="BY33" s="64"/>
      <c r="BZ33" s="64">
        <v>371800.15</v>
      </c>
      <c r="CA33" s="64"/>
      <c r="CB33" s="64"/>
      <c r="CC33" s="64">
        <v>562697.41</v>
      </c>
      <c r="CD33" s="53">
        <v>1233342.6900000002</v>
      </c>
      <c r="CE33" s="53">
        <v>5251735.17</v>
      </c>
      <c r="CF33" s="53">
        <v>1201.6600000000001</v>
      </c>
      <c r="CG33" s="53"/>
      <c r="CH33" s="53"/>
      <c r="CI33" s="53">
        <v>160484.54</v>
      </c>
      <c r="CJ33" s="53">
        <v>154004.39000000001</v>
      </c>
      <c r="CK33" s="53">
        <v>42504.160000000003</v>
      </c>
      <c r="CL33" s="53">
        <v>9222854.0299999993</v>
      </c>
      <c r="CM33" s="53">
        <v>101325.34</v>
      </c>
      <c r="CN33" s="53"/>
      <c r="CO33" s="53">
        <v>507196.42</v>
      </c>
      <c r="CP33" s="53"/>
      <c r="CQ33" s="53">
        <v>465116.27</v>
      </c>
      <c r="CR33" s="53">
        <v>778901.52</v>
      </c>
      <c r="CS33" s="53"/>
      <c r="CT33" s="53"/>
      <c r="CU33" s="53"/>
      <c r="CV33" s="53"/>
      <c r="CW33" s="42"/>
      <c r="CX33" s="42"/>
      <c r="CY33" s="42"/>
      <c r="CZ33" s="42"/>
      <c r="DA33" s="42"/>
      <c r="DB33" s="42"/>
    </row>
    <row r="34" spans="2:106" ht="18" customHeight="1" x14ac:dyDescent="0.35">
      <c r="B34" s="11"/>
      <c r="C34" s="24" t="s">
        <v>36</v>
      </c>
      <c r="D34" s="15" t="s">
        <v>113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>
        <v>1142000</v>
      </c>
      <c r="AM34" s="28"/>
      <c r="AN34" s="28"/>
      <c r="AO34" s="34"/>
      <c r="AP34" s="34"/>
      <c r="AQ34" s="34"/>
      <c r="AR34" s="53"/>
      <c r="AS34" s="53"/>
      <c r="AT34" s="53"/>
      <c r="AU34" s="53"/>
      <c r="AV34" s="53"/>
      <c r="AW34" s="53"/>
      <c r="AX34" s="63"/>
      <c r="AY34" s="42"/>
      <c r="AZ34" s="64"/>
      <c r="BA34" s="64"/>
      <c r="BB34" s="64">
        <v>274594.98</v>
      </c>
      <c r="BC34" s="64"/>
      <c r="BD34" s="64"/>
      <c r="BE34" s="64"/>
      <c r="BF34" s="64">
        <v>112512.9</v>
      </c>
      <c r="BG34" s="64"/>
      <c r="BH34" s="64"/>
      <c r="BI34" s="64">
        <v>30000</v>
      </c>
      <c r="BJ34" s="64">
        <v>36000</v>
      </c>
      <c r="BK34" s="64"/>
      <c r="BL34" s="64"/>
      <c r="BM34" s="64">
        <v>5332622.92</v>
      </c>
      <c r="BN34" s="64">
        <v>942322.68</v>
      </c>
      <c r="BO34" s="64"/>
      <c r="BP34" s="64"/>
      <c r="BQ34" s="42"/>
      <c r="BR34" s="64"/>
      <c r="BS34" s="64"/>
      <c r="BT34" s="64"/>
      <c r="BU34" s="64">
        <v>194252</v>
      </c>
      <c r="BV34" s="64"/>
      <c r="BW34" s="64"/>
      <c r="BX34" s="64"/>
      <c r="BY34" s="64">
        <v>1255465.28</v>
      </c>
      <c r="BZ34" s="64"/>
      <c r="CA34" s="64"/>
      <c r="CB34" s="64"/>
      <c r="CC34" s="64"/>
      <c r="CD34" s="53"/>
      <c r="CE34" s="53"/>
      <c r="CF34" s="53"/>
      <c r="CG34" s="53"/>
      <c r="CH34" s="53"/>
      <c r="CI34" s="53">
        <v>594500</v>
      </c>
      <c r="CJ34" s="53">
        <v>332475.40000000002</v>
      </c>
      <c r="CK34" s="53"/>
      <c r="CL34" s="53"/>
      <c r="CM34" s="53"/>
      <c r="CN34" s="53"/>
      <c r="CO34" s="53"/>
      <c r="CP34" s="53">
        <v>700125.8</v>
      </c>
      <c r="CQ34" s="53">
        <v>2934711.31</v>
      </c>
      <c r="CR34" s="53">
        <v>1829115.36</v>
      </c>
      <c r="CS34" s="53">
        <v>400000</v>
      </c>
      <c r="CT34" s="53"/>
      <c r="CU34" s="53"/>
      <c r="CV34" s="53"/>
      <c r="CW34" s="42"/>
      <c r="CX34" s="42"/>
      <c r="CY34" s="42"/>
      <c r="CZ34" s="42"/>
      <c r="DA34" s="42"/>
      <c r="DB34" s="42"/>
    </row>
    <row r="35" spans="2:106" ht="18" customHeight="1" x14ac:dyDescent="0.35">
      <c r="B35" s="16"/>
      <c r="C35" s="24" t="s">
        <v>38</v>
      </c>
      <c r="D35" s="12" t="s">
        <v>109</v>
      </c>
      <c r="E35" s="28">
        <v>96759967.379999995</v>
      </c>
      <c r="F35" s="28">
        <f>31517.51+60000+25200+8000+4900+4375+31745+18126.44+18998.57+15276+19500+0.03</f>
        <v>237638.55000000002</v>
      </c>
      <c r="G35" s="28">
        <f>E35+F35</f>
        <v>96997605.929999992</v>
      </c>
      <c r="H35" s="28">
        <f>192150+54934+168945+10782+400+16897+10560+0.67</f>
        <v>454668.67</v>
      </c>
      <c r="I35" s="28">
        <f>1693417.41+5867.11</f>
        <v>1699284.52</v>
      </c>
      <c r="J35" s="28">
        <f>1250+16560</f>
        <v>17810</v>
      </c>
      <c r="K35" s="28">
        <f>10+167750</f>
        <v>167760</v>
      </c>
      <c r="L35" s="28"/>
      <c r="M35" s="44">
        <v>807.8</v>
      </c>
      <c r="N35" s="28">
        <f>1.2+2780+195840+200+192543.63+13328</f>
        <v>404692.83</v>
      </c>
      <c r="O35" s="28">
        <f>638+156610.43+1058.4+83520+3+30000+2432+30000</f>
        <v>304261.82999999996</v>
      </c>
      <c r="P35" s="28">
        <f>12124.82+82250+20429.19+320+22000+2640+2000+10800+17473.12+6000+11.9+47520+13650</f>
        <v>237219.03</v>
      </c>
      <c r="Q35" s="28">
        <f>356193.65+210000+44364+262282.6+19386</f>
        <v>892226.25</v>
      </c>
      <c r="R35" s="28">
        <f>1357.43+4212.9+7521180.67</f>
        <v>7526751</v>
      </c>
      <c r="S35" s="28"/>
      <c r="T35" s="28"/>
      <c r="U35" s="28">
        <f>82241+30692+3960+12059.78+720+5198+6900+12000+72000+24941+3200+2560+9944+3105</f>
        <v>269520.78000000003</v>
      </c>
      <c r="V35" s="28">
        <v>1034311.14</v>
      </c>
      <c r="W35" s="28">
        <v>744509.73</v>
      </c>
      <c r="X35" s="28">
        <f>181933.8+121150+436800+47953.9</f>
        <v>787837.70000000007</v>
      </c>
      <c r="Y35" s="28">
        <v>965611.36</v>
      </c>
      <c r="Z35" s="28">
        <v>110.6</v>
      </c>
      <c r="AA35" s="28"/>
      <c r="AB35" s="28">
        <f>295000+413887.09-24600</f>
        <v>684287.09000000008</v>
      </c>
      <c r="AC35" s="28">
        <f>286861.3+561200.4</f>
        <v>848061.7</v>
      </c>
      <c r="AD35" s="28">
        <f>182256.93+1141539+113335+113335</f>
        <v>1550465.93</v>
      </c>
      <c r="AE35" s="28">
        <f>3247+133955.97+18628.43+66704.38-71948.78</f>
        <v>150587</v>
      </c>
      <c r="AF35" s="28">
        <f>70700.64+77958.46+711360.8+83457.72+385353.89+1891.7</f>
        <v>1330723.21</v>
      </c>
      <c r="AG35" s="28">
        <v>10</v>
      </c>
      <c r="AH35" s="28"/>
      <c r="AI35" s="28">
        <f>567270+16316.4+117890.11</f>
        <v>701476.51</v>
      </c>
      <c r="AJ35" s="28">
        <f>1563159.39+393042.11+87522.52+55629.75+844</f>
        <v>2100197.77</v>
      </c>
      <c r="AK35" s="28">
        <f>424869+49982.96+21900+245418</f>
        <v>742169.96</v>
      </c>
      <c r="AL35" s="28">
        <f>9630.63+2471092.04+278160.13+1</f>
        <v>2758883.8</v>
      </c>
      <c r="AM35" s="28">
        <v>179</v>
      </c>
      <c r="AN35" s="28"/>
      <c r="AO35" s="34">
        <v>38708.379999999997</v>
      </c>
      <c r="AP35" s="34">
        <f>1287.5</f>
        <v>1287.5</v>
      </c>
      <c r="AQ35" s="34">
        <f>165488.12+200+200</f>
        <v>165888.12</v>
      </c>
      <c r="AR35" s="53">
        <f>341670.8+18000</f>
        <v>359670.8</v>
      </c>
      <c r="AS35" s="53">
        <v>25740</v>
      </c>
      <c r="AT35" s="53">
        <v>6128.2899999999972</v>
      </c>
      <c r="AU35" s="53">
        <v>175818.86</v>
      </c>
      <c r="AV35" s="53">
        <v>70859.39</v>
      </c>
      <c r="AW35" s="53">
        <v>30702.400000000001</v>
      </c>
      <c r="AX35" s="63"/>
      <c r="AY35" s="42"/>
      <c r="AZ35" s="64">
        <f>150406.97+110000+2907498.29</f>
        <v>3167905.2600000002</v>
      </c>
      <c r="BA35" s="64">
        <v>112810.43000000001</v>
      </c>
      <c r="BB35" s="64">
        <f>770740.55+123500-3600</f>
        <v>890640.55</v>
      </c>
      <c r="BC35" s="64">
        <v>84731.68</v>
      </c>
      <c r="BD35" s="64">
        <f>133854.6-1560.6</f>
        <v>132294</v>
      </c>
      <c r="BE35" s="64">
        <v>5.09</v>
      </c>
      <c r="BF35" s="64">
        <v>232768.02999999997</v>
      </c>
      <c r="BG35" s="64">
        <v>10611991.579999998</v>
      </c>
      <c r="BH35" s="64">
        <f>2153817.73-780.9</f>
        <v>2153036.83</v>
      </c>
      <c r="BI35" s="64">
        <v>505561.04000000004</v>
      </c>
      <c r="BJ35" s="64">
        <v>3273462.2</v>
      </c>
      <c r="BK35" s="64">
        <v>62</v>
      </c>
      <c r="BL35" s="64">
        <v>120580</v>
      </c>
      <c r="BM35" s="64">
        <f>377822.06+1304338.45</f>
        <v>1682160.51</v>
      </c>
      <c r="BN35" s="64">
        <v>645226.92000000004</v>
      </c>
      <c r="BO35" s="64">
        <v>137766.87</v>
      </c>
      <c r="BP35" s="64">
        <v>3415.73</v>
      </c>
      <c r="BQ35" s="64">
        <v>7682.8999999999987</v>
      </c>
      <c r="BR35" s="64">
        <f>48825.37+25000</f>
        <v>73825.37</v>
      </c>
      <c r="BS35" s="64">
        <v>23.75</v>
      </c>
      <c r="BT35" s="64">
        <v>18.049999999999997</v>
      </c>
      <c r="BU35" s="64">
        <f>2291184.4+500000</f>
        <v>2791184.4</v>
      </c>
      <c r="BV35" s="64">
        <v>90</v>
      </c>
      <c r="BW35" s="64">
        <f>236280.87+8060929.88</f>
        <v>8297210.75</v>
      </c>
      <c r="BX35" s="64">
        <f>240198.92+43582.26</f>
        <v>283781.18</v>
      </c>
      <c r="BY35" s="64">
        <v>95505.26</v>
      </c>
      <c r="BZ35" s="64">
        <f>1663526.05+1490.8+350058.8+16292.01</f>
        <v>2031367.6600000001</v>
      </c>
      <c r="CA35" s="64">
        <f>9210.12+475516.1</f>
        <v>484726.22</v>
      </c>
      <c r="CB35" s="64">
        <v>305.14</v>
      </c>
      <c r="CC35" s="64">
        <f>576806.69+2674137.13-1269.33</f>
        <v>3249674.4899999998</v>
      </c>
      <c r="CD35" s="53">
        <f>35374.34+2380+0.03</f>
        <v>37754.369999999995</v>
      </c>
      <c r="CE35" s="53">
        <v>361584.72</v>
      </c>
      <c r="CF35" s="53">
        <v>166194.38999999998</v>
      </c>
      <c r="CG35" s="53">
        <f>3692.21</f>
        <v>3692.21</v>
      </c>
      <c r="CH35" s="53">
        <v>1659.43</v>
      </c>
      <c r="CI35" s="53">
        <f>8.11+319119.62</f>
        <v>319127.73</v>
      </c>
      <c r="CJ35" s="53">
        <f>1+112809.73</f>
        <v>112810.73</v>
      </c>
      <c r="CK35" s="53">
        <f>13700+24010.81</f>
        <v>37710.81</v>
      </c>
      <c r="CL35" s="53">
        <v>11146</v>
      </c>
      <c r="CM35" s="53">
        <v>17570.900000000001</v>
      </c>
      <c r="CN35" s="53">
        <v>18.05</v>
      </c>
      <c r="CO35" s="53">
        <v>33092.83</v>
      </c>
      <c r="CP35" s="53">
        <v>27245.32</v>
      </c>
      <c r="CQ35" s="53">
        <v>1218488.8600000001</v>
      </c>
      <c r="CR35" s="53">
        <v>132876.38</v>
      </c>
      <c r="CS35" s="53">
        <v>30894.04</v>
      </c>
      <c r="CT35" s="53">
        <v>105.24</v>
      </c>
      <c r="CU35" s="53">
        <f>734348.43+729302.6</f>
        <v>1463651.03</v>
      </c>
      <c r="CV35" s="53"/>
      <c r="CW35" s="42"/>
      <c r="CX35" s="42"/>
      <c r="CY35" s="42"/>
      <c r="CZ35" s="42"/>
      <c r="DA35" s="42"/>
      <c r="DB35" s="42"/>
    </row>
    <row r="36" spans="2:106" ht="18" customHeight="1" x14ac:dyDescent="0.35">
      <c r="B36" s="30" t="s">
        <v>110</v>
      </c>
      <c r="C36" s="30"/>
      <c r="D36" s="30"/>
      <c r="E36" s="31">
        <f>E5+E7-E22</f>
        <v>776552100.21000004</v>
      </c>
      <c r="F36" s="31">
        <v>751491491.35000002</v>
      </c>
      <c r="G36" s="28">
        <f t="shared" ref="G36:BP36" si="15">G5+G7-G22</f>
        <v>810727018.61999989</v>
      </c>
      <c r="H36" s="28">
        <f t="shared" si="15"/>
        <v>836245710.17999983</v>
      </c>
      <c r="I36" s="31">
        <f t="shared" si="15"/>
        <v>734257452.00999975</v>
      </c>
      <c r="J36" s="31">
        <f t="shared" si="15"/>
        <v>717464222.08999968</v>
      </c>
      <c r="K36" s="31">
        <f t="shared" si="15"/>
        <v>729743891.70999968</v>
      </c>
      <c r="L36" s="31">
        <f t="shared" si="15"/>
        <v>730835464.62999964</v>
      </c>
      <c r="M36" s="31">
        <f t="shared" si="15"/>
        <v>731920811.17999971</v>
      </c>
      <c r="N36" s="31">
        <f t="shared" si="15"/>
        <v>653562162.56999969</v>
      </c>
      <c r="O36" s="31">
        <f t="shared" si="15"/>
        <v>589362551.86999965</v>
      </c>
      <c r="P36" s="31">
        <f t="shared" si="15"/>
        <v>588065223.31999958</v>
      </c>
      <c r="Q36" s="31">
        <f t="shared" si="15"/>
        <v>591690731.93999958</v>
      </c>
      <c r="R36" s="31">
        <f t="shared" si="15"/>
        <v>589751464.05999959</v>
      </c>
      <c r="S36" s="31">
        <f t="shared" si="15"/>
        <v>592461066.85999954</v>
      </c>
      <c r="T36" s="31">
        <f t="shared" si="15"/>
        <v>592487130.88999951</v>
      </c>
      <c r="U36" s="31">
        <f t="shared" si="15"/>
        <v>595843307.80999947</v>
      </c>
      <c r="V36" s="31">
        <f t="shared" si="15"/>
        <v>614587525.54999948</v>
      </c>
      <c r="W36" s="31">
        <f t="shared" si="15"/>
        <v>644008650.40999949</v>
      </c>
      <c r="X36" s="31">
        <f t="shared" si="15"/>
        <v>647508943.35999954</v>
      </c>
      <c r="Y36" s="31">
        <f t="shared" si="15"/>
        <v>645636811.43999946</v>
      </c>
      <c r="Z36" s="31">
        <f t="shared" si="15"/>
        <v>649117723.11999941</v>
      </c>
      <c r="AA36" s="31">
        <f t="shared" si="15"/>
        <v>655873503.94999945</v>
      </c>
      <c r="AB36" s="31">
        <f t="shared" si="15"/>
        <v>662125978.8799994</v>
      </c>
      <c r="AC36" s="31">
        <f t="shared" si="15"/>
        <v>664531317.92999947</v>
      </c>
      <c r="AD36" s="31">
        <f t="shared" si="15"/>
        <v>688138726.91999948</v>
      </c>
      <c r="AE36" s="31">
        <f t="shared" si="15"/>
        <v>707772393.7699995</v>
      </c>
      <c r="AF36" s="31">
        <f t="shared" si="15"/>
        <v>698818170.60999954</v>
      </c>
      <c r="AG36" s="31">
        <f t="shared" si="15"/>
        <v>701090167.16999948</v>
      </c>
      <c r="AH36" s="31">
        <f t="shared" si="15"/>
        <v>703278764.09999943</v>
      </c>
      <c r="AI36" s="31">
        <f t="shared" si="15"/>
        <v>683422805.17999935</v>
      </c>
      <c r="AJ36" s="31">
        <f t="shared" si="15"/>
        <v>683861817.29999936</v>
      </c>
      <c r="AK36" s="31">
        <f t="shared" si="15"/>
        <v>688730970.59999931</v>
      </c>
      <c r="AL36" s="31">
        <f t="shared" si="15"/>
        <v>685261015.14999926</v>
      </c>
      <c r="AM36" s="31">
        <f t="shared" si="15"/>
        <v>684964257.02999926</v>
      </c>
      <c r="AN36" s="31">
        <f t="shared" si="15"/>
        <v>699117630.30999923</v>
      </c>
      <c r="AO36" s="52">
        <f t="shared" si="15"/>
        <v>712291245.24999917</v>
      </c>
      <c r="AP36" s="52">
        <f t="shared" si="15"/>
        <v>719532676.47999918</v>
      </c>
      <c r="AQ36" s="52">
        <f t="shared" si="15"/>
        <v>654953259.76999915</v>
      </c>
      <c r="AR36" s="52">
        <f t="shared" si="15"/>
        <v>651343870.03999913</v>
      </c>
      <c r="AS36" s="52">
        <f t="shared" si="15"/>
        <v>660689503.43999922</v>
      </c>
      <c r="AT36" s="52">
        <f t="shared" si="15"/>
        <v>668811356.50999928</v>
      </c>
      <c r="AU36" s="52">
        <f t="shared" si="15"/>
        <v>674725932.6099993</v>
      </c>
      <c r="AV36" s="52">
        <f t="shared" si="15"/>
        <v>682394370.87999928</v>
      </c>
      <c r="AW36" s="52">
        <f t="shared" si="15"/>
        <v>690917344.79999936</v>
      </c>
      <c r="AX36" s="52">
        <f t="shared" si="15"/>
        <v>698722637.75999928</v>
      </c>
      <c r="AY36" s="52">
        <f t="shared" si="15"/>
        <v>702991221.13999927</v>
      </c>
      <c r="AZ36" s="52">
        <f t="shared" si="15"/>
        <v>704456335.99999928</v>
      </c>
      <c r="BA36" s="52">
        <f t="shared" si="15"/>
        <v>717365059.26999927</v>
      </c>
      <c r="BB36" s="52">
        <f t="shared" si="15"/>
        <v>682939577.01999927</v>
      </c>
      <c r="BC36" s="52">
        <f t="shared" si="15"/>
        <v>685918011.42999923</v>
      </c>
      <c r="BD36" s="52">
        <f t="shared" si="15"/>
        <v>699270799.11999917</v>
      </c>
      <c r="BE36" s="77">
        <f t="shared" si="15"/>
        <v>703554081.67999911</v>
      </c>
      <c r="BF36" s="77">
        <f t="shared" si="15"/>
        <v>745266765.84999907</v>
      </c>
      <c r="BG36" s="77">
        <f t="shared" si="15"/>
        <v>747976742.33999908</v>
      </c>
      <c r="BH36" s="77">
        <f t="shared" si="15"/>
        <v>755277127.75999904</v>
      </c>
      <c r="BI36" s="77">
        <f t="shared" si="15"/>
        <v>743608246.67999899</v>
      </c>
      <c r="BJ36" s="77">
        <f t="shared" si="15"/>
        <v>746927007.51999903</v>
      </c>
      <c r="BK36" s="77">
        <f t="shared" si="15"/>
        <v>749335398.09999907</v>
      </c>
      <c r="BL36" s="77">
        <f t="shared" si="15"/>
        <v>735782775.56999898</v>
      </c>
      <c r="BM36" s="77">
        <f t="shared" si="15"/>
        <v>698961102.12999892</v>
      </c>
      <c r="BN36" s="77">
        <f t="shared" si="15"/>
        <v>744858436.51999891</v>
      </c>
      <c r="BO36" s="77">
        <f t="shared" si="15"/>
        <v>754114117.7799989</v>
      </c>
      <c r="BP36" s="77">
        <f t="shared" si="15"/>
        <v>761452135.72999883</v>
      </c>
      <c r="BQ36" s="77">
        <f t="shared" ref="BQ36:CB36" si="16">BQ5+BQ7-BQ22</f>
        <v>768061025.3999989</v>
      </c>
      <c r="BR36" s="77">
        <f t="shared" si="16"/>
        <v>740141826.59999895</v>
      </c>
      <c r="BS36" s="77">
        <f t="shared" si="16"/>
        <v>743186043.33999896</v>
      </c>
      <c r="BT36" s="77">
        <f t="shared" si="16"/>
        <v>763119683.20999897</v>
      </c>
      <c r="BU36" s="77">
        <f t="shared" si="16"/>
        <v>768656960.80999899</v>
      </c>
      <c r="BV36" s="77">
        <f t="shared" si="16"/>
        <v>771123612.63999903</v>
      </c>
      <c r="BW36" s="77">
        <f t="shared" si="16"/>
        <v>783884960.51999903</v>
      </c>
      <c r="BX36" s="77">
        <f t="shared" si="16"/>
        <v>786254026.13999903</v>
      </c>
      <c r="BY36" s="77">
        <f t="shared" si="16"/>
        <v>792340736.58999896</v>
      </c>
      <c r="BZ36" s="77">
        <f t="shared" si="16"/>
        <v>798276722.08999896</v>
      </c>
      <c r="CA36" s="77">
        <f t="shared" si="16"/>
        <v>822687816.90999901</v>
      </c>
      <c r="CB36" s="77">
        <f t="shared" si="16"/>
        <v>833754301.13999903</v>
      </c>
      <c r="CC36" s="77">
        <f t="shared" ref="CC36:CM36" si="17">CC5+CC7-CC22</f>
        <v>826187049.26999903</v>
      </c>
      <c r="CD36" s="53">
        <f t="shared" si="17"/>
        <v>818430971.92999899</v>
      </c>
      <c r="CE36" s="53">
        <f t="shared" si="17"/>
        <v>794318631.22999907</v>
      </c>
      <c r="CF36" s="53">
        <f t="shared" si="17"/>
        <v>790875557.89999902</v>
      </c>
      <c r="CG36" s="53">
        <f t="shared" si="17"/>
        <v>789435352.22999907</v>
      </c>
      <c r="CH36" s="53">
        <f t="shared" si="17"/>
        <v>793749302.38999915</v>
      </c>
      <c r="CI36" s="53">
        <f t="shared" si="17"/>
        <v>800706471.88999915</v>
      </c>
      <c r="CJ36" s="53">
        <f t="shared" si="17"/>
        <v>807970486.79999912</v>
      </c>
      <c r="CK36" s="53">
        <f t="shared" si="17"/>
        <v>831120786.99999905</v>
      </c>
      <c r="CL36" s="53">
        <f t="shared" si="17"/>
        <v>801410177.24999905</v>
      </c>
      <c r="CM36" s="53">
        <f t="shared" si="17"/>
        <v>811578856.1899991</v>
      </c>
      <c r="CN36" s="53">
        <f t="shared" ref="CN36:CU36" si="18">CN5+CN7-CN22</f>
        <v>817001216.19999909</v>
      </c>
      <c r="CO36" s="53">
        <f t="shared" si="18"/>
        <v>727676655.70999908</v>
      </c>
      <c r="CP36" s="53">
        <f t="shared" si="18"/>
        <v>715181664.92999911</v>
      </c>
      <c r="CQ36" s="53">
        <f t="shared" si="18"/>
        <v>711870343.47999918</v>
      </c>
      <c r="CR36" s="53">
        <f t="shared" si="18"/>
        <v>706469507.76999915</v>
      </c>
      <c r="CS36" s="53">
        <f t="shared" si="18"/>
        <v>708362470.40999913</v>
      </c>
      <c r="CT36" s="53">
        <f t="shared" si="18"/>
        <v>713719386.00999916</v>
      </c>
      <c r="CU36" s="53">
        <f t="shared" si="18"/>
        <v>706272278.42999923</v>
      </c>
      <c r="CV36" s="42"/>
      <c r="CW36" s="42"/>
      <c r="CX36" s="42"/>
      <c r="CY36" s="42"/>
      <c r="CZ36" s="42"/>
      <c r="DA36" s="42"/>
      <c r="DB36" s="42"/>
    </row>
  </sheetData>
  <phoneticPr fontId="7" type="noConversion"/>
  <pageMargins left="0.7" right="0.7" top="0.75" bottom="0.75" header="0.3" footer="0.3"/>
  <pageSetup paperSize="9" orientation="portrait" r:id="rId1"/>
  <ignoredErrors>
    <ignoredError sqref="C8:C21 C23:C35" numberStoredAsText="1"/>
    <ignoredError sqref="CH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E08B-A7AB-4027-A147-B015C7153FD1}">
  <dimension ref="A1:DD33"/>
  <sheetViews>
    <sheetView tabSelected="1" workbookViewId="0">
      <selection activeCell="D14" sqref="D14"/>
    </sheetView>
  </sheetViews>
  <sheetFormatPr defaultRowHeight="15.6" x14ac:dyDescent="0.35"/>
  <cols>
    <col min="2" max="2" width="16.453125" bestFit="1" customWidth="1"/>
    <col min="3" max="3" width="12.453125" bestFit="1" customWidth="1"/>
    <col min="4" max="4" width="12.54296875" bestFit="1" customWidth="1"/>
    <col min="5" max="5" width="10.26953125" bestFit="1" customWidth="1"/>
    <col min="6" max="16" width="12.453125" bestFit="1" customWidth="1"/>
    <col min="17" max="17" width="17.1796875" bestFit="1" customWidth="1"/>
    <col min="18" max="34" width="12.453125" bestFit="1" customWidth="1"/>
    <col min="35" max="35" width="10.26953125" bestFit="1" customWidth="1"/>
    <col min="36" max="36" width="12.54296875" bestFit="1" customWidth="1"/>
    <col min="37" max="40" width="12.453125" bestFit="1" customWidth="1"/>
    <col min="41" max="41" width="10.26953125" bestFit="1" customWidth="1"/>
    <col min="42" max="51" width="12.453125" bestFit="1" customWidth="1"/>
    <col min="52" max="52" width="10.26953125" bestFit="1" customWidth="1"/>
    <col min="53" max="53" width="12.453125" bestFit="1" customWidth="1"/>
    <col min="54" max="54" width="10.26953125" bestFit="1" customWidth="1"/>
    <col min="55" max="95" width="12.453125" bestFit="1" customWidth="1"/>
    <col min="96" max="96" width="10.26953125" bestFit="1" customWidth="1"/>
    <col min="97" max="105" width="12.453125" bestFit="1" customWidth="1"/>
    <col min="106" max="107" width="10.26953125" bestFit="1" customWidth="1"/>
    <col min="108" max="108" width="12.453125" bestFit="1" customWidth="1"/>
  </cols>
  <sheetData>
    <row r="1" spans="1:108" x14ac:dyDescent="0.35">
      <c r="A1" t="s">
        <v>217</v>
      </c>
      <c r="B1" t="s">
        <v>218</v>
      </c>
      <c r="C1" s="90">
        <v>43885</v>
      </c>
      <c r="D1" s="90">
        <v>43886</v>
      </c>
      <c r="E1" s="90">
        <v>43887</v>
      </c>
      <c r="F1" s="90">
        <v>43888</v>
      </c>
      <c r="G1" s="90">
        <v>43889</v>
      </c>
      <c r="H1" s="90">
        <v>43890</v>
      </c>
      <c r="I1" s="90">
        <v>43891</v>
      </c>
      <c r="J1" s="90">
        <v>43892</v>
      </c>
      <c r="K1" s="90">
        <v>43893</v>
      </c>
      <c r="L1" s="90">
        <v>43894</v>
      </c>
      <c r="M1" s="90">
        <v>43895</v>
      </c>
      <c r="N1" s="90">
        <v>43896</v>
      </c>
      <c r="O1" s="90">
        <v>43897</v>
      </c>
      <c r="P1" s="90">
        <v>43898</v>
      </c>
      <c r="Q1" s="90">
        <v>43899</v>
      </c>
      <c r="R1" s="90">
        <v>43900</v>
      </c>
      <c r="S1" s="90">
        <v>43901</v>
      </c>
      <c r="T1" s="90">
        <v>43902</v>
      </c>
      <c r="U1" s="90">
        <v>43903</v>
      </c>
      <c r="V1" s="90">
        <v>43904</v>
      </c>
      <c r="W1" s="90">
        <v>43905</v>
      </c>
      <c r="X1" s="90">
        <v>43906</v>
      </c>
      <c r="Y1" s="90">
        <v>43907</v>
      </c>
      <c r="Z1" s="90">
        <v>43908</v>
      </c>
      <c r="AA1" s="90">
        <v>43909</v>
      </c>
      <c r="AB1" s="90">
        <v>43910</v>
      </c>
      <c r="AC1" s="90">
        <v>43911</v>
      </c>
      <c r="AD1" s="90">
        <v>43912</v>
      </c>
      <c r="AE1" s="90">
        <v>43913</v>
      </c>
      <c r="AF1" s="90">
        <v>43914</v>
      </c>
      <c r="AG1" s="90">
        <v>43915</v>
      </c>
      <c r="AH1" s="90">
        <v>43916</v>
      </c>
      <c r="AI1" s="90">
        <v>43917</v>
      </c>
      <c r="AJ1" s="90">
        <v>43918</v>
      </c>
      <c r="AK1" s="90">
        <v>43919</v>
      </c>
      <c r="AL1" s="90">
        <v>43920</v>
      </c>
      <c r="AM1" s="90">
        <v>43921</v>
      </c>
      <c r="AN1" s="90">
        <v>43922</v>
      </c>
      <c r="AO1" s="90">
        <v>43923</v>
      </c>
      <c r="AP1" s="90">
        <v>43924</v>
      </c>
      <c r="AQ1" s="90">
        <v>43925</v>
      </c>
      <c r="AR1" s="90">
        <v>43926</v>
      </c>
      <c r="AS1" s="90">
        <v>43927</v>
      </c>
      <c r="AT1" s="90">
        <v>43928</v>
      </c>
      <c r="AU1" s="90">
        <v>43929</v>
      </c>
      <c r="AV1" s="90">
        <v>43930</v>
      </c>
      <c r="AW1" s="90">
        <v>43931</v>
      </c>
      <c r="AX1" s="90">
        <v>43932</v>
      </c>
      <c r="AY1" s="90">
        <v>43933</v>
      </c>
      <c r="AZ1" s="90">
        <v>43934</v>
      </c>
      <c r="BA1" s="90">
        <v>43935</v>
      </c>
      <c r="BB1" s="90">
        <v>43936</v>
      </c>
      <c r="BC1" s="90">
        <v>43937</v>
      </c>
      <c r="BD1" s="90">
        <v>43938</v>
      </c>
      <c r="BE1" s="90">
        <v>43939</v>
      </c>
      <c r="BF1" s="90">
        <v>43940</v>
      </c>
      <c r="BG1" s="90">
        <v>43941</v>
      </c>
      <c r="BH1" s="90">
        <v>43942</v>
      </c>
      <c r="BI1" s="90">
        <v>43943</v>
      </c>
      <c r="BJ1" s="90">
        <v>43944</v>
      </c>
      <c r="BK1" s="90">
        <v>43945</v>
      </c>
      <c r="BL1" s="90">
        <v>43946</v>
      </c>
      <c r="BM1" s="90">
        <v>43947</v>
      </c>
      <c r="BN1" s="90">
        <v>43948</v>
      </c>
      <c r="BO1" s="90">
        <v>43949</v>
      </c>
      <c r="BP1" s="90">
        <v>43950</v>
      </c>
      <c r="BQ1" s="90">
        <v>43951</v>
      </c>
      <c r="BR1" s="90">
        <v>43952</v>
      </c>
      <c r="BS1" s="90">
        <v>43953</v>
      </c>
      <c r="BT1" s="90">
        <v>43954</v>
      </c>
      <c r="BU1" s="90">
        <v>43955</v>
      </c>
      <c r="BV1" s="90">
        <v>43956</v>
      </c>
      <c r="BW1" s="90">
        <v>43957</v>
      </c>
      <c r="BX1" s="90">
        <v>43958</v>
      </c>
      <c r="BY1" s="90">
        <v>43959</v>
      </c>
      <c r="BZ1" s="90">
        <v>43960</v>
      </c>
      <c r="CA1" s="90">
        <v>43961</v>
      </c>
      <c r="CB1" s="90">
        <v>43962</v>
      </c>
      <c r="CC1" s="90">
        <v>43963</v>
      </c>
      <c r="CD1" s="90">
        <v>43964</v>
      </c>
      <c r="CE1" s="90">
        <v>43965</v>
      </c>
      <c r="CF1" s="90">
        <v>43966</v>
      </c>
      <c r="CG1" s="90">
        <v>43967</v>
      </c>
      <c r="CH1" s="90">
        <v>43968</v>
      </c>
      <c r="CI1" s="90">
        <v>43969</v>
      </c>
      <c r="CJ1" s="90">
        <v>43970</v>
      </c>
      <c r="CK1" s="90">
        <v>43971</v>
      </c>
      <c r="CL1" s="90">
        <v>43972</v>
      </c>
      <c r="CM1" s="90">
        <v>43973</v>
      </c>
      <c r="CN1" s="90">
        <v>43974</v>
      </c>
      <c r="CO1" s="90">
        <v>43975</v>
      </c>
      <c r="CP1" s="90">
        <v>43976</v>
      </c>
      <c r="CQ1" s="90">
        <v>43977</v>
      </c>
      <c r="CR1" s="90">
        <v>43978</v>
      </c>
      <c r="CS1" s="90">
        <v>43979</v>
      </c>
      <c r="CT1" s="90">
        <v>43980</v>
      </c>
      <c r="CU1" s="90">
        <v>43981</v>
      </c>
      <c r="CV1" s="90">
        <v>43982</v>
      </c>
      <c r="CW1" s="90">
        <v>43983</v>
      </c>
      <c r="CX1" s="90">
        <v>43984</v>
      </c>
      <c r="CY1" s="90">
        <v>43985</v>
      </c>
      <c r="CZ1" s="90">
        <v>43986</v>
      </c>
      <c r="DA1" s="90">
        <v>43987</v>
      </c>
      <c r="DB1" s="90">
        <v>43988</v>
      </c>
      <c r="DC1" s="90">
        <v>43989</v>
      </c>
      <c r="DD1" s="90">
        <v>43990</v>
      </c>
    </row>
    <row r="2" spans="1:108" x14ac:dyDescent="0.35">
      <c r="A2" t="s">
        <v>220</v>
      </c>
      <c r="B2" t="s">
        <v>219</v>
      </c>
      <c r="C2">
        <v>964751529.62</v>
      </c>
      <c r="D2">
        <v>810727018.61999989</v>
      </c>
      <c r="E2">
        <v>836245710.17999983</v>
      </c>
      <c r="F2">
        <v>734257452.00999975</v>
      </c>
      <c r="G2">
        <v>717464222.08999968</v>
      </c>
      <c r="H2">
        <v>729743891.70999968</v>
      </c>
      <c r="I2">
        <v>730835464.62999964</v>
      </c>
      <c r="J2">
        <v>731920811.17999971</v>
      </c>
      <c r="K2">
        <v>653562162.56999969</v>
      </c>
      <c r="L2">
        <v>589362551.86999965</v>
      </c>
      <c r="M2">
        <v>588065223.31999958</v>
      </c>
      <c r="N2">
        <v>591690731.93999958</v>
      </c>
      <c r="O2">
        <v>589751464.05999959</v>
      </c>
      <c r="P2">
        <v>592461066.85999954</v>
      </c>
      <c r="Q2" s="92">
        <v>592487130.88999951</v>
      </c>
      <c r="R2">
        <v>595843307.80999994</v>
      </c>
      <c r="S2">
        <v>614587525.54999995</v>
      </c>
      <c r="T2">
        <v>644008650.40999997</v>
      </c>
      <c r="U2">
        <v>647508943.36000001</v>
      </c>
      <c r="V2">
        <v>645636811.44000006</v>
      </c>
      <c r="W2">
        <v>649117723.12</v>
      </c>
      <c r="X2">
        <v>655873503.95000005</v>
      </c>
      <c r="Y2">
        <v>662125978.88</v>
      </c>
      <c r="Z2">
        <v>664531317.92999995</v>
      </c>
      <c r="AA2">
        <v>688138726.91999996</v>
      </c>
      <c r="AB2">
        <v>707772393.76999998</v>
      </c>
      <c r="AC2">
        <v>698818170.61000001</v>
      </c>
      <c r="AD2">
        <v>701090167.16999996</v>
      </c>
      <c r="AE2">
        <v>703278764.10000002</v>
      </c>
      <c r="AF2">
        <v>683422805.17999995</v>
      </c>
      <c r="AG2">
        <v>683861817.29999995</v>
      </c>
      <c r="AH2">
        <v>688730970.60000002</v>
      </c>
      <c r="AI2">
        <v>685261015.14999998</v>
      </c>
      <c r="AJ2">
        <v>684964257.02999997</v>
      </c>
      <c r="AK2">
        <v>699117630.30999994</v>
      </c>
      <c r="AL2">
        <v>699117630.30999994</v>
      </c>
      <c r="AM2">
        <v>712291245.25</v>
      </c>
      <c r="AN2">
        <v>719532676.48000002</v>
      </c>
      <c r="AO2">
        <v>654953259.76999998</v>
      </c>
      <c r="AP2">
        <v>651343870.03999996</v>
      </c>
      <c r="AQ2">
        <v>660689503.44000006</v>
      </c>
      <c r="AR2">
        <v>668811356.50999999</v>
      </c>
      <c r="AS2">
        <v>668811356.50999999</v>
      </c>
      <c r="AT2">
        <v>668811356.50999999</v>
      </c>
      <c r="AU2">
        <v>674725932.61000001</v>
      </c>
      <c r="AV2">
        <v>682394370.88</v>
      </c>
      <c r="AW2">
        <v>690917344.79999995</v>
      </c>
      <c r="AX2">
        <v>698722637.75999999</v>
      </c>
      <c r="AY2">
        <v>702991221.13999999</v>
      </c>
      <c r="AZ2">
        <v>702991221.13999999</v>
      </c>
      <c r="BA2">
        <v>704456336</v>
      </c>
      <c r="BB2">
        <v>717365059.26999998</v>
      </c>
      <c r="BC2">
        <v>682939577.01999998</v>
      </c>
      <c r="BD2">
        <v>685918011.42999995</v>
      </c>
      <c r="BE2">
        <v>699270799.12</v>
      </c>
      <c r="BF2">
        <v>703554081.67999995</v>
      </c>
      <c r="BG2">
        <v>703554081.67999995</v>
      </c>
      <c r="BH2">
        <v>745266765.85000002</v>
      </c>
      <c r="BI2">
        <v>747976742.34000003</v>
      </c>
      <c r="BJ2">
        <v>755277127.75999999</v>
      </c>
      <c r="BK2">
        <v>743608246.67999995</v>
      </c>
      <c r="BL2">
        <v>746927007.51999998</v>
      </c>
      <c r="BM2">
        <v>749335398.10000002</v>
      </c>
      <c r="BN2">
        <v>735782775.57000005</v>
      </c>
      <c r="BO2">
        <v>698961102.13</v>
      </c>
      <c r="BP2">
        <v>744858436.51999998</v>
      </c>
      <c r="BQ2">
        <v>754114117.77999997</v>
      </c>
      <c r="BR2">
        <v>761452135.73000002</v>
      </c>
      <c r="BS2">
        <v>768061025.39999998</v>
      </c>
      <c r="BT2">
        <v>768061025.39999998</v>
      </c>
      <c r="BU2">
        <v>768061025.39999998</v>
      </c>
      <c r="BV2">
        <v>768061025.39999998</v>
      </c>
      <c r="BW2">
        <v>768061025.39999998</v>
      </c>
      <c r="BX2">
        <v>740141826.60000002</v>
      </c>
      <c r="BY2">
        <v>743186043.34000003</v>
      </c>
      <c r="BZ2">
        <v>763119683.21000004</v>
      </c>
      <c r="CA2">
        <v>768656960.80999994</v>
      </c>
      <c r="CB2">
        <v>771123612.63999999</v>
      </c>
      <c r="CC2">
        <v>783884960.51999998</v>
      </c>
      <c r="CD2">
        <v>786254026.13999999</v>
      </c>
      <c r="CE2">
        <v>792340736.59000003</v>
      </c>
      <c r="CF2">
        <v>798276722.09000003</v>
      </c>
      <c r="CG2">
        <v>822687816.90999997</v>
      </c>
      <c r="CH2">
        <v>833754301.13999999</v>
      </c>
      <c r="CI2">
        <v>833754301.13999999</v>
      </c>
      <c r="CJ2">
        <v>826187049.26999998</v>
      </c>
      <c r="CK2">
        <v>818430971.92999995</v>
      </c>
      <c r="CL2">
        <v>794318631.23000002</v>
      </c>
      <c r="CM2">
        <v>790875557.89999998</v>
      </c>
      <c r="CN2">
        <v>789435352.23000002</v>
      </c>
      <c r="CO2">
        <v>793749302.38999999</v>
      </c>
      <c r="CP2">
        <v>793749302.38999999</v>
      </c>
      <c r="CQ2">
        <v>800706471.88999999</v>
      </c>
      <c r="CR2">
        <v>807970486.79999995</v>
      </c>
      <c r="CS2">
        <v>831120787</v>
      </c>
      <c r="CT2">
        <v>801410177.25</v>
      </c>
      <c r="CU2">
        <v>811578856.19000006</v>
      </c>
      <c r="CV2">
        <v>817001216.20000005</v>
      </c>
      <c r="CW2">
        <v>817001216.20000005</v>
      </c>
      <c r="CX2">
        <v>727676655.71000004</v>
      </c>
      <c r="CY2">
        <v>715181664.92999995</v>
      </c>
      <c r="CZ2">
        <v>711870343.48000002</v>
      </c>
      <c r="DA2">
        <v>706469507.76999998</v>
      </c>
      <c r="DB2">
        <v>708362470.40999997</v>
      </c>
      <c r="DC2">
        <v>713719386.00999999</v>
      </c>
      <c r="DD2">
        <v>713719386.00999999</v>
      </c>
    </row>
    <row r="3" spans="1:108" x14ac:dyDescent="0.35">
      <c r="A3" t="s">
        <v>222</v>
      </c>
      <c r="B3" t="s">
        <v>221</v>
      </c>
      <c r="C3">
        <v>-154024511</v>
      </c>
      <c r="D3">
        <v>25518691.559999999</v>
      </c>
      <c r="E3">
        <v>-101988258.17</v>
      </c>
      <c r="F3">
        <v>-16793229.920000002</v>
      </c>
      <c r="G3">
        <v>12279669.620000001</v>
      </c>
      <c r="H3">
        <v>1091572.92</v>
      </c>
      <c r="I3">
        <v>1085346.55</v>
      </c>
      <c r="J3">
        <v>-78358648.610000014</v>
      </c>
      <c r="K3">
        <v>-64199610.700000003</v>
      </c>
      <c r="L3">
        <v>-1297328.5500000007</v>
      </c>
      <c r="M3">
        <v>3625508.620000001</v>
      </c>
      <c r="N3">
        <v>-1939267.8800000008</v>
      </c>
      <c r="O3">
        <v>2709602.8</v>
      </c>
      <c r="P3">
        <v>26064.03</v>
      </c>
      <c r="Q3" s="92">
        <v>3356176.9199999981</v>
      </c>
      <c r="R3">
        <v>18744217.740000002</v>
      </c>
      <c r="S3">
        <v>29421124.859999999</v>
      </c>
      <c r="T3">
        <v>3500292.95</v>
      </c>
      <c r="U3">
        <v>-1872131.9200000092</v>
      </c>
      <c r="V3">
        <v>3480911.6799999997</v>
      </c>
      <c r="W3">
        <v>6755780.8300000001</v>
      </c>
      <c r="X3">
        <v>6252474.9300000006</v>
      </c>
      <c r="Y3">
        <v>2405339.0500000007</v>
      </c>
      <c r="Z3">
        <v>23607408.989999998</v>
      </c>
      <c r="AA3">
        <v>19633666.849999998</v>
      </c>
      <c r="AB3">
        <v>-8954223.1600000039</v>
      </c>
      <c r="AC3">
        <v>2271996.56</v>
      </c>
      <c r="AD3">
        <v>2188596.9299999997</v>
      </c>
      <c r="AE3">
        <v>-19855958.920000006</v>
      </c>
      <c r="AF3">
        <v>439012.12000000011</v>
      </c>
      <c r="AG3">
        <v>4869153.2999999989</v>
      </c>
      <c r="AH3">
        <v>-3469955.4500000011</v>
      </c>
      <c r="AI3">
        <v>-296758.11999999732</v>
      </c>
      <c r="AJ3">
        <v>14153373.280000001</v>
      </c>
      <c r="AK3">
        <v>0</v>
      </c>
      <c r="AL3">
        <v>13173614.940000001</v>
      </c>
      <c r="AM3">
        <v>7241431.2299999977</v>
      </c>
      <c r="AN3">
        <v>-64579416.710000016</v>
      </c>
      <c r="AO3">
        <v>-3609389.7300000014</v>
      </c>
      <c r="AP3">
        <v>9345633.4000000022</v>
      </c>
      <c r="AQ3">
        <v>8121853.0699999994</v>
      </c>
      <c r="AR3">
        <v>0</v>
      </c>
      <c r="AS3">
        <v>0</v>
      </c>
      <c r="AT3">
        <v>5914576.0999999996</v>
      </c>
      <c r="AU3">
        <v>7668438.2699999996</v>
      </c>
      <c r="AV3">
        <v>8522973.9199999981</v>
      </c>
      <c r="AW3">
        <v>7805292.96</v>
      </c>
      <c r="AX3">
        <v>4268583.379999999</v>
      </c>
      <c r="AY3">
        <v>0</v>
      </c>
      <c r="AZ3">
        <v>1465114.8600000013</v>
      </c>
      <c r="BA3">
        <v>12908723.27</v>
      </c>
      <c r="BB3">
        <v>-34425482.249999985</v>
      </c>
      <c r="BC3">
        <v>2978434.4100000029</v>
      </c>
      <c r="BD3">
        <v>13352787.689999998</v>
      </c>
      <c r="BE3">
        <v>4283282.5600000005</v>
      </c>
      <c r="BF3">
        <v>0</v>
      </c>
      <c r="BG3">
        <v>41712684.170000002</v>
      </c>
      <c r="BH3">
        <v>2709976.4899999984</v>
      </c>
      <c r="BI3">
        <v>7300385.4199999999</v>
      </c>
      <c r="BJ3">
        <v>-11668881.079999998</v>
      </c>
      <c r="BK3">
        <v>3318760.84</v>
      </c>
      <c r="BL3">
        <v>2408390.58</v>
      </c>
      <c r="BM3">
        <v>-13552622.529999994</v>
      </c>
      <c r="BN3">
        <v>-36821673.440000013</v>
      </c>
      <c r="BO3">
        <v>45897334.389999993</v>
      </c>
      <c r="BP3">
        <v>9255681.2600000016</v>
      </c>
      <c r="BQ3">
        <v>7338017.950000003</v>
      </c>
      <c r="BR3">
        <v>6608889.6699999999</v>
      </c>
      <c r="BS3">
        <v>0</v>
      </c>
      <c r="BT3">
        <v>0</v>
      </c>
      <c r="BU3">
        <v>0</v>
      </c>
      <c r="BV3">
        <v>0</v>
      </c>
      <c r="BW3">
        <v>-27919198.800000001</v>
      </c>
      <c r="BX3">
        <v>3044216.74</v>
      </c>
      <c r="BY3">
        <v>19933639.869999997</v>
      </c>
      <c r="BZ3">
        <v>5537277.6000000034</v>
      </c>
      <c r="CA3">
        <v>2466651.83</v>
      </c>
      <c r="CB3">
        <v>12761347.880000001</v>
      </c>
      <c r="CC3">
        <v>2369065.6199999973</v>
      </c>
      <c r="CD3">
        <v>6086710.4500000002</v>
      </c>
      <c r="CE3">
        <v>5935985.4999999991</v>
      </c>
      <c r="CF3">
        <v>24411094.820000004</v>
      </c>
      <c r="CG3">
        <v>11066484.229999999</v>
      </c>
      <c r="CH3">
        <v>0</v>
      </c>
      <c r="CI3">
        <v>-7567251.8699999992</v>
      </c>
      <c r="CJ3">
        <v>-7756077.3399999961</v>
      </c>
      <c r="CK3">
        <v>-24112340.700000003</v>
      </c>
      <c r="CL3">
        <v>-3443073.330000001</v>
      </c>
      <c r="CM3">
        <v>-1440205.67</v>
      </c>
      <c r="CN3">
        <v>4313950.16</v>
      </c>
      <c r="CO3">
        <v>0</v>
      </c>
      <c r="CP3">
        <v>6957169.4999999981</v>
      </c>
      <c r="CQ3">
        <v>7264014.9100000001</v>
      </c>
      <c r="CR3">
        <v>23150300.200000003</v>
      </c>
      <c r="CS3">
        <v>-29710609.75</v>
      </c>
      <c r="CT3">
        <v>10168678.940000003</v>
      </c>
      <c r="CU3">
        <v>5422360.0100000007</v>
      </c>
      <c r="CV3">
        <v>0</v>
      </c>
      <c r="CW3">
        <v>-89324560.49000001</v>
      </c>
      <c r="CX3">
        <v>-12494990.780000001</v>
      </c>
      <c r="CY3">
        <v>-3311321.4500000007</v>
      </c>
      <c r="CZ3">
        <v>-5400835.7099999981</v>
      </c>
      <c r="DA3">
        <v>1892962.6400000006</v>
      </c>
      <c r="DB3">
        <v>5356915.6000000006</v>
      </c>
      <c r="DC3">
        <v>0</v>
      </c>
      <c r="DD3">
        <v>-7447107.5799999991</v>
      </c>
    </row>
    <row r="4" spans="1:108" x14ac:dyDescent="0.35">
      <c r="A4" t="s">
        <v>223</v>
      </c>
      <c r="B4" t="s">
        <v>253</v>
      </c>
      <c r="C4" s="91">
        <v>111824230.47999999</v>
      </c>
      <c r="D4" s="91">
        <v>28235889.43</v>
      </c>
      <c r="E4" s="91">
        <v>33918687.140000001</v>
      </c>
      <c r="F4" s="91">
        <v>11104308.17</v>
      </c>
      <c r="G4" s="91">
        <v>15597201.660000002</v>
      </c>
      <c r="H4" s="91">
        <v>1091572.92</v>
      </c>
      <c r="I4" s="91">
        <v>1086154.3500000001</v>
      </c>
      <c r="J4" s="91">
        <v>6274581.7399999993</v>
      </c>
      <c r="K4" s="91">
        <v>10558182.66</v>
      </c>
      <c r="L4" s="91">
        <v>6918548.6600000001</v>
      </c>
      <c r="M4" s="91">
        <v>9159944.3500000015</v>
      </c>
      <c r="N4" s="91">
        <v>14365038.729999999</v>
      </c>
      <c r="O4" s="91">
        <v>2709602.8</v>
      </c>
      <c r="P4" s="91">
        <v>26064.03</v>
      </c>
      <c r="Q4" s="92">
        <v>13861940.889999997</v>
      </c>
      <c r="R4" s="91">
        <v>21568710.420000002</v>
      </c>
      <c r="S4" s="91">
        <v>31268139.890000001</v>
      </c>
      <c r="T4" s="91">
        <v>7892875</v>
      </c>
      <c r="U4" s="91">
        <v>26680998.689999994</v>
      </c>
      <c r="V4" s="91">
        <v>3481022.28</v>
      </c>
      <c r="W4" s="91">
        <v>6755780.8300000001</v>
      </c>
      <c r="X4" s="91">
        <v>8628671.3900000006</v>
      </c>
      <c r="Y4" s="91">
        <v>10918474.07</v>
      </c>
      <c r="Z4" s="91">
        <v>29160343.199999999</v>
      </c>
      <c r="AA4" s="91">
        <v>31331404.959999997</v>
      </c>
      <c r="AB4" s="91">
        <v>18308451.979999997</v>
      </c>
      <c r="AC4" s="91">
        <v>2272006.56</v>
      </c>
      <c r="AD4" s="91">
        <v>2188596.9299999997</v>
      </c>
      <c r="AE4" s="91">
        <v>13243540.899999999</v>
      </c>
      <c r="AF4" s="91">
        <v>7238804.0100000007</v>
      </c>
      <c r="AG4" s="91">
        <v>11450927.299999999</v>
      </c>
      <c r="AH4" s="91">
        <v>14172048.389999999</v>
      </c>
      <c r="AI4" s="91">
        <v>15834690.700000001</v>
      </c>
      <c r="AJ4" s="91">
        <v>14153373.280000001</v>
      </c>
      <c r="AK4" s="91">
        <v>0</v>
      </c>
      <c r="AL4" s="91">
        <v>32663287.530000001</v>
      </c>
      <c r="AM4" s="91">
        <v>7857677.7599999979</v>
      </c>
      <c r="AN4" s="91">
        <v>16384897.18</v>
      </c>
      <c r="AO4" s="91">
        <v>7843147.6000000006</v>
      </c>
      <c r="AP4" s="91">
        <v>13697336.690000003</v>
      </c>
      <c r="AQ4" s="91">
        <v>8127981.3599999994</v>
      </c>
      <c r="AR4" s="91">
        <v>0</v>
      </c>
      <c r="AS4" s="91">
        <v>0</v>
      </c>
      <c r="AT4" s="91">
        <v>16483466.139999999</v>
      </c>
      <c r="AU4" s="91">
        <v>10249082.5</v>
      </c>
      <c r="AV4" s="91">
        <v>10454836.329999998</v>
      </c>
      <c r="AW4" s="91">
        <v>13039408.43</v>
      </c>
      <c r="AX4" s="91">
        <v>4268583.379999999</v>
      </c>
      <c r="AY4" s="91">
        <v>0</v>
      </c>
      <c r="AZ4" s="91">
        <v>9422526.8600000013</v>
      </c>
      <c r="BA4" s="91">
        <v>16776575.390000001</v>
      </c>
      <c r="BB4" s="91">
        <v>10640037.050000003</v>
      </c>
      <c r="BC4" s="91">
        <v>9507870.5</v>
      </c>
      <c r="BD4" s="91">
        <v>15596880.279999997</v>
      </c>
      <c r="BE4" s="91">
        <v>4283287.6500000004</v>
      </c>
      <c r="BF4" s="91">
        <v>0</v>
      </c>
      <c r="BG4" s="91">
        <v>45585504.609999999</v>
      </c>
      <c r="BH4" s="91">
        <v>15400229.539999997</v>
      </c>
      <c r="BI4" s="91">
        <v>12407940.65</v>
      </c>
      <c r="BJ4" s="91">
        <v>7968805.2499999991</v>
      </c>
      <c r="BK4" s="91">
        <v>17481845.560000002</v>
      </c>
      <c r="BL4" s="91">
        <v>2408452.58</v>
      </c>
      <c r="BM4" s="91">
        <v>3947108.9200000009</v>
      </c>
      <c r="BN4" s="91">
        <v>15199053.379999999</v>
      </c>
      <c r="BO4" s="91">
        <v>51936403.359999992</v>
      </c>
      <c r="BP4" s="91">
        <v>16451538.970000003</v>
      </c>
      <c r="BQ4" s="91">
        <v>16515901.670000002</v>
      </c>
      <c r="BR4" s="91">
        <v>6616572.5700000003</v>
      </c>
      <c r="BS4" s="91">
        <v>0</v>
      </c>
      <c r="BT4" s="91">
        <v>0</v>
      </c>
      <c r="BU4" s="91">
        <v>0</v>
      </c>
      <c r="BV4" s="91">
        <v>0</v>
      </c>
      <c r="BW4" s="91">
        <v>24879864.849999998</v>
      </c>
      <c r="BX4" s="91">
        <v>8769314.8399999999</v>
      </c>
      <c r="BY4" s="91">
        <v>23916578.839999996</v>
      </c>
      <c r="BZ4" s="91">
        <v>15652914.910000004</v>
      </c>
      <c r="CA4" s="91">
        <v>2466741.83</v>
      </c>
      <c r="CB4" s="91">
        <v>23988088.890000001</v>
      </c>
      <c r="CC4" s="91">
        <v>29598671.839999996</v>
      </c>
      <c r="CD4" s="91">
        <v>9992659.4199999999</v>
      </c>
      <c r="CE4" s="91">
        <v>13327425.42</v>
      </c>
      <c r="CF4" s="91">
        <v>57001646.210000001</v>
      </c>
      <c r="CG4" s="91">
        <v>11066789.369999999</v>
      </c>
      <c r="CH4" s="91">
        <v>0</v>
      </c>
      <c r="CI4" s="91">
        <v>10966553.99</v>
      </c>
      <c r="CJ4" s="91">
        <v>12206537.75</v>
      </c>
      <c r="CK4" s="91">
        <v>12598982.859999999</v>
      </c>
      <c r="CL4" s="91">
        <v>3849013.01</v>
      </c>
      <c r="CM4" s="91">
        <v>9721643.9500000011</v>
      </c>
      <c r="CN4" s="91">
        <v>4315609.59</v>
      </c>
      <c r="CO4" s="91">
        <v>0</v>
      </c>
      <c r="CP4" s="91">
        <v>13319409.389999999</v>
      </c>
      <c r="CQ4" s="91">
        <v>14568245.800000001</v>
      </c>
      <c r="CR4" s="91">
        <v>33391500.800000001</v>
      </c>
      <c r="CS4" s="91">
        <v>9094505.3500000015</v>
      </c>
      <c r="CT4" s="91">
        <v>20354086.980000004</v>
      </c>
      <c r="CU4" s="91">
        <v>5422378.0600000005</v>
      </c>
      <c r="CV4" s="91">
        <v>0</v>
      </c>
      <c r="CW4" s="91">
        <v>9164821.7899999991</v>
      </c>
      <c r="CX4" s="91">
        <v>8483677</v>
      </c>
      <c r="CY4" s="91">
        <v>3433958.3299999996</v>
      </c>
      <c r="CZ4" s="91">
        <v>6007943.3700000001</v>
      </c>
      <c r="DA4" s="91">
        <v>6035483.7600000007</v>
      </c>
      <c r="DB4" s="91">
        <v>5357020.8400000008</v>
      </c>
      <c r="DC4" s="91">
        <v>0</v>
      </c>
      <c r="DD4" s="91">
        <v>5207130.71</v>
      </c>
    </row>
    <row r="5" spans="1:108" x14ac:dyDescent="0.35">
      <c r="A5" t="s">
        <v>224</v>
      </c>
      <c r="B5" s="15" t="s">
        <v>215</v>
      </c>
      <c r="C5" s="91">
        <v>45347968.82</v>
      </c>
      <c r="D5" s="91">
        <v>23923246.310000002</v>
      </c>
      <c r="E5" s="91">
        <v>9081278.2200000007</v>
      </c>
      <c r="F5" s="91">
        <v>8033030.6899999995</v>
      </c>
      <c r="G5" s="91">
        <v>9689433.5800000001</v>
      </c>
      <c r="H5" s="91">
        <v>0</v>
      </c>
      <c r="I5" s="91">
        <v>0</v>
      </c>
      <c r="J5" s="91">
        <v>2016974.28</v>
      </c>
      <c r="K5" s="91">
        <v>4402335.53</v>
      </c>
      <c r="L5" s="91">
        <v>4191291.8</v>
      </c>
      <c r="M5" s="91">
        <v>2588590.4900000002</v>
      </c>
      <c r="N5" s="91">
        <v>9860170.3499999996</v>
      </c>
      <c r="O5" s="91">
        <v>8973.52</v>
      </c>
      <c r="P5" s="91">
        <v>0</v>
      </c>
      <c r="Q5" s="92">
        <v>3108800.8</v>
      </c>
      <c r="R5" s="91">
        <v>6842722.6899999995</v>
      </c>
      <c r="S5" s="91">
        <v>8932418.7799999993</v>
      </c>
      <c r="T5" s="91">
        <v>932964.98</v>
      </c>
      <c r="U5" s="91">
        <v>4669466.2</v>
      </c>
      <c r="V5" s="91">
        <v>0</v>
      </c>
      <c r="W5" s="91">
        <v>0</v>
      </c>
      <c r="X5" s="91">
        <v>2023408.01</v>
      </c>
      <c r="Y5" s="91">
        <v>4486398.3</v>
      </c>
      <c r="Z5" s="91">
        <v>26152695.460000001</v>
      </c>
      <c r="AA5" s="91">
        <v>2824813.52</v>
      </c>
      <c r="AB5" s="91">
        <v>5302004.88</v>
      </c>
      <c r="AC5" s="91">
        <v>0</v>
      </c>
      <c r="AD5" s="91">
        <v>0</v>
      </c>
      <c r="AE5" s="91">
        <v>4562917.72</v>
      </c>
      <c r="AF5" s="91">
        <v>3289114.3</v>
      </c>
      <c r="AG5" s="91">
        <v>5602438.1600000001</v>
      </c>
      <c r="AH5" s="91">
        <v>2751104.41</v>
      </c>
      <c r="AI5" s="91">
        <v>7350125.0500000007</v>
      </c>
      <c r="AJ5" s="91">
        <v>239455</v>
      </c>
      <c r="AK5" s="91">
        <v>0</v>
      </c>
      <c r="AL5" s="91">
        <v>4505437.3099999996</v>
      </c>
      <c r="AM5" s="91">
        <v>4400631.12</v>
      </c>
      <c r="AN5" s="91">
        <v>13032787.75</v>
      </c>
      <c r="AO5" s="91">
        <v>6533097.4400000004</v>
      </c>
      <c r="AP5" s="91">
        <v>9830175.9600000009</v>
      </c>
      <c r="AQ5" s="91">
        <v>0</v>
      </c>
      <c r="AR5" s="91">
        <v>0</v>
      </c>
      <c r="AS5" s="91">
        <v>0</v>
      </c>
      <c r="AT5" s="91">
        <v>6685203</v>
      </c>
      <c r="AU5" s="91">
        <v>4098591.7199999997</v>
      </c>
      <c r="AV5" s="91">
        <v>8360990.2599999998</v>
      </c>
      <c r="AW5" s="91">
        <v>5270508.91</v>
      </c>
      <c r="AX5" s="91">
        <v>711300</v>
      </c>
      <c r="AY5" s="91">
        <v>0</v>
      </c>
      <c r="AZ5" s="91">
        <v>2598098.04</v>
      </c>
      <c r="BA5" s="91">
        <v>4850882</v>
      </c>
      <c r="BB5" s="91">
        <v>8494791.6500000004</v>
      </c>
      <c r="BC5" s="91">
        <v>7416200.879999999</v>
      </c>
      <c r="BD5" s="91">
        <v>12615266.810000001</v>
      </c>
      <c r="BE5" s="91">
        <v>0</v>
      </c>
      <c r="BF5" s="91">
        <v>0</v>
      </c>
      <c r="BG5" s="91">
        <v>28208398.25</v>
      </c>
      <c r="BH5" s="91">
        <v>8692681.2999999989</v>
      </c>
      <c r="BI5" s="91">
        <v>6829174</v>
      </c>
      <c r="BJ5" s="91">
        <v>3431351.3</v>
      </c>
      <c r="BK5" s="91">
        <v>10600880.359999999</v>
      </c>
      <c r="BL5" s="91">
        <v>53000</v>
      </c>
      <c r="BM5" s="91">
        <v>902000</v>
      </c>
      <c r="BN5" s="91">
        <v>6089898.6199999992</v>
      </c>
      <c r="BO5" s="91">
        <v>8099504.7000000002</v>
      </c>
      <c r="BP5" s="91">
        <v>10940526.98</v>
      </c>
      <c r="BQ5" s="91">
        <v>13718194.670000002</v>
      </c>
      <c r="BR5" s="91">
        <v>0</v>
      </c>
      <c r="BS5" s="91">
        <v>0</v>
      </c>
      <c r="BT5" s="91">
        <v>0</v>
      </c>
      <c r="BU5" s="91">
        <v>0</v>
      </c>
      <c r="BV5" s="91">
        <v>0</v>
      </c>
      <c r="BW5" s="91">
        <v>11486892.1</v>
      </c>
      <c r="BX5" s="91">
        <v>4692838.41</v>
      </c>
      <c r="BY5" s="91">
        <v>11167312.93</v>
      </c>
      <c r="BZ5" s="91">
        <v>11383589.760000002</v>
      </c>
      <c r="CA5" s="91">
        <v>0</v>
      </c>
      <c r="CB5" s="91">
        <v>15636419.24</v>
      </c>
      <c r="CC5" s="91">
        <v>18220515.73</v>
      </c>
      <c r="CD5" s="91">
        <v>7088266.1699999999</v>
      </c>
      <c r="CE5" s="91">
        <v>10074191.25</v>
      </c>
      <c r="CF5" s="91">
        <v>22332044.629999999</v>
      </c>
      <c r="CG5" s="91">
        <v>0</v>
      </c>
      <c r="CH5" s="91">
        <v>0</v>
      </c>
      <c r="CI5" s="91">
        <v>4718986.83</v>
      </c>
      <c r="CJ5" s="91">
        <v>6996848.6600000001</v>
      </c>
      <c r="CK5" s="91">
        <v>5886621.3700000001</v>
      </c>
      <c r="CL5" s="91">
        <v>883219.67</v>
      </c>
      <c r="CM5" s="91">
        <v>6716898.6500000004</v>
      </c>
      <c r="CN5" s="91">
        <v>189778.94</v>
      </c>
      <c r="CO5" s="91">
        <v>0</v>
      </c>
      <c r="CP5" s="91">
        <v>4373432.3100000005</v>
      </c>
      <c r="CQ5" s="91">
        <v>7389295.1500000004</v>
      </c>
      <c r="CR5" s="91">
        <v>11158513.689999999</v>
      </c>
      <c r="CS5" s="91">
        <v>3148251.05</v>
      </c>
      <c r="CT5" s="91">
        <v>10624519.210000001</v>
      </c>
      <c r="CU5" s="91">
        <v>0</v>
      </c>
      <c r="CV5" s="91">
        <v>0</v>
      </c>
      <c r="CW5" s="91">
        <v>231819.28</v>
      </c>
      <c r="CX5" s="91">
        <v>2729055.9699999997</v>
      </c>
      <c r="CY5" s="91">
        <v>967233.32000000007</v>
      </c>
      <c r="CZ5" s="91">
        <v>384754.33999999997</v>
      </c>
      <c r="DA5" s="91">
        <v>1016090.1</v>
      </c>
      <c r="DB5" s="91">
        <v>5618</v>
      </c>
      <c r="DC5" s="91">
        <v>0</v>
      </c>
      <c r="DD5" s="91">
        <v>926560.2</v>
      </c>
    </row>
    <row r="6" spans="1:108" x14ac:dyDescent="0.35">
      <c r="A6" t="s">
        <v>225</v>
      </c>
      <c r="B6" s="12" t="s">
        <v>88</v>
      </c>
      <c r="C6" s="91">
        <v>0</v>
      </c>
      <c r="D6" s="91">
        <v>184938.36</v>
      </c>
      <c r="E6" s="91">
        <v>208344.32000000001</v>
      </c>
      <c r="F6" s="91">
        <v>379403.03</v>
      </c>
      <c r="G6" s="91">
        <v>3800000</v>
      </c>
      <c r="H6" s="91">
        <v>0</v>
      </c>
      <c r="I6" s="91">
        <v>0</v>
      </c>
      <c r="J6" s="91">
        <v>137905.44</v>
      </c>
      <c r="K6" s="91">
        <v>201009.8</v>
      </c>
      <c r="L6" s="91">
        <v>322448.16000000003</v>
      </c>
      <c r="M6" s="91">
        <v>375519.48</v>
      </c>
      <c r="N6" s="91">
        <v>341475.2</v>
      </c>
      <c r="O6" s="91">
        <v>0</v>
      </c>
      <c r="P6" s="91">
        <v>0</v>
      </c>
      <c r="Q6" s="92">
        <v>180238.15</v>
      </c>
      <c r="R6" s="91">
        <v>50166.400000000001</v>
      </c>
      <c r="S6" s="91">
        <v>241968.21</v>
      </c>
      <c r="T6" s="91">
        <v>247450.49000000002</v>
      </c>
      <c r="U6" s="91">
        <v>85569.600000000006</v>
      </c>
      <c r="V6" s="91">
        <v>0</v>
      </c>
      <c r="W6" s="91">
        <v>0</v>
      </c>
      <c r="X6" s="91">
        <v>527949.76</v>
      </c>
      <c r="Y6" s="91">
        <v>219357.5</v>
      </c>
      <c r="Z6" s="91">
        <v>125308.72</v>
      </c>
      <c r="AA6" s="91">
        <v>77582.080000000002</v>
      </c>
      <c r="AB6" s="91">
        <v>3813371.2</v>
      </c>
      <c r="AC6" s="91">
        <v>0</v>
      </c>
      <c r="AD6" s="91">
        <v>0</v>
      </c>
      <c r="AE6" s="91">
        <v>240888.4</v>
      </c>
      <c r="AF6" s="91">
        <v>265648.07999999996</v>
      </c>
      <c r="AG6" s="91">
        <v>38930.800000000003</v>
      </c>
      <c r="AH6" s="91">
        <v>128711.84</v>
      </c>
      <c r="AI6" s="91">
        <v>498887.2</v>
      </c>
      <c r="AJ6" s="91">
        <v>0</v>
      </c>
      <c r="AK6" s="91">
        <v>0</v>
      </c>
      <c r="AL6" s="91">
        <v>96029.34</v>
      </c>
      <c r="AM6" s="91">
        <v>586676.6</v>
      </c>
      <c r="AN6" s="91">
        <v>32675.4</v>
      </c>
      <c r="AO6" s="91">
        <v>114776.74</v>
      </c>
      <c r="AP6" s="91">
        <v>77662.399999999994</v>
      </c>
      <c r="AQ6" s="91">
        <v>0</v>
      </c>
      <c r="AR6" s="91">
        <v>0</v>
      </c>
      <c r="AS6" s="91">
        <v>0</v>
      </c>
      <c r="AT6" s="91">
        <v>654548.39999999991</v>
      </c>
      <c r="AU6" s="91">
        <v>3354883.16</v>
      </c>
      <c r="AV6" s="91">
        <v>173738.4</v>
      </c>
      <c r="AW6" s="91">
        <v>180695</v>
      </c>
      <c r="AX6" s="91">
        <v>0</v>
      </c>
      <c r="AY6" s="91">
        <v>0</v>
      </c>
      <c r="AZ6" s="91">
        <v>0</v>
      </c>
      <c r="BA6" s="91">
        <v>40000</v>
      </c>
      <c r="BB6" s="91">
        <v>198682.04</v>
      </c>
      <c r="BC6" s="91">
        <v>115451.24</v>
      </c>
      <c r="BD6" s="91">
        <v>126939.24</v>
      </c>
      <c r="BE6" s="91">
        <v>0</v>
      </c>
      <c r="BF6" s="91">
        <v>0</v>
      </c>
      <c r="BG6" s="91">
        <v>196678.39999999999</v>
      </c>
      <c r="BH6" s="91">
        <v>147916.6</v>
      </c>
      <c r="BI6" s="91">
        <v>941475.95</v>
      </c>
      <c r="BJ6" s="91">
        <v>232863.37</v>
      </c>
      <c r="BK6" s="91">
        <v>49150</v>
      </c>
      <c r="BL6" s="91">
        <v>0</v>
      </c>
      <c r="BM6" s="91">
        <v>0</v>
      </c>
      <c r="BN6" s="91">
        <v>312868</v>
      </c>
      <c r="BO6" s="91">
        <v>190797.87</v>
      </c>
      <c r="BP6" s="91">
        <v>157277.4</v>
      </c>
      <c r="BQ6" s="91">
        <v>115473.59999999999</v>
      </c>
      <c r="BR6" s="91">
        <v>0</v>
      </c>
      <c r="BS6" s="91">
        <v>0</v>
      </c>
      <c r="BT6" s="91">
        <v>0</v>
      </c>
      <c r="BU6" s="91">
        <v>0</v>
      </c>
      <c r="BV6" s="91">
        <v>0</v>
      </c>
      <c r="BW6" s="91">
        <v>0</v>
      </c>
      <c r="BX6" s="91">
        <v>152634.24000000002</v>
      </c>
      <c r="BY6" s="91">
        <v>80166</v>
      </c>
      <c r="BZ6" s="91">
        <v>139078.79999999999</v>
      </c>
      <c r="CA6" s="91">
        <v>0</v>
      </c>
      <c r="CB6" s="91">
        <v>22091.8</v>
      </c>
      <c r="CC6" s="91">
        <v>5287585.25</v>
      </c>
      <c r="CD6" s="91">
        <v>607593.22</v>
      </c>
      <c r="CE6" s="91">
        <v>107169.49</v>
      </c>
      <c r="CF6" s="91">
        <v>78293.53</v>
      </c>
      <c r="CG6" s="91">
        <v>240362.61</v>
      </c>
      <c r="CH6" s="91">
        <v>0</v>
      </c>
      <c r="CI6" s="91">
        <v>182422.02000000002</v>
      </c>
      <c r="CJ6" s="91">
        <v>72914.740000000005</v>
      </c>
      <c r="CK6" s="91">
        <v>166962.01999999999</v>
      </c>
      <c r="CL6" s="91">
        <v>234855.08000000002</v>
      </c>
      <c r="CM6" s="91">
        <v>110653.79</v>
      </c>
      <c r="CN6" s="91">
        <v>0</v>
      </c>
      <c r="CO6" s="91">
        <v>0</v>
      </c>
      <c r="CP6" s="91">
        <v>260311.01</v>
      </c>
      <c r="CQ6" s="91">
        <v>252129.3</v>
      </c>
      <c r="CR6" s="91">
        <v>298025.48</v>
      </c>
      <c r="CS6" s="91">
        <v>476235</v>
      </c>
      <c r="CT6" s="91">
        <v>242832.57</v>
      </c>
      <c r="CU6" s="91">
        <v>187324.07</v>
      </c>
      <c r="CV6" s="91">
        <v>0</v>
      </c>
      <c r="CW6" s="91">
        <v>115202.38999999998</v>
      </c>
      <c r="CX6" s="91">
        <v>145313.62</v>
      </c>
      <c r="CY6" s="91">
        <v>65868.62</v>
      </c>
      <c r="CZ6" s="91">
        <v>119771.87</v>
      </c>
      <c r="DA6" s="91">
        <v>183746.67</v>
      </c>
      <c r="DB6" s="91">
        <v>336664.79</v>
      </c>
      <c r="DC6" s="91">
        <v>0</v>
      </c>
      <c r="DD6" s="91">
        <v>148385.48000000001</v>
      </c>
    </row>
    <row r="7" spans="1:108" x14ac:dyDescent="0.35">
      <c r="A7" t="s">
        <v>226</v>
      </c>
      <c r="B7" s="12" t="s">
        <v>89</v>
      </c>
      <c r="C7" s="91">
        <v>0</v>
      </c>
      <c r="D7" s="91">
        <v>0</v>
      </c>
      <c r="E7" s="91">
        <v>31500</v>
      </c>
      <c r="F7" s="91">
        <v>391367.2</v>
      </c>
      <c r="G7" s="91">
        <v>0</v>
      </c>
      <c r="H7" s="91">
        <v>0</v>
      </c>
      <c r="I7" s="91">
        <v>0</v>
      </c>
      <c r="J7" s="91">
        <v>55000</v>
      </c>
      <c r="K7" s="91">
        <v>62313.1</v>
      </c>
      <c r="L7" s="91">
        <v>0</v>
      </c>
      <c r="M7" s="91">
        <v>68599.199999999997</v>
      </c>
      <c r="N7" s="91">
        <v>0</v>
      </c>
      <c r="O7" s="91">
        <v>0</v>
      </c>
      <c r="P7" s="91">
        <v>26064.03</v>
      </c>
      <c r="Q7" s="92">
        <v>20000</v>
      </c>
      <c r="R7" s="91">
        <v>365262.56</v>
      </c>
      <c r="S7" s="91">
        <v>26430.3</v>
      </c>
      <c r="T7" s="91">
        <v>182062.07999999999</v>
      </c>
      <c r="U7" s="91">
        <v>23490.35</v>
      </c>
      <c r="V7" s="91">
        <v>0</v>
      </c>
      <c r="W7" s="91">
        <v>0</v>
      </c>
      <c r="X7" s="91">
        <v>0</v>
      </c>
      <c r="Y7" s="91">
        <v>13990</v>
      </c>
      <c r="Z7" s="91">
        <v>151718.39999999999</v>
      </c>
      <c r="AA7" s="91">
        <v>0</v>
      </c>
      <c r="AB7" s="91">
        <v>18100</v>
      </c>
      <c r="AC7" s="91">
        <v>0</v>
      </c>
      <c r="AD7" s="91">
        <v>0</v>
      </c>
      <c r="AE7" s="91">
        <v>27100</v>
      </c>
      <c r="AF7" s="91">
        <v>0</v>
      </c>
      <c r="AG7" s="91">
        <v>0</v>
      </c>
      <c r="AH7" s="91">
        <v>100000</v>
      </c>
      <c r="AI7" s="91">
        <v>0</v>
      </c>
      <c r="AJ7" s="91">
        <v>0</v>
      </c>
      <c r="AK7" s="91">
        <v>0</v>
      </c>
      <c r="AL7" s="91">
        <v>0</v>
      </c>
      <c r="AM7" s="91">
        <v>0</v>
      </c>
      <c r="AN7" s="91">
        <v>0</v>
      </c>
      <c r="AO7" s="91">
        <v>0</v>
      </c>
      <c r="AP7" s="91">
        <v>89561.52</v>
      </c>
      <c r="AQ7" s="91">
        <v>127988.01</v>
      </c>
      <c r="AR7" s="91">
        <v>0</v>
      </c>
      <c r="AS7" s="91">
        <v>0</v>
      </c>
      <c r="AT7" s="91">
        <v>23000</v>
      </c>
      <c r="AU7" s="91">
        <v>31614.05</v>
      </c>
      <c r="AV7" s="91">
        <v>49050</v>
      </c>
      <c r="AW7" s="91">
        <v>27000</v>
      </c>
      <c r="AX7" s="91">
        <v>0</v>
      </c>
      <c r="AY7" s="91">
        <v>0</v>
      </c>
      <c r="AZ7" s="91">
        <v>0</v>
      </c>
      <c r="BA7" s="91">
        <v>72051.850000000006</v>
      </c>
      <c r="BB7" s="91">
        <v>0</v>
      </c>
      <c r="BC7" s="91">
        <v>2923.05</v>
      </c>
      <c r="BD7" s="91">
        <v>277690.62</v>
      </c>
      <c r="BE7" s="91">
        <v>0</v>
      </c>
      <c r="BF7" s="91">
        <v>0</v>
      </c>
      <c r="BG7" s="91">
        <v>84756.160000000003</v>
      </c>
      <c r="BH7" s="91">
        <v>276356.08</v>
      </c>
      <c r="BI7" s="91">
        <v>219265.38</v>
      </c>
      <c r="BJ7" s="91">
        <v>213554.72</v>
      </c>
      <c r="BK7" s="91">
        <v>521623.2</v>
      </c>
      <c r="BL7" s="91">
        <v>0</v>
      </c>
      <c r="BM7" s="91">
        <v>0</v>
      </c>
      <c r="BN7" s="91">
        <v>72425.3</v>
      </c>
      <c r="BO7" s="91">
        <v>29241.599999999999</v>
      </c>
      <c r="BP7" s="91">
        <v>125000</v>
      </c>
      <c r="BQ7" s="91">
        <v>31114</v>
      </c>
      <c r="BR7" s="91">
        <v>0</v>
      </c>
      <c r="BS7" s="91">
        <v>0</v>
      </c>
      <c r="BT7" s="91">
        <v>0</v>
      </c>
      <c r="BU7" s="91">
        <v>0</v>
      </c>
      <c r="BV7" s="91">
        <v>0</v>
      </c>
      <c r="BW7" s="91">
        <v>69204</v>
      </c>
      <c r="BX7" s="91">
        <v>24792.36</v>
      </c>
      <c r="BY7" s="91">
        <v>0</v>
      </c>
      <c r="BZ7" s="91">
        <v>0</v>
      </c>
      <c r="CA7" s="91" t="s">
        <v>255</v>
      </c>
      <c r="CB7" s="91">
        <v>322796.13</v>
      </c>
      <c r="CC7" s="91">
        <v>22264.32</v>
      </c>
      <c r="CD7" s="91">
        <v>304962.24</v>
      </c>
      <c r="CE7" s="91">
        <v>233744.66</v>
      </c>
      <c r="CF7" s="91">
        <v>730056.69000000006</v>
      </c>
      <c r="CG7" s="91">
        <v>0</v>
      </c>
      <c r="CH7" s="91">
        <v>0</v>
      </c>
      <c r="CI7" s="91">
        <v>103456.47</v>
      </c>
      <c r="CJ7" s="91">
        <v>33064.18</v>
      </c>
      <c r="CK7" s="91">
        <v>45123.17</v>
      </c>
      <c r="CL7" s="91">
        <v>0</v>
      </c>
      <c r="CM7" s="91">
        <v>37758.480000000003</v>
      </c>
      <c r="CN7" s="91">
        <v>0</v>
      </c>
      <c r="CO7" s="91">
        <v>0</v>
      </c>
      <c r="CP7" s="91">
        <v>0</v>
      </c>
      <c r="CQ7" s="91">
        <v>30665.06</v>
      </c>
      <c r="CR7" s="91">
        <v>36707.300000000003</v>
      </c>
      <c r="CS7" s="91">
        <v>81009.58</v>
      </c>
      <c r="CT7" s="91">
        <v>215620.36</v>
      </c>
      <c r="CU7" s="91">
        <v>0</v>
      </c>
      <c r="CV7" s="91">
        <v>0</v>
      </c>
      <c r="CW7" s="91">
        <v>42913.919999999998</v>
      </c>
      <c r="CX7" s="91">
        <v>60084.12</v>
      </c>
      <c r="CY7" s="91">
        <v>100</v>
      </c>
      <c r="CZ7" s="91">
        <v>0</v>
      </c>
      <c r="DA7" s="91">
        <v>351346.5</v>
      </c>
      <c r="DB7" s="91">
        <v>0</v>
      </c>
      <c r="DC7" s="91">
        <v>0</v>
      </c>
      <c r="DD7" s="91">
        <v>0</v>
      </c>
    </row>
    <row r="8" spans="1:108" x14ac:dyDescent="0.35">
      <c r="A8" t="s">
        <v>227</v>
      </c>
      <c r="B8" s="12" t="s">
        <v>90</v>
      </c>
      <c r="C8" s="91">
        <v>0</v>
      </c>
      <c r="D8" s="91">
        <v>0</v>
      </c>
      <c r="E8" s="91">
        <v>121284</v>
      </c>
      <c r="F8" s="91">
        <v>171369.84</v>
      </c>
      <c r="G8" s="91">
        <v>135039.15</v>
      </c>
      <c r="H8" s="91">
        <v>24820</v>
      </c>
      <c r="I8" s="91">
        <v>0</v>
      </c>
      <c r="J8" s="91">
        <v>110634.38</v>
      </c>
      <c r="K8" s="91">
        <v>208180.2</v>
      </c>
      <c r="L8" s="91">
        <v>127305.5</v>
      </c>
      <c r="M8" s="91">
        <v>60057.08</v>
      </c>
      <c r="N8" s="91">
        <v>122400</v>
      </c>
      <c r="O8" s="91">
        <v>0</v>
      </c>
      <c r="P8" s="91">
        <v>0</v>
      </c>
      <c r="Q8" s="92">
        <v>185741.84</v>
      </c>
      <c r="R8" s="91">
        <v>0</v>
      </c>
      <c r="S8" s="91">
        <v>29273.38</v>
      </c>
      <c r="T8" s="91">
        <v>57970.66</v>
      </c>
      <c r="U8" s="91">
        <v>163482</v>
      </c>
      <c r="V8" s="91">
        <v>0</v>
      </c>
      <c r="W8" s="91">
        <v>0</v>
      </c>
      <c r="X8" s="91">
        <v>38771</v>
      </c>
      <c r="Y8" s="91">
        <v>66686</v>
      </c>
      <c r="Z8" s="91">
        <v>107708.08</v>
      </c>
      <c r="AA8" s="91">
        <v>128698.2</v>
      </c>
      <c r="AB8" s="91">
        <v>135548.26</v>
      </c>
      <c r="AC8" s="91">
        <v>0</v>
      </c>
      <c r="AD8" s="91">
        <v>0</v>
      </c>
      <c r="AE8" s="91">
        <v>83484</v>
      </c>
      <c r="AF8" s="91">
        <v>74900.960000000006</v>
      </c>
      <c r="AG8" s="91">
        <v>314423</v>
      </c>
      <c r="AH8" s="91">
        <v>62178.9</v>
      </c>
      <c r="AI8" s="91">
        <v>151675.46</v>
      </c>
      <c r="AJ8" s="91">
        <v>0</v>
      </c>
      <c r="AK8" s="91">
        <v>0</v>
      </c>
      <c r="AL8" s="91">
        <v>41906</v>
      </c>
      <c r="AM8" s="91">
        <v>8969.7999999999993</v>
      </c>
      <c r="AN8" s="91">
        <v>31222.6</v>
      </c>
      <c r="AO8" s="91">
        <v>1</v>
      </c>
      <c r="AP8" s="91">
        <v>141711</v>
      </c>
      <c r="AQ8" s="91">
        <v>0</v>
      </c>
      <c r="AR8" s="91">
        <v>0</v>
      </c>
      <c r="AS8" s="91">
        <v>0</v>
      </c>
      <c r="AT8" s="91">
        <v>226745</v>
      </c>
      <c r="AU8" s="91">
        <v>0</v>
      </c>
      <c r="AV8" s="91">
        <v>16082</v>
      </c>
      <c r="AW8" s="91">
        <v>220525</v>
      </c>
      <c r="AX8" s="91">
        <v>0</v>
      </c>
      <c r="AY8" s="91">
        <v>0</v>
      </c>
      <c r="AZ8" s="91">
        <v>45467</v>
      </c>
      <c r="BA8" s="91">
        <v>92797.94</v>
      </c>
      <c r="BB8" s="91">
        <v>118470.37999999999</v>
      </c>
      <c r="BC8" s="91">
        <v>82192.36</v>
      </c>
      <c r="BD8" s="91">
        <v>73494.36</v>
      </c>
      <c r="BE8" s="91">
        <v>0</v>
      </c>
      <c r="BF8" s="91">
        <v>0</v>
      </c>
      <c r="BG8" s="91">
        <v>3115.73</v>
      </c>
      <c r="BH8" s="91">
        <v>191361.97999999998</v>
      </c>
      <c r="BI8" s="91">
        <v>143951.12</v>
      </c>
      <c r="BJ8" s="91">
        <v>52308</v>
      </c>
      <c r="BK8" s="91">
        <v>386554.86</v>
      </c>
      <c r="BL8" s="91">
        <v>0</v>
      </c>
      <c r="BM8" s="91">
        <v>0</v>
      </c>
      <c r="BN8" s="91">
        <v>110958.27</v>
      </c>
      <c r="BO8" s="91">
        <v>83248.5</v>
      </c>
      <c r="BP8" s="91">
        <v>31874.690000000002</v>
      </c>
      <c r="BQ8" s="91">
        <v>15044.32</v>
      </c>
      <c r="BR8" s="91">
        <v>0</v>
      </c>
      <c r="BS8" s="91">
        <v>0</v>
      </c>
      <c r="BT8" s="91">
        <v>0</v>
      </c>
      <c r="BU8" s="91">
        <v>0</v>
      </c>
      <c r="BV8" s="91">
        <v>0</v>
      </c>
      <c r="BW8" s="91">
        <v>50001</v>
      </c>
      <c r="BX8" s="91">
        <v>116000</v>
      </c>
      <c r="BY8" s="91">
        <v>71821.760000000009</v>
      </c>
      <c r="BZ8" s="91">
        <v>409.8</v>
      </c>
      <c r="CA8" s="91">
        <v>0</v>
      </c>
      <c r="CB8" s="91">
        <v>75206</v>
      </c>
      <c r="CC8" s="91">
        <v>23142</v>
      </c>
      <c r="CD8" s="91">
        <v>81719</v>
      </c>
      <c r="CE8" s="91">
        <v>0</v>
      </c>
      <c r="CF8" s="91">
        <v>205982.56</v>
      </c>
      <c r="CG8" s="91">
        <v>0</v>
      </c>
      <c r="CH8" s="91">
        <v>0</v>
      </c>
      <c r="CI8" s="91">
        <v>143798.39999999999</v>
      </c>
      <c r="CJ8" s="91">
        <v>41505.880000000005</v>
      </c>
      <c r="CK8" s="91">
        <v>0</v>
      </c>
      <c r="CL8" s="91">
        <v>28166.400000000001</v>
      </c>
      <c r="CM8" s="91">
        <v>285958.24</v>
      </c>
      <c r="CN8" s="91">
        <v>0</v>
      </c>
      <c r="CO8" s="91">
        <v>0</v>
      </c>
      <c r="CP8" s="91">
        <v>146191.52000000002</v>
      </c>
      <c r="CQ8" s="91">
        <v>144647.94</v>
      </c>
      <c r="CR8" s="91">
        <v>144406.72</v>
      </c>
      <c r="CS8" s="91">
        <v>190739.72</v>
      </c>
      <c r="CT8" s="91">
        <v>366057.12</v>
      </c>
      <c r="CU8" s="91">
        <v>0</v>
      </c>
      <c r="CV8" s="91">
        <v>0</v>
      </c>
      <c r="CW8" s="91">
        <v>88816</v>
      </c>
      <c r="CX8" s="91">
        <v>51926.759999999995</v>
      </c>
      <c r="CY8" s="91">
        <v>56951.33</v>
      </c>
      <c r="CZ8" s="91">
        <v>0</v>
      </c>
      <c r="DA8" s="91">
        <v>125183</v>
      </c>
      <c r="DB8" s="91">
        <v>0</v>
      </c>
      <c r="DC8" s="91">
        <v>0</v>
      </c>
      <c r="DD8" s="91">
        <v>53527.82</v>
      </c>
    </row>
    <row r="9" spans="1:108" x14ac:dyDescent="0.35">
      <c r="A9" t="s">
        <v>228</v>
      </c>
      <c r="B9" s="12" t="s">
        <v>91</v>
      </c>
      <c r="C9" s="91">
        <v>0</v>
      </c>
      <c r="D9" s="91">
        <v>0</v>
      </c>
      <c r="E9" s="91">
        <v>0</v>
      </c>
      <c r="F9" s="91">
        <v>0</v>
      </c>
      <c r="G9" s="91">
        <v>0</v>
      </c>
      <c r="H9" s="91">
        <v>0</v>
      </c>
      <c r="I9" s="91">
        <v>0</v>
      </c>
      <c r="J9" s="91">
        <v>0</v>
      </c>
      <c r="K9" s="91">
        <v>0</v>
      </c>
      <c r="L9" s="91">
        <v>0</v>
      </c>
      <c r="M9" s="91">
        <v>0</v>
      </c>
      <c r="N9" s="91">
        <v>0</v>
      </c>
      <c r="O9" s="91">
        <v>0</v>
      </c>
      <c r="P9" s="91">
        <v>0</v>
      </c>
      <c r="Q9" s="92">
        <v>0</v>
      </c>
      <c r="R9" s="91">
        <v>0</v>
      </c>
      <c r="S9" s="91">
        <v>0</v>
      </c>
      <c r="T9" s="91">
        <v>0</v>
      </c>
      <c r="U9" s="91">
        <v>0</v>
      </c>
      <c r="V9" s="91">
        <v>0</v>
      </c>
      <c r="W9" s="91">
        <v>0</v>
      </c>
      <c r="X9" s="91">
        <v>0</v>
      </c>
      <c r="Y9" s="91">
        <v>0</v>
      </c>
      <c r="Z9" s="91">
        <v>0</v>
      </c>
      <c r="AA9" s="91">
        <v>0</v>
      </c>
      <c r="AB9" s="91">
        <v>0</v>
      </c>
      <c r="AC9" s="91">
        <v>0</v>
      </c>
      <c r="AD9" s="91">
        <v>0</v>
      </c>
      <c r="AE9" s="91">
        <v>0</v>
      </c>
      <c r="AF9" s="91">
        <v>0</v>
      </c>
      <c r="AG9" s="91">
        <v>0</v>
      </c>
      <c r="AH9" s="91">
        <v>0</v>
      </c>
      <c r="AI9" s="91">
        <v>0</v>
      </c>
      <c r="AJ9" s="91">
        <v>0</v>
      </c>
      <c r="AK9" s="91">
        <v>0</v>
      </c>
      <c r="AL9" s="91">
        <v>0</v>
      </c>
      <c r="AM9" s="91">
        <v>0</v>
      </c>
      <c r="AN9" s="91">
        <v>0</v>
      </c>
      <c r="AO9" s="91">
        <v>0</v>
      </c>
      <c r="AP9" s="91">
        <v>0</v>
      </c>
      <c r="AQ9" s="91">
        <v>0</v>
      </c>
      <c r="AR9" s="91">
        <v>0</v>
      </c>
      <c r="AS9" s="91">
        <v>0</v>
      </c>
      <c r="AT9" s="91">
        <v>0</v>
      </c>
      <c r="AU9" s="91">
        <v>0</v>
      </c>
      <c r="AV9" s="91">
        <v>0</v>
      </c>
      <c r="AW9" s="91">
        <v>0</v>
      </c>
      <c r="AX9" s="91">
        <v>0</v>
      </c>
      <c r="AY9" s="91">
        <v>0</v>
      </c>
      <c r="AZ9" s="91">
        <v>0</v>
      </c>
      <c r="BA9" s="91">
        <v>0</v>
      </c>
      <c r="BB9" s="91">
        <v>0</v>
      </c>
      <c r="BC9" s="91">
        <v>0</v>
      </c>
      <c r="BD9" s="91">
        <v>0</v>
      </c>
      <c r="BE9" s="91">
        <v>0</v>
      </c>
      <c r="BF9" s="91">
        <v>0</v>
      </c>
      <c r="BG9" s="91">
        <v>0</v>
      </c>
      <c r="BH9" s="91">
        <v>0</v>
      </c>
      <c r="BI9" s="91">
        <v>0</v>
      </c>
      <c r="BJ9" s="91">
        <v>0</v>
      </c>
      <c r="BK9" s="91">
        <v>0</v>
      </c>
      <c r="BL9" s="91">
        <v>0</v>
      </c>
      <c r="BM9" s="91">
        <v>0</v>
      </c>
      <c r="BN9" s="91">
        <v>0</v>
      </c>
      <c r="BO9" s="91">
        <v>0</v>
      </c>
      <c r="BP9" s="91">
        <v>0</v>
      </c>
      <c r="BQ9" s="91">
        <v>0</v>
      </c>
      <c r="BR9" s="91">
        <v>0</v>
      </c>
      <c r="BS9" s="91">
        <v>0</v>
      </c>
      <c r="BT9" s="91">
        <v>0</v>
      </c>
      <c r="BU9" s="91">
        <v>0</v>
      </c>
      <c r="BV9" s="91">
        <v>0</v>
      </c>
      <c r="BW9" s="91">
        <v>0</v>
      </c>
      <c r="BX9" s="91">
        <v>0</v>
      </c>
      <c r="BY9" s="91">
        <v>0</v>
      </c>
      <c r="BZ9" s="91">
        <v>0</v>
      </c>
      <c r="CA9" s="91">
        <v>0</v>
      </c>
      <c r="CB9" s="91">
        <v>0</v>
      </c>
      <c r="CC9" s="91">
        <v>0</v>
      </c>
      <c r="CD9" s="91">
        <v>0</v>
      </c>
      <c r="CE9" s="91">
        <v>0</v>
      </c>
      <c r="CF9" s="91">
        <v>0</v>
      </c>
      <c r="CG9" s="91">
        <v>0</v>
      </c>
      <c r="CH9" s="91">
        <v>0</v>
      </c>
      <c r="CI9" s="91">
        <v>0</v>
      </c>
      <c r="CJ9" s="91">
        <v>0</v>
      </c>
      <c r="CK9" s="91">
        <v>0</v>
      </c>
      <c r="CL9" s="91">
        <v>0</v>
      </c>
      <c r="CM9" s="91">
        <v>0</v>
      </c>
      <c r="CN9" s="91">
        <v>0</v>
      </c>
      <c r="CO9" s="91">
        <v>0</v>
      </c>
      <c r="CP9" s="91">
        <v>0</v>
      </c>
      <c r="CQ9" s="91">
        <v>0</v>
      </c>
      <c r="CR9" s="91">
        <v>0</v>
      </c>
      <c r="CS9" s="91">
        <v>0</v>
      </c>
      <c r="CT9" s="91">
        <v>0</v>
      </c>
      <c r="CU9" s="91">
        <v>0</v>
      </c>
      <c r="CV9" s="91">
        <v>0</v>
      </c>
      <c r="CW9" s="91">
        <v>0</v>
      </c>
      <c r="CX9" s="91">
        <v>0</v>
      </c>
      <c r="CY9" s="91">
        <v>0</v>
      </c>
      <c r="CZ9" s="91">
        <v>0</v>
      </c>
      <c r="DA9" s="91">
        <v>0</v>
      </c>
      <c r="DB9" s="91">
        <v>0</v>
      </c>
      <c r="DC9" s="91">
        <v>0</v>
      </c>
      <c r="DD9" s="91">
        <v>0</v>
      </c>
    </row>
    <row r="10" spans="1:108" x14ac:dyDescent="0.35">
      <c r="A10" t="s">
        <v>229</v>
      </c>
      <c r="B10" s="12" t="s">
        <v>92</v>
      </c>
      <c r="C10" s="91">
        <v>0</v>
      </c>
      <c r="D10" s="91">
        <v>518628.02</v>
      </c>
      <c r="E10" s="91">
        <v>111703.9</v>
      </c>
      <c r="F10" s="91">
        <v>5126.1499999999996</v>
      </c>
      <c r="G10" s="91">
        <v>0</v>
      </c>
      <c r="H10" s="91">
        <v>0</v>
      </c>
      <c r="I10" s="91">
        <v>0</v>
      </c>
      <c r="J10" s="91">
        <v>16152.23</v>
      </c>
      <c r="K10" s="91">
        <v>5406.75</v>
      </c>
      <c r="L10" s="91">
        <v>785.66</v>
      </c>
      <c r="M10" s="91">
        <v>95268.01</v>
      </c>
      <c r="N10" s="91">
        <v>509674.77</v>
      </c>
      <c r="O10" s="91">
        <v>1314.22</v>
      </c>
      <c r="P10" s="91">
        <v>0</v>
      </c>
      <c r="Q10" s="92">
        <v>24121.190000000002</v>
      </c>
      <c r="R10" s="91">
        <v>873897.45</v>
      </c>
      <c r="S10" s="91">
        <v>590.25</v>
      </c>
      <c r="T10" s="91">
        <v>6292.23</v>
      </c>
      <c r="U10" s="91">
        <v>345846.15</v>
      </c>
      <c r="V10" s="91">
        <v>3264.21</v>
      </c>
      <c r="W10" s="91">
        <v>2075.7800000000002</v>
      </c>
      <c r="X10" s="91">
        <v>123177.66</v>
      </c>
      <c r="Y10" s="91">
        <v>9019.7099999999991</v>
      </c>
      <c r="Z10" s="91">
        <v>11494.279999999999</v>
      </c>
      <c r="AA10" s="91">
        <v>23453.08</v>
      </c>
      <c r="AB10" s="91">
        <v>5820.68</v>
      </c>
      <c r="AC10" s="91">
        <v>0</v>
      </c>
      <c r="AD10" s="91">
        <v>1385.85</v>
      </c>
      <c r="AE10" s="91">
        <v>4490.22</v>
      </c>
      <c r="AF10" s="91">
        <v>32641.480000000003</v>
      </c>
      <c r="AG10" s="91">
        <v>828403.93</v>
      </c>
      <c r="AH10" s="91">
        <v>12976.06</v>
      </c>
      <c r="AI10" s="91">
        <v>286807.52</v>
      </c>
      <c r="AJ10" s="91">
        <v>605997.86</v>
      </c>
      <c r="AK10" s="91">
        <v>0</v>
      </c>
      <c r="AL10" s="91">
        <v>3661.98</v>
      </c>
      <c r="AM10" s="91">
        <v>68308.88</v>
      </c>
      <c r="AN10" s="91">
        <v>17850.89</v>
      </c>
      <c r="AO10" s="91">
        <v>17298.240000000002</v>
      </c>
      <c r="AP10" s="91">
        <v>504284.14</v>
      </c>
      <c r="AQ10" s="91">
        <v>6330.2199999999993</v>
      </c>
      <c r="AR10" s="91">
        <v>0</v>
      </c>
      <c r="AS10" s="91">
        <v>0</v>
      </c>
      <c r="AT10" s="91">
        <v>59965.74</v>
      </c>
      <c r="AU10" s="91">
        <v>55721.619999999995</v>
      </c>
      <c r="AV10" s="91">
        <v>15336.04</v>
      </c>
      <c r="AW10" s="91">
        <v>13559.34</v>
      </c>
      <c r="AX10" s="91">
        <v>6472.59</v>
      </c>
      <c r="AY10" s="91">
        <v>0</v>
      </c>
      <c r="AZ10" s="91">
        <v>1284.1600000000001</v>
      </c>
      <c r="BA10" s="91">
        <v>707711.39999999991</v>
      </c>
      <c r="BB10" s="91">
        <v>7511.5</v>
      </c>
      <c r="BC10" s="91">
        <v>11737.489999999998</v>
      </c>
      <c r="BD10" s="91">
        <v>4055.86</v>
      </c>
      <c r="BE10" s="91">
        <v>6193.46</v>
      </c>
      <c r="BF10" s="91">
        <v>0</v>
      </c>
      <c r="BG10" s="91">
        <v>5040.91</v>
      </c>
      <c r="BH10" s="91">
        <v>3868.54</v>
      </c>
      <c r="BI10" s="91">
        <v>3667.07</v>
      </c>
      <c r="BJ10" s="91">
        <v>48920.59</v>
      </c>
      <c r="BK10" s="91">
        <v>94484.479999999996</v>
      </c>
      <c r="BL10" s="91">
        <v>6590.9400000000005</v>
      </c>
      <c r="BM10" s="91">
        <v>8819.7999999999993</v>
      </c>
      <c r="BN10" s="91">
        <v>43542.5</v>
      </c>
      <c r="BO10" s="91">
        <v>1284.1599999999999</v>
      </c>
      <c r="BP10" s="91">
        <v>1025861.38</v>
      </c>
      <c r="BQ10" s="91">
        <v>738680.81999999983</v>
      </c>
      <c r="BR10" s="91">
        <v>18995.53</v>
      </c>
      <c r="BS10" s="91">
        <v>0</v>
      </c>
      <c r="BT10" s="91">
        <v>0</v>
      </c>
      <c r="BU10" s="91">
        <v>0</v>
      </c>
      <c r="BV10" s="91">
        <v>0</v>
      </c>
      <c r="BW10" s="91">
        <v>16698.89</v>
      </c>
      <c r="BX10" s="91">
        <v>15153.84</v>
      </c>
      <c r="BY10" s="91">
        <v>4251.2800000000007</v>
      </c>
      <c r="BZ10" s="91">
        <v>14681.36</v>
      </c>
      <c r="CA10" s="91">
        <v>7588.369999999999</v>
      </c>
      <c r="CB10" s="91">
        <v>2822.73</v>
      </c>
      <c r="CC10" s="91">
        <v>36574.589999999997</v>
      </c>
      <c r="CD10" s="91">
        <v>3653.0699999999997</v>
      </c>
      <c r="CE10" s="91">
        <v>7514.55</v>
      </c>
      <c r="CF10" s="91">
        <v>852235.3</v>
      </c>
      <c r="CG10" s="91">
        <v>20997.25</v>
      </c>
      <c r="CH10" s="91">
        <v>0</v>
      </c>
      <c r="CI10" s="91">
        <v>546054.66999999993</v>
      </c>
      <c r="CJ10" s="91">
        <v>5044.8900000000003</v>
      </c>
      <c r="CK10" s="91">
        <v>14408.539999999999</v>
      </c>
      <c r="CL10" s="91">
        <v>71676.12</v>
      </c>
      <c r="CM10" s="91">
        <v>13172.509999999998</v>
      </c>
      <c r="CN10" s="91">
        <v>9278.43</v>
      </c>
      <c r="CO10" s="91">
        <v>0</v>
      </c>
      <c r="CP10" s="91">
        <v>15141.849999999999</v>
      </c>
      <c r="CQ10" s="91">
        <v>1050574.5799999998</v>
      </c>
      <c r="CR10" s="91">
        <v>29685.98</v>
      </c>
      <c r="CS10" s="91">
        <v>1872.39</v>
      </c>
      <c r="CT10" s="91">
        <v>1337415.24</v>
      </c>
      <c r="CU10" s="91">
        <v>7668.8399999999992</v>
      </c>
      <c r="CV10" s="91">
        <v>0</v>
      </c>
      <c r="CW10" s="91">
        <v>1973.4999999999998</v>
      </c>
      <c r="CX10" s="91">
        <v>32035.530000000002</v>
      </c>
      <c r="CY10" s="91">
        <v>3160.54</v>
      </c>
      <c r="CZ10" s="91">
        <v>4281.53</v>
      </c>
      <c r="DA10" s="91">
        <v>53830.75</v>
      </c>
      <c r="DB10" s="91">
        <v>5229.8700000000008</v>
      </c>
      <c r="DC10" s="91">
        <v>0</v>
      </c>
      <c r="DD10" s="91">
        <v>2075.79</v>
      </c>
    </row>
    <row r="11" spans="1:108" x14ac:dyDescent="0.35">
      <c r="A11" t="s">
        <v>230</v>
      </c>
      <c r="B11" s="12" t="s">
        <v>93</v>
      </c>
      <c r="C11" s="91">
        <v>0</v>
      </c>
      <c r="D11" s="91">
        <v>42097.120000000003</v>
      </c>
      <c r="E11" s="91">
        <v>155842.79999999999</v>
      </c>
      <c r="F11" s="91">
        <v>174857.96</v>
      </c>
      <c r="G11" s="91">
        <v>243273.88</v>
      </c>
      <c r="H11" s="91">
        <v>0</v>
      </c>
      <c r="I11" s="91">
        <v>0</v>
      </c>
      <c r="J11" s="91">
        <v>93675.08</v>
      </c>
      <c r="K11" s="91">
        <v>243040.32</v>
      </c>
      <c r="L11" s="91">
        <v>105943.67999999999</v>
      </c>
      <c r="M11" s="91">
        <v>166212.79999999999</v>
      </c>
      <c r="N11" s="91">
        <v>222780.79999999999</v>
      </c>
      <c r="O11" s="91">
        <v>50515.199999999997</v>
      </c>
      <c r="P11" s="91">
        <v>0</v>
      </c>
      <c r="Q11" s="92">
        <v>175879.84</v>
      </c>
      <c r="R11" s="91">
        <v>240364.79999999999</v>
      </c>
      <c r="S11" s="91">
        <v>52828.480000000003</v>
      </c>
      <c r="T11" s="91">
        <v>109440</v>
      </c>
      <c r="U11" s="91">
        <v>15904326.449999999</v>
      </c>
      <c r="V11" s="91">
        <v>14930</v>
      </c>
      <c r="W11" s="91">
        <v>4162610.31</v>
      </c>
      <c r="X11" s="91">
        <v>154787.72</v>
      </c>
      <c r="Y11" s="91">
        <v>228018.4</v>
      </c>
      <c r="Z11" s="91">
        <v>138989.20000000001</v>
      </c>
      <c r="AA11" s="91">
        <v>23040</v>
      </c>
      <c r="AB11" s="91">
        <v>46080</v>
      </c>
      <c r="AC11" s="91">
        <v>0</v>
      </c>
      <c r="AD11" s="91">
        <v>0</v>
      </c>
      <c r="AE11" s="91">
        <v>257103.2</v>
      </c>
      <c r="AF11" s="91">
        <v>91332.2</v>
      </c>
      <c r="AG11" s="91">
        <v>31220.2</v>
      </c>
      <c r="AH11" s="91">
        <v>62148</v>
      </c>
      <c r="AI11" s="91">
        <v>114975.84</v>
      </c>
      <c r="AJ11" s="91">
        <v>10348</v>
      </c>
      <c r="AK11" s="91">
        <v>0</v>
      </c>
      <c r="AL11" s="91">
        <v>30412.799999999999</v>
      </c>
      <c r="AM11" s="91">
        <v>61806.1</v>
      </c>
      <c r="AN11" s="91">
        <v>14448</v>
      </c>
      <c r="AO11" s="91">
        <v>42438.720000000001</v>
      </c>
      <c r="AP11" s="91">
        <v>107958.39999999999</v>
      </c>
      <c r="AQ11" s="91">
        <v>21297.119999999999</v>
      </c>
      <c r="AR11" s="91">
        <v>0</v>
      </c>
      <c r="AS11" s="91">
        <v>0</v>
      </c>
      <c r="AT11" s="91">
        <v>237987.8</v>
      </c>
      <c r="AU11" s="91">
        <v>335151.92</v>
      </c>
      <c r="AV11" s="91">
        <v>466877.36</v>
      </c>
      <c r="AW11" s="91">
        <v>87712</v>
      </c>
      <c r="AX11" s="91">
        <v>0</v>
      </c>
      <c r="AY11" s="91">
        <v>0</v>
      </c>
      <c r="AZ11" s="91">
        <v>235089.44</v>
      </c>
      <c r="BA11" s="91">
        <v>421936.31999999995</v>
      </c>
      <c r="BB11" s="91">
        <v>384</v>
      </c>
      <c r="BC11" s="91">
        <v>209596.16</v>
      </c>
      <c r="BD11" s="91">
        <v>142136.79999999999</v>
      </c>
      <c r="BE11" s="91">
        <v>0</v>
      </c>
      <c r="BF11" s="91">
        <v>0</v>
      </c>
      <c r="BG11" s="91">
        <v>152234.88</v>
      </c>
      <c r="BH11" s="91">
        <v>537543.19999999995</v>
      </c>
      <c r="BI11" s="91">
        <v>482970.19999999995</v>
      </c>
      <c r="BJ11" s="91">
        <v>421039.82</v>
      </c>
      <c r="BK11" s="91">
        <v>570137.08000000007</v>
      </c>
      <c r="BL11" s="91">
        <v>58569.599999999999</v>
      </c>
      <c r="BM11" s="91">
        <v>107166.56</v>
      </c>
      <c r="BN11" s="91">
        <v>646384.5</v>
      </c>
      <c r="BO11" s="91">
        <v>883972.45999999985</v>
      </c>
      <c r="BP11" s="91">
        <v>381805.80000000005</v>
      </c>
      <c r="BQ11" s="91">
        <v>309286.40000000002</v>
      </c>
      <c r="BR11" s="91">
        <v>0</v>
      </c>
      <c r="BS11" s="91">
        <v>0</v>
      </c>
      <c r="BT11" s="91">
        <v>0</v>
      </c>
      <c r="BU11" s="91">
        <v>0</v>
      </c>
      <c r="BV11" s="91">
        <v>0</v>
      </c>
      <c r="BW11" s="91">
        <v>118423.19</v>
      </c>
      <c r="BX11" s="91">
        <v>271479.02</v>
      </c>
      <c r="BY11" s="91">
        <v>124735.20000000001</v>
      </c>
      <c r="BZ11" s="91">
        <v>0</v>
      </c>
      <c r="CA11" s="91">
        <v>0</v>
      </c>
      <c r="CB11" s="91">
        <v>55572.52</v>
      </c>
      <c r="CC11" s="91">
        <v>402459.69999999995</v>
      </c>
      <c r="CD11" s="91">
        <v>148853.20000000001</v>
      </c>
      <c r="CE11" s="91">
        <v>412685.94</v>
      </c>
      <c r="CF11" s="91">
        <v>125269.81999999999</v>
      </c>
      <c r="CG11" s="91">
        <v>19197.64</v>
      </c>
      <c r="CH11" s="91">
        <v>0</v>
      </c>
      <c r="CI11" s="91">
        <v>285339.40000000002</v>
      </c>
      <c r="CJ11" s="91">
        <v>659858.44999999995</v>
      </c>
      <c r="CK11" s="91">
        <v>48089.279999999999</v>
      </c>
      <c r="CL11" s="91">
        <v>270942.88</v>
      </c>
      <c r="CM11" s="91">
        <v>131409.12</v>
      </c>
      <c r="CN11" s="91">
        <v>0</v>
      </c>
      <c r="CO11" s="91">
        <v>0</v>
      </c>
      <c r="CP11" s="91">
        <v>364559.76</v>
      </c>
      <c r="CQ11" s="91">
        <v>296978.46000000002</v>
      </c>
      <c r="CR11" s="91">
        <v>295666.46000000002</v>
      </c>
      <c r="CS11" s="91">
        <v>2041645.54</v>
      </c>
      <c r="CT11" s="91">
        <v>376714.48</v>
      </c>
      <c r="CU11" s="91">
        <v>0</v>
      </c>
      <c r="CV11" s="91">
        <v>0</v>
      </c>
      <c r="CW11" s="91">
        <v>14220</v>
      </c>
      <c r="CX11" s="91">
        <v>214499.03999999998</v>
      </c>
      <c r="CY11" s="91">
        <v>160947.68</v>
      </c>
      <c r="CZ11" s="91">
        <v>40111</v>
      </c>
      <c r="DA11" s="91">
        <v>100</v>
      </c>
      <c r="DB11" s="91">
        <v>0</v>
      </c>
      <c r="DC11" s="91">
        <v>0</v>
      </c>
      <c r="DD11" s="91">
        <v>131815.87</v>
      </c>
    </row>
    <row r="12" spans="1:108" x14ac:dyDescent="0.35">
      <c r="A12" t="s">
        <v>231</v>
      </c>
      <c r="B12" s="12" t="s">
        <v>94</v>
      </c>
      <c r="C12" s="91">
        <v>0</v>
      </c>
      <c r="D12" s="91">
        <v>2388442.06</v>
      </c>
      <c r="E12" s="91">
        <v>24067294.530000001</v>
      </c>
      <c r="F12" s="91">
        <v>1490424.6400000001</v>
      </c>
      <c r="G12" s="91">
        <v>1496678.5299999998</v>
      </c>
      <c r="H12" s="91">
        <v>1061952.74</v>
      </c>
      <c r="I12" s="91">
        <v>1075654.29</v>
      </c>
      <c r="J12" s="91">
        <v>2894254.44</v>
      </c>
      <c r="K12" s="91">
        <v>3235868.71</v>
      </c>
      <c r="L12" s="91">
        <v>1277946.58</v>
      </c>
      <c r="M12" s="91">
        <v>3389130.51</v>
      </c>
      <c r="N12" s="91">
        <v>2949943.58</v>
      </c>
      <c r="O12" s="91">
        <v>2430324.38</v>
      </c>
      <c r="P12" s="91">
        <v>0</v>
      </c>
      <c r="Q12" s="92">
        <v>9367564.0999999996</v>
      </c>
      <c r="R12" s="91">
        <v>9271766.0099999998</v>
      </c>
      <c r="S12" s="91">
        <v>20404565.560000002</v>
      </c>
      <c r="T12" s="91">
        <v>6054732.8799999999</v>
      </c>
      <c r="U12" s="91">
        <v>5137657.33</v>
      </c>
      <c r="V12" s="91">
        <v>3462371.03</v>
      </c>
      <c r="W12" s="91">
        <v>2565474.2400000002</v>
      </c>
      <c r="X12" s="91">
        <v>3602732.98</v>
      </c>
      <c r="Y12" s="91">
        <v>4475640.5999999996</v>
      </c>
      <c r="Z12" s="91">
        <v>2179986.85</v>
      </c>
      <c r="AA12" s="91">
        <v>27759204.390000001</v>
      </c>
      <c r="AB12" s="91">
        <v>7543477.0200000005</v>
      </c>
      <c r="AC12" s="91">
        <v>0</v>
      </c>
      <c r="AD12" s="91">
        <v>2186337.2999999998</v>
      </c>
      <c r="AE12" s="91">
        <v>4833362.0199999996</v>
      </c>
      <c r="AF12" s="91">
        <v>3144678.9699999997</v>
      </c>
      <c r="AG12" s="91">
        <v>4134375.22</v>
      </c>
      <c r="AH12" s="91">
        <v>10576305.9</v>
      </c>
      <c r="AI12" s="91">
        <v>7091289.0699999994</v>
      </c>
      <c r="AJ12" s="91">
        <v>13177760.550000001</v>
      </c>
      <c r="AK12" s="91">
        <v>0</v>
      </c>
      <c r="AL12" s="91">
        <v>22453445.149999999</v>
      </c>
      <c r="AM12" s="91">
        <v>2265657.5699999998</v>
      </c>
      <c r="AN12" s="91">
        <v>3150079.39</v>
      </c>
      <c r="AO12" s="91">
        <v>1044077.51</v>
      </c>
      <c r="AP12" s="91">
        <v>2195249.2200000002</v>
      </c>
      <c r="AQ12" s="91">
        <v>7933548.79</v>
      </c>
      <c r="AR12" s="91">
        <v>0</v>
      </c>
      <c r="AS12" s="91">
        <v>0</v>
      </c>
      <c r="AT12" s="91">
        <v>8185757.8499999996</v>
      </c>
      <c r="AU12" s="91">
        <v>1897628.04</v>
      </c>
      <c r="AV12" s="91">
        <v>1224708.3900000001</v>
      </c>
      <c r="AW12" s="91">
        <v>7219426.5099999998</v>
      </c>
      <c r="AX12" s="91">
        <v>3532890.51</v>
      </c>
      <c r="AY12" s="91">
        <v>0</v>
      </c>
      <c r="AZ12" s="91">
        <v>6284310.8900000006</v>
      </c>
      <c r="BA12" s="91">
        <v>5651983.9100000001</v>
      </c>
      <c r="BB12" s="91">
        <v>1499136.56</v>
      </c>
      <c r="BC12" s="91">
        <v>1522659.74</v>
      </c>
      <c r="BD12" s="91">
        <v>2109345.02</v>
      </c>
      <c r="BE12" s="91">
        <v>4216385.28</v>
      </c>
      <c r="BF12" s="91">
        <v>0</v>
      </c>
      <c r="BG12" s="91">
        <v>4710972.74</v>
      </c>
      <c r="BH12" s="91">
        <v>4990152.3100000005</v>
      </c>
      <c r="BI12" s="91">
        <v>2989135.96</v>
      </c>
      <c r="BJ12" s="91">
        <v>2722238.16</v>
      </c>
      <c r="BK12" s="91">
        <v>4376848.3900000006</v>
      </c>
      <c r="BL12" s="91">
        <v>2278411.17</v>
      </c>
      <c r="BM12" s="91">
        <v>2167282.2400000002</v>
      </c>
      <c r="BN12" s="91">
        <v>6542515.4000000004</v>
      </c>
      <c r="BO12" s="91">
        <v>42432611.159999996</v>
      </c>
      <c r="BP12" s="91">
        <v>1626390.47</v>
      </c>
      <c r="BQ12" s="91">
        <v>1368152</v>
      </c>
      <c r="BR12" s="91">
        <v>6528927.3700000001</v>
      </c>
      <c r="BS12" s="91">
        <v>0</v>
      </c>
      <c r="BT12" s="91">
        <v>0</v>
      </c>
      <c r="BU12" s="91">
        <v>0</v>
      </c>
      <c r="BV12" s="91">
        <v>0</v>
      </c>
      <c r="BW12" s="91">
        <v>8236139.4699999997</v>
      </c>
      <c r="BX12" s="91">
        <v>2876477.46</v>
      </c>
      <c r="BY12" s="91">
        <v>12128837.370000001</v>
      </c>
      <c r="BZ12" s="91">
        <v>2906399.81</v>
      </c>
      <c r="CA12" s="91">
        <v>2438756.85</v>
      </c>
      <c r="CB12" s="91">
        <v>7453913.5500000007</v>
      </c>
      <c r="CC12" s="91">
        <v>4976981.3499999996</v>
      </c>
      <c r="CD12" s="91">
        <v>1193920.96</v>
      </c>
      <c r="CE12" s="91">
        <v>1335993.2</v>
      </c>
      <c r="CF12" s="91">
        <v>26251925.699999999</v>
      </c>
      <c r="CG12" s="91">
        <v>10707276.199999999</v>
      </c>
      <c r="CH12" s="91">
        <v>0</v>
      </c>
      <c r="CI12" s="91">
        <v>4149362.32</v>
      </c>
      <c r="CJ12" s="91">
        <v>4088679.33</v>
      </c>
      <c r="CK12" s="91">
        <v>1985247.61</v>
      </c>
      <c r="CL12" s="91">
        <v>2118018.62</v>
      </c>
      <c r="CM12" s="91">
        <v>2095043.46</v>
      </c>
      <c r="CN12" s="91">
        <v>4102644.44</v>
      </c>
      <c r="CO12" s="91">
        <v>0</v>
      </c>
      <c r="CP12" s="91">
        <v>2515251.6</v>
      </c>
      <c r="CQ12" s="91">
        <v>4582423.84</v>
      </c>
      <c r="CR12" s="91">
        <v>21254086.349999998</v>
      </c>
      <c r="CS12" s="91">
        <v>2913654.36</v>
      </c>
      <c r="CT12" s="91">
        <v>7089698.1600000001</v>
      </c>
      <c r="CU12" s="91">
        <v>5213679.87</v>
      </c>
      <c r="CV12" s="91">
        <v>0</v>
      </c>
      <c r="CW12" s="91">
        <v>7324005.0099999998</v>
      </c>
      <c r="CX12" s="91">
        <v>5147385.17</v>
      </c>
      <c r="CY12" s="91">
        <v>1663282.15</v>
      </c>
      <c r="CZ12" s="91">
        <v>3515763.97</v>
      </c>
      <c r="DA12" s="91">
        <v>3665640.29</v>
      </c>
      <c r="DB12" s="91">
        <v>4993908.3600000003</v>
      </c>
      <c r="DC12" s="91">
        <v>0</v>
      </c>
      <c r="DD12" s="91">
        <v>3811864.95</v>
      </c>
    </row>
    <row r="13" spans="1:108" x14ac:dyDescent="0.35">
      <c r="A13" t="s">
        <v>232</v>
      </c>
      <c r="B13" s="12" t="s">
        <v>95</v>
      </c>
      <c r="C13" s="91">
        <v>0</v>
      </c>
      <c r="D13" s="91">
        <v>230249.32</v>
      </c>
      <c r="E13" s="91">
        <v>5040</v>
      </c>
      <c r="F13" s="91">
        <v>45360</v>
      </c>
      <c r="G13" s="91">
        <v>0</v>
      </c>
      <c r="H13" s="91">
        <v>0</v>
      </c>
      <c r="I13" s="91">
        <v>0</v>
      </c>
      <c r="J13" s="91">
        <v>0</v>
      </c>
      <c r="K13" s="91">
        <v>103204.8</v>
      </c>
      <c r="L13" s="91">
        <v>45360</v>
      </c>
      <c r="M13" s="91">
        <v>0</v>
      </c>
      <c r="N13" s="91">
        <v>40355.199999999997</v>
      </c>
      <c r="O13" s="91">
        <v>218475.48</v>
      </c>
      <c r="P13" s="91">
        <v>0</v>
      </c>
      <c r="Q13" s="92">
        <v>0</v>
      </c>
      <c r="R13" s="91">
        <v>0</v>
      </c>
      <c r="S13" s="91">
        <v>0</v>
      </c>
      <c r="T13" s="91">
        <v>0</v>
      </c>
      <c r="U13" s="91">
        <v>40634.080000000002</v>
      </c>
      <c r="V13" s="91">
        <v>0</v>
      </c>
      <c r="W13" s="91">
        <v>0</v>
      </c>
      <c r="X13" s="91">
        <v>73391.679999999993</v>
      </c>
      <c r="Y13" s="91">
        <v>0</v>
      </c>
      <c r="Z13" s="91">
        <v>0</v>
      </c>
      <c r="AA13" s="91">
        <v>15168</v>
      </c>
      <c r="AB13" s="91">
        <v>0</v>
      </c>
      <c r="AC13" s="91">
        <v>0</v>
      </c>
      <c r="AD13" s="91">
        <v>0</v>
      </c>
      <c r="AE13" s="91">
        <v>40316.400000000001</v>
      </c>
      <c r="AF13" s="91">
        <v>35657.800000000003</v>
      </c>
      <c r="AG13" s="91">
        <v>0</v>
      </c>
      <c r="AH13" s="91">
        <v>13080</v>
      </c>
      <c r="AI13" s="91">
        <v>5232</v>
      </c>
      <c r="AJ13" s="91">
        <v>0</v>
      </c>
      <c r="AK13" s="91">
        <v>0</v>
      </c>
      <c r="AL13" s="91">
        <v>0</v>
      </c>
      <c r="AM13" s="91">
        <v>14880</v>
      </c>
      <c r="AN13" s="91">
        <v>36990</v>
      </c>
      <c r="AO13" s="91">
        <v>0</v>
      </c>
      <c r="AP13" s="91">
        <v>35230.9</v>
      </c>
      <c r="AQ13" s="91">
        <v>0</v>
      </c>
      <c r="AR13" s="91">
        <v>0</v>
      </c>
      <c r="AS13" s="91">
        <v>0</v>
      </c>
      <c r="AT13" s="91">
        <v>0</v>
      </c>
      <c r="AU13" s="91">
        <v>0</v>
      </c>
      <c r="AV13" s="91">
        <v>0</v>
      </c>
      <c r="AW13" s="91">
        <v>0</v>
      </c>
      <c r="AX13" s="91">
        <v>0</v>
      </c>
      <c r="AY13" s="91">
        <v>0</v>
      </c>
      <c r="AZ13" s="91">
        <v>432</v>
      </c>
      <c r="BA13" s="91">
        <v>0</v>
      </c>
      <c r="BB13" s="91">
        <v>0</v>
      </c>
      <c r="BC13" s="91">
        <v>4011.84</v>
      </c>
      <c r="BD13" s="91">
        <v>5724</v>
      </c>
      <c r="BE13" s="91">
        <v>0</v>
      </c>
      <c r="BF13" s="91">
        <v>0</v>
      </c>
      <c r="BG13" s="91">
        <v>79980.639999999999</v>
      </c>
      <c r="BH13" s="91">
        <v>0</v>
      </c>
      <c r="BI13" s="91">
        <v>24000</v>
      </c>
      <c r="BJ13" s="91">
        <v>0</v>
      </c>
      <c r="BK13" s="91">
        <v>32050.240000000002</v>
      </c>
      <c r="BL13" s="91">
        <v>0</v>
      </c>
      <c r="BM13" s="91">
        <v>864</v>
      </c>
      <c r="BN13" s="91">
        <v>19840</v>
      </c>
      <c r="BO13" s="91">
        <v>40719.360000000001</v>
      </c>
      <c r="BP13" s="91">
        <v>0</v>
      </c>
      <c r="BQ13" s="91">
        <v>99936</v>
      </c>
      <c r="BR13" s="91">
        <v>1000</v>
      </c>
      <c r="BS13" s="91">
        <v>0</v>
      </c>
      <c r="BT13" s="91">
        <v>0</v>
      </c>
      <c r="BU13" s="91">
        <v>0</v>
      </c>
      <c r="BV13" s="91">
        <v>0</v>
      </c>
      <c r="BW13" s="91">
        <v>115121.84</v>
      </c>
      <c r="BX13" s="91">
        <v>2265.6</v>
      </c>
      <c r="BY13" s="91">
        <v>19867.599999999999</v>
      </c>
      <c r="BZ13" s="91">
        <v>240</v>
      </c>
      <c r="CA13" s="91">
        <v>0</v>
      </c>
      <c r="CB13" s="91">
        <v>46501.2</v>
      </c>
      <c r="CC13" s="91">
        <v>14600</v>
      </c>
      <c r="CD13" s="91">
        <v>4320</v>
      </c>
      <c r="CE13" s="91">
        <v>34300</v>
      </c>
      <c r="CF13" s="91">
        <v>0</v>
      </c>
      <c r="CG13" s="91">
        <v>0</v>
      </c>
      <c r="CH13" s="91">
        <v>0</v>
      </c>
      <c r="CI13" s="91">
        <v>46489.22</v>
      </c>
      <c r="CJ13" s="91">
        <v>0</v>
      </c>
      <c r="CK13" s="91">
        <v>0</v>
      </c>
      <c r="CL13" s="91">
        <v>0</v>
      </c>
      <c r="CM13" s="91">
        <v>0</v>
      </c>
      <c r="CN13" s="91">
        <v>0</v>
      </c>
      <c r="CO13" s="91">
        <v>0</v>
      </c>
      <c r="CP13" s="91">
        <v>184316.02</v>
      </c>
      <c r="CQ13" s="91">
        <v>0</v>
      </c>
      <c r="CR13" s="91">
        <v>0</v>
      </c>
      <c r="CS13" s="91">
        <v>1320</v>
      </c>
      <c r="CT13" s="91">
        <v>0</v>
      </c>
      <c r="CU13" s="91">
        <v>0</v>
      </c>
      <c r="CV13" s="91">
        <v>0</v>
      </c>
      <c r="CW13" s="91">
        <v>76662.48</v>
      </c>
      <c r="CX13" s="91">
        <v>1200</v>
      </c>
      <c r="CY13" s="91">
        <v>0</v>
      </c>
      <c r="CZ13" s="91">
        <v>0</v>
      </c>
      <c r="DA13" s="91">
        <v>10420.48</v>
      </c>
      <c r="DB13" s="91">
        <v>0</v>
      </c>
      <c r="DC13" s="91">
        <v>0</v>
      </c>
      <c r="DD13" s="91">
        <v>0</v>
      </c>
    </row>
    <row r="14" spans="1:108" x14ac:dyDescent="0.35">
      <c r="A14" t="s">
        <v>233</v>
      </c>
      <c r="B14" s="12" t="s">
        <v>96</v>
      </c>
      <c r="C14" s="91">
        <v>0</v>
      </c>
      <c r="D14" s="91">
        <v>600427.96</v>
      </c>
      <c r="E14" s="91">
        <v>0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2">
        <v>0</v>
      </c>
      <c r="R14" s="91">
        <v>0</v>
      </c>
      <c r="S14" s="91">
        <v>0</v>
      </c>
      <c r="T14" s="91">
        <v>10760.19</v>
      </c>
      <c r="U14" s="91">
        <v>0</v>
      </c>
      <c r="V14" s="91">
        <v>0</v>
      </c>
      <c r="W14" s="91">
        <v>0</v>
      </c>
      <c r="X14" s="91">
        <v>0</v>
      </c>
      <c r="Y14" s="91">
        <v>0</v>
      </c>
      <c r="Z14" s="91">
        <v>0</v>
      </c>
      <c r="AA14" s="91">
        <v>0</v>
      </c>
      <c r="AB14" s="91">
        <v>0</v>
      </c>
      <c r="AC14" s="91">
        <v>0</v>
      </c>
      <c r="AD14" s="91">
        <v>0</v>
      </c>
      <c r="AE14" s="91">
        <v>0</v>
      </c>
      <c r="AF14" s="91">
        <v>0</v>
      </c>
      <c r="AG14" s="91">
        <v>0</v>
      </c>
      <c r="AH14" s="91">
        <v>0</v>
      </c>
      <c r="AI14" s="91">
        <v>0</v>
      </c>
      <c r="AJ14" s="91">
        <v>0</v>
      </c>
      <c r="AK14" s="91">
        <v>0</v>
      </c>
      <c r="AL14" s="91">
        <v>0</v>
      </c>
      <c r="AM14" s="91">
        <v>0</v>
      </c>
      <c r="AN14" s="91">
        <v>0</v>
      </c>
      <c r="AO14" s="91">
        <v>0</v>
      </c>
      <c r="AP14" s="91">
        <v>0</v>
      </c>
      <c r="AQ14" s="91">
        <v>0</v>
      </c>
      <c r="AR14" s="91">
        <v>0</v>
      </c>
      <c r="AS14" s="91">
        <v>0</v>
      </c>
      <c r="AT14" s="91">
        <v>0</v>
      </c>
      <c r="AU14" s="91">
        <v>1152</v>
      </c>
      <c r="AV14" s="91">
        <v>0</v>
      </c>
      <c r="AW14" s="91">
        <v>0</v>
      </c>
      <c r="AX14" s="91">
        <v>0</v>
      </c>
      <c r="AY14" s="91">
        <v>0</v>
      </c>
      <c r="AZ14" s="91">
        <v>0</v>
      </c>
      <c r="BA14" s="91">
        <v>0</v>
      </c>
      <c r="BB14" s="91">
        <v>0</v>
      </c>
      <c r="BC14" s="91">
        <v>0</v>
      </c>
      <c r="BD14" s="91">
        <v>0</v>
      </c>
      <c r="BE14" s="91">
        <v>0</v>
      </c>
      <c r="BF14" s="91">
        <v>0</v>
      </c>
      <c r="BG14" s="91">
        <v>0</v>
      </c>
      <c r="BH14" s="91">
        <v>0</v>
      </c>
      <c r="BI14" s="91">
        <v>120024.83</v>
      </c>
      <c r="BJ14" s="91">
        <v>0</v>
      </c>
      <c r="BK14" s="91">
        <v>0</v>
      </c>
      <c r="BL14" s="91">
        <v>0</v>
      </c>
      <c r="BM14" s="91">
        <v>0</v>
      </c>
      <c r="BN14" s="91">
        <v>0</v>
      </c>
      <c r="BO14" s="91">
        <v>0</v>
      </c>
      <c r="BP14" s="91">
        <v>827832</v>
      </c>
      <c r="BQ14" s="91">
        <v>0</v>
      </c>
      <c r="BR14" s="91">
        <v>0</v>
      </c>
      <c r="BS14" s="91">
        <v>0</v>
      </c>
      <c r="BT14" s="91">
        <v>0</v>
      </c>
      <c r="BU14" s="91">
        <v>0</v>
      </c>
      <c r="BV14" s="91">
        <v>0</v>
      </c>
      <c r="BW14" s="91">
        <v>0</v>
      </c>
      <c r="BX14" s="91">
        <v>0</v>
      </c>
      <c r="BY14" s="91">
        <v>0</v>
      </c>
      <c r="BZ14" s="91">
        <v>0</v>
      </c>
      <c r="CA14" s="91">
        <v>0</v>
      </c>
      <c r="CB14" s="91">
        <v>0</v>
      </c>
      <c r="CC14" s="91">
        <v>0</v>
      </c>
      <c r="CD14" s="91">
        <v>0</v>
      </c>
      <c r="CE14" s="91">
        <v>0</v>
      </c>
      <c r="CF14" s="91">
        <v>0</v>
      </c>
      <c r="CG14" s="91">
        <v>0</v>
      </c>
      <c r="CH14" s="91">
        <v>0</v>
      </c>
      <c r="CI14" s="91">
        <v>0</v>
      </c>
      <c r="CJ14" s="91">
        <v>0</v>
      </c>
      <c r="CK14" s="91">
        <v>0</v>
      </c>
      <c r="CL14" s="91">
        <v>0</v>
      </c>
      <c r="CM14" s="91">
        <v>0</v>
      </c>
      <c r="CN14" s="91">
        <v>0</v>
      </c>
      <c r="CO14" s="91">
        <v>0</v>
      </c>
      <c r="CP14" s="91">
        <v>0</v>
      </c>
      <c r="CQ14" s="91">
        <v>0</v>
      </c>
      <c r="CR14" s="91">
        <v>0</v>
      </c>
      <c r="CS14" s="91">
        <v>0</v>
      </c>
      <c r="CT14" s="91">
        <v>0</v>
      </c>
      <c r="CU14" s="91">
        <v>0</v>
      </c>
      <c r="CV14" s="91">
        <v>0</v>
      </c>
      <c r="CW14" s="91">
        <v>0</v>
      </c>
      <c r="CX14" s="91">
        <v>0</v>
      </c>
      <c r="CY14" s="91">
        <v>0</v>
      </c>
      <c r="CZ14" s="91">
        <v>0</v>
      </c>
      <c r="DA14" s="91">
        <v>0</v>
      </c>
      <c r="DB14" s="91">
        <v>0</v>
      </c>
      <c r="DC14" s="91">
        <v>0</v>
      </c>
      <c r="DD14" s="91">
        <v>0</v>
      </c>
    </row>
    <row r="15" spans="1:108" x14ac:dyDescent="0.35">
      <c r="A15" t="s">
        <v>234</v>
      </c>
      <c r="B15" s="12" t="s">
        <v>97</v>
      </c>
      <c r="C15" s="91">
        <v>0</v>
      </c>
      <c r="D15" s="91">
        <v>0</v>
      </c>
      <c r="E15" s="91">
        <v>0</v>
      </c>
      <c r="F15" s="91">
        <v>0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  <c r="M15" s="91">
        <v>0</v>
      </c>
      <c r="N15" s="91">
        <v>0</v>
      </c>
      <c r="O15" s="91">
        <v>0</v>
      </c>
      <c r="P15" s="91">
        <v>0</v>
      </c>
      <c r="Q15" s="92">
        <v>0</v>
      </c>
      <c r="R15" s="91">
        <v>0</v>
      </c>
      <c r="S15" s="91">
        <v>135.18</v>
      </c>
      <c r="T15" s="91">
        <v>516.88</v>
      </c>
      <c r="U15" s="91">
        <v>381.56</v>
      </c>
      <c r="V15" s="91">
        <v>457.04</v>
      </c>
      <c r="W15" s="91">
        <v>0</v>
      </c>
      <c r="X15" s="91">
        <v>1104.1400000000001</v>
      </c>
      <c r="Y15" s="91">
        <v>0</v>
      </c>
      <c r="Z15" s="91">
        <v>0</v>
      </c>
      <c r="AA15" s="91">
        <v>516.88</v>
      </c>
      <c r="AB15" s="91">
        <v>636.16</v>
      </c>
      <c r="AC15" s="91">
        <v>0</v>
      </c>
      <c r="AD15" s="91">
        <v>873.77</v>
      </c>
      <c r="AE15" s="91">
        <v>193.83</v>
      </c>
      <c r="AF15" s="91">
        <v>0</v>
      </c>
      <c r="AG15" s="91">
        <v>0</v>
      </c>
      <c r="AH15" s="91">
        <v>437.28</v>
      </c>
      <c r="AI15" s="91">
        <v>0</v>
      </c>
      <c r="AJ15" s="91">
        <v>0</v>
      </c>
      <c r="AK15" s="91">
        <v>0</v>
      </c>
      <c r="AL15" s="91">
        <v>740.53</v>
      </c>
      <c r="AM15" s="91">
        <v>201.78</v>
      </c>
      <c r="AN15" s="91">
        <v>0</v>
      </c>
      <c r="AO15" s="91">
        <v>525.13</v>
      </c>
      <c r="AP15" s="91">
        <v>785.26</v>
      </c>
      <c r="AQ15" s="91">
        <v>2458.96</v>
      </c>
      <c r="AR15" s="91">
        <v>0</v>
      </c>
      <c r="AS15" s="91">
        <v>0</v>
      </c>
      <c r="AT15" s="91">
        <v>316.25</v>
      </c>
      <c r="AU15" s="91">
        <v>427.42</v>
      </c>
      <c r="AV15" s="91">
        <v>809.12</v>
      </c>
      <c r="AW15" s="91">
        <v>294.22000000000003</v>
      </c>
      <c r="AX15" s="91">
        <v>1364.76</v>
      </c>
      <c r="AY15" s="91">
        <v>0</v>
      </c>
      <c r="AZ15" s="91">
        <v>238.56</v>
      </c>
      <c r="BA15" s="91">
        <v>50516.88</v>
      </c>
      <c r="BB15" s="91">
        <v>516.88</v>
      </c>
      <c r="BC15" s="91">
        <v>0</v>
      </c>
      <c r="BD15" s="91">
        <v>1141.1199999999999</v>
      </c>
      <c r="BE15" s="91">
        <v>872.41</v>
      </c>
      <c r="BF15" s="91">
        <v>0</v>
      </c>
      <c r="BG15" s="91">
        <v>656.04</v>
      </c>
      <c r="BH15" s="91">
        <v>0</v>
      </c>
      <c r="BI15" s="91">
        <v>0.01</v>
      </c>
      <c r="BJ15" s="91">
        <v>1200.75</v>
      </c>
      <c r="BK15" s="91">
        <v>0</v>
      </c>
      <c r="BL15" s="91">
        <v>0</v>
      </c>
      <c r="BM15" s="91">
        <v>0</v>
      </c>
      <c r="BN15" s="91">
        <v>717.67</v>
      </c>
      <c r="BO15" s="91">
        <v>295.32000000000005</v>
      </c>
      <c r="BP15" s="91">
        <v>517.14</v>
      </c>
      <c r="BQ15" s="91">
        <v>0</v>
      </c>
      <c r="BR15" s="91">
        <v>3147.76</v>
      </c>
      <c r="BS15" s="91">
        <v>0</v>
      </c>
      <c r="BT15" s="91">
        <v>0</v>
      </c>
      <c r="BU15" s="91">
        <v>0</v>
      </c>
      <c r="BV15" s="91">
        <v>0</v>
      </c>
      <c r="BW15" s="91">
        <v>0</v>
      </c>
      <c r="BX15" s="91">
        <v>223.65</v>
      </c>
      <c r="BY15" s="91">
        <v>531.83000000000004</v>
      </c>
      <c r="BZ15" s="91">
        <v>839.33</v>
      </c>
      <c r="CA15" s="91">
        <v>396.61</v>
      </c>
      <c r="CB15" s="91">
        <v>688.84</v>
      </c>
      <c r="CC15" s="91">
        <v>1289.22</v>
      </c>
      <c r="CD15" s="91">
        <v>1317.05</v>
      </c>
      <c r="CE15" s="91">
        <v>435.61</v>
      </c>
      <c r="CF15" s="91">
        <v>515.89</v>
      </c>
      <c r="CG15" s="91">
        <v>1135.31</v>
      </c>
      <c r="CH15" s="91">
        <v>0</v>
      </c>
      <c r="CI15" s="91">
        <v>759.63</v>
      </c>
      <c r="CJ15" s="91">
        <v>0</v>
      </c>
      <c r="CK15" s="91">
        <v>1883.13</v>
      </c>
      <c r="CL15" s="91">
        <v>1409.78</v>
      </c>
      <c r="CM15" s="91">
        <v>1540.86</v>
      </c>
      <c r="CN15" s="91">
        <v>366.78</v>
      </c>
      <c r="CO15" s="91">
        <v>0</v>
      </c>
      <c r="CP15" s="91">
        <v>0</v>
      </c>
      <c r="CQ15" s="91">
        <v>303.52999999999997</v>
      </c>
      <c r="CR15" s="91">
        <v>0</v>
      </c>
      <c r="CS15" s="91">
        <v>0</v>
      </c>
      <c r="CT15" s="91">
        <v>0</v>
      </c>
      <c r="CU15" s="91">
        <v>149.58000000000001</v>
      </c>
      <c r="CV15" s="91">
        <v>0</v>
      </c>
      <c r="CW15" s="91">
        <v>217.88</v>
      </c>
      <c r="CX15" s="91">
        <v>940.32</v>
      </c>
      <c r="CY15" s="91">
        <v>0</v>
      </c>
      <c r="CZ15" s="91">
        <v>0</v>
      </c>
      <c r="DA15" s="91">
        <v>228.62</v>
      </c>
      <c r="DB15" s="91">
        <v>29.82</v>
      </c>
      <c r="DC15" s="91">
        <v>0</v>
      </c>
      <c r="DD15" s="91">
        <v>375.02</v>
      </c>
    </row>
    <row r="16" spans="1:108" x14ac:dyDescent="0.35">
      <c r="A16" t="s">
        <v>235</v>
      </c>
      <c r="B16" s="12" t="s">
        <v>98</v>
      </c>
      <c r="C16" s="91">
        <v>0</v>
      </c>
      <c r="D16" s="91">
        <v>273540.81</v>
      </c>
      <c r="E16" s="91">
        <v>657.68</v>
      </c>
      <c r="F16" s="91">
        <v>8820.69</v>
      </c>
      <c r="G16" s="91">
        <v>59263.060000000005</v>
      </c>
      <c r="H16" s="91">
        <v>0</v>
      </c>
      <c r="I16" s="91">
        <v>0</v>
      </c>
      <c r="J16" s="91">
        <v>242511.05000000002</v>
      </c>
      <c r="K16" s="91">
        <v>45089.84</v>
      </c>
      <c r="L16" s="91">
        <v>73180.03</v>
      </c>
      <c r="M16" s="91">
        <v>56363.28</v>
      </c>
      <c r="N16" s="91">
        <v>296832.95</v>
      </c>
      <c r="O16" s="91">
        <v>0</v>
      </c>
      <c r="P16" s="91">
        <v>0</v>
      </c>
      <c r="Q16" s="92">
        <v>230478.57</v>
      </c>
      <c r="R16" s="91">
        <v>56785.25</v>
      </c>
      <c r="S16" s="91">
        <v>26219.18</v>
      </c>
      <c r="T16" s="91">
        <v>148786.30000000002</v>
      </c>
      <c r="U16" s="91">
        <v>118753.10999999999</v>
      </c>
      <c r="V16" s="91">
        <v>0</v>
      </c>
      <c r="W16" s="91">
        <v>0</v>
      </c>
      <c r="X16" s="91">
        <v>92914.679999999978</v>
      </c>
      <c r="Y16" s="91">
        <v>44810.720000000001</v>
      </c>
      <c r="Z16" s="91">
        <v>12347.25</v>
      </c>
      <c r="AA16" s="91">
        <v>26214.83</v>
      </c>
      <c r="AB16" s="91">
        <v>1149764.9100000001</v>
      </c>
      <c r="AC16" s="91">
        <v>0</v>
      </c>
      <c r="AD16" s="91">
        <v>0</v>
      </c>
      <c r="AE16" s="91">
        <v>197884.87999999998</v>
      </c>
      <c r="AF16" s="91">
        <v>86723.15</v>
      </c>
      <c r="AG16" s="91">
        <v>164304.77000000002</v>
      </c>
      <c r="AH16" s="91">
        <v>3417.5099999999998</v>
      </c>
      <c r="AI16" s="91">
        <v>69601.710000000006</v>
      </c>
      <c r="AJ16" s="91">
        <v>0</v>
      </c>
      <c r="AK16" s="91">
        <v>0</v>
      </c>
      <c r="AL16" s="91">
        <v>182213.52</v>
      </c>
      <c r="AM16" s="91">
        <v>118354.46</v>
      </c>
      <c r="AN16" s="91">
        <v>6403.7900000000009</v>
      </c>
      <c r="AO16" s="91">
        <v>14484.060000000001</v>
      </c>
      <c r="AP16" s="91">
        <v>60903.88</v>
      </c>
      <c r="AQ16" s="91">
        <v>0</v>
      </c>
      <c r="AR16" s="91">
        <v>0</v>
      </c>
      <c r="AS16" s="91">
        <v>0</v>
      </c>
      <c r="AT16" s="91">
        <v>179544.90999999997</v>
      </c>
      <c r="AU16" s="91">
        <v>68277.75</v>
      </c>
      <c r="AV16" s="91">
        <v>96451.78</v>
      </c>
      <c r="AW16" s="91">
        <v>4725.34</v>
      </c>
      <c r="AX16" s="91">
        <v>0</v>
      </c>
      <c r="AY16" s="91">
        <v>0</v>
      </c>
      <c r="AZ16" s="91">
        <v>62407.289999999994</v>
      </c>
      <c r="BA16" s="91">
        <v>128505.38999999998</v>
      </c>
      <c r="BB16" s="91">
        <v>176675.69</v>
      </c>
      <c r="BC16" s="91">
        <v>69406.570000000007</v>
      </c>
      <c r="BD16" s="91">
        <v>26110.13</v>
      </c>
      <c r="BE16" s="91">
        <v>6774</v>
      </c>
      <c r="BF16" s="91">
        <v>0</v>
      </c>
      <c r="BG16" s="91">
        <v>982127.37</v>
      </c>
      <c r="BH16" s="91">
        <v>38331.279999999999</v>
      </c>
      <c r="BI16" s="91">
        <v>111605.95999999999</v>
      </c>
      <c r="BJ16" s="91">
        <v>252511.05</v>
      </c>
      <c r="BK16" s="91">
        <v>297764.19</v>
      </c>
      <c r="BL16" s="91">
        <v>0</v>
      </c>
      <c r="BM16" s="91">
        <v>170730.6</v>
      </c>
      <c r="BN16" s="91">
        <v>175699.52</v>
      </c>
      <c r="BO16" s="91">
        <v>3324.32</v>
      </c>
      <c r="BP16" s="91">
        <v>8789.02</v>
      </c>
      <c r="BQ16" s="91">
        <v>17441.839999999997</v>
      </c>
      <c r="BR16" s="91">
        <v>0</v>
      </c>
      <c r="BS16" s="91">
        <v>0</v>
      </c>
      <c r="BT16" s="91">
        <v>0</v>
      </c>
      <c r="BU16" s="91">
        <v>0</v>
      </c>
      <c r="BV16" s="91">
        <v>0</v>
      </c>
      <c r="BW16" s="91">
        <v>358939.54000000004</v>
      </c>
      <c r="BX16" s="91">
        <v>169600.5</v>
      </c>
      <c r="BY16" s="91">
        <v>10025.719999999999</v>
      </c>
      <c r="BZ16" s="91">
        <v>45513.979999999996</v>
      </c>
      <c r="CA16" s="91">
        <v>0</v>
      </c>
      <c r="CB16" s="91">
        <v>129148.73000000001</v>
      </c>
      <c r="CC16" s="91">
        <v>299534.05</v>
      </c>
      <c r="CD16" s="91">
        <v>17508.650000000001</v>
      </c>
      <c r="CE16" s="91">
        <v>4844.92</v>
      </c>
      <c r="CF16" s="91">
        <v>346538.36</v>
      </c>
      <c r="CG16" s="91">
        <v>12741</v>
      </c>
      <c r="CH16" s="91">
        <v>0</v>
      </c>
      <c r="CI16" s="91">
        <v>24038.23</v>
      </c>
      <c r="CJ16" s="91">
        <v>57738.74</v>
      </c>
      <c r="CK16" s="91">
        <v>4194423.1399999997</v>
      </c>
      <c r="CL16" s="91">
        <v>200672.56000000003</v>
      </c>
      <c r="CM16" s="91">
        <v>43665.9</v>
      </c>
      <c r="CN16" s="91">
        <v>0</v>
      </c>
      <c r="CO16" s="91">
        <v>0</v>
      </c>
      <c r="CP16" s="91">
        <v>441125.16</v>
      </c>
      <c r="CQ16" s="91">
        <v>138586.71000000002</v>
      </c>
      <c r="CR16" s="91">
        <v>92452.959999999992</v>
      </c>
      <c r="CS16" s="91">
        <v>1905.43</v>
      </c>
      <c r="CT16" s="91">
        <v>2024.51</v>
      </c>
      <c r="CU16" s="91">
        <v>0</v>
      </c>
      <c r="CV16" s="91">
        <v>0</v>
      </c>
      <c r="CW16" s="91">
        <v>111019.76</v>
      </c>
      <c r="CX16" s="91">
        <v>10342.720000000001</v>
      </c>
      <c r="CY16" s="91">
        <v>338648.92</v>
      </c>
      <c r="CZ16" s="91">
        <v>73368.56</v>
      </c>
      <c r="DA16" s="91">
        <v>127503.71999999997</v>
      </c>
      <c r="DB16" s="91">
        <v>0</v>
      </c>
      <c r="DC16" s="91">
        <v>0</v>
      </c>
      <c r="DD16" s="91">
        <v>49242.460000000006</v>
      </c>
    </row>
    <row r="17" spans="1:108" x14ac:dyDescent="0.35">
      <c r="A17" t="s">
        <v>236</v>
      </c>
      <c r="B17" s="15" t="s">
        <v>99</v>
      </c>
      <c r="C17" s="91">
        <v>0</v>
      </c>
      <c r="D17" s="91">
        <v>0</v>
      </c>
      <c r="E17" s="91">
        <v>0</v>
      </c>
      <c r="F17" s="91">
        <v>0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  <c r="M17" s="91">
        <v>4744.0400000000009</v>
      </c>
      <c r="N17" s="91">
        <v>12622.49</v>
      </c>
      <c r="O17" s="91">
        <v>0</v>
      </c>
      <c r="P17" s="91">
        <v>0</v>
      </c>
      <c r="Q17" s="92">
        <v>257420.77999999997</v>
      </c>
      <c r="R17" s="91">
        <v>65659.570000000007</v>
      </c>
      <c r="S17" s="91">
        <v>584.24</v>
      </c>
      <c r="T17" s="91">
        <v>141498.31</v>
      </c>
      <c r="U17" s="91">
        <v>39431.86</v>
      </c>
      <c r="V17" s="91">
        <v>0</v>
      </c>
      <c r="W17" s="91">
        <v>25620.5</v>
      </c>
      <c r="X17" s="91">
        <v>265705.62</v>
      </c>
      <c r="Y17" s="91">
        <v>880.84</v>
      </c>
      <c r="Z17" s="91">
        <v>56105.77</v>
      </c>
      <c r="AA17" s="91">
        <v>147272.97999999998</v>
      </c>
      <c r="AB17" s="91">
        <v>131775.22</v>
      </c>
      <c r="AC17" s="91">
        <v>0</v>
      </c>
      <c r="AD17" s="91">
        <v>0</v>
      </c>
      <c r="AE17" s="91">
        <v>156985.12</v>
      </c>
      <c r="AF17" s="91">
        <v>29108.79</v>
      </c>
      <c r="AG17" s="91">
        <v>147500.43</v>
      </c>
      <c r="AH17" s="91">
        <v>327278.31</v>
      </c>
      <c r="AI17" s="91">
        <v>174706.49</v>
      </c>
      <c r="AJ17" s="91">
        <v>105244.64</v>
      </c>
      <c r="AK17" s="91">
        <v>0</v>
      </c>
      <c r="AL17" s="91">
        <v>60611.939999999995</v>
      </c>
      <c r="AM17" s="91">
        <v>317587.92999999993</v>
      </c>
      <c r="AN17" s="91">
        <v>1913.85</v>
      </c>
      <c r="AO17" s="91">
        <v>21110.07</v>
      </c>
      <c r="AP17" s="91">
        <v>3863.2599999999998</v>
      </c>
      <c r="AQ17" s="91">
        <v>8888</v>
      </c>
      <c r="AR17" s="91">
        <v>0</v>
      </c>
      <c r="AS17" s="91">
        <v>0</v>
      </c>
      <c r="AT17" s="91">
        <v>151284</v>
      </c>
      <c r="AU17" s="91">
        <v>443.67</v>
      </c>
      <c r="AV17" s="91">
        <v>7983.3</v>
      </c>
      <c r="AW17" s="91">
        <v>4463.53</v>
      </c>
      <c r="AX17" s="91">
        <v>16555.5</v>
      </c>
      <c r="AY17" s="91">
        <v>0</v>
      </c>
      <c r="AZ17" s="91">
        <v>123444.48</v>
      </c>
      <c r="BA17" s="91">
        <v>143782.63</v>
      </c>
      <c r="BB17" s="91">
        <v>66431.22</v>
      </c>
      <c r="BC17" s="91">
        <v>31977.680000000004</v>
      </c>
      <c r="BD17" s="91">
        <v>86325.95</v>
      </c>
      <c r="BE17" s="91">
        <v>4511.16</v>
      </c>
      <c r="BF17" s="91">
        <v>0</v>
      </c>
      <c r="BG17" s="91">
        <v>182340.56</v>
      </c>
      <c r="BH17" s="91">
        <v>355318.12</v>
      </c>
      <c r="BI17" s="91">
        <v>375345.14</v>
      </c>
      <c r="BJ17" s="91">
        <v>383698.64</v>
      </c>
      <c r="BK17" s="91">
        <v>94956.299999999988</v>
      </c>
      <c r="BL17" s="91">
        <v>11880.869999999999</v>
      </c>
      <c r="BM17" s="91">
        <v>94067.12</v>
      </c>
      <c r="BN17" s="91">
        <v>100113.01999999999</v>
      </c>
      <c r="BO17" s="91">
        <v>153120.68</v>
      </c>
      <c r="BP17" s="91">
        <v>84726.829999999987</v>
      </c>
      <c r="BQ17" s="91">
        <v>30959.25</v>
      </c>
      <c r="BR17" s="91">
        <v>54001.91</v>
      </c>
      <c r="BS17" s="91">
        <v>0</v>
      </c>
      <c r="BT17" s="91">
        <v>0</v>
      </c>
      <c r="BU17" s="91">
        <v>0</v>
      </c>
      <c r="BV17" s="91">
        <v>0</v>
      </c>
      <c r="BW17" s="91">
        <v>199478.64</v>
      </c>
      <c r="BX17" s="91">
        <v>3789.47</v>
      </c>
      <c r="BY17" s="91">
        <v>194060.25</v>
      </c>
      <c r="BZ17" s="91">
        <v>12903.560000000001</v>
      </c>
      <c r="CA17" s="91">
        <v>20000</v>
      </c>
      <c r="CB17" s="91">
        <v>180498.15</v>
      </c>
      <c r="CC17" s="91">
        <v>52615.83</v>
      </c>
      <c r="CD17" s="91">
        <v>1932.78</v>
      </c>
      <c r="CE17" s="91">
        <v>47215.83</v>
      </c>
      <c r="CF17" s="91">
        <v>67709.08</v>
      </c>
      <c r="CG17" s="91">
        <v>65079.360000000001</v>
      </c>
      <c r="CH17" s="91">
        <v>0</v>
      </c>
      <c r="CI17" s="91">
        <v>289201.27</v>
      </c>
      <c r="CJ17" s="91">
        <v>246009.16999999998</v>
      </c>
      <c r="CK17" s="91">
        <v>197473.6</v>
      </c>
      <c r="CL17" s="91">
        <v>31022.52</v>
      </c>
      <c r="CM17" s="91">
        <v>164601.14000000001</v>
      </c>
      <c r="CN17" s="91">
        <v>9461</v>
      </c>
      <c r="CO17" s="91">
        <v>0</v>
      </c>
      <c r="CP17" s="91">
        <v>182745.9</v>
      </c>
      <c r="CQ17" s="91">
        <v>245453.75</v>
      </c>
      <c r="CR17" s="91">
        <v>52427.310000000005</v>
      </c>
      <c r="CS17" s="91">
        <v>130315.05000000002</v>
      </c>
      <c r="CT17" s="91">
        <v>12790.279999999999</v>
      </c>
      <c r="CU17" s="91">
        <v>0</v>
      </c>
      <c r="CV17" s="91">
        <v>0</v>
      </c>
      <c r="CW17" s="91">
        <v>237095.26</v>
      </c>
      <c r="CX17" s="91">
        <v>3284.0199999999995</v>
      </c>
      <c r="CY17" s="91">
        <v>2852.14</v>
      </c>
      <c r="CZ17" s="91">
        <v>15716.279999999999</v>
      </c>
      <c r="DA17" s="91">
        <v>18435.25</v>
      </c>
      <c r="DB17" s="91">
        <v>0</v>
      </c>
      <c r="DC17" s="91">
        <v>0</v>
      </c>
      <c r="DD17" s="91">
        <v>69379.12</v>
      </c>
    </row>
    <row r="18" spans="1:108" x14ac:dyDescent="0.35">
      <c r="A18" t="s">
        <v>237</v>
      </c>
      <c r="B18" s="12" t="s">
        <v>100</v>
      </c>
      <c r="C18" s="91">
        <v>0</v>
      </c>
      <c r="D18" s="91">
        <v>74319.47</v>
      </c>
      <c r="E18" s="91">
        <v>135741.69</v>
      </c>
      <c r="F18" s="91">
        <v>404547.97000000003</v>
      </c>
      <c r="G18" s="91">
        <v>173513.46</v>
      </c>
      <c r="H18" s="91">
        <v>4800.18</v>
      </c>
      <c r="I18" s="91">
        <v>10500.06</v>
      </c>
      <c r="J18" s="91">
        <v>707474.84000000008</v>
      </c>
      <c r="K18" s="91">
        <v>2051733.61</v>
      </c>
      <c r="L18" s="91">
        <v>774287.25</v>
      </c>
      <c r="M18" s="91">
        <v>2355459.46</v>
      </c>
      <c r="N18" s="91">
        <v>8783.39</v>
      </c>
      <c r="O18" s="91">
        <v>0</v>
      </c>
      <c r="P18" s="91">
        <v>0</v>
      </c>
      <c r="Q18" s="92">
        <v>311695.62</v>
      </c>
      <c r="R18" s="91">
        <v>3802085.6900000004</v>
      </c>
      <c r="S18" s="91">
        <v>1553126.33</v>
      </c>
      <c r="T18" s="91">
        <v>400</v>
      </c>
      <c r="U18" s="91">
        <v>151960</v>
      </c>
      <c r="V18" s="91">
        <v>0</v>
      </c>
      <c r="W18" s="91">
        <v>0</v>
      </c>
      <c r="X18" s="91">
        <v>1724728.1400000001</v>
      </c>
      <c r="Y18" s="91">
        <v>1373672</v>
      </c>
      <c r="Z18" s="91">
        <v>223989.18999999997</v>
      </c>
      <c r="AA18" s="91">
        <v>305441</v>
      </c>
      <c r="AB18" s="91">
        <v>161873.65</v>
      </c>
      <c r="AC18" s="91">
        <v>2272006.56</v>
      </c>
      <c r="AD18" s="91">
        <v>0.01</v>
      </c>
      <c r="AE18" s="91">
        <v>2838815.11</v>
      </c>
      <c r="AF18" s="91">
        <v>188998.28</v>
      </c>
      <c r="AG18" s="91">
        <v>189330.79</v>
      </c>
      <c r="AH18" s="91">
        <v>134410.18</v>
      </c>
      <c r="AI18" s="91">
        <v>91390.360000000015</v>
      </c>
      <c r="AJ18" s="91">
        <v>14567.23</v>
      </c>
      <c r="AK18" s="91">
        <v>0</v>
      </c>
      <c r="AL18" s="91">
        <v>5288828.96</v>
      </c>
      <c r="AM18" s="91">
        <v>14603.52</v>
      </c>
      <c r="AN18" s="91">
        <v>60525.509999999995</v>
      </c>
      <c r="AO18" s="91">
        <v>55338.69</v>
      </c>
      <c r="AP18" s="91">
        <v>649950.75</v>
      </c>
      <c r="AQ18" s="91">
        <v>27470.26</v>
      </c>
      <c r="AR18" s="91">
        <v>0</v>
      </c>
      <c r="AS18" s="91">
        <v>0</v>
      </c>
      <c r="AT18" s="91">
        <v>79113.19</v>
      </c>
      <c r="AU18" s="91">
        <v>405191.14999999997</v>
      </c>
      <c r="AV18" s="91">
        <v>42809.68</v>
      </c>
      <c r="AW18" s="91">
        <v>10498.58</v>
      </c>
      <c r="AX18" s="91">
        <v>0.02</v>
      </c>
      <c r="AY18" s="91">
        <v>0</v>
      </c>
      <c r="AZ18" s="91">
        <v>71755</v>
      </c>
      <c r="BA18" s="91">
        <v>4616407.0699999994</v>
      </c>
      <c r="BB18" s="91">
        <v>77437.13</v>
      </c>
      <c r="BC18" s="91">
        <v>41713.49</v>
      </c>
      <c r="BD18" s="91">
        <v>128650.37000000001</v>
      </c>
      <c r="BE18" s="91">
        <v>48551.340000000004</v>
      </c>
      <c r="BF18" s="91">
        <v>0</v>
      </c>
      <c r="BG18" s="91">
        <v>10979202.930000002</v>
      </c>
      <c r="BH18" s="91">
        <v>166700.13</v>
      </c>
      <c r="BI18" s="91">
        <v>167325.03</v>
      </c>
      <c r="BJ18" s="91">
        <v>209118.84999999998</v>
      </c>
      <c r="BK18" s="91">
        <v>457396.45999999996</v>
      </c>
      <c r="BL18" s="91">
        <v>0</v>
      </c>
      <c r="BM18" s="91">
        <v>496178.6</v>
      </c>
      <c r="BN18" s="91">
        <v>1084090.58</v>
      </c>
      <c r="BO18" s="91">
        <v>18283.23</v>
      </c>
      <c r="BP18" s="91">
        <v>1240937.26</v>
      </c>
      <c r="BQ18" s="91">
        <v>71618.76999999999</v>
      </c>
      <c r="BR18" s="91">
        <v>10500</v>
      </c>
      <c r="BS18" s="91">
        <v>0</v>
      </c>
      <c r="BT18" s="91">
        <v>0</v>
      </c>
      <c r="BU18" s="91">
        <v>0</v>
      </c>
      <c r="BV18" s="91">
        <v>0</v>
      </c>
      <c r="BW18" s="91">
        <v>4228966.18</v>
      </c>
      <c r="BX18" s="91">
        <v>444060.29000000004</v>
      </c>
      <c r="BY18" s="91">
        <v>114968.9</v>
      </c>
      <c r="BZ18" s="91">
        <v>1149258.51</v>
      </c>
      <c r="CA18" s="91">
        <v>0</v>
      </c>
      <c r="CB18" s="91">
        <v>62430</v>
      </c>
      <c r="CC18" s="91">
        <v>261109.8</v>
      </c>
      <c r="CD18" s="91">
        <v>538613.08000000007</v>
      </c>
      <c r="CE18" s="91">
        <v>1069329.97</v>
      </c>
      <c r="CF18" s="91">
        <v>6011074.6500000004</v>
      </c>
      <c r="CG18" s="91">
        <v>0</v>
      </c>
      <c r="CH18" s="91">
        <v>0</v>
      </c>
      <c r="CI18" s="91">
        <v>476645.53</v>
      </c>
      <c r="CJ18" s="91">
        <v>4873.7099999999991</v>
      </c>
      <c r="CK18" s="91">
        <v>58751</v>
      </c>
      <c r="CL18" s="91">
        <v>9029.3799999999992</v>
      </c>
      <c r="CM18" s="91">
        <v>120941.8</v>
      </c>
      <c r="CN18" s="91">
        <v>4080</v>
      </c>
      <c r="CO18" s="91">
        <v>0</v>
      </c>
      <c r="CP18" s="91">
        <v>4836334.26</v>
      </c>
      <c r="CQ18" s="91">
        <v>437187.48</v>
      </c>
      <c r="CR18" s="91">
        <v>29528.55</v>
      </c>
      <c r="CS18" s="91">
        <v>107557.23</v>
      </c>
      <c r="CT18" s="91">
        <v>86415.05</v>
      </c>
      <c r="CU18" s="91">
        <v>13555.7</v>
      </c>
      <c r="CV18" s="91">
        <v>0</v>
      </c>
      <c r="CW18" s="91">
        <v>920876.31</v>
      </c>
      <c r="CX18" s="91">
        <v>87609.73</v>
      </c>
      <c r="CY18" s="91">
        <v>174913.63</v>
      </c>
      <c r="CZ18" s="91">
        <v>1854175.82</v>
      </c>
      <c r="DA18" s="91">
        <v>482958.38</v>
      </c>
      <c r="DB18" s="91">
        <v>15570</v>
      </c>
      <c r="DC18" s="91">
        <v>0</v>
      </c>
      <c r="DD18" s="91">
        <v>13904</v>
      </c>
    </row>
    <row r="19" spans="1:108" x14ac:dyDescent="0.35">
      <c r="A19" t="s">
        <v>238</v>
      </c>
      <c r="B19" t="s">
        <v>254</v>
      </c>
      <c r="C19" s="91">
        <v>265848741.47999999</v>
      </c>
      <c r="D19" s="91">
        <v>2717197.87</v>
      </c>
      <c r="E19" s="91">
        <v>135906945.31</v>
      </c>
      <c r="F19" s="91">
        <v>27897538.09</v>
      </c>
      <c r="G19" s="91">
        <v>3317532.04</v>
      </c>
      <c r="H19" s="91">
        <v>0</v>
      </c>
      <c r="I19" s="91">
        <v>807.8</v>
      </c>
      <c r="J19" s="91">
        <v>84633230.350000009</v>
      </c>
      <c r="K19" s="91">
        <v>74757793.359999999</v>
      </c>
      <c r="L19" s="91">
        <v>8215877.2100000009</v>
      </c>
      <c r="M19" s="91">
        <v>5534435.7300000004</v>
      </c>
      <c r="N19" s="91">
        <v>16304306.609999999</v>
      </c>
      <c r="O19" s="91">
        <v>0</v>
      </c>
      <c r="P19" s="91">
        <v>0</v>
      </c>
      <c r="Q19" s="92">
        <v>10505763.969999999</v>
      </c>
      <c r="R19" s="91">
        <v>2824492.68</v>
      </c>
      <c r="S19" s="91">
        <v>1847015.03</v>
      </c>
      <c r="T19" s="91">
        <v>4392582.05</v>
      </c>
      <c r="U19" s="91">
        <v>28553130.610000003</v>
      </c>
      <c r="V19" s="91">
        <v>110.6</v>
      </c>
      <c r="W19" s="91">
        <v>0</v>
      </c>
      <c r="X19" s="91">
        <v>2376196.46</v>
      </c>
      <c r="Y19" s="91">
        <v>8513135.0199999996</v>
      </c>
      <c r="Z19" s="91">
        <v>5552934.21</v>
      </c>
      <c r="AA19" s="91">
        <v>11697738.109999999</v>
      </c>
      <c r="AB19" s="91">
        <v>27262675.140000001</v>
      </c>
      <c r="AC19" s="91">
        <v>10</v>
      </c>
      <c r="AD19" s="91">
        <v>0</v>
      </c>
      <c r="AE19" s="91">
        <v>33099499.820000004</v>
      </c>
      <c r="AF19" s="91">
        <v>6799791.8900000006</v>
      </c>
      <c r="AG19" s="91">
        <v>6581774</v>
      </c>
      <c r="AH19" s="91">
        <v>17642003.84</v>
      </c>
      <c r="AI19" s="91">
        <v>16131448.819999998</v>
      </c>
      <c r="AJ19" s="91">
        <v>0</v>
      </c>
      <c r="AK19" s="91">
        <v>0</v>
      </c>
      <c r="AL19" s="91">
        <v>19489672.59</v>
      </c>
      <c r="AM19" s="91">
        <v>616246.53</v>
      </c>
      <c r="AN19" s="91">
        <v>80964313.890000015</v>
      </c>
      <c r="AO19" s="91">
        <v>11452537.330000002</v>
      </c>
      <c r="AP19" s="91">
        <v>4351703.29</v>
      </c>
      <c r="AQ19" s="91">
        <v>6128.2899999999972</v>
      </c>
      <c r="AR19" s="91">
        <v>0</v>
      </c>
      <c r="AS19" s="91">
        <v>0</v>
      </c>
      <c r="AT19" s="91">
        <v>10568890.039999999</v>
      </c>
      <c r="AU19" s="91">
        <v>2580644.23</v>
      </c>
      <c r="AV19" s="91">
        <v>1931862.41</v>
      </c>
      <c r="AW19" s="91">
        <v>5234115.47</v>
      </c>
      <c r="AX19" s="91">
        <v>0</v>
      </c>
      <c r="AY19" s="91">
        <v>0</v>
      </c>
      <c r="AZ19" s="91">
        <v>7957412</v>
      </c>
      <c r="BA19" s="91">
        <v>3867852.12</v>
      </c>
      <c r="BB19" s="91">
        <v>45065519.29999999</v>
      </c>
      <c r="BC19" s="91">
        <v>6529436.0899999971</v>
      </c>
      <c r="BD19" s="91">
        <v>2244092.59</v>
      </c>
      <c r="BE19" s="91">
        <v>5.09</v>
      </c>
      <c r="BF19" s="91">
        <v>0</v>
      </c>
      <c r="BG19" s="91">
        <v>3872820.4399999995</v>
      </c>
      <c r="BH19" s="91">
        <v>12690253.049999999</v>
      </c>
      <c r="BI19" s="91">
        <v>5107555.2300000004</v>
      </c>
      <c r="BJ19" s="91">
        <v>19637686.329999998</v>
      </c>
      <c r="BK19" s="91">
        <v>14163084.720000003</v>
      </c>
      <c r="BL19" s="91">
        <v>62</v>
      </c>
      <c r="BM19" s="91">
        <v>17499731.449999996</v>
      </c>
      <c r="BN19" s="91">
        <v>52020726.820000008</v>
      </c>
      <c r="BO19" s="91">
        <v>6039068.9699999997</v>
      </c>
      <c r="BP19" s="91">
        <v>7195857.71</v>
      </c>
      <c r="BQ19" s="91">
        <v>9177883.7199999988</v>
      </c>
      <c r="BR19" s="91">
        <v>7682.8999999999987</v>
      </c>
      <c r="BS19" s="91">
        <v>0</v>
      </c>
      <c r="BT19" s="91">
        <v>0</v>
      </c>
      <c r="BU19" s="91">
        <v>0</v>
      </c>
      <c r="BV19" s="91">
        <v>0</v>
      </c>
      <c r="BW19" s="91">
        <v>52799063.649999999</v>
      </c>
      <c r="BX19" s="91">
        <v>5725098.0999999996</v>
      </c>
      <c r="BY19" s="91">
        <v>3982938.9699999997</v>
      </c>
      <c r="BZ19" s="91">
        <v>10115637.310000001</v>
      </c>
      <c r="CA19" s="91">
        <v>90</v>
      </c>
      <c r="CB19" s="91">
        <v>11226741.01</v>
      </c>
      <c r="CC19" s="91">
        <v>27229606.219999999</v>
      </c>
      <c r="CD19" s="91">
        <v>3905948.9699999997</v>
      </c>
      <c r="CE19" s="91">
        <v>7391439.9200000009</v>
      </c>
      <c r="CF19" s="91">
        <v>32590551.389999997</v>
      </c>
      <c r="CG19" s="91">
        <v>305.14</v>
      </c>
      <c r="CH19" s="91">
        <v>0</v>
      </c>
      <c r="CI19" s="91">
        <v>18533805.859999999</v>
      </c>
      <c r="CJ19" s="91">
        <v>19962615.089999996</v>
      </c>
      <c r="CK19" s="91">
        <v>36711323.560000002</v>
      </c>
      <c r="CL19" s="91">
        <v>7292086.3400000008</v>
      </c>
      <c r="CM19" s="91">
        <v>11161849.620000001</v>
      </c>
      <c r="CN19" s="91">
        <v>1659.43</v>
      </c>
      <c r="CO19" s="91">
        <v>0</v>
      </c>
      <c r="CP19" s="91">
        <v>6362239.8900000006</v>
      </c>
      <c r="CQ19" s="91">
        <v>7304230.8900000006</v>
      </c>
      <c r="CR19" s="91">
        <v>10241200.6</v>
      </c>
      <c r="CS19" s="91">
        <v>38805115.100000001</v>
      </c>
      <c r="CT19" s="91">
        <v>10185408.040000001</v>
      </c>
      <c r="CU19" s="91">
        <v>18.05</v>
      </c>
      <c r="CV19" s="91">
        <v>0</v>
      </c>
      <c r="CW19" s="91">
        <v>98489382.280000001</v>
      </c>
      <c r="CX19" s="91">
        <v>20978667.780000001</v>
      </c>
      <c r="CY19" s="91">
        <v>6745279.7800000003</v>
      </c>
      <c r="CZ19" s="91">
        <v>11408779.079999998</v>
      </c>
      <c r="DA19" s="91">
        <v>4142521.12</v>
      </c>
      <c r="DB19" s="91">
        <v>105.24</v>
      </c>
      <c r="DC19" s="91">
        <v>0</v>
      </c>
      <c r="DD19" s="91">
        <v>12654238.289999999</v>
      </c>
    </row>
    <row r="20" spans="1:108" x14ac:dyDescent="0.35">
      <c r="A20" t="s">
        <v>239</v>
      </c>
      <c r="B20" s="12" t="s">
        <v>102</v>
      </c>
      <c r="C20" s="91">
        <v>14617278.059999999</v>
      </c>
      <c r="D20" s="91">
        <v>192977.2</v>
      </c>
      <c r="E20" s="91">
        <v>4725466</v>
      </c>
      <c r="F20" s="91">
        <v>2264612.92</v>
      </c>
      <c r="G20" s="91">
        <v>2300000</v>
      </c>
      <c r="H20" s="91">
        <v>0</v>
      </c>
      <c r="I20" s="91">
        <v>0</v>
      </c>
      <c r="J20" s="91">
        <v>832624.09000000008</v>
      </c>
      <c r="K20" s="91">
        <v>662746</v>
      </c>
      <c r="L20" s="91">
        <v>504455.08999999997</v>
      </c>
      <c r="M20" s="91">
        <v>1713388.91</v>
      </c>
      <c r="N20" s="91">
        <v>981789.61</v>
      </c>
      <c r="O20" s="91">
        <v>0</v>
      </c>
      <c r="P20" s="91">
        <v>0</v>
      </c>
      <c r="Q20" s="92">
        <v>2261280</v>
      </c>
      <c r="R20" s="91">
        <v>263468</v>
      </c>
      <c r="S20" s="91">
        <v>374737.3</v>
      </c>
      <c r="T20" s="91">
        <v>352000</v>
      </c>
      <c r="U20" s="91">
        <v>2492790.5700000003</v>
      </c>
      <c r="V20" s="91">
        <v>0</v>
      </c>
      <c r="W20" s="91">
        <v>0</v>
      </c>
      <c r="X20" s="91">
        <v>1158816</v>
      </c>
      <c r="Y20" s="91">
        <v>1916306.28</v>
      </c>
      <c r="Z20" s="91">
        <v>0</v>
      </c>
      <c r="AA20" s="91">
        <v>10142563.449999999</v>
      </c>
      <c r="AB20" s="91">
        <v>8722438.4499999993</v>
      </c>
      <c r="AC20" s="91">
        <v>0</v>
      </c>
      <c r="AD20" s="91">
        <v>0</v>
      </c>
      <c r="AE20" s="91">
        <v>28025216.850000001</v>
      </c>
      <c r="AF20" s="91">
        <v>888585.54</v>
      </c>
      <c r="AG20" s="91">
        <v>2523585.62</v>
      </c>
      <c r="AH20" s="91">
        <v>3760083.61</v>
      </c>
      <c r="AI20" s="91">
        <v>10005745.85</v>
      </c>
      <c r="AJ20" s="91">
        <v>0</v>
      </c>
      <c r="AK20" s="91">
        <v>0</v>
      </c>
      <c r="AL20" s="91">
        <v>17291097.25</v>
      </c>
      <c r="AM20" s="91">
        <v>614959.03</v>
      </c>
      <c r="AN20" s="91">
        <v>758122.37</v>
      </c>
      <c r="AO20" s="91">
        <v>7831093.4299999997</v>
      </c>
      <c r="AP20" s="91">
        <v>3082307.98</v>
      </c>
      <c r="AQ20" s="91">
        <v>0</v>
      </c>
      <c r="AR20" s="91">
        <v>0</v>
      </c>
      <c r="AS20" s="91">
        <v>0</v>
      </c>
      <c r="AT20" s="91">
        <v>9939043.4499999993</v>
      </c>
      <c r="AU20" s="91">
        <v>733360.39</v>
      </c>
      <c r="AV20" s="91">
        <v>836715.74</v>
      </c>
      <c r="AW20" s="91">
        <v>5142392.97</v>
      </c>
      <c r="AX20" s="91">
        <v>0</v>
      </c>
      <c r="AY20" s="91">
        <v>0</v>
      </c>
      <c r="AZ20" s="91">
        <v>1008888.67</v>
      </c>
      <c r="BA20" s="91">
        <v>2292383.54</v>
      </c>
      <c r="BB20" s="91">
        <v>1122687.55</v>
      </c>
      <c r="BC20" s="91">
        <v>5055257.5699999975</v>
      </c>
      <c r="BD20" s="91">
        <v>984898.44000000006</v>
      </c>
      <c r="BE20" s="91">
        <v>0</v>
      </c>
      <c r="BF20" s="91">
        <v>0</v>
      </c>
      <c r="BG20" s="91">
        <v>942432.08999999973</v>
      </c>
      <c r="BH20" s="91">
        <v>1633246.26</v>
      </c>
      <c r="BI20" s="91">
        <v>1981435.8599999999</v>
      </c>
      <c r="BJ20" s="91">
        <v>462292.91000000009</v>
      </c>
      <c r="BK20" s="91">
        <v>2238258</v>
      </c>
      <c r="BL20" s="91">
        <v>0</v>
      </c>
      <c r="BM20" s="91">
        <v>16723961.699999997</v>
      </c>
      <c r="BN20" s="91">
        <v>22134678.199999999</v>
      </c>
      <c r="BO20" s="91">
        <v>1999019.3699999999</v>
      </c>
      <c r="BP20" s="91">
        <v>6235862.8399999999</v>
      </c>
      <c r="BQ20" s="91">
        <v>2618013.2999999998</v>
      </c>
      <c r="BR20" s="91">
        <v>0</v>
      </c>
      <c r="BS20" s="91">
        <v>0</v>
      </c>
      <c r="BT20" s="91">
        <v>0</v>
      </c>
      <c r="BU20" s="91">
        <v>0</v>
      </c>
      <c r="BV20" s="91">
        <v>0</v>
      </c>
      <c r="BW20" s="91">
        <v>180100</v>
      </c>
      <c r="BX20" s="91">
        <v>2557758.7799999998</v>
      </c>
      <c r="BY20" s="91">
        <v>3502910.92</v>
      </c>
      <c r="BZ20" s="91">
        <v>4817925.7600000007</v>
      </c>
      <c r="CA20" s="91">
        <v>0</v>
      </c>
      <c r="CB20" s="91">
        <v>2369740.37</v>
      </c>
      <c r="CC20" s="91">
        <v>578822</v>
      </c>
      <c r="CD20" s="91">
        <v>1628773.02</v>
      </c>
      <c r="CE20" s="91">
        <v>247759.03</v>
      </c>
      <c r="CF20" s="91">
        <v>412506.2</v>
      </c>
      <c r="CG20" s="91">
        <v>0</v>
      </c>
      <c r="CH20" s="91">
        <v>0</v>
      </c>
      <c r="CI20" s="91">
        <v>7528995.3800000008</v>
      </c>
      <c r="CJ20" s="91">
        <v>13729816.699999997</v>
      </c>
      <c r="CK20" s="91">
        <v>3982157.3900000006</v>
      </c>
      <c r="CL20" s="91">
        <v>1146677.6300000001</v>
      </c>
      <c r="CM20" s="91">
        <v>4242903.4000000004</v>
      </c>
      <c r="CN20" s="91">
        <v>0</v>
      </c>
      <c r="CO20" s="91">
        <v>0</v>
      </c>
      <c r="CP20" s="91">
        <v>4104236.42</v>
      </c>
      <c r="CQ20" s="91">
        <v>1802198.61</v>
      </c>
      <c r="CR20" s="91">
        <v>4480398.08</v>
      </c>
      <c r="CS20" s="91">
        <v>28420197.469999999</v>
      </c>
      <c r="CT20" s="91">
        <v>7021065.7999999998</v>
      </c>
      <c r="CU20" s="91">
        <v>0</v>
      </c>
      <c r="CV20" s="91">
        <v>0</v>
      </c>
      <c r="CW20" s="91">
        <v>704535.16999999993</v>
      </c>
      <c r="CX20" s="91">
        <v>1196942.79</v>
      </c>
      <c r="CY20" s="91">
        <v>1972128.3399999999</v>
      </c>
      <c r="CZ20" s="91">
        <v>850922.82999999984</v>
      </c>
      <c r="DA20" s="91">
        <v>0</v>
      </c>
      <c r="DB20" s="91">
        <v>0</v>
      </c>
      <c r="DC20" s="91">
        <v>0</v>
      </c>
      <c r="DD20" s="91">
        <v>2716184.3899999997</v>
      </c>
    </row>
    <row r="21" spans="1:108" x14ac:dyDescent="0.35">
      <c r="A21" t="s">
        <v>240</v>
      </c>
      <c r="B21" s="12" t="s">
        <v>43</v>
      </c>
      <c r="C21" s="91">
        <v>1981852.02</v>
      </c>
      <c r="D21" s="91">
        <v>2068280</v>
      </c>
      <c r="E21" s="91">
        <v>500000</v>
      </c>
      <c r="F21" s="91">
        <v>0</v>
      </c>
      <c r="G21" s="91">
        <v>849772.04</v>
      </c>
      <c r="H21" s="91">
        <v>0</v>
      </c>
      <c r="I21" s="91">
        <v>0</v>
      </c>
      <c r="J21" s="91">
        <v>0</v>
      </c>
      <c r="K21" s="91">
        <v>2584753</v>
      </c>
      <c r="L21" s="91">
        <v>960000</v>
      </c>
      <c r="M21" s="91">
        <v>655075</v>
      </c>
      <c r="N21" s="91">
        <v>7302986</v>
      </c>
      <c r="O21" s="91">
        <v>0</v>
      </c>
      <c r="P21" s="91">
        <v>0</v>
      </c>
      <c r="Q21" s="92">
        <v>6502004</v>
      </c>
      <c r="R21" s="91">
        <v>0</v>
      </c>
      <c r="S21" s="91">
        <v>727768</v>
      </c>
      <c r="T21" s="91">
        <v>1300000</v>
      </c>
      <c r="U21" s="91">
        <v>1731100</v>
      </c>
      <c r="V21" s="91">
        <v>0</v>
      </c>
      <c r="W21" s="91">
        <v>0</v>
      </c>
      <c r="X21" s="91">
        <v>0</v>
      </c>
      <c r="Y21" s="91">
        <v>4838980</v>
      </c>
      <c r="Z21" s="91">
        <v>3740000</v>
      </c>
      <c r="AA21" s="91">
        <v>190400</v>
      </c>
      <c r="AB21" s="91">
        <v>8585060</v>
      </c>
      <c r="AC21" s="91">
        <v>0</v>
      </c>
      <c r="AD21" s="91">
        <v>0</v>
      </c>
      <c r="AE21" s="91">
        <v>3979021</v>
      </c>
      <c r="AF21" s="91">
        <v>3256372</v>
      </c>
      <c r="AG21" s="91">
        <v>2752260</v>
      </c>
      <c r="AH21" s="91">
        <v>8350068.8200000003</v>
      </c>
      <c r="AI21" s="91">
        <v>3372000</v>
      </c>
      <c r="AJ21" s="91">
        <v>0</v>
      </c>
      <c r="AK21" s="91">
        <v>0</v>
      </c>
      <c r="AL21" s="91">
        <v>300000</v>
      </c>
      <c r="AM21" s="91">
        <v>0</v>
      </c>
      <c r="AN21" s="91">
        <v>0</v>
      </c>
      <c r="AO21" s="91">
        <v>197000</v>
      </c>
      <c r="AP21" s="91">
        <v>390000</v>
      </c>
      <c r="AQ21" s="91">
        <v>0</v>
      </c>
      <c r="AR21" s="91">
        <v>0</v>
      </c>
      <c r="AS21" s="91">
        <v>0</v>
      </c>
      <c r="AT21" s="91">
        <v>212000</v>
      </c>
      <c r="AU21" s="91">
        <v>0</v>
      </c>
      <c r="AV21" s="91">
        <v>277104</v>
      </c>
      <c r="AW21" s="91">
        <v>0</v>
      </c>
      <c r="AX21" s="91">
        <v>0</v>
      </c>
      <c r="AY21" s="91">
        <v>0</v>
      </c>
      <c r="AZ21" s="91">
        <v>163200</v>
      </c>
      <c r="BA21" s="91">
        <v>600000</v>
      </c>
      <c r="BB21" s="91">
        <v>1390561</v>
      </c>
      <c r="BC21" s="91">
        <v>914000</v>
      </c>
      <c r="BD21" s="91">
        <v>0</v>
      </c>
      <c r="BE21" s="91">
        <v>0</v>
      </c>
      <c r="BF21" s="91">
        <v>0</v>
      </c>
      <c r="BG21" s="91">
        <v>300000</v>
      </c>
      <c r="BH21" s="91">
        <v>74488</v>
      </c>
      <c r="BI21" s="91">
        <v>300000</v>
      </c>
      <c r="BJ21" s="91">
        <v>7039000</v>
      </c>
      <c r="BK21" s="91">
        <v>3090000</v>
      </c>
      <c r="BL21" s="91">
        <v>0</v>
      </c>
      <c r="BM21" s="91">
        <v>0</v>
      </c>
      <c r="BN21" s="91">
        <v>1858905</v>
      </c>
      <c r="BO21" s="91">
        <v>2418000</v>
      </c>
      <c r="BP21" s="91">
        <v>822228</v>
      </c>
      <c r="BQ21" s="91">
        <v>0</v>
      </c>
      <c r="BR21" s="91">
        <v>0</v>
      </c>
      <c r="BS21" s="91">
        <v>0</v>
      </c>
      <c r="BT21" s="91">
        <v>0</v>
      </c>
      <c r="BU21" s="91">
        <v>0</v>
      </c>
      <c r="BV21" s="91">
        <v>0</v>
      </c>
      <c r="BW21" s="91">
        <v>5004360</v>
      </c>
      <c r="BX21" s="91">
        <v>0</v>
      </c>
      <c r="BY21" s="91">
        <v>445000</v>
      </c>
      <c r="BZ21" s="91">
        <v>1862100</v>
      </c>
      <c r="CA21" s="91">
        <v>0</v>
      </c>
      <c r="CB21" s="91">
        <v>500000</v>
      </c>
      <c r="CC21" s="91">
        <v>0</v>
      </c>
      <c r="CD21" s="91">
        <v>0</v>
      </c>
      <c r="CE21" s="91">
        <v>4323745</v>
      </c>
      <c r="CF21" s="91">
        <v>1086760</v>
      </c>
      <c r="CG21" s="91">
        <v>0</v>
      </c>
      <c r="CH21" s="91">
        <v>0</v>
      </c>
      <c r="CI21" s="91">
        <v>779395</v>
      </c>
      <c r="CJ21" s="91">
        <v>4655830</v>
      </c>
      <c r="CK21" s="91">
        <v>0</v>
      </c>
      <c r="CL21" s="91">
        <v>1000000</v>
      </c>
      <c r="CM21" s="91">
        <v>2018200</v>
      </c>
      <c r="CN21" s="91">
        <v>0</v>
      </c>
      <c r="CO21" s="91">
        <v>0</v>
      </c>
      <c r="CP21" s="91">
        <v>45000</v>
      </c>
      <c r="CQ21" s="91">
        <v>4138795</v>
      </c>
      <c r="CR21" s="91">
        <v>540000</v>
      </c>
      <c r="CS21" s="91">
        <v>918000</v>
      </c>
      <c r="CT21" s="91">
        <v>2845446</v>
      </c>
      <c r="CU21" s="91">
        <v>0</v>
      </c>
      <c r="CV21" s="91">
        <v>0</v>
      </c>
      <c r="CW21" s="91">
        <v>3270427.06</v>
      </c>
      <c r="CX21" s="91">
        <v>232300</v>
      </c>
      <c r="CY21" s="91">
        <v>16000</v>
      </c>
      <c r="CZ21" s="91">
        <v>6481000</v>
      </c>
      <c r="DA21" s="91">
        <v>3040000</v>
      </c>
      <c r="DB21" s="91">
        <v>0</v>
      </c>
      <c r="DC21" s="91">
        <v>0</v>
      </c>
      <c r="DD21" s="91">
        <v>2718977</v>
      </c>
    </row>
    <row r="22" spans="1:108" x14ac:dyDescent="0.35">
      <c r="A22" t="s">
        <v>241</v>
      </c>
      <c r="B22" s="12" t="s">
        <v>44</v>
      </c>
      <c r="C22" s="91">
        <v>151943011.47</v>
      </c>
      <c r="D22" s="91">
        <v>0</v>
      </c>
      <c r="E22" s="91">
        <v>0</v>
      </c>
      <c r="F22" s="91">
        <v>189541</v>
      </c>
      <c r="G22" s="91">
        <v>0</v>
      </c>
      <c r="H22" s="91">
        <v>0</v>
      </c>
      <c r="I22" s="91">
        <v>0</v>
      </c>
      <c r="J22" s="91">
        <v>79845192.930000007</v>
      </c>
      <c r="K22" s="91">
        <v>69059673.670000002</v>
      </c>
      <c r="L22" s="91">
        <v>5396902.0700000003</v>
      </c>
      <c r="M22" s="91">
        <v>1181271.78</v>
      </c>
      <c r="N22" s="91">
        <v>0</v>
      </c>
      <c r="O22" s="91">
        <v>0</v>
      </c>
      <c r="P22" s="91">
        <v>0</v>
      </c>
      <c r="Q22" s="92">
        <v>147709.25</v>
      </c>
      <c r="R22" s="91">
        <v>0</v>
      </c>
      <c r="S22" s="91">
        <v>0</v>
      </c>
      <c r="T22" s="91">
        <v>952400</v>
      </c>
      <c r="U22" s="91">
        <v>0</v>
      </c>
      <c r="V22" s="91">
        <v>0</v>
      </c>
      <c r="W22" s="91">
        <v>0</v>
      </c>
      <c r="X22" s="91">
        <v>0</v>
      </c>
      <c r="Y22" s="91">
        <v>0</v>
      </c>
      <c r="Z22" s="91">
        <v>0</v>
      </c>
      <c r="AA22" s="91">
        <v>502500</v>
      </c>
      <c r="AB22" s="91">
        <v>0</v>
      </c>
      <c r="AC22" s="91">
        <v>0</v>
      </c>
      <c r="AD22" s="91">
        <v>0</v>
      </c>
      <c r="AE22" s="91">
        <v>170950</v>
      </c>
      <c r="AF22" s="91">
        <v>0</v>
      </c>
      <c r="AG22" s="91">
        <v>563758.42000000004</v>
      </c>
      <c r="AH22" s="91">
        <v>81344.5</v>
      </c>
      <c r="AI22" s="91">
        <v>145000</v>
      </c>
      <c r="AJ22" s="91">
        <v>0</v>
      </c>
      <c r="AK22" s="91">
        <v>0</v>
      </c>
      <c r="AL22" s="91">
        <v>0</v>
      </c>
      <c r="AM22" s="91">
        <v>0</v>
      </c>
      <c r="AN22" s="91">
        <v>78932641.909999996</v>
      </c>
      <c r="AO22" s="91">
        <v>1180732.2999999998</v>
      </c>
      <c r="AP22" s="91">
        <v>0</v>
      </c>
      <c r="AQ22" s="91">
        <v>0</v>
      </c>
      <c r="AR22" s="91">
        <v>0</v>
      </c>
      <c r="AS22" s="91">
        <v>0</v>
      </c>
      <c r="AT22" s="91">
        <v>0</v>
      </c>
      <c r="AU22" s="91">
        <v>0</v>
      </c>
      <c r="AV22" s="91">
        <v>45450</v>
      </c>
      <c r="AW22" s="91">
        <v>0</v>
      </c>
      <c r="AX22" s="91">
        <v>0</v>
      </c>
      <c r="AY22" s="91">
        <v>0</v>
      </c>
      <c r="AZ22" s="91">
        <v>3400000</v>
      </c>
      <c r="BA22" s="91">
        <v>0</v>
      </c>
      <c r="BB22" s="91">
        <v>5990439.7799999993</v>
      </c>
      <c r="BC22" s="91">
        <v>0</v>
      </c>
      <c r="BD22" s="91">
        <v>0</v>
      </c>
      <c r="BE22" s="91">
        <v>0</v>
      </c>
      <c r="BF22" s="91">
        <v>0</v>
      </c>
      <c r="BG22" s="91">
        <v>171547.18</v>
      </c>
      <c r="BH22" s="91">
        <v>0</v>
      </c>
      <c r="BI22" s="91">
        <v>0</v>
      </c>
      <c r="BJ22" s="91">
        <v>259900</v>
      </c>
      <c r="BK22" s="91">
        <v>0</v>
      </c>
      <c r="BL22" s="91">
        <v>0</v>
      </c>
      <c r="BM22" s="91">
        <v>1160.4000000000001</v>
      </c>
      <c r="BN22" s="91">
        <v>0</v>
      </c>
      <c r="BO22" s="91">
        <v>0</v>
      </c>
      <c r="BP22" s="91">
        <v>0</v>
      </c>
      <c r="BQ22" s="91">
        <v>0</v>
      </c>
      <c r="BR22" s="91">
        <v>0</v>
      </c>
      <c r="BS22" s="91">
        <v>0</v>
      </c>
      <c r="BT22" s="91">
        <v>0</v>
      </c>
      <c r="BU22" s="91">
        <v>0</v>
      </c>
      <c r="BV22" s="91">
        <v>0</v>
      </c>
      <c r="BW22" s="91">
        <v>47269010.480000004</v>
      </c>
      <c r="BX22" s="91">
        <v>0</v>
      </c>
      <c r="BY22" s="91">
        <v>35010</v>
      </c>
      <c r="BZ22" s="91">
        <v>0</v>
      </c>
      <c r="CA22" s="91">
        <v>0</v>
      </c>
      <c r="CB22" s="91">
        <v>0</v>
      </c>
      <c r="CC22" s="91">
        <v>0</v>
      </c>
      <c r="CD22" s="91">
        <v>388836.62</v>
      </c>
      <c r="CE22" s="91">
        <v>0</v>
      </c>
      <c r="CF22" s="91">
        <v>3021961.6400000006</v>
      </c>
      <c r="CG22" s="91">
        <v>0</v>
      </c>
      <c r="CH22" s="91">
        <v>0</v>
      </c>
      <c r="CI22" s="91">
        <v>0</v>
      </c>
      <c r="CJ22" s="91">
        <v>0</v>
      </c>
      <c r="CK22" s="91">
        <v>0</v>
      </c>
      <c r="CL22" s="91">
        <v>0</v>
      </c>
      <c r="CM22" s="91">
        <v>0</v>
      </c>
      <c r="CN22" s="91">
        <v>0</v>
      </c>
      <c r="CO22" s="91">
        <v>0</v>
      </c>
      <c r="CP22" s="91">
        <v>69750</v>
      </c>
      <c r="CQ22" s="91">
        <v>0</v>
      </c>
      <c r="CR22" s="91">
        <v>27000</v>
      </c>
      <c r="CS22" s="91">
        <v>0</v>
      </c>
      <c r="CT22" s="91">
        <v>0</v>
      </c>
      <c r="CU22" s="91">
        <v>0</v>
      </c>
      <c r="CV22" s="91">
        <v>0</v>
      </c>
      <c r="CW22" s="91">
        <v>86961017.489999995</v>
      </c>
      <c r="CX22" s="91">
        <v>279396</v>
      </c>
      <c r="CY22" s="91">
        <v>0</v>
      </c>
      <c r="CZ22" s="91">
        <v>0</v>
      </c>
      <c r="DA22" s="91">
        <v>0</v>
      </c>
      <c r="DB22" s="91">
        <v>0</v>
      </c>
      <c r="DC22" s="91">
        <v>0</v>
      </c>
      <c r="DD22" s="91">
        <v>976259.46</v>
      </c>
    </row>
    <row r="23" spans="1:108" x14ac:dyDescent="0.35">
      <c r="A23" t="s">
        <v>242</v>
      </c>
      <c r="B23" s="12" t="s">
        <v>45</v>
      </c>
      <c r="C23" s="91">
        <v>47594</v>
      </c>
      <c r="D23" s="91">
        <v>0</v>
      </c>
      <c r="E23" s="91">
        <v>0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2">
        <v>0</v>
      </c>
      <c r="R23" s="91">
        <v>0</v>
      </c>
      <c r="S23" s="91">
        <v>0</v>
      </c>
      <c r="T23" s="91">
        <v>0</v>
      </c>
      <c r="U23" s="91">
        <v>0</v>
      </c>
      <c r="V23" s="91">
        <v>0</v>
      </c>
      <c r="W23" s="91">
        <v>0</v>
      </c>
      <c r="X23" s="91">
        <v>0</v>
      </c>
      <c r="Y23" s="91">
        <v>0</v>
      </c>
      <c r="Z23" s="91">
        <v>0</v>
      </c>
      <c r="AA23" s="91">
        <v>0</v>
      </c>
      <c r="AB23" s="91">
        <v>0</v>
      </c>
      <c r="AC23" s="91">
        <v>0</v>
      </c>
      <c r="AD23" s="91">
        <v>0</v>
      </c>
      <c r="AE23" s="91">
        <v>0</v>
      </c>
      <c r="AF23" s="91">
        <v>0</v>
      </c>
      <c r="AG23" s="91">
        <v>0</v>
      </c>
      <c r="AH23" s="91">
        <v>0</v>
      </c>
      <c r="AI23" s="91">
        <v>0</v>
      </c>
      <c r="AJ23" s="91">
        <v>0</v>
      </c>
      <c r="AK23" s="91">
        <v>0</v>
      </c>
      <c r="AL23" s="91">
        <v>0</v>
      </c>
      <c r="AM23" s="91">
        <v>0</v>
      </c>
      <c r="AN23" s="91">
        <v>0</v>
      </c>
      <c r="AO23" s="91">
        <v>535904</v>
      </c>
      <c r="AP23" s="91">
        <v>0</v>
      </c>
      <c r="AQ23" s="91">
        <v>0</v>
      </c>
      <c r="AR23" s="91">
        <v>0</v>
      </c>
      <c r="AS23" s="91">
        <v>0</v>
      </c>
      <c r="AT23" s="91">
        <v>300</v>
      </c>
      <c r="AU23" s="91">
        <v>52500</v>
      </c>
      <c r="AV23" s="91">
        <v>0</v>
      </c>
      <c r="AW23" s="91">
        <v>0</v>
      </c>
      <c r="AX23" s="91">
        <v>0</v>
      </c>
      <c r="AY23" s="91">
        <v>0</v>
      </c>
      <c r="AZ23" s="91">
        <v>0</v>
      </c>
      <c r="BA23" s="91">
        <v>0</v>
      </c>
      <c r="BB23" s="91">
        <v>0</v>
      </c>
      <c r="BC23" s="91">
        <v>0</v>
      </c>
      <c r="BD23" s="91">
        <v>0</v>
      </c>
      <c r="BE23" s="91">
        <v>0</v>
      </c>
      <c r="BF23" s="91">
        <v>0</v>
      </c>
      <c r="BG23" s="91">
        <v>29500</v>
      </c>
      <c r="BH23" s="91">
        <v>0</v>
      </c>
      <c r="BI23" s="91">
        <v>0</v>
      </c>
      <c r="BJ23" s="91">
        <v>0</v>
      </c>
      <c r="BK23" s="91">
        <v>0</v>
      </c>
      <c r="BL23" s="91">
        <v>0</v>
      </c>
      <c r="BM23" s="91">
        <v>0</v>
      </c>
      <c r="BN23" s="91">
        <v>0</v>
      </c>
      <c r="BO23" s="91">
        <v>0</v>
      </c>
      <c r="BP23" s="91">
        <v>0</v>
      </c>
      <c r="BQ23" s="91">
        <v>0</v>
      </c>
      <c r="BR23" s="91">
        <v>0</v>
      </c>
      <c r="BS23" s="91">
        <v>0</v>
      </c>
      <c r="BT23" s="91">
        <v>0</v>
      </c>
      <c r="BU23" s="91">
        <v>0</v>
      </c>
      <c r="BV23" s="91">
        <v>0</v>
      </c>
      <c r="BW23" s="91">
        <v>0</v>
      </c>
      <c r="BX23" s="91">
        <v>325275</v>
      </c>
      <c r="BY23" s="91">
        <v>0</v>
      </c>
      <c r="BZ23" s="91">
        <v>0</v>
      </c>
      <c r="CA23" s="91">
        <v>0</v>
      </c>
      <c r="CB23" s="91">
        <v>0</v>
      </c>
      <c r="CC23" s="91">
        <v>6617876.9199999999</v>
      </c>
      <c r="CD23" s="91">
        <v>0</v>
      </c>
      <c r="CE23" s="91">
        <v>0</v>
      </c>
      <c r="CF23" s="91">
        <v>0</v>
      </c>
      <c r="CG23" s="91">
        <v>0</v>
      </c>
      <c r="CH23" s="91">
        <v>0</v>
      </c>
      <c r="CI23" s="91">
        <v>0</v>
      </c>
      <c r="CJ23" s="91">
        <v>0</v>
      </c>
      <c r="CK23" s="91">
        <v>0</v>
      </c>
      <c r="CL23" s="91">
        <v>2400000</v>
      </c>
      <c r="CM23" s="91">
        <v>0</v>
      </c>
      <c r="CN23" s="91">
        <v>0</v>
      </c>
      <c r="CO23" s="91">
        <v>0</v>
      </c>
      <c r="CP23" s="91">
        <v>0</v>
      </c>
      <c r="CQ23" s="91">
        <v>0</v>
      </c>
      <c r="CR23" s="91">
        <v>0</v>
      </c>
      <c r="CS23" s="91">
        <v>187437.6</v>
      </c>
      <c r="CT23" s="91">
        <v>200000</v>
      </c>
      <c r="CU23" s="91">
        <v>0</v>
      </c>
      <c r="CV23" s="91">
        <v>0</v>
      </c>
      <c r="CW23" s="91">
        <v>0</v>
      </c>
      <c r="CX23" s="91">
        <v>124080.5</v>
      </c>
      <c r="CY23" s="91">
        <v>5800</v>
      </c>
      <c r="CZ23" s="91">
        <v>0</v>
      </c>
      <c r="DA23" s="91">
        <v>0</v>
      </c>
      <c r="DB23" s="91">
        <v>0</v>
      </c>
      <c r="DC23" s="91">
        <v>0</v>
      </c>
      <c r="DD23" s="91">
        <v>3959200</v>
      </c>
    </row>
    <row r="24" spans="1:108" x14ac:dyDescent="0.35">
      <c r="A24" t="s">
        <v>243</v>
      </c>
      <c r="B24" s="12" t="s">
        <v>46</v>
      </c>
      <c r="C24" s="91">
        <v>138750</v>
      </c>
      <c r="D24" s="91">
        <v>0</v>
      </c>
      <c r="E24" s="91">
        <v>0</v>
      </c>
      <c r="F24" s="91">
        <v>0</v>
      </c>
      <c r="G24" s="91">
        <v>0</v>
      </c>
      <c r="H24" s="91">
        <v>0</v>
      </c>
      <c r="I24" s="91">
        <v>0</v>
      </c>
      <c r="J24" s="91">
        <v>0</v>
      </c>
      <c r="K24" s="91">
        <v>0</v>
      </c>
      <c r="L24" s="91">
        <v>0</v>
      </c>
      <c r="M24" s="91">
        <v>385200</v>
      </c>
      <c r="N24" s="91">
        <v>318160</v>
      </c>
      <c r="O24" s="91">
        <v>0</v>
      </c>
      <c r="P24" s="91">
        <v>0</v>
      </c>
      <c r="Q24" s="92">
        <v>0</v>
      </c>
      <c r="R24" s="91">
        <v>0</v>
      </c>
      <c r="S24" s="91">
        <v>0</v>
      </c>
      <c r="T24" s="91">
        <v>0</v>
      </c>
      <c r="U24" s="91">
        <v>0</v>
      </c>
      <c r="V24" s="91">
        <v>0</v>
      </c>
      <c r="W24" s="91">
        <v>0</v>
      </c>
      <c r="X24" s="91">
        <v>24600</v>
      </c>
      <c r="Y24" s="91">
        <v>0</v>
      </c>
      <c r="Z24" s="91">
        <v>0</v>
      </c>
      <c r="AA24" s="91">
        <v>0</v>
      </c>
      <c r="AB24" s="91">
        <v>99000</v>
      </c>
      <c r="AC24" s="91">
        <v>0</v>
      </c>
      <c r="AD24" s="91">
        <v>0</v>
      </c>
      <c r="AE24" s="91">
        <v>65391</v>
      </c>
      <c r="AF24" s="91">
        <v>0</v>
      </c>
      <c r="AG24" s="91">
        <v>0</v>
      </c>
      <c r="AH24" s="91">
        <v>0</v>
      </c>
      <c r="AI24" s="91">
        <v>0</v>
      </c>
      <c r="AJ24" s="91">
        <v>0</v>
      </c>
      <c r="AK24" s="91">
        <v>0</v>
      </c>
      <c r="AL24" s="91">
        <v>0</v>
      </c>
      <c r="AM24" s="91">
        <v>0</v>
      </c>
      <c r="AN24" s="91">
        <v>0</v>
      </c>
      <c r="AO24" s="91">
        <v>0</v>
      </c>
      <c r="AP24" s="91">
        <v>0</v>
      </c>
      <c r="AQ24" s="91">
        <v>0</v>
      </c>
      <c r="AR24" s="91">
        <v>0</v>
      </c>
      <c r="AS24" s="91">
        <v>0</v>
      </c>
      <c r="AT24" s="91">
        <v>0</v>
      </c>
      <c r="AU24" s="91">
        <v>0</v>
      </c>
      <c r="AV24" s="91">
        <v>0</v>
      </c>
      <c r="AW24" s="91">
        <v>0</v>
      </c>
      <c r="AX24" s="91">
        <v>0</v>
      </c>
      <c r="AY24" s="91">
        <v>0</v>
      </c>
      <c r="AZ24" s="91">
        <v>0</v>
      </c>
      <c r="BA24" s="91">
        <v>0</v>
      </c>
      <c r="BB24" s="91">
        <v>0</v>
      </c>
      <c r="BC24" s="91">
        <v>0</v>
      </c>
      <c r="BD24" s="91">
        <v>0</v>
      </c>
      <c r="BE24" s="91">
        <v>0</v>
      </c>
      <c r="BF24" s="91">
        <v>0</v>
      </c>
      <c r="BG24" s="91">
        <v>610620</v>
      </c>
      <c r="BH24" s="91">
        <v>0</v>
      </c>
      <c r="BI24" s="91">
        <v>0</v>
      </c>
      <c r="BJ24" s="91">
        <v>51570</v>
      </c>
      <c r="BK24" s="91">
        <v>0</v>
      </c>
      <c r="BL24" s="91">
        <v>0</v>
      </c>
      <c r="BM24" s="91">
        <v>0</v>
      </c>
      <c r="BN24" s="91">
        <v>0</v>
      </c>
      <c r="BO24" s="91">
        <v>34200</v>
      </c>
      <c r="BP24" s="91">
        <v>0</v>
      </c>
      <c r="BQ24" s="91">
        <v>89000</v>
      </c>
      <c r="BR24" s="91">
        <v>0</v>
      </c>
      <c r="BS24" s="91">
        <v>0</v>
      </c>
      <c r="BT24" s="91">
        <v>0</v>
      </c>
      <c r="BU24" s="91">
        <v>0</v>
      </c>
      <c r="BV24" s="91">
        <v>0</v>
      </c>
      <c r="BW24" s="91">
        <v>0</v>
      </c>
      <c r="BX24" s="91">
        <v>0</v>
      </c>
      <c r="BY24" s="91">
        <v>0</v>
      </c>
      <c r="BZ24" s="91">
        <v>0</v>
      </c>
      <c r="CA24" s="91">
        <v>0</v>
      </c>
      <c r="CB24" s="91">
        <v>0</v>
      </c>
      <c r="CC24" s="91">
        <v>584200</v>
      </c>
      <c r="CD24" s="91">
        <v>5280</v>
      </c>
      <c r="CE24" s="91">
        <v>8400</v>
      </c>
      <c r="CF24" s="91">
        <v>0</v>
      </c>
      <c r="CG24" s="91">
        <v>0</v>
      </c>
      <c r="CH24" s="91">
        <v>0</v>
      </c>
      <c r="CI24" s="91">
        <v>46893.21</v>
      </c>
      <c r="CJ24" s="91">
        <v>0</v>
      </c>
      <c r="CK24" s="91">
        <v>80100</v>
      </c>
      <c r="CL24" s="91">
        <v>0</v>
      </c>
      <c r="CM24" s="91">
        <v>50285</v>
      </c>
      <c r="CN24" s="91">
        <v>0</v>
      </c>
      <c r="CO24" s="91">
        <v>0</v>
      </c>
      <c r="CP24" s="91">
        <v>0</v>
      </c>
      <c r="CQ24" s="91">
        <v>0</v>
      </c>
      <c r="CR24" s="91">
        <v>0</v>
      </c>
      <c r="CS24" s="91">
        <v>0</v>
      </c>
      <c r="CT24" s="91">
        <v>0</v>
      </c>
      <c r="CU24" s="91">
        <v>0</v>
      </c>
      <c r="CV24" s="91">
        <v>0</v>
      </c>
      <c r="CW24" s="91">
        <v>0</v>
      </c>
      <c r="CX24" s="91">
        <v>51360</v>
      </c>
      <c r="CY24" s="91">
        <v>0</v>
      </c>
      <c r="CZ24" s="91">
        <v>0</v>
      </c>
      <c r="DA24" s="91">
        <v>0</v>
      </c>
      <c r="DB24" s="91">
        <v>0</v>
      </c>
      <c r="DC24" s="91">
        <v>0</v>
      </c>
      <c r="DD24" s="91">
        <v>150000</v>
      </c>
    </row>
    <row r="25" spans="1:108" x14ac:dyDescent="0.35">
      <c r="A25" t="s">
        <v>244</v>
      </c>
      <c r="B25" s="12" t="s">
        <v>47</v>
      </c>
      <c r="C25" s="91">
        <v>122650</v>
      </c>
      <c r="D25" s="91">
        <v>1272</v>
      </c>
      <c r="E25" s="91">
        <v>0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794627.82</v>
      </c>
      <c r="M25" s="91">
        <v>114602.25</v>
      </c>
      <c r="N25" s="91">
        <v>148325</v>
      </c>
      <c r="O25" s="91">
        <v>0</v>
      </c>
      <c r="P25" s="91">
        <v>0</v>
      </c>
      <c r="Q25" s="92">
        <v>240425</v>
      </c>
      <c r="R25" s="91">
        <v>0</v>
      </c>
      <c r="S25" s="91">
        <v>0</v>
      </c>
      <c r="T25" s="91">
        <v>0</v>
      </c>
      <c r="U25" s="91">
        <v>0</v>
      </c>
      <c r="V25" s="91">
        <v>0</v>
      </c>
      <c r="W25" s="91">
        <v>0</v>
      </c>
      <c r="X25" s="91">
        <v>0</v>
      </c>
      <c r="Y25" s="91">
        <v>0</v>
      </c>
      <c r="Z25" s="91">
        <v>0</v>
      </c>
      <c r="AA25" s="91">
        <v>0</v>
      </c>
      <c r="AB25" s="91">
        <v>0</v>
      </c>
      <c r="AC25" s="91">
        <v>0</v>
      </c>
      <c r="AD25" s="91">
        <v>0</v>
      </c>
      <c r="AE25" s="91">
        <v>0</v>
      </c>
      <c r="AF25" s="91">
        <v>0</v>
      </c>
      <c r="AG25" s="91">
        <v>0</v>
      </c>
      <c r="AH25" s="91">
        <v>56945.3</v>
      </c>
      <c r="AI25" s="91">
        <v>0</v>
      </c>
      <c r="AJ25" s="91">
        <v>0</v>
      </c>
      <c r="AK25" s="91">
        <v>0</v>
      </c>
      <c r="AL25" s="91">
        <v>0</v>
      </c>
      <c r="AM25" s="91">
        <v>0</v>
      </c>
      <c r="AN25" s="91">
        <v>214202.48</v>
      </c>
      <c r="AO25" s="91">
        <v>34585</v>
      </c>
      <c r="AP25" s="91">
        <v>0</v>
      </c>
      <c r="AQ25" s="91">
        <v>0</v>
      </c>
      <c r="AR25" s="91">
        <v>0</v>
      </c>
      <c r="AS25" s="91">
        <v>0</v>
      </c>
      <c r="AT25" s="91">
        <v>0</v>
      </c>
      <c r="AU25" s="91">
        <v>39635</v>
      </c>
      <c r="AV25" s="91">
        <v>169374.74</v>
      </c>
      <c r="AW25" s="91">
        <v>0</v>
      </c>
      <c r="AX25" s="91">
        <v>0</v>
      </c>
      <c r="AY25" s="91">
        <v>0</v>
      </c>
      <c r="AZ25" s="91">
        <v>184793.14</v>
      </c>
      <c r="BA25" s="91">
        <v>0</v>
      </c>
      <c r="BB25" s="91">
        <v>0</v>
      </c>
      <c r="BC25" s="91">
        <v>0</v>
      </c>
      <c r="BD25" s="91">
        <v>0</v>
      </c>
      <c r="BE25" s="91">
        <v>0</v>
      </c>
      <c r="BF25" s="91">
        <v>0</v>
      </c>
      <c r="BG25" s="91">
        <v>69838.2</v>
      </c>
      <c r="BH25" s="91">
        <v>0</v>
      </c>
      <c r="BI25" s="91">
        <v>0</v>
      </c>
      <c r="BJ25" s="91">
        <v>1584093.17</v>
      </c>
      <c r="BK25" s="91">
        <v>0</v>
      </c>
      <c r="BL25" s="91">
        <v>0</v>
      </c>
      <c r="BM25" s="91">
        <v>19578.28</v>
      </c>
      <c r="BN25" s="91">
        <v>0</v>
      </c>
      <c r="BO25" s="91">
        <v>0</v>
      </c>
      <c r="BP25" s="91">
        <v>0</v>
      </c>
      <c r="BQ25" s="91">
        <v>0</v>
      </c>
      <c r="BR25" s="91">
        <v>0</v>
      </c>
      <c r="BS25" s="91">
        <v>0</v>
      </c>
      <c r="BT25" s="91">
        <v>0</v>
      </c>
      <c r="BU25" s="91">
        <v>0</v>
      </c>
      <c r="BV25" s="91">
        <v>0</v>
      </c>
      <c r="BW25" s="91">
        <v>6000</v>
      </c>
      <c r="BX25" s="91">
        <v>411924.66</v>
      </c>
      <c r="BY25" s="91">
        <v>0</v>
      </c>
      <c r="BZ25" s="91">
        <v>49700</v>
      </c>
      <c r="CA25" s="91">
        <v>0</v>
      </c>
      <c r="CB25" s="91">
        <v>37200</v>
      </c>
      <c r="CC25" s="91">
        <v>0</v>
      </c>
      <c r="CD25" s="91">
        <v>314664.75</v>
      </c>
      <c r="CE25" s="91">
        <v>17000</v>
      </c>
      <c r="CF25" s="91">
        <v>0</v>
      </c>
      <c r="CG25" s="91">
        <v>0</v>
      </c>
      <c r="CH25" s="91">
        <v>0</v>
      </c>
      <c r="CI25" s="91">
        <v>234436.3</v>
      </c>
      <c r="CJ25" s="91">
        <v>0</v>
      </c>
      <c r="CK25" s="91">
        <v>0</v>
      </c>
      <c r="CL25" s="91">
        <v>150000</v>
      </c>
      <c r="CM25" s="91">
        <v>15000</v>
      </c>
      <c r="CN25" s="91">
        <v>0</v>
      </c>
      <c r="CO25" s="91">
        <v>0</v>
      </c>
      <c r="CP25" s="91">
        <v>17380</v>
      </c>
      <c r="CQ25" s="91">
        <v>0</v>
      </c>
      <c r="CR25" s="91">
        <v>623924.39</v>
      </c>
      <c r="CS25" s="91">
        <v>0</v>
      </c>
      <c r="CT25" s="91">
        <v>0</v>
      </c>
      <c r="CU25" s="91">
        <v>0</v>
      </c>
      <c r="CV25" s="91">
        <v>0</v>
      </c>
      <c r="CW25" s="91">
        <v>0</v>
      </c>
      <c r="CX25" s="91">
        <v>0</v>
      </c>
      <c r="CY25" s="91">
        <v>30965</v>
      </c>
      <c r="CZ25" s="91">
        <v>0</v>
      </c>
      <c r="DA25" s="91">
        <v>209253.2</v>
      </c>
      <c r="DB25" s="91">
        <v>0</v>
      </c>
      <c r="DC25" s="91">
        <v>0</v>
      </c>
      <c r="DD25" s="91">
        <v>25250</v>
      </c>
    </row>
    <row r="26" spans="1:108" x14ac:dyDescent="0.35">
      <c r="A26" t="s">
        <v>245</v>
      </c>
      <c r="B26" s="15" t="s">
        <v>108</v>
      </c>
      <c r="C26" s="91">
        <v>0</v>
      </c>
      <c r="D26" s="91">
        <v>0</v>
      </c>
      <c r="E26" s="91">
        <v>127792284.79000001</v>
      </c>
      <c r="F26" s="91">
        <v>3767507.2</v>
      </c>
      <c r="G26" s="91">
        <v>0</v>
      </c>
      <c r="H26" s="91">
        <v>0</v>
      </c>
      <c r="I26" s="91">
        <v>0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2">
        <v>0</v>
      </c>
      <c r="R26" s="91">
        <v>0</v>
      </c>
      <c r="S26" s="91">
        <v>0</v>
      </c>
      <c r="T26" s="91">
        <v>0</v>
      </c>
      <c r="U26" s="91">
        <v>0</v>
      </c>
      <c r="V26" s="91">
        <v>0</v>
      </c>
      <c r="W26" s="91">
        <v>0</v>
      </c>
      <c r="X26" s="91">
        <v>508493.37</v>
      </c>
      <c r="Y26" s="91">
        <v>0</v>
      </c>
      <c r="Z26" s="91">
        <v>262468.28000000003</v>
      </c>
      <c r="AA26" s="91">
        <v>108864.27</v>
      </c>
      <c r="AB26" s="91">
        <v>7456499.4800000004</v>
      </c>
      <c r="AC26" s="91">
        <v>0</v>
      </c>
      <c r="AD26" s="91">
        <v>0</v>
      </c>
      <c r="AE26" s="91">
        <v>0</v>
      </c>
      <c r="AF26" s="91">
        <v>0</v>
      </c>
      <c r="AG26" s="91">
        <v>0</v>
      </c>
      <c r="AH26" s="91">
        <v>0</v>
      </c>
      <c r="AI26" s="91">
        <v>0</v>
      </c>
      <c r="AJ26" s="91">
        <v>0</v>
      </c>
      <c r="AK26" s="91">
        <v>0</v>
      </c>
      <c r="AL26" s="91">
        <v>0</v>
      </c>
      <c r="AM26" s="91">
        <v>0</v>
      </c>
      <c r="AN26" s="91">
        <v>1615.06</v>
      </c>
      <c r="AO26" s="91">
        <v>0</v>
      </c>
      <c r="AP26" s="91">
        <v>0</v>
      </c>
      <c r="AQ26" s="91">
        <v>0</v>
      </c>
      <c r="AR26" s="91">
        <v>0</v>
      </c>
      <c r="AS26" s="91">
        <v>0</v>
      </c>
      <c r="AT26" s="91">
        <v>0</v>
      </c>
      <c r="AU26" s="91">
        <v>0</v>
      </c>
      <c r="AV26" s="91">
        <v>0</v>
      </c>
      <c r="AW26" s="91">
        <v>91722.5</v>
      </c>
      <c r="AX26" s="91">
        <v>0</v>
      </c>
      <c r="AY26" s="91">
        <v>0</v>
      </c>
      <c r="AZ26" s="91">
        <v>0</v>
      </c>
      <c r="BA26" s="91">
        <v>0</v>
      </c>
      <c r="BB26" s="91">
        <v>0</v>
      </c>
      <c r="BC26" s="91">
        <v>0</v>
      </c>
      <c r="BD26" s="91">
        <v>0</v>
      </c>
      <c r="BE26" s="91">
        <v>0</v>
      </c>
      <c r="BF26" s="91">
        <v>0</v>
      </c>
      <c r="BG26" s="91">
        <v>417558.52</v>
      </c>
      <c r="BH26" s="91">
        <v>2393.61</v>
      </c>
      <c r="BI26" s="91">
        <v>0</v>
      </c>
      <c r="BJ26" s="91">
        <v>9272753.8900000006</v>
      </c>
      <c r="BK26" s="91">
        <v>5517473.4700000007</v>
      </c>
      <c r="BL26" s="91">
        <v>0</v>
      </c>
      <c r="BM26" s="91">
        <v>0</v>
      </c>
      <c r="BN26" s="91">
        <v>0</v>
      </c>
      <c r="BO26" s="91">
        <v>0</v>
      </c>
      <c r="BP26" s="91">
        <v>0</v>
      </c>
      <c r="BQ26" s="91">
        <v>0</v>
      </c>
      <c r="BR26" s="91">
        <v>0</v>
      </c>
      <c r="BS26" s="91">
        <v>0</v>
      </c>
      <c r="BT26" s="91">
        <v>0</v>
      </c>
      <c r="BU26" s="91">
        <v>0</v>
      </c>
      <c r="BV26" s="91">
        <v>0</v>
      </c>
      <c r="BW26" s="91">
        <v>1931.8</v>
      </c>
      <c r="BX26" s="91">
        <v>0</v>
      </c>
      <c r="BY26" s="91">
        <v>0</v>
      </c>
      <c r="BZ26" s="91">
        <v>0</v>
      </c>
      <c r="CA26" s="91">
        <v>0</v>
      </c>
      <c r="CB26" s="91">
        <v>11392.42</v>
      </c>
      <c r="CC26" s="91">
        <v>41656.67</v>
      </c>
      <c r="CD26" s="91">
        <v>0</v>
      </c>
      <c r="CE26" s="91">
        <v>9307.0300000000007</v>
      </c>
      <c r="CF26" s="91">
        <v>0</v>
      </c>
      <c r="CG26" s="91">
        <v>0</v>
      </c>
      <c r="CH26" s="91">
        <v>0</v>
      </c>
      <c r="CI26" s="91">
        <v>1495.53</v>
      </c>
      <c r="CJ26" s="91">
        <v>0</v>
      </c>
      <c r="CK26" s="91">
        <v>25950336.280000001</v>
      </c>
      <c r="CL26" s="91">
        <v>0</v>
      </c>
      <c r="CM26" s="91">
        <v>4821213.5999999996</v>
      </c>
      <c r="CN26" s="91">
        <v>0</v>
      </c>
      <c r="CO26" s="91">
        <v>0</v>
      </c>
      <c r="CP26" s="91">
        <v>0</v>
      </c>
      <c r="CQ26" s="91">
        <v>0</v>
      </c>
      <c r="CR26" s="91">
        <v>0</v>
      </c>
      <c r="CS26" s="91">
        <v>0</v>
      </c>
      <c r="CT26" s="91">
        <v>0</v>
      </c>
      <c r="CU26" s="91">
        <v>0</v>
      </c>
      <c r="CV26" s="91">
        <v>0</v>
      </c>
      <c r="CW26" s="91">
        <v>0</v>
      </c>
      <c r="CX26" s="91">
        <v>0</v>
      </c>
      <c r="CY26" s="91">
        <v>0</v>
      </c>
      <c r="CZ26" s="91">
        <v>87682.31</v>
      </c>
      <c r="DA26" s="91">
        <v>0</v>
      </c>
      <c r="DB26" s="91">
        <v>0</v>
      </c>
      <c r="DC26" s="91">
        <v>0</v>
      </c>
      <c r="DD26" s="91">
        <v>4241.2</v>
      </c>
    </row>
    <row r="27" spans="1:108" x14ac:dyDescent="0.35">
      <c r="A27" t="s">
        <v>246</v>
      </c>
      <c r="B27" s="15" t="s">
        <v>125</v>
      </c>
      <c r="C27" s="91">
        <v>0</v>
      </c>
      <c r="D27" s="91">
        <v>0</v>
      </c>
      <c r="E27" s="91">
        <v>1189910</v>
      </c>
      <c r="F27" s="91">
        <v>21658066.969999999</v>
      </c>
      <c r="G27" s="91">
        <v>0</v>
      </c>
      <c r="H27" s="91">
        <v>0</v>
      </c>
      <c r="I27" s="91">
        <v>0</v>
      </c>
      <c r="J27" s="91">
        <v>3550720.5</v>
      </c>
      <c r="K27" s="91">
        <v>2146358.86</v>
      </c>
      <c r="L27" s="91">
        <v>125931</v>
      </c>
      <c r="M27" s="91">
        <v>479890.19</v>
      </c>
      <c r="N27" s="91">
        <v>0</v>
      </c>
      <c r="O27" s="91">
        <v>0</v>
      </c>
      <c r="P27" s="91">
        <v>0</v>
      </c>
      <c r="Q27" s="92">
        <v>1084824.94</v>
      </c>
      <c r="R27" s="91">
        <v>0</v>
      </c>
      <c r="S27" s="91">
        <v>0</v>
      </c>
      <c r="T27" s="91">
        <v>733238.55</v>
      </c>
      <c r="U27" s="91">
        <v>23363628.680000003</v>
      </c>
      <c r="V27" s="91">
        <v>0</v>
      </c>
      <c r="W27" s="91">
        <v>0</v>
      </c>
      <c r="X27" s="91">
        <v>0</v>
      </c>
      <c r="Y27" s="91">
        <v>0</v>
      </c>
      <c r="Z27" s="91">
        <v>0</v>
      </c>
      <c r="AA27" s="91">
        <v>58591.32</v>
      </c>
      <c r="AB27" s="91">
        <v>1068954</v>
      </c>
      <c r="AC27" s="91">
        <v>0</v>
      </c>
      <c r="AD27" s="91">
        <v>0</v>
      </c>
      <c r="AE27" s="91">
        <v>0</v>
      </c>
      <c r="AF27" s="91">
        <v>0</v>
      </c>
      <c r="AG27" s="91">
        <v>0</v>
      </c>
      <c r="AH27" s="91">
        <v>900641.98</v>
      </c>
      <c r="AI27" s="91">
        <v>1547657</v>
      </c>
      <c r="AJ27" s="91">
        <v>0</v>
      </c>
      <c r="AK27" s="91">
        <v>0</v>
      </c>
      <c r="AL27" s="91">
        <v>79004</v>
      </c>
      <c r="AM27" s="91">
        <v>0</v>
      </c>
      <c r="AN27" s="91">
        <v>891843.95</v>
      </c>
      <c r="AO27" s="91">
        <v>89468.41</v>
      </c>
      <c r="AP27" s="91">
        <v>0</v>
      </c>
      <c r="AQ27" s="91">
        <v>0</v>
      </c>
      <c r="AR27" s="91">
        <v>0</v>
      </c>
      <c r="AS27" s="91">
        <v>0</v>
      </c>
      <c r="AT27" s="91">
        <v>0</v>
      </c>
      <c r="AU27" s="91">
        <v>1679189.45</v>
      </c>
      <c r="AV27" s="91">
        <v>0</v>
      </c>
      <c r="AW27" s="91">
        <v>0</v>
      </c>
      <c r="AX27" s="91">
        <v>0</v>
      </c>
      <c r="AY27" s="91">
        <v>0</v>
      </c>
      <c r="AZ27" s="91">
        <v>0</v>
      </c>
      <c r="BA27" s="91">
        <v>0</v>
      </c>
      <c r="BB27" s="91">
        <v>27462792.990000002</v>
      </c>
      <c r="BC27" s="91">
        <v>0</v>
      </c>
      <c r="BD27" s="91">
        <v>0</v>
      </c>
      <c r="BE27" s="91">
        <v>0</v>
      </c>
      <c r="BF27" s="91">
        <v>0</v>
      </c>
      <c r="BG27" s="91">
        <v>906027</v>
      </c>
      <c r="BH27" s="91">
        <v>0</v>
      </c>
      <c r="BI27" s="91">
        <v>0</v>
      </c>
      <c r="BJ27" s="91">
        <v>0</v>
      </c>
      <c r="BK27" s="91">
        <v>0</v>
      </c>
      <c r="BL27" s="91">
        <v>0</v>
      </c>
      <c r="BM27" s="91">
        <v>0</v>
      </c>
      <c r="BN27" s="91">
        <v>15168273.970000001</v>
      </c>
      <c r="BO27" s="91">
        <v>0</v>
      </c>
      <c r="BP27" s="91">
        <v>0</v>
      </c>
      <c r="BQ27" s="91">
        <v>6467454.6899999995</v>
      </c>
      <c r="BR27" s="91">
        <v>0</v>
      </c>
      <c r="BS27" s="91">
        <v>0</v>
      </c>
      <c r="BT27" s="91">
        <v>0</v>
      </c>
      <c r="BU27" s="91">
        <v>0</v>
      </c>
      <c r="BV27" s="91">
        <v>0</v>
      </c>
      <c r="BW27" s="91">
        <v>0</v>
      </c>
      <c r="BX27" s="91">
        <v>1704428.47</v>
      </c>
      <c r="BY27" s="91">
        <v>0</v>
      </c>
      <c r="BZ27" s="91">
        <v>0</v>
      </c>
      <c r="CA27" s="91">
        <v>0</v>
      </c>
      <c r="CB27" s="91">
        <v>0</v>
      </c>
      <c r="CC27" s="91">
        <v>14159721.899999999</v>
      </c>
      <c r="CD27" s="91">
        <v>0</v>
      </c>
      <c r="CE27" s="91">
        <v>0</v>
      </c>
      <c r="CF27" s="91">
        <v>27584597.329999998</v>
      </c>
      <c r="CG27" s="91">
        <v>0</v>
      </c>
      <c r="CH27" s="91">
        <v>0</v>
      </c>
      <c r="CI27" s="91">
        <v>0</v>
      </c>
      <c r="CJ27" s="91">
        <v>74151.63</v>
      </c>
      <c r="CK27" s="91">
        <v>1085410</v>
      </c>
      <c r="CL27" s="91">
        <v>990331.27</v>
      </c>
      <c r="CM27" s="91">
        <v>0</v>
      </c>
      <c r="CN27" s="91">
        <v>0</v>
      </c>
      <c r="CO27" s="91">
        <v>0</v>
      </c>
      <c r="CP27" s="91">
        <v>681418</v>
      </c>
      <c r="CQ27" s="91">
        <v>0</v>
      </c>
      <c r="CR27" s="91">
        <v>2752368</v>
      </c>
      <c r="CS27" s="91">
        <v>0</v>
      </c>
      <c r="CT27" s="91">
        <v>0</v>
      </c>
      <c r="CU27" s="91">
        <v>0</v>
      </c>
      <c r="CV27" s="91">
        <v>0</v>
      </c>
      <c r="CW27" s="91">
        <v>3500343.8800000004</v>
      </c>
      <c r="CX27" s="91">
        <v>16687203.23</v>
      </c>
      <c r="CY27" s="91">
        <v>0</v>
      </c>
      <c r="CZ27" s="91">
        <v>0</v>
      </c>
      <c r="DA27" s="91">
        <v>462373.88</v>
      </c>
      <c r="DB27" s="91">
        <v>0</v>
      </c>
      <c r="DC27" s="91">
        <v>0</v>
      </c>
      <c r="DD27" s="91">
        <v>341048.64</v>
      </c>
    </row>
    <row r="28" spans="1:108" x14ac:dyDescent="0.35">
      <c r="A28" t="s">
        <v>247</v>
      </c>
      <c r="B28" s="15" t="s">
        <v>111</v>
      </c>
      <c r="C28" s="91">
        <v>0</v>
      </c>
      <c r="D28" s="91">
        <v>0</v>
      </c>
      <c r="E28" s="91">
        <v>0</v>
      </c>
      <c r="F28" s="91">
        <v>0</v>
      </c>
      <c r="G28" s="91">
        <v>0</v>
      </c>
      <c r="H28" s="91">
        <v>0</v>
      </c>
      <c r="I28" s="91">
        <v>0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2">
        <v>0</v>
      </c>
      <c r="R28" s="91">
        <v>0</v>
      </c>
      <c r="S28" s="91">
        <v>0</v>
      </c>
      <c r="T28" s="91">
        <v>0</v>
      </c>
      <c r="U28" s="91">
        <v>0</v>
      </c>
      <c r="V28" s="91">
        <v>0</v>
      </c>
      <c r="W28" s="91">
        <v>0</v>
      </c>
      <c r="X28" s="91">
        <v>0</v>
      </c>
      <c r="Y28" s="91">
        <v>0</v>
      </c>
      <c r="Z28" s="91">
        <v>0</v>
      </c>
      <c r="AA28" s="91">
        <v>0</v>
      </c>
      <c r="AB28" s="91">
        <v>0</v>
      </c>
      <c r="AC28" s="91">
        <v>0</v>
      </c>
      <c r="AD28" s="91">
        <v>0</v>
      </c>
      <c r="AE28" s="91">
        <v>0</v>
      </c>
      <c r="AF28" s="91">
        <v>0</v>
      </c>
      <c r="AG28" s="91">
        <v>0</v>
      </c>
      <c r="AH28" s="91">
        <v>0</v>
      </c>
      <c r="AI28" s="91">
        <v>439274.11</v>
      </c>
      <c r="AJ28" s="91">
        <v>0</v>
      </c>
      <c r="AK28" s="91">
        <v>0</v>
      </c>
      <c r="AL28" s="91">
        <v>1780862.96</v>
      </c>
      <c r="AM28" s="91">
        <v>0</v>
      </c>
      <c r="AN28" s="91">
        <v>0</v>
      </c>
      <c r="AO28" s="91">
        <v>332955</v>
      </c>
      <c r="AP28" s="91">
        <v>853655.31</v>
      </c>
      <c r="AQ28" s="91">
        <v>0</v>
      </c>
      <c r="AR28" s="91">
        <v>0</v>
      </c>
      <c r="AS28" s="91">
        <v>0</v>
      </c>
      <c r="AT28" s="91">
        <v>182840.91</v>
      </c>
      <c r="AU28" s="91">
        <v>300</v>
      </c>
      <c r="AV28" s="91">
        <v>0</v>
      </c>
      <c r="AW28" s="91">
        <v>0</v>
      </c>
      <c r="AX28" s="91">
        <v>0</v>
      </c>
      <c r="AY28" s="91">
        <v>0</v>
      </c>
      <c r="AZ28" s="91">
        <v>19693.97</v>
      </c>
      <c r="BA28" s="91">
        <v>269509.96999999997</v>
      </c>
      <c r="BB28" s="91">
        <v>3584290.11</v>
      </c>
      <c r="BC28" s="91">
        <v>190216.14</v>
      </c>
      <c r="BD28" s="91">
        <v>1126900.1499999999</v>
      </c>
      <c r="BE28" s="91">
        <v>0</v>
      </c>
      <c r="BF28" s="91">
        <v>0</v>
      </c>
      <c r="BG28" s="91">
        <v>0</v>
      </c>
      <c r="BH28" s="91">
        <v>0</v>
      </c>
      <c r="BI28" s="91">
        <v>671537.14</v>
      </c>
      <c r="BJ28" s="91">
        <v>0</v>
      </c>
      <c r="BK28" s="91">
        <v>0</v>
      </c>
      <c r="BL28" s="91">
        <v>0</v>
      </c>
      <c r="BM28" s="91">
        <v>634451.06999999995</v>
      </c>
      <c r="BN28" s="91">
        <v>2198597.2000000002</v>
      </c>
      <c r="BO28" s="91">
        <v>300</v>
      </c>
      <c r="BP28" s="91">
        <v>0</v>
      </c>
      <c r="BQ28" s="91">
        <v>0</v>
      </c>
      <c r="BR28" s="91">
        <v>0</v>
      </c>
      <c r="BS28" s="91">
        <v>0</v>
      </c>
      <c r="BT28" s="91">
        <v>0</v>
      </c>
      <c r="BU28" s="91">
        <v>0</v>
      </c>
      <c r="BV28" s="91">
        <v>0</v>
      </c>
      <c r="BW28" s="91">
        <v>244700</v>
      </c>
      <c r="BX28" s="91">
        <v>498199.88</v>
      </c>
      <c r="BY28" s="91">
        <v>0</v>
      </c>
      <c r="BZ28" s="91">
        <v>53961.58</v>
      </c>
      <c r="CA28" s="91">
        <v>0</v>
      </c>
      <c r="CB28" s="91">
        <v>0</v>
      </c>
      <c r="CC28" s="91">
        <v>2384074.14</v>
      </c>
      <c r="CD28" s="91">
        <v>195598.4</v>
      </c>
      <c r="CE28" s="91">
        <v>0</v>
      </c>
      <c r="CF28" s="91">
        <v>0</v>
      </c>
      <c r="CG28" s="91">
        <v>0</v>
      </c>
      <c r="CH28" s="91">
        <v>0</v>
      </c>
      <c r="CI28" s="91">
        <v>6130218.54</v>
      </c>
      <c r="CJ28" s="91">
        <v>0</v>
      </c>
      <c r="CK28" s="91">
        <v>0</v>
      </c>
      <c r="CL28" s="91">
        <v>1067329.5000000002</v>
      </c>
      <c r="CM28" s="91">
        <v>10555.41</v>
      </c>
      <c r="CN28" s="91">
        <v>0</v>
      </c>
      <c r="CO28" s="91">
        <v>0</v>
      </c>
      <c r="CP28" s="91">
        <v>370343.2</v>
      </c>
      <c r="CQ28" s="91">
        <v>362601.74</v>
      </c>
      <c r="CR28" s="91">
        <v>1737295.16</v>
      </c>
      <c r="CS28" s="91">
        <v>44480</v>
      </c>
      <c r="CT28" s="91">
        <v>0</v>
      </c>
      <c r="CU28" s="91">
        <v>0</v>
      </c>
      <c r="CV28" s="91">
        <v>0</v>
      </c>
      <c r="CW28" s="91">
        <v>3490157.7800000003</v>
      </c>
      <c r="CX28" s="91">
        <v>0</v>
      </c>
      <c r="CY28" s="91">
        <v>102070</v>
      </c>
      <c r="CZ28" s="91">
        <v>1014108.1699999999</v>
      </c>
      <c r="DA28" s="91">
        <v>0</v>
      </c>
      <c r="DB28" s="91">
        <v>0</v>
      </c>
      <c r="DC28" s="91">
        <v>0</v>
      </c>
      <c r="DD28" s="91">
        <v>299426.57</v>
      </c>
    </row>
    <row r="29" spans="1:108" x14ac:dyDescent="0.35">
      <c r="A29" t="s">
        <v>248</v>
      </c>
      <c r="B29" s="15" t="s">
        <v>124</v>
      </c>
      <c r="C29" s="91">
        <v>0</v>
      </c>
      <c r="D29" s="91">
        <v>0</v>
      </c>
      <c r="E29" s="91">
        <v>0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196742.2</v>
      </c>
      <c r="M29" s="91">
        <v>112781.35</v>
      </c>
      <c r="N29" s="91">
        <v>26295</v>
      </c>
      <c r="O29" s="91">
        <v>0</v>
      </c>
      <c r="P29" s="91">
        <v>0</v>
      </c>
      <c r="Q29" s="92">
        <v>0</v>
      </c>
      <c r="R29" s="91">
        <v>1526713.54</v>
      </c>
      <c r="S29" s="91">
        <v>0</v>
      </c>
      <c r="T29" s="91">
        <v>267105.8</v>
      </c>
      <c r="U29" s="91">
        <v>0</v>
      </c>
      <c r="V29" s="91">
        <v>0</v>
      </c>
      <c r="W29" s="91">
        <v>0</v>
      </c>
      <c r="X29" s="91">
        <v>0</v>
      </c>
      <c r="Y29" s="91">
        <v>909787.04</v>
      </c>
      <c r="Z29" s="91">
        <v>0</v>
      </c>
      <c r="AA29" s="91">
        <v>544232.07000000007</v>
      </c>
      <c r="AB29" s="91">
        <v>0</v>
      </c>
      <c r="AC29" s="91">
        <v>0</v>
      </c>
      <c r="AD29" s="91">
        <v>0</v>
      </c>
      <c r="AE29" s="91">
        <v>157444.46</v>
      </c>
      <c r="AF29" s="91">
        <v>554636.57999999996</v>
      </c>
      <c r="AG29" s="91">
        <v>0</v>
      </c>
      <c r="AH29" s="91">
        <v>238133.6</v>
      </c>
      <c r="AI29" s="91">
        <v>0</v>
      </c>
      <c r="AJ29" s="91">
        <v>0</v>
      </c>
      <c r="AK29" s="91">
        <v>0</v>
      </c>
      <c r="AL29" s="91">
        <v>0</v>
      </c>
      <c r="AM29" s="91">
        <v>0</v>
      </c>
      <c r="AN29" s="91">
        <v>0</v>
      </c>
      <c r="AO29" s="91">
        <v>831300.67</v>
      </c>
      <c r="AP29" s="91">
        <v>0</v>
      </c>
      <c r="AQ29" s="91">
        <v>0</v>
      </c>
      <c r="AR29" s="91">
        <v>0</v>
      </c>
      <c r="AS29" s="91">
        <v>0</v>
      </c>
      <c r="AT29" s="91">
        <v>58886.819999999992</v>
      </c>
      <c r="AU29" s="91">
        <v>4800</v>
      </c>
      <c r="AV29" s="91">
        <v>572515.53</v>
      </c>
      <c r="AW29" s="91">
        <v>0</v>
      </c>
      <c r="AX29" s="91">
        <v>0</v>
      </c>
      <c r="AY29" s="91">
        <v>0</v>
      </c>
      <c r="AZ29" s="91">
        <v>4158.34</v>
      </c>
      <c r="BA29" s="91">
        <v>593148.18000000005</v>
      </c>
      <c r="BB29" s="91">
        <v>0</v>
      </c>
      <c r="BC29" s="91">
        <v>285230.69999999984</v>
      </c>
      <c r="BD29" s="91">
        <v>0</v>
      </c>
      <c r="BE29" s="91">
        <v>0</v>
      </c>
      <c r="BF29" s="91">
        <v>0</v>
      </c>
      <c r="BG29" s="91">
        <v>15407.57</v>
      </c>
      <c r="BH29" s="91">
        <v>368133.6</v>
      </c>
      <c r="BI29" s="91">
        <v>0</v>
      </c>
      <c r="BJ29" s="91">
        <v>323488.29000000004</v>
      </c>
      <c r="BK29" s="91">
        <v>0</v>
      </c>
      <c r="BL29" s="91">
        <v>0</v>
      </c>
      <c r="BM29" s="91">
        <v>0</v>
      </c>
      <c r="BN29" s="91">
        <v>370777.83999999991</v>
      </c>
      <c r="BO29" s="91">
        <v>0</v>
      </c>
      <c r="BP29" s="91">
        <v>0</v>
      </c>
      <c r="BQ29" s="91">
        <v>0</v>
      </c>
      <c r="BR29" s="91">
        <v>0</v>
      </c>
      <c r="BS29" s="91">
        <v>0</v>
      </c>
      <c r="BT29" s="91">
        <v>0</v>
      </c>
      <c r="BU29" s="91">
        <v>0</v>
      </c>
      <c r="BV29" s="91">
        <v>0</v>
      </c>
      <c r="BW29" s="91">
        <v>0</v>
      </c>
      <c r="BX29" s="91">
        <v>227487.56000000003</v>
      </c>
      <c r="BY29" s="91">
        <v>0</v>
      </c>
      <c r="BZ29" s="91">
        <v>83081</v>
      </c>
      <c r="CA29" s="91">
        <v>0</v>
      </c>
      <c r="CB29" s="91">
        <v>0</v>
      </c>
      <c r="CC29" s="91">
        <v>827031.60999999987</v>
      </c>
      <c r="CD29" s="91">
        <v>21825.64</v>
      </c>
      <c r="CE29" s="91">
        <v>382061.05000000005</v>
      </c>
      <c r="CF29" s="91">
        <v>0</v>
      </c>
      <c r="CG29" s="91">
        <v>0</v>
      </c>
      <c r="CH29" s="91">
        <v>0</v>
      </c>
      <c r="CI29" s="91">
        <v>0</v>
      </c>
      <c r="CJ29" s="91">
        <v>231719.69999999995</v>
      </c>
      <c r="CK29" s="91">
        <v>0</v>
      </c>
      <c r="CL29" s="91">
        <v>370351.89000000013</v>
      </c>
      <c r="CM29" s="91">
        <v>0</v>
      </c>
      <c r="CN29" s="91">
        <v>0</v>
      </c>
      <c r="CO29" s="91">
        <v>0</v>
      </c>
      <c r="CP29" s="91">
        <v>0</v>
      </c>
      <c r="CQ29" s="91">
        <v>401345.0199999999</v>
      </c>
      <c r="CR29" s="91">
        <v>0</v>
      </c>
      <c r="CS29" s="91">
        <v>1000</v>
      </c>
      <c r="CT29" s="91">
        <v>0</v>
      </c>
      <c r="CU29" s="91">
        <v>0</v>
      </c>
      <c r="CV29" s="91">
        <v>0</v>
      </c>
      <c r="CW29" s="91">
        <v>22611.65</v>
      </c>
      <c r="CX29" s="91">
        <v>1680014.1400000013</v>
      </c>
      <c r="CY29" s="91">
        <v>0</v>
      </c>
      <c r="CZ29" s="91">
        <v>234172.5100000001</v>
      </c>
      <c r="DA29" s="91">
        <v>0</v>
      </c>
      <c r="DB29" s="91">
        <v>0</v>
      </c>
      <c r="DC29" s="91">
        <v>0</v>
      </c>
      <c r="DD29" s="91">
        <v>0</v>
      </c>
    </row>
    <row r="30" spans="1:108" x14ac:dyDescent="0.35">
      <c r="A30" t="s">
        <v>249</v>
      </c>
      <c r="B30" s="15" t="s">
        <v>112</v>
      </c>
      <c r="C30" s="91">
        <v>0</v>
      </c>
      <c r="D30" s="91">
        <v>0</v>
      </c>
      <c r="E30" s="91">
        <v>0</v>
      </c>
      <c r="F30" s="91">
        <v>0</v>
      </c>
      <c r="G30" s="91">
        <v>0</v>
      </c>
      <c r="H30" s="91">
        <v>0</v>
      </c>
      <c r="I30" s="91">
        <v>0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2">
        <v>0</v>
      </c>
      <c r="R30" s="91">
        <v>0</v>
      </c>
      <c r="S30" s="91">
        <v>0</v>
      </c>
      <c r="T30" s="91">
        <v>0</v>
      </c>
      <c r="U30" s="91">
        <v>0</v>
      </c>
      <c r="V30" s="91">
        <v>0</v>
      </c>
      <c r="W30" s="91">
        <v>0</v>
      </c>
      <c r="X30" s="91">
        <v>0</v>
      </c>
      <c r="Y30" s="91">
        <v>0</v>
      </c>
      <c r="Z30" s="91">
        <v>0</v>
      </c>
      <c r="AA30" s="91">
        <v>0</v>
      </c>
      <c r="AB30" s="91">
        <v>0</v>
      </c>
      <c r="AC30" s="91">
        <v>0</v>
      </c>
      <c r="AD30" s="91">
        <v>0</v>
      </c>
      <c r="AE30" s="91">
        <v>0</v>
      </c>
      <c r="AF30" s="91">
        <v>0</v>
      </c>
      <c r="AG30" s="91">
        <v>0</v>
      </c>
      <c r="AH30" s="91">
        <v>353902.23</v>
      </c>
      <c r="AI30" s="91">
        <v>621592.86</v>
      </c>
      <c r="AJ30" s="91">
        <v>0</v>
      </c>
      <c r="AK30" s="91">
        <v>0</v>
      </c>
      <c r="AL30" s="91">
        <v>0</v>
      </c>
      <c r="AM30" s="91">
        <v>0</v>
      </c>
      <c r="AN30" s="91">
        <v>0</v>
      </c>
      <c r="AO30" s="91">
        <v>59827.72</v>
      </c>
      <c r="AP30" s="91">
        <v>0</v>
      </c>
      <c r="AQ30" s="91">
        <v>0</v>
      </c>
      <c r="AR30" s="91">
        <v>0</v>
      </c>
      <c r="AS30" s="91">
        <v>0</v>
      </c>
      <c r="AT30" s="91">
        <v>0</v>
      </c>
      <c r="AU30" s="91">
        <v>0</v>
      </c>
      <c r="AV30" s="91">
        <v>0</v>
      </c>
      <c r="AW30" s="91">
        <v>0</v>
      </c>
      <c r="AX30" s="91">
        <v>0</v>
      </c>
      <c r="AY30" s="91">
        <v>0</v>
      </c>
      <c r="AZ30" s="91">
        <v>8772.6200000000008</v>
      </c>
      <c r="BA30" s="91">
        <v>0</v>
      </c>
      <c r="BB30" s="91">
        <v>4349512.34</v>
      </c>
      <c r="BC30" s="91">
        <v>0</v>
      </c>
      <c r="BD30" s="91">
        <v>0</v>
      </c>
      <c r="BE30" s="91">
        <v>0</v>
      </c>
      <c r="BF30" s="91">
        <v>0</v>
      </c>
      <c r="BG30" s="91">
        <v>64608.95</v>
      </c>
      <c r="BH30" s="91">
        <v>0</v>
      </c>
      <c r="BI30" s="91">
        <v>1545.4</v>
      </c>
      <c r="BJ30" s="91">
        <v>109027.03</v>
      </c>
      <c r="BK30" s="91">
        <v>7891.05</v>
      </c>
      <c r="BL30" s="91">
        <v>0</v>
      </c>
      <c r="BM30" s="91">
        <v>0</v>
      </c>
      <c r="BN30" s="91">
        <v>3274711.18</v>
      </c>
      <c r="BO30" s="91">
        <v>0</v>
      </c>
      <c r="BP30" s="91">
        <v>0</v>
      </c>
      <c r="BQ30" s="91">
        <v>0</v>
      </c>
      <c r="BR30" s="91">
        <v>0</v>
      </c>
      <c r="BS30" s="91">
        <v>0</v>
      </c>
      <c r="BT30" s="91">
        <v>0</v>
      </c>
      <c r="BU30" s="91">
        <v>0</v>
      </c>
      <c r="BV30" s="91">
        <v>0</v>
      </c>
      <c r="BW30" s="91">
        <v>19136</v>
      </c>
      <c r="BX30" s="91">
        <v>0</v>
      </c>
      <c r="BY30" s="91">
        <v>0</v>
      </c>
      <c r="BZ30" s="91">
        <v>263432.57</v>
      </c>
      <c r="CA30" s="91">
        <v>0</v>
      </c>
      <c r="CB30" s="91">
        <v>11197.47</v>
      </c>
      <c r="CC30" s="91">
        <v>1752441.8000000003</v>
      </c>
      <c r="CD30" s="91">
        <v>0</v>
      </c>
      <c r="CE30" s="91">
        <v>371800.15</v>
      </c>
      <c r="CF30" s="91">
        <v>0</v>
      </c>
      <c r="CG30" s="91">
        <v>0</v>
      </c>
      <c r="CH30" s="91">
        <v>0</v>
      </c>
      <c r="CI30" s="91">
        <v>562697.41</v>
      </c>
      <c r="CJ30" s="91">
        <v>1233342.6900000002</v>
      </c>
      <c r="CK30" s="91">
        <v>5251735.17</v>
      </c>
      <c r="CL30" s="91">
        <v>1201.6600000000001</v>
      </c>
      <c r="CM30" s="91">
        <v>0</v>
      </c>
      <c r="CN30" s="91">
        <v>0</v>
      </c>
      <c r="CO30" s="91">
        <v>0</v>
      </c>
      <c r="CP30" s="91">
        <v>160484.54</v>
      </c>
      <c r="CQ30" s="91">
        <v>154004.39000000001</v>
      </c>
      <c r="CR30" s="91">
        <v>42504.160000000003</v>
      </c>
      <c r="CS30" s="91">
        <v>9222854.0299999993</v>
      </c>
      <c r="CT30" s="91">
        <v>101325.34</v>
      </c>
      <c r="CU30" s="91">
        <v>0</v>
      </c>
      <c r="CV30" s="91">
        <v>0</v>
      </c>
      <c r="CW30" s="91">
        <v>507196.42</v>
      </c>
      <c r="CX30" s="91">
        <v>0</v>
      </c>
      <c r="CY30" s="91">
        <v>465116.27</v>
      </c>
      <c r="CZ30" s="91">
        <v>778901.52</v>
      </c>
      <c r="DA30" s="91">
        <v>0</v>
      </c>
      <c r="DB30" s="91">
        <v>0</v>
      </c>
      <c r="DC30" s="91">
        <v>0</v>
      </c>
      <c r="DD30" s="91">
        <v>0</v>
      </c>
    </row>
    <row r="31" spans="1:108" x14ac:dyDescent="0.35">
      <c r="A31" t="s">
        <v>250</v>
      </c>
      <c r="B31" s="15" t="s">
        <v>113</v>
      </c>
      <c r="C31" s="91">
        <v>0</v>
      </c>
      <c r="D31" s="91">
        <v>0</v>
      </c>
      <c r="E31" s="91">
        <v>0</v>
      </c>
      <c r="F31" s="91">
        <v>0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2">
        <v>0</v>
      </c>
      <c r="R31" s="91">
        <v>0</v>
      </c>
      <c r="S31" s="91">
        <v>0</v>
      </c>
      <c r="T31" s="91">
        <v>0</v>
      </c>
      <c r="U31" s="91">
        <v>0</v>
      </c>
      <c r="V31" s="91">
        <v>0</v>
      </c>
      <c r="W31" s="91">
        <v>0</v>
      </c>
      <c r="X31" s="91">
        <v>0</v>
      </c>
      <c r="Y31" s="91">
        <v>0</v>
      </c>
      <c r="Z31" s="91">
        <v>0</v>
      </c>
      <c r="AA31" s="91">
        <v>0</v>
      </c>
      <c r="AB31" s="91">
        <v>0</v>
      </c>
      <c r="AC31" s="91">
        <v>0</v>
      </c>
      <c r="AD31" s="91">
        <v>0</v>
      </c>
      <c r="AE31" s="91">
        <v>0</v>
      </c>
      <c r="AF31" s="91">
        <v>0</v>
      </c>
      <c r="AG31" s="91">
        <v>0</v>
      </c>
      <c r="AH31" s="91">
        <v>1142000</v>
      </c>
      <c r="AI31" s="91">
        <v>0</v>
      </c>
      <c r="AJ31" s="91">
        <v>0</v>
      </c>
      <c r="AK31" s="91">
        <v>0</v>
      </c>
      <c r="AL31" s="91">
        <v>0</v>
      </c>
      <c r="AM31" s="91">
        <v>0</v>
      </c>
      <c r="AN31" s="91">
        <v>0</v>
      </c>
      <c r="AO31" s="91">
        <v>0</v>
      </c>
      <c r="AP31" s="91">
        <v>0</v>
      </c>
      <c r="AQ31" s="91">
        <v>0</v>
      </c>
      <c r="AR31" s="91">
        <v>0</v>
      </c>
      <c r="AS31" s="91">
        <v>0</v>
      </c>
      <c r="AT31" s="91">
        <v>0</v>
      </c>
      <c r="AU31" s="91">
        <v>0</v>
      </c>
      <c r="AV31" s="91">
        <v>0</v>
      </c>
      <c r="AW31" s="91">
        <v>0</v>
      </c>
      <c r="AX31" s="91">
        <v>0</v>
      </c>
      <c r="AY31" s="91">
        <v>0</v>
      </c>
      <c r="AZ31" s="91">
        <v>0</v>
      </c>
      <c r="BA31" s="91">
        <v>0</v>
      </c>
      <c r="BB31" s="91">
        <v>274594.98</v>
      </c>
      <c r="BC31" s="91">
        <v>0</v>
      </c>
      <c r="BD31" s="91">
        <v>0</v>
      </c>
      <c r="BE31" s="91">
        <v>0</v>
      </c>
      <c r="BF31" s="91">
        <v>0</v>
      </c>
      <c r="BG31" s="91">
        <v>112512.9</v>
      </c>
      <c r="BH31" s="91">
        <v>0</v>
      </c>
      <c r="BI31" s="91">
        <v>0</v>
      </c>
      <c r="BJ31" s="91">
        <v>30000</v>
      </c>
      <c r="BK31" s="91">
        <v>36000</v>
      </c>
      <c r="BL31" s="91">
        <v>0</v>
      </c>
      <c r="BM31" s="91">
        <v>0</v>
      </c>
      <c r="BN31" s="91">
        <v>5332622.92</v>
      </c>
      <c r="BO31" s="91">
        <v>942322.68</v>
      </c>
      <c r="BP31" s="91">
        <v>0</v>
      </c>
      <c r="BQ31" s="91">
        <v>0</v>
      </c>
      <c r="BR31" s="91">
        <v>0</v>
      </c>
      <c r="BS31" s="91">
        <v>0</v>
      </c>
      <c r="BT31" s="91">
        <v>0</v>
      </c>
      <c r="BU31" s="91">
        <v>0</v>
      </c>
      <c r="BV31" s="91">
        <v>0</v>
      </c>
      <c r="BW31" s="91">
        <v>0</v>
      </c>
      <c r="BX31" s="91">
        <v>0</v>
      </c>
      <c r="BY31" s="91">
        <v>0</v>
      </c>
      <c r="BZ31" s="91">
        <v>194252</v>
      </c>
      <c r="CA31" s="91">
        <v>0</v>
      </c>
      <c r="CB31" s="91">
        <v>0</v>
      </c>
      <c r="CC31" s="91">
        <v>0</v>
      </c>
      <c r="CD31" s="91">
        <v>1255465.28</v>
      </c>
      <c r="CE31" s="91">
        <v>0</v>
      </c>
      <c r="CF31" s="91">
        <v>0</v>
      </c>
      <c r="CG31" s="91">
        <v>0</v>
      </c>
      <c r="CH31" s="91">
        <v>0</v>
      </c>
      <c r="CI31" s="91">
        <v>0</v>
      </c>
      <c r="CJ31" s="91">
        <v>0</v>
      </c>
      <c r="CK31" s="91">
        <v>0</v>
      </c>
      <c r="CL31" s="91">
        <v>0</v>
      </c>
      <c r="CM31" s="91">
        <v>0</v>
      </c>
      <c r="CN31" s="91">
        <v>0</v>
      </c>
      <c r="CO31" s="91">
        <v>0</v>
      </c>
      <c r="CP31" s="91">
        <v>594500</v>
      </c>
      <c r="CQ31" s="91">
        <v>332475.40000000002</v>
      </c>
      <c r="CR31" s="91">
        <v>0</v>
      </c>
      <c r="CS31" s="91">
        <v>0</v>
      </c>
      <c r="CT31" s="91">
        <v>0</v>
      </c>
      <c r="CU31" s="91">
        <v>0</v>
      </c>
      <c r="CV31" s="91">
        <v>0</v>
      </c>
      <c r="CW31" s="91">
        <v>0</v>
      </c>
      <c r="CX31" s="91">
        <v>700125.8</v>
      </c>
      <c r="CY31" s="91">
        <v>2934711.31</v>
      </c>
      <c r="CZ31" s="91">
        <v>1829115.36</v>
      </c>
      <c r="DA31" s="91">
        <v>400000</v>
      </c>
      <c r="DB31" s="91">
        <v>0</v>
      </c>
      <c r="DC31" s="91">
        <v>0</v>
      </c>
      <c r="DD31" s="91">
        <v>0</v>
      </c>
    </row>
    <row r="32" spans="1:108" x14ac:dyDescent="0.35">
      <c r="A32" t="s">
        <v>251</v>
      </c>
      <c r="B32" s="12" t="s">
        <v>109</v>
      </c>
      <c r="C32" s="91">
        <v>96997605.929999992</v>
      </c>
      <c r="D32" s="91">
        <v>454668.67</v>
      </c>
      <c r="E32" s="91">
        <v>1699284.52</v>
      </c>
      <c r="F32" s="91">
        <v>17810</v>
      </c>
      <c r="G32" s="91">
        <v>167760</v>
      </c>
      <c r="H32" s="91">
        <v>0</v>
      </c>
      <c r="I32" s="91">
        <v>807.8</v>
      </c>
      <c r="J32" s="91">
        <v>404692.83</v>
      </c>
      <c r="K32" s="91">
        <v>304261.82999999996</v>
      </c>
      <c r="L32" s="91">
        <v>237219.03</v>
      </c>
      <c r="M32" s="91">
        <v>892226.25</v>
      </c>
      <c r="N32" s="91">
        <v>7526751</v>
      </c>
      <c r="O32" s="91">
        <v>0</v>
      </c>
      <c r="P32" s="91">
        <v>0</v>
      </c>
      <c r="Q32" s="92">
        <v>269520.78000000003</v>
      </c>
      <c r="R32" s="91">
        <v>1034311.14</v>
      </c>
      <c r="S32" s="91">
        <v>744509.73</v>
      </c>
      <c r="T32" s="91">
        <v>787837.70000000007</v>
      </c>
      <c r="U32" s="91">
        <v>965611.36</v>
      </c>
      <c r="V32" s="91">
        <v>110.6</v>
      </c>
      <c r="W32" s="91">
        <v>0</v>
      </c>
      <c r="X32" s="91">
        <v>684287.09000000008</v>
      </c>
      <c r="Y32" s="91">
        <v>848061.7</v>
      </c>
      <c r="Z32" s="91">
        <v>1550465.93</v>
      </c>
      <c r="AA32" s="91">
        <v>150587</v>
      </c>
      <c r="AB32" s="91">
        <v>1330723.21</v>
      </c>
      <c r="AC32" s="91">
        <v>10</v>
      </c>
      <c r="AD32" s="91">
        <v>0</v>
      </c>
      <c r="AE32" s="91">
        <v>701476.51</v>
      </c>
      <c r="AF32" s="91">
        <v>2100197.77</v>
      </c>
      <c r="AG32" s="91">
        <v>742169.96</v>
      </c>
      <c r="AH32" s="91">
        <v>2758883.8</v>
      </c>
      <c r="AI32" s="91">
        <v>179</v>
      </c>
      <c r="AJ32" s="91">
        <v>0</v>
      </c>
      <c r="AK32" s="91">
        <v>0</v>
      </c>
      <c r="AL32" s="91">
        <v>38708.379999999997</v>
      </c>
      <c r="AM32" s="91">
        <v>1287.5</v>
      </c>
      <c r="AN32" s="91">
        <v>165888.12</v>
      </c>
      <c r="AO32" s="91">
        <v>359670.8</v>
      </c>
      <c r="AP32" s="91">
        <v>25740</v>
      </c>
      <c r="AQ32" s="91">
        <v>6128.2899999999972</v>
      </c>
      <c r="AR32" s="91">
        <v>0</v>
      </c>
      <c r="AS32" s="91">
        <v>0</v>
      </c>
      <c r="AT32" s="91">
        <v>175818.86</v>
      </c>
      <c r="AU32" s="91">
        <v>70859.39</v>
      </c>
      <c r="AV32" s="91">
        <v>30702.400000000001</v>
      </c>
      <c r="AW32" s="91">
        <v>0</v>
      </c>
      <c r="AX32" s="91">
        <v>0</v>
      </c>
      <c r="AY32" s="91">
        <v>0</v>
      </c>
      <c r="AZ32" s="91">
        <v>3167905.2600000002</v>
      </c>
      <c r="BA32" s="91">
        <v>112810.43000000001</v>
      </c>
      <c r="BB32" s="91">
        <v>890640.55</v>
      </c>
      <c r="BC32" s="91">
        <v>84731.68</v>
      </c>
      <c r="BD32" s="91">
        <v>132294</v>
      </c>
      <c r="BE32" s="91">
        <v>5.09</v>
      </c>
      <c r="BF32" s="91">
        <v>0</v>
      </c>
      <c r="BG32" s="91">
        <v>232768.02999999997</v>
      </c>
      <c r="BH32" s="91">
        <v>10611991.579999998</v>
      </c>
      <c r="BI32" s="91">
        <v>2153036.83</v>
      </c>
      <c r="BJ32" s="91">
        <v>505561.04000000004</v>
      </c>
      <c r="BK32" s="91">
        <v>3273462.2</v>
      </c>
      <c r="BL32" s="91">
        <v>62</v>
      </c>
      <c r="BM32" s="91">
        <v>120580</v>
      </c>
      <c r="BN32" s="91">
        <v>1682160.51</v>
      </c>
      <c r="BO32" s="91">
        <v>645226.92000000004</v>
      </c>
      <c r="BP32" s="91">
        <v>137766.87</v>
      </c>
      <c r="BQ32" s="91">
        <v>3415.73</v>
      </c>
      <c r="BR32" s="91">
        <v>7682.8999999999987</v>
      </c>
      <c r="BS32" s="91">
        <v>0</v>
      </c>
      <c r="BT32" s="91">
        <v>0</v>
      </c>
      <c r="BU32" s="91">
        <v>0</v>
      </c>
      <c r="BV32" s="91">
        <v>0</v>
      </c>
      <c r="BW32" s="91">
        <v>73825.37</v>
      </c>
      <c r="BX32" s="91">
        <v>23.75</v>
      </c>
      <c r="BY32" s="91">
        <v>18.049999999999997</v>
      </c>
      <c r="BZ32" s="91">
        <v>2791184.4</v>
      </c>
      <c r="CA32" s="91">
        <v>90</v>
      </c>
      <c r="CB32" s="91">
        <v>8297210.75</v>
      </c>
      <c r="CC32" s="91">
        <v>283781.18</v>
      </c>
      <c r="CD32" s="91">
        <v>95505.26</v>
      </c>
      <c r="CE32" s="91">
        <v>2031367.6600000001</v>
      </c>
      <c r="CF32" s="91">
        <v>484726.22</v>
      </c>
      <c r="CG32" s="91">
        <v>305.14</v>
      </c>
      <c r="CH32" s="91">
        <v>0</v>
      </c>
      <c r="CI32" s="91">
        <v>3249674.4899999998</v>
      </c>
      <c r="CJ32" s="91">
        <v>37754.369999999995</v>
      </c>
      <c r="CK32" s="91">
        <v>361584.72</v>
      </c>
      <c r="CL32" s="91">
        <v>166194.38999999998</v>
      </c>
      <c r="CM32" s="91">
        <v>3692.21</v>
      </c>
      <c r="CN32" s="91">
        <v>1659.43</v>
      </c>
      <c r="CO32" s="91">
        <v>0</v>
      </c>
      <c r="CP32" s="91">
        <v>319127.73</v>
      </c>
      <c r="CQ32" s="91">
        <v>112810.73</v>
      </c>
      <c r="CR32" s="91">
        <v>37710.81</v>
      </c>
      <c r="CS32" s="91">
        <v>11146</v>
      </c>
      <c r="CT32" s="91">
        <v>17570.900000000001</v>
      </c>
      <c r="CU32" s="91">
        <v>18.05</v>
      </c>
      <c r="CV32" s="91">
        <v>0</v>
      </c>
      <c r="CW32" s="91">
        <v>33092.83</v>
      </c>
      <c r="CX32" s="91">
        <v>27245.32</v>
      </c>
      <c r="CY32" s="91">
        <v>1218488.8600000001</v>
      </c>
      <c r="CZ32" s="91">
        <v>132876.38</v>
      </c>
      <c r="DA32" s="91">
        <v>30894.04</v>
      </c>
      <c r="DB32" s="91">
        <v>105.24</v>
      </c>
      <c r="DC32" s="91">
        <v>0</v>
      </c>
      <c r="DD32" s="91">
        <v>1463651.03</v>
      </c>
    </row>
    <row r="33" spans="1:108" x14ac:dyDescent="0.35">
      <c r="A33" t="s">
        <v>252</v>
      </c>
      <c r="B33" s="30" t="s">
        <v>48</v>
      </c>
      <c r="C33" s="91">
        <v>810727018.61999989</v>
      </c>
      <c r="D33" s="91">
        <v>836245710.17999983</v>
      </c>
      <c r="E33" s="91">
        <v>734257452.00999975</v>
      </c>
      <c r="F33" s="91">
        <v>717464222.08999968</v>
      </c>
      <c r="G33" s="91">
        <v>729743891.70999968</v>
      </c>
      <c r="H33" s="91">
        <v>730835464.62999964</v>
      </c>
      <c r="I33" s="91">
        <v>731920811.17999971</v>
      </c>
      <c r="J33" s="91">
        <v>653562162.56999969</v>
      </c>
      <c r="K33" s="91">
        <v>589362551.86999965</v>
      </c>
      <c r="L33" s="91">
        <v>588065223.31999958</v>
      </c>
      <c r="M33" s="91">
        <v>591690731.93999958</v>
      </c>
      <c r="N33" s="91">
        <v>589751464.05999959</v>
      </c>
      <c r="O33" s="91">
        <v>592461066.85999954</v>
      </c>
      <c r="P33" s="91">
        <v>592487130.88999951</v>
      </c>
      <c r="Q33" s="92">
        <v>595843307.80999994</v>
      </c>
      <c r="R33" s="91">
        <v>614587525.54999995</v>
      </c>
      <c r="S33" s="91">
        <v>644008650.40999997</v>
      </c>
      <c r="T33" s="91">
        <v>647508943.36000001</v>
      </c>
      <c r="U33" s="91">
        <v>645636811.44000006</v>
      </c>
      <c r="V33" s="91">
        <v>649117723.12</v>
      </c>
      <c r="W33" s="91">
        <v>655873503.95000005</v>
      </c>
      <c r="X33" s="91">
        <v>662125978.88</v>
      </c>
      <c r="Y33" s="91">
        <v>664531317.92999995</v>
      </c>
      <c r="Z33" s="91">
        <v>688138726.91999996</v>
      </c>
      <c r="AA33" s="91">
        <v>707772393.76999998</v>
      </c>
      <c r="AB33" s="91">
        <v>698818170.61000001</v>
      </c>
      <c r="AC33" s="91">
        <v>701090167.16999996</v>
      </c>
      <c r="AD33" s="91">
        <v>703278764.10000002</v>
      </c>
      <c r="AE33" s="91">
        <v>683422805.17999995</v>
      </c>
      <c r="AF33" s="91">
        <v>683861817.29999995</v>
      </c>
      <c r="AG33" s="91">
        <v>688730970.60000002</v>
      </c>
      <c r="AH33" s="91">
        <v>685261015.14999998</v>
      </c>
      <c r="AI33" s="91">
        <v>684964257.02999997</v>
      </c>
      <c r="AJ33" s="91">
        <v>699117630.30999994</v>
      </c>
      <c r="AK33" s="91">
        <v>699117630.30999994</v>
      </c>
      <c r="AL33" s="91">
        <v>712291245.25</v>
      </c>
      <c r="AM33" s="91">
        <v>719532676.48000002</v>
      </c>
      <c r="AN33" s="91">
        <v>654953259.76999998</v>
      </c>
      <c r="AO33" s="91">
        <v>651343870.03999996</v>
      </c>
      <c r="AP33" s="91">
        <v>660689503.44000006</v>
      </c>
      <c r="AQ33" s="91">
        <v>668811356.50999999</v>
      </c>
      <c r="AR33" s="91">
        <v>668811356.50999999</v>
      </c>
      <c r="AS33" s="91">
        <v>668811356.50999999</v>
      </c>
      <c r="AT33" s="91">
        <v>674725932.61000001</v>
      </c>
      <c r="AU33" s="91">
        <v>682394370.88</v>
      </c>
      <c r="AV33" s="91">
        <v>690917344.79999995</v>
      </c>
      <c r="AW33" s="91">
        <v>698722637.75999999</v>
      </c>
      <c r="AX33" s="91">
        <v>702991221.13999999</v>
      </c>
      <c r="AY33" s="91">
        <v>702991221.13999999</v>
      </c>
      <c r="AZ33" s="91">
        <v>704456336</v>
      </c>
      <c r="BA33" s="91">
        <v>717365059.26999998</v>
      </c>
      <c r="BB33" s="91">
        <v>682939577.01999998</v>
      </c>
      <c r="BC33" s="91">
        <v>685918011.42999995</v>
      </c>
      <c r="BD33" s="91">
        <v>699270799.12</v>
      </c>
      <c r="BE33" s="91">
        <v>703554081.67999995</v>
      </c>
      <c r="BF33" s="91">
        <v>703554081.67999995</v>
      </c>
      <c r="BG33" s="91">
        <v>745266765.85000002</v>
      </c>
      <c r="BH33" s="91">
        <v>747976742.34000003</v>
      </c>
      <c r="BI33" s="91">
        <v>755277127.75999999</v>
      </c>
      <c r="BJ33" s="91">
        <v>743608246.67999995</v>
      </c>
      <c r="BK33" s="91">
        <v>746927007.51999998</v>
      </c>
      <c r="BL33" s="91">
        <v>749335398.10000002</v>
      </c>
      <c r="BM33" s="91">
        <v>735782775.57000005</v>
      </c>
      <c r="BN33" s="91">
        <v>698961102.13</v>
      </c>
      <c r="BO33" s="91">
        <v>744858436.51999998</v>
      </c>
      <c r="BP33" s="91">
        <v>754114117.77999997</v>
      </c>
      <c r="BQ33" s="91">
        <v>761452135.73000002</v>
      </c>
      <c r="BR33" s="91">
        <v>768061025.39999998</v>
      </c>
      <c r="BS33" s="91">
        <v>768061025.39999998</v>
      </c>
      <c r="BT33" s="91">
        <v>768061025.39999998</v>
      </c>
      <c r="BU33" s="91">
        <v>768061025.39999998</v>
      </c>
      <c r="BV33" s="91">
        <v>768061025.39999998</v>
      </c>
      <c r="BW33" s="91">
        <v>740141826.60000002</v>
      </c>
      <c r="BX33" s="91">
        <v>743186043.34000003</v>
      </c>
      <c r="BY33" s="91">
        <v>763119683.21000004</v>
      </c>
      <c r="BZ33" s="91">
        <v>768656960.80999994</v>
      </c>
      <c r="CA33" s="91">
        <v>771123612.63999999</v>
      </c>
      <c r="CB33" s="91">
        <v>783884960.51999998</v>
      </c>
      <c r="CC33" s="91">
        <v>786254026.13999999</v>
      </c>
      <c r="CD33" s="91">
        <v>792340736.59000003</v>
      </c>
      <c r="CE33" s="91">
        <v>798276722.09000003</v>
      </c>
      <c r="CF33" s="91">
        <v>822687816.90999997</v>
      </c>
      <c r="CG33" s="91">
        <v>833754301.13999999</v>
      </c>
      <c r="CH33" s="91">
        <v>833754301.13999999</v>
      </c>
      <c r="CI33" s="91">
        <v>826187049.26999998</v>
      </c>
      <c r="CJ33" s="91">
        <v>818430971.92999995</v>
      </c>
      <c r="CK33" s="91">
        <v>794318631.23000002</v>
      </c>
      <c r="CL33" s="91">
        <v>790875557.89999998</v>
      </c>
      <c r="CM33" s="91">
        <v>789435352.23000002</v>
      </c>
      <c r="CN33" s="91">
        <v>793749302.38999999</v>
      </c>
      <c r="CO33" s="91">
        <v>793749302.38999999</v>
      </c>
      <c r="CP33" s="91">
        <v>800706471.88999999</v>
      </c>
      <c r="CQ33" s="91">
        <v>807970486.79999995</v>
      </c>
      <c r="CR33" s="91">
        <v>831120787</v>
      </c>
      <c r="CS33" s="91">
        <v>801410177.25</v>
      </c>
      <c r="CT33" s="91">
        <v>811578856.19000006</v>
      </c>
      <c r="CU33" s="91">
        <v>817001216.20000005</v>
      </c>
      <c r="CV33" s="91">
        <v>817001216.20000005</v>
      </c>
      <c r="CW33" s="91">
        <v>727676655.71000004</v>
      </c>
      <c r="CX33" s="91">
        <v>715181664.92999995</v>
      </c>
      <c r="CY33" s="91">
        <v>711870343.48000002</v>
      </c>
      <c r="CZ33" s="91">
        <v>706469507.76999998</v>
      </c>
      <c r="DA33" s="91">
        <v>708362470.40999997</v>
      </c>
      <c r="DB33" s="91">
        <v>713719386.00999999</v>
      </c>
      <c r="DC33" s="91">
        <v>713719386.00999999</v>
      </c>
      <c r="DD33" s="91">
        <v>706272278.42999995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92AB-CCC5-474A-A0CF-D954AE2D6950}">
  <dimension ref="A1"/>
  <sheetViews>
    <sheetView workbookViewId="0"/>
  </sheetViews>
  <sheetFormatPr defaultRowHeight="15.6" x14ac:dyDescent="0.35"/>
  <sheetData>
    <row r="1" spans="1:1" x14ac:dyDescent="0.35">
      <c r="A1" t="s">
        <v>216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资金</vt:lpstr>
      <vt:lpstr>Sheet2 (5)</vt:lpstr>
      <vt:lpstr>daily</vt:lpstr>
      <vt:lpstr>weekly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刘士琪</dc:creator>
  <cp:lastModifiedBy>ReshapeData</cp:lastModifiedBy>
  <dcterms:created xsi:type="dcterms:W3CDTF">2020-03-30T06:48:36Z</dcterms:created>
  <dcterms:modified xsi:type="dcterms:W3CDTF">2020-07-12T23:13:57Z</dcterms:modified>
</cp:coreProperties>
</file>